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290" windowWidth="20730" windowHeight="4350"/>
  </bookViews>
  <sheets>
    <sheet name="Skonsolidowany P&amp;L" sheetId="16" r:id="rId1"/>
    <sheet name="Segmenty" sheetId="13" r:id="rId2"/>
    <sheet name="Skonsolidowant bilans" sheetId="4" r:id="rId3"/>
    <sheet name="Skonsolidowany CF" sheetId="6" r:id="rId4"/>
    <sheet name="KPI_segment B2B&amp;B2C" sheetId="14" r:id="rId5"/>
    <sheet name="KPI - segment TV" sheetId="15" r:id="rId6"/>
  </sheets>
  <definedNames>
    <definedName name="_Toc377043859" localSheetId="5">'KPI - segment TV'!$C$37</definedName>
    <definedName name="_Toc377043860" localSheetId="5">'KPI - segment TV'!$D$37</definedName>
    <definedName name="_Toc377043862" localSheetId="5">'KPI - segment TV'!#REF!</definedName>
    <definedName name="_Toc377043863" localSheetId="5">'KPI - segment TV'!#REF!</definedName>
    <definedName name="_xlnm.Print_Area" localSheetId="5">'KPI - segment TV'!$A$1:$E$65</definedName>
    <definedName name="_xlnm.Print_Area" localSheetId="4">'KPI_segment B2B&amp;B2C'!$A$1:$S$37</definedName>
    <definedName name="_xlnm.Print_Area" localSheetId="2">'Skonsolidowant bilans'!$A$1:$Q$69</definedName>
    <definedName name="_xlnm.Print_Area" localSheetId="3">'Skonsolidowany CF'!$A$1:$Q$60</definedName>
    <definedName name="_xlnm.Print_Area" localSheetId="0">'Skonsolidowany P&amp;L'!$A$3:$S$39</definedName>
    <definedName name="OLE_LINK3" localSheetId="3">'Skonsolidowany CF'!$A$18</definedName>
  </definedNames>
  <calcPr calcId="145621"/>
</workbook>
</file>

<file path=xl/calcChain.xml><?xml version="1.0" encoding="utf-8"?>
<calcChain xmlns="http://schemas.openxmlformats.org/spreadsheetml/2006/main">
  <c r="O10" i="13" l="1"/>
  <c r="M10" i="13"/>
  <c r="H10" i="13"/>
  <c r="C10" i="13"/>
  <c r="Z15" i="14" l="1"/>
  <c r="S9" i="13" l="1"/>
  <c r="R9" i="13"/>
  <c r="T9" i="13" s="1"/>
  <c r="Q9" i="13"/>
  <c r="L9" i="13"/>
  <c r="G9" i="13"/>
  <c r="J10" i="13"/>
  <c r="E10" i="13"/>
  <c r="X9" i="16"/>
  <c r="Z27" i="16"/>
  <c r="Z26" i="16"/>
  <c r="Z24" i="16"/>
  <c r="P24" i="16"/>
  <c r="K24" i="16"/>
  <c r="F24" i="16"/>
  <c r="Z22" i="16"/>
  <c r="P22" i="16"/>
  <c r="K22" i="16"/>
  <c r="F22" i="16"/>
  <c r="Z21" i="16"/>
  <c r="P21" i="16"/>
  <c r="K21" i="16"/>
  <c r="F21" i="16"/>
  <c r="Z20" i="16"/>
  <c r="P20" i="16"/>
  <c r="K20" i="16"/>
  <c r="F20" i="16"/>
  <c r="Z18" i="16"/>
  <c r="P18" i="16"/>
  <c r="P19" i="16" s="1"/>
  <c r="K18" i="16"/>
  <c r="F18" i="16"/>
  <c r="Z17" i="16"/>
  <c r="P17" i="16"/>
  <c r="K17" i="16"/>
  <c r="F17" i="16"/>
  <c r="Z16" i="16"/>
  <c r="P16" i="16"/>
  <c r="K16" i="16"/>
  <c r="F16" i="16"/>
  <c r="Z15" i="16"/>
  <c r="P15" i="16"/>
  <c r="K15" i="16"/>
  <c r="F15" i="16"/>
  <c r="Z14" i="16"/>
  <c r="P14" i="16"/>
  <c r="K14" i="16"/>
  <c r="F14" i="16"/>
  <c r="Z13" i="16"/>
  <c r="P13" i="16"/>
  <c r="K13" i="16"/>
  <c r="F13" i="16"/>
  <c r="Z12" i="16"/>
  <c r="P12" i="16"/>
  <c r="K12" i="16"/>
  <c r="F12" i="16"/>
  <c r="Z11" i="16"/>
  <c r="P11" i="16"/>
  <c r="K11" i="16"/>
  <c r="F11" i="16"/>
  <c r="Z10" i="16"/>
  <c r="P10" i="16"/>
  <c r="P9" i="16" s="1"/>
  <c r="K10" i="16"/>
  <c r="K9" i="16" s="1"/>
  <c r="F10" i="16"/>
  <c r="F9" i="16" s="1"/>
  <c r="Z9" i="16"/>
  <c r="Y9" i="16"/>
  <c r="W9" i="16"/>
  <c r="V9" i="16"/>
  <c r="U9" i="16"/>
  <c r="T9" i="16"/>
  <c r="S9" i="16"/>
  <c r="R9" i="16"/>
  <c r="Q9" i="16"/>
  <c r="O9" i="16"/>
  <c r="N9" i="16"/>
  <c r="M9" i="16"/>
  <c r="L9" i="16"/>
  <c r="J9" i="16"/>
  <c r="I9" i="16"/>
  <c r="H9" i="16"/>
  <c r="G9" i="16"/>
  <c r="E9" i="16"/>
  <c r="D9" i="16"/>
  <c r="C9" i="16"/>
  <c r="B9" i="16"/>
  <c r="Z8" i="16"/>
  <c r="P8" i="16"/>
  <c r="K8" i="16"/>
  <c r="F8" i="16"/>
  <c r="Z7" i="16"/>
  <c r="P7" i="16"/>
  <c r="K7" i="16"/>
  <c r="F7" i="16"/>
  <c r="Z6" i="16"/>
  <c r="P6" i="16"/>
  <c r="K6" i="16"/>
  <c r="F6" i="16"/>
  <c r="Z5" i="16"/>
  <c r="P5" i="16"/>
  <c r="K5" i="16"/>
  <c r="K4" i="16" s="1"/>
  <c r="F5" i="16"/>
  <c r="Z4" i="16"/>
  <c r="Y4" i="16"/>
  <c r="Y19" i="16" s="1"/>
  <c r="X4" i="16"/>
  <c r="W4" i="16"/>
  <c r="V4" i="16"/>
  <c r="U4" i="16"/>
  <c r="T4" i="16"/>
  <c r="T19" i="16" s="1"/>
  <c r="S4" i="16"/>
  <c r="R4" i="16"/>
  <c r="Q4" i="16"/>
  <c r="P4" i="16"/>
  <c r="O4" i="16"/>
  <c r="O19" i="16" s="1"/>
  <c r="N4" i="16"/>
  <c r="N19" i="16" s="1"/>
  <c r="M4" i="16"/>
  <c r="M19" i="16" s="1"/>
  <c r="L4" i="16"/>
  <c r="L19" i="16" s="1"/>
  <c r="J4" i="16"/>
  <c r="I4" i="16"/>
  <c r="H4" i="16"/>
  <c r="G4" i="16"/>
  <c r="F4" i="16"/>
  <c r="E4" i="16"/>
  <c r="E19" i="16" s="1"/>
  <c r="D4" i="16"/>
  <c r="D19" i="16" s="1"/>
  <c r="C4" i="16"/>
  <c r="C19" i="16" s="1"/>
  <c r="B4" i="16"/>
  <c r="B19" i="16" s="1"/>
  <c r="G10" i="13" l="1"/>
  <c r="H19" i="16"/>
  <c r="H30" i="16" s="1"/>
  <c r="H31" i="16" s="1"/>
  <c r="Q19" i="16"/>
  <c r="Q23" i="16" s="1"/>
  <c r="Q25" i="16" s="1"/>
  <c r="U19" i="16"/>
  <c r="R19" i="16"/>
  <c r="R30" i="16" s="1"/>
  <c r="R31" i="16" s="1"/>
  <c r="V19" i="16"/>
  <c r="V30" i="16" s="1"/>
  <c r="V31" i="16" s="1"/>
  <c r="Z19" i="16"/>
  <c r="Z30" i="16" s="1"/>
  <c r="Z31" i="16" s="1"/>
  <c r="F19" i="16"/>
  <c r="F23" i="16" s="1"/>
  <c r="F25" i="16" s="1"/>
  <c r="J19" i="16"/>
  <c r="J23" i="16" s="1"/>
  <c r="J25" i="16" s="1"/>
  <c r="S19" i="16"/>
  <c r="S23" i="16" s="1"/>
  <c r="S25" i="16" s="1"/>
  <c r="W19" i="16"/>
  <c r="W30" i="16" s="1"/>
  <c r="W31" i="16" s="1"/>
  <c r="X19" i="16"/>
  <c r="X30" i="16" s="1"/>
  <c r="X31" i="16" s="1"/>
  <c r="D23" i="16"/>
  <c r="D25" i="16" s="1"/>
  <c r="D30" i="16"/>
  <c r="D31" i="16" s="1"/>
  <c r="B30" i="16"/>
  <c r="B31" i="16" s="1"/>
  <c r="B23" i="16"/>
  <c r="B25" i="16" s="1"/>
  <c r="F30" i="16"/>
  <c r="F31" i="16" s="1"/>
  <c r="S30" i="16"/>
  <c r="S31" i="16" s="1"/>
  <c r="M30" i="16"/>
  <c r="M31" i="16" s="1"/>
  <c r="M23" i="16"/>
  <c r="M25" i="16" s="1"/>
  <c r="Q30" i="16"/>
  <c r="Q31" i="16" s="1"/>
  <c r="U30" i="16"/>
  <c r="U31" i="16" s="1"/>
  <c r="U23" i="16"/>
  <c r="U25" i="16" s="1"/>
  <c r="Q4" i="6" s="1"/>
  <c r="Y30" i="16"/>
  <c r="Y31" i="16" s="1"/>
  <c r="Y23" i="16"/>
  <c r="Y25" i="16" s="1"/>
  <c r="Y28" i="16" s="1"/>
  <c r="E30" i="16"/>
  <c r="E31" i="16" s="1"/>
  <c r="E23" i="16"/>
  <c r="E25" i="16" s="1"/>
  <c r="I19" i="16"/>
  <c r="N30" i="16"/>
  <c r="N31" i="16" s="1"/>
  <c r="N23" i="16"/>
  <c r="N25" i="16" s="1"/>
  <c r="Z23" i="16"/>
  <c r="Z25" i="16" s="1"/>
  <c r="O30" i="16"/>
  <c r="O31" i="16" s="1"/>
  <c r="O23" i="16"/>
  <c r="O25" i="16" s="1"/>
  <c r="W23" i="16"/>
  <c r="W25" i="16" s="1"/>
  <c r="W28" i="16" s="1"/>
  <c r="C30" i="16"/>
  <c r="C31" i="16" s="1"/>
  <c r="C23" i="16"/>
  <c r="C25" i="16" s="1"/>
  <c r="G19" i="16"/>
  <c r="L23" i="16"/>
  <c r="L25" i="16" s="1"/>
  <c r="K4" i="6" s="1"/>
  <c r="L30" i="16"/>
  <c r="L31" i="16" s="1"/>
  <c r="P23" i="16"/>
  <c r="P25" i="16" s="1"/>
  <c r="P30" i="16"/>
  <c r="P31" i="16" s="1"/>
  <c r="T23" i="16"/>
  <c r="T25" i="16" s="1"/>
  <c r="T30" i="16"/>
  <c r="T31" i="16" s="1"/>
  <c r="K19" i="16"/>
  <c r="J30" i="16" l="1"/>
  <c r="J31" i="16" s="1"/>
  <c r="X23" i="16"/>
  <c r="X25" i="16" s="1"/>
  <c r="X28" i="16" s="1"/>
  <c r="H23" i="16"/>
  <c r="H25" i="16" s="1"/>
  <c r="H28" i="16" s="1"/>
  <c r="Z28" i="16"/>
  <c r="U4" i="6"/>
  <c r="V23" i="16"/>
  <c r="V25" i="16" s="1"/>
  <c r="R23" i="16"/>
  <c r="R25" i="16" s="1"/>
  <c r="R28" i="16" s="1"/>
  <c r="Q26" i="16"/>
  <c r="Q28" i="16"/>
  <c r="S28" i="16"/>
  <c r="S26" i="16"/>
  <c r="F26" i="16"/>
  <c r="F28" i="16"/>
  <c r="K30" i="16"/>
  <c r="K31" i="16" s="1"/>
  <c r="K23" i="16"/>
  <c r="K25" i="16" s="1"/>
  <c r="T28" i="16"/>
  <c r="T26" i="16"/>
  <c r="L28" i="16"/>
  <c r="L26" i="16"/>
  <c r="R26" i="16"/>
  <c r="I30" i="16"/>
  <c r="I31" i="16" s="1"/>
  <c r="I23" i="16"/>
  <c r="I25" i="16" s="1"/>
  <c r="G30" i="16"/>
  <c r="G31" i="16" s="1"/>
  <c r="G23" i="16"/>
  <c r="G25" i="16" s="1"/>
  <c r="E26" i="16"/>
  <c r="E28" i="16"/>
  <c r="U26" i="16"/>
  <c r="U28" i="16"/>
  <c r="M26" i="16"/>
  <c r="M28" i="16"/>
  <c r="J26" i="16"/>
  <c r="J28" i="16"/>
  <c r="B26" i="16"/>
  <c r="B28" i="16"/>
  <c r="P28" i="16"/>
  <c r="P26" i="16"/>
  <c r="C28" i="16"/>
  <c r="C26" i="16"/>
  <c r="O28" i="16"/>
  <c r="O26" i="16"/>
  <c r="N26" i="16"/>
  <c r="N28" i="16"/>
  <c r="D28" i="16"/>
  <c r="D26" i="16"/>
  <c r="V28" i="16" l="1"/>
  <c r="S4" i="6"/>
  <c r="T4" i="6" s="1"/>
  <c r="R4" i="6"/>
  <c r="H26" i="16"/>
  <c r="P4" i="6"/>
  <c r="G28" i="16"/>
  <c r="G26" i="16"/>
  <c r="I26" i="16"/>
  <c r="I28" i="16"/>
  <c r="K28" i="16"/>
  <c r="K26" i="16"/>
  <c r="H49" i="15" l="1"/>
  <c r="E49" i="15"/>
  <c r="H39" i="15"/>
  <c r="E39" i="15"/>
  <c r="H29" i="15"/>
  <c r="E29" i="15"/>
  <c r="H19" i="15"/>
  <c r="E19" i="15"/>
  <c r="H9" i="15"/>
  <c r="E9" i="15"/>
  <c r="Z28" i="14"/>
  <c r="Y28" i="14"/>
  <c r="Z26" i="14"/>
  <c r="Z25" i="14"/>
  <c r="Z24" i="14"/>
  <c r="Y23" i="14"/>
  <c r="Z16" i="14"/>
  <c r="Y16" i="14"/>
  <c r="Z12" i="14"/>
  <c r="Z11" i="14"/>
  <c r="Z10" i="14"/>
  <c r="Z9" i="14"/>
  <c r="Z8" i="14"/>
  <c r="Y7" i="14"/>
  <c r="U51" i="6"/>
  <c r="U40" i="6"/>
  <c r="U5" i="6"/>
  <c r="U62" i="4"/>
  <c r="U52" i="4"/>
  <c r="U41" i="4"/>
  <c r="U43" i="4" s="1"/>
  <c r="U30" i="4"/>
  <c r="U18" i="4"/>
  <c r="Z23" i="14" l="1"/>
  <c r="Z7" i="14"/>
  <c r="Z5" i="14" s="1"/>
  <c r="Y5" i="14"/>
  <c r="U24" i="6"/>
  <c r="U27" i="6" s="1"/>
  <c r="U52" i="6" s="1"/>
  <c r="U63" i="4"/>
  <c r="U64" i="4" s="1"/>
  <c r="U31" i="4"/>
  <c r="L12" i="13" l="1"/>
  <c r="C7" i="13"/>
  <c r="H57" i="15"/>
  <c r="E57" i="15"/>
  <c r="H11" i="15"/>
  <c r="E11" i="15"/>
  <c r="H27" i="15"/>
  <c r="E27" i="15"/>
  <c r="E16" i="15"/>
  <c r="H16" i="15"/>
  <c r="D4" i="15" l="1"/>
  <c r="C4" i="15"/>
  <c r="X28" i="14"/>
  <c r="X23" i="14"/>
  <c r="X16" i="14"/>
  <c r="X7" i="14"/>
  <c r="T51" i="6"/>
  <c r="T40" i="6"/>
  <c r="T5" i="6"/>
  <c r="T62" i="4"/>
  <c r="T52" i="4"/>
  <c r="T41" i="4"/>
  <c r="T43" i="4" s="1"/>
  <c r="T30" i="4"/>
  <c r="T18" i="4"/>
  <c r="X5" i="14" l="1"/>
  <c r="T63" i="4"/>
  <c r="T64" i="4"/>
  <c r="T31" i="4"/>
  <c r="T24" i="6"/>
  <c r="T27" i="6" s="1"/>
  <c r="T52" i="6" s="1"/>
  <c r="E7" i="13" l="1"/>
  <c r="H58" i="15" l="1"/>
  <c r="H56" i="15"/>
  <c r="H52" i="15"/>
  <c r="H51" i="15"/>
  <c r="H55" i="15"/>
  <c r="H46" i="15"/>
  <c r="H54" i="15"/>
  <c r="H53" i="15"/>
  <c r="H50" i="15"/>
  <c r="H48" i="15"/>
  <c r="H45" i="15"/>
  <c r="H47" i="15"/>
  <c r="H44" i="15"/>
  <c r="H43" i="15"/>
  <c r="H41" i="15"/>
  <c r="H42" i="15"/>
  <c r="H40" i="15"/>
  <c r="H38" i="15"/>
  <c r="H37" i="15"/>
  <c r="H36" i="15"/>
  <c r="H28" i="15"/>
  <c r="H26" i="15"/>
  <c r="H25" i="15"/>
  <c r="H23" i="15"/>
  <c r="H24" i="15"/>
  <c r="H21" i="15"/>
  <c r="H22" i="15"/>
  <c r="H20" i="15"/>
  <c r="H18" i="15"/>
  <c r="H15" i="15"/>
  <c r="H17" i="15"/>
  <c r="H14" i="15"/>
  <c r="H13" i="15"/>
  <c r="H12" i="15"/>
  <c r="H10" i="15"/>
  <c r="H8" i="15"/>
  <c r="H7" i="15"/>
  <c r="H6" i="15"/>
  <c r="H5" i="15"/>
  <c r="H4" i="15"/>
  <c r="W28" i="14" l="1"/>
  <c r="W23" i="14"/>
  <c r="W16" i="14"/>
  <c r="W7" i="14"/>
  <c r="S51" i="6"/>
  <c r="S40" i="6"/>
  <c r="S5" i="6"/>
  <c r="S62" i="4"/>
  <c r="S52" i="4"/>
  <c r="S41" i="4"/>
  <c r="S43" i="4" s="1"/>
  <c r="S30" i="4"/>
  <c r="S18" i="4"/>
  <c r="W5" i="14" l="1"/>
  <c r="S63" i="4"/>
  <c r="S64" i="4" s="1"/>
  <c r="S31" i="4"/>
  <c r="B5" i="4"/>
  <c r="G14" i="13" l="1"/>
  <c r="V28" i="14" l="1"/>
  <c r="V23" i="14"/>
  <c r="V16" i="14"/>
  <c r="V7" i="14"/>
  <c r="R51" i="6"/>
  <c r="R40" i="6"/>
  <c r="R5" i="6"/>
  <c r="R62" i="4"/>
  <c r="R52" i="4"/>
  <c r="R41" i="4"/>
  <c r="R43" i="4" s="1"/>
  <c r="R30" i="4"/>
  <c r="R18" i="4"/>
  <c r="Q12" i="13"/>
  <c r="O7" i="13"/>
  <c r="M7" i="13"/>
  <c r="J7" i="13"/>
  <c r="H7" i="13"/>
  <c r="S10" i="13" l="1"/>
  <c r="V5" i="14"/>
  <c r="R63" i="4"/>
  <c r="R64" i="4" s="1"/>
  <c r="R31" i="4"/>
  <c r="E28" i="15" l="1"/>
  <c r="E26" i="15"/>
  <c r="E25" i="15"/>
  <c r="E23" i="15"/>
  <c r="E24" i="15"/>
  <c r="E21" i="15"/>
  <c r="E22" i="15"/>
  <c r="E20" i="15"/>
  <c r="E18" i="15"/>
  <c r="E15" i="15"/>
  <c r="E17" i="15"/>
  <c r="E14" i="15"/>
  <c r="E13" i="15"/>
  <c r="E12" i="15"/>
  <c r="E10" i="15"/>
  <c r="E8" i="15"/>
  <c r="E7" i="15"/>
  <c r="E6" i="15"/>
  <c r="E5" i="15"/>
  <c r="E58" i="15"/>
  <c r="U25" i="14"/>
  <c r="U26" i="14"/>
  <c r="U24" i="14"/>
  <c r="U23" i="14" s="1"/>
  <c r="U12" i="14"/>
  <c r="U11" i="14"/>
  <c r="U10" i="14"/>
  <c r="U9" i="14"/>
  <c r="U8" i="14"/>
  <c r="T7" i="14"/>
  <c r="U28" i="14"/>
  <c r="T28" i="14"/>
  <c r="T23" i="14"/>
  <c r="U16" i="14"/>
  <c r="T16" i="14"/>
  <c r="Q51" i="6"/>
  <c r="Q40" i="6"/>
  <c r="Q5" i="6"/>
  <c r="Q62" i="4"/>
  <c r="Q52" i="4"/>
  <c r="Q41" i="4"/>
  <c r="Q43" i="4" s="1"/>
  <c r="Q30" i="4"/>
  <c r="Q18" i="4"/>
  <c r="U7" i="14" l="1"/>
  <c r="S24" i="6"/>
  <c r="S27" i="6" s="1"/>
  <c r="S52" i="6" s="1"/>
  <c r="R24" i="6"/>
  <c r="R27" i="6" s="1"/>
  <c r="R52" i="6" s="1"/>
  <c r="U5" i="14"/>
  <c r="E4" i="15"/>
  <c r="T5" i="14"/>
  <c r="Q63" i="4"/>
  <c r="Q64" i="4" s="1"/>
  <c r="Q31" i="4"/>
  <c r="Q24" i="6" l="1"/>
  <c r="Q27" i="6" s="1"/>
  <c r="Q52" i="6" s="1"/>
  <c r="Q55" i="6" s="1"/>
  <c r="U53" i="6" l="1"/>
  <c r="U55" i="6" s="1"/>
  <c r="T53" i="6"/>
  <c r="T55" i="6" s="1"/>
  <c r="S53" i="6"/>
  <c r="S55" i="6" s="1"/>
  <c r="R53" i="6"/>
  <c r="R55" i="6" s="1"/>
  <c r="G23" i="6"/>
  <c r="H23" i="6"/>
  <c r="E56" i="15" l="1"/>
  <c r="E52" i="15"/>
  <c r="E51" i="15"/>
  <c r="E55" i="15"/>
  <c r="E46" i="15"/>
  <c r="E54" i="15"/>
  <c r="E53" i="15"/>
  <c r="E50" i="15"/>
  <c r="E48" i="15"/>
  <c r="E45" i="15"/>
  <c r="E47" i="15"/>
  <c r="E44" i="15"/>
  <c r="E43" i="15"/>
  <c r="E41" i="15"/>
  <c r="E42" i="15"/>
  <c r="E40" i="15"/>
  <c r="E38" i="15"/>
  <c r="E37" i="15"/>
  <c r="E36" i="15"/>
  <c r="K31" i="14" l="1"/>
  <c r="K30" i="14"/>
  <c r="K29" i="14"/>
  <c r="S28" i="14"/>
  <c r="R28" i="14"/>
  <c r="Q28" i="14"/>
  <c r="P28" i="14"/>
  <c r="O28" i="14"/>
  <c r="N28" i="14"/>
  <c r="M28" i="14"/>
  <c r="L28" i="14"/>
  <c r="J28" i="14"/>
  <c r="I28" i="14"/>
  <c r="H28" i="14"/>
  <c r="G28" i="14"/>
  <c r="K26" i="14"/>
  <c r="K25" i="14"/>
  <c r="K24" i="14"/>
  <c r="S23" i="14"/>
  <c r="R23" i="14"/>
  <c r="Q23" i="14"/>
  <c r="P23" i="14"/>
  <c r="O23" i="14"/>
  <c r="N23" i="14"/>
  <c r="M23" i="14"/>
  <c r="L23" i="14"/>
  <c r="J23" i="14"/>
  <c r="I23" i="14"/>
  <c r="H23" i="14"/>
  <c r="G23" i="14"/>
  <c r="K21" i="14"/>
  <c r="F21" i="14"/>
  <c r="K20" i="14"/>
  <c r="F20" i="14"/>
  <c r="K19" i="14"/>
  <c r="F19" i="14"/>
  <c r="K18" i="14"/>
  <c r="F18" i="14"/>
  <c r="K17" i="14"/>
  <c r="K16" i="14" s="1"/>
  <c r="F17" i="14"/>
  <c r="S16" i="14"/>
  <c r="R16" i="14"/>
  <c r="Q16" i="14"/>
  <c r="P16" i="14"/>
  <c r="O16" i="14"/>
  <c r="N16" i="14"/>
  <c r="M16" i="14"/>
  <c r="L16" i="14"/>
  <c r="J16" i="14"/>
  <c r="I16" i="14"/>
  <c r="H16" i="14"/>
  <c r="G16" i="14"/>
  <c r="E16" i="14"/>
  <c r="D16" i="14"/>
  <c r="C16" i="14"/>
  <c r="B16" i="14"/>
  <c r="N14" i="14"/>
  <c r="K14" i="14"/>
  <c r="F14" i="14"/>
  <c r="K12" i="14"/>
  <c r="F12" i="14"/>
  <c r="K11" i="14"/>
  <c r="F11" i="14"/>
  <c r="K10" i="14"/>
  <c r="F10" i="14"/>
  <c r="K9" i="14"/>
  <c r="F9" i="14"/>
  <c r="K8" i="14"/>
  <c r="F8" i="14"/>
  <c r="S7" i="14"/>
  <c r="R7" i="14"/>
  <c r="R5" i="14" s="1"/>
  <c r="Q7" i="14"/>
  <c r="Q15" i="14" s="1"/>
  <c r="P7" i="14"/>
  <c r="P5" i="14" s="1"/>
  <c r="O7" i="14"/>
  <c r="N7" i="14"/>
  <c r="N5" i="14" s="1"/>
  <c r="M7" i="14"/>
  <c r="M15" i="14" s="1"/>
  <c r="L7" i="14"/>
  <c r="L15" i="14" s="1"/>
  <c r="J7" i="14"/>
  <c r="J15" i="14" s="1"/>
  <c r="I7" i="14"/>
  <c r="I15" i="14" s="1"/>
  <c r="H7" i="14"/>
  <c r="H15" i="14" s="1"/>
  <c r="G7" i="14"/>
  <c r="G5" i="14" s="1"/>
  <c r="F7" i="14"/>
  <c r="F15" i="14" s="1"/>
  <c r="E7" i="14"/>
  <c r="E15" i="14" s="1"/>
  <c r="D7" i="14"/>
  <c r="D15" i="14" s="1"/>
  <c r="C7" i="14"/>
  <c r="C15" i="14" s="1"/>
  <c r="B7" i="14"/>
  <c r="B15" i="14" s="1"/>
  <c r="L5" i="14"/>
  <c r="I5" i="14"/>
  <c r="K28" i="14" l="1"/>
  <c r="K7" i="14"/>
  <c r="K15" i="14" s="1"/>
  <c r="K23" i="14"/>
  <c r="H5" i="14"/>
  <c r="Q5" i="14"/>
  <c r="F16" i="14"/>
  <c r="K5" i="14"/>
  <c r="M5" i="14"/>
  <c r="G15" i="14"/>
  <c r="O5" i="14"/>
  <c r="S5" i="14"/>
  <c r="J5" i="14"/>
  <c r="B51" i="6" l="1"/>
  <c r="I51" i="6"/>
  <c r="J51" i="6"/>
  <c r="K51" i="6"/>
  <c r="L51" i="6"/>
  <c r="M51" i="6"/>
  <c r="N51" i="6"/>
  <c r="O51" i="6"/>
  <c r="P51"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4" i="4"/>
  <c r="B40" i="4"/>
  <c r="B38" i="4"/>
  <c r="B37" i="4"/>
  <c r="B35" i="4"/>
  <c r="B34" i="4"/>
  <c r="B33" i="4"/>
  <c r="B28" i="4"/>
  <c r="B25" i="4"/>
  <c r="B23" i="4"/>
  <c r="B22" i="4"/>
  <c r="B21" i="4"/>
  <c r="B20" i="4"/>
  <c r="B19" i="4"/>
  <c r="B17" i="4"/>
  <c r="B15" i="4"/>
  <c r="B12" i="4"/>
  <c r="B11" i="4"/>
  <c r="B10" i="4"/>
  <c r="B9" i="4"/>
  <c r="B8" i="4"/>
  <c r="B7" i="4"/>
  <c r="B6" i="4"/>
  <c r="O30" i="4"/>
  <c r="P30" i="4"/>
  <c r="L26" i="4"/>
  <c r="L30" i="4" s="1"/>
  <c r="K26" i="4"/>
  <c r="K30" i="4" s="1"/>
  <c r="S14" i="13"/>
  <c r="R14" i="13"/>
  <c r="Q14" i="13"/>
  <c r="L14" i="13"/>
  <c r="S13" i="13"/>
  <c r="R13" i="13"/>
  <c r="Q13" i="13"/>
  <c r="L13" i="13"/>
  <c r="G13" i="13"/>
  <c r="S11" i="13"/>
  <c r="R11" i="13"/>
  <c r="Q11" i="13"/>
  <c r="L11" i="13"/>
  <c r="G11" i="13"/>
  <c r="R10" i="13"/>
  <c r="L10" i="13"/>
  <c r="S8" i="13"/>
  <c r="R8" i="13"/>
  <c r="Q8" i="13"/>
  <c r="L8" i="13"/>
  <c r="G8" i="13"/>
  <c r="S7" i="13"/>
  <c r="R7" i="13"/>
  <c r="Q7" i="13"/>
  <c r="L7" i="13"/>
  <c r="G7" i="13"/>
  <c r="S6" i="13"/>
  <c r="R6" i="13"/>
  <c r="Q6" i="13"/>
  <c r="L6" i="13"/>
  <c r="G6" i="13"/>
  <c r="S5" i="13"/>
  <c r="R5" i="13"/>
  <c r="Q5" i="13"/>
  <c r="L5" i="13"/>
  <c r="G5" i="13"/>
  <c r="G30" i="4" l="1"/>
  <c r="B30" i="4"/>
  <c r="B52" i="4"/>
  <c r="T11" i="13"/>
  <c r="T8" i="13"/>
  <c r="T7" i="13"/>
  <c r="T6" i="13"/>
  <c r="T14" i="13"/>
  <c r="T10" i="13"/>
  <c r="T13" i="13"/>
  <c r="T5" i="13"/>
  <c r="J30" i="4"/>
  <c r="I30" i="4"/>
  <c r="H30" i="4"/>
  <c r="F30" i="4"/>
  <c r="E30" i="4"/>
  <c r="D30" i="4"/>
  <c r="C30" i="4"/>
  <c r="Q10" i="13"/>
  <c r="P40" i="6" l="1"/>
  <c r="P5" i="6"/>
  <c r="P62" i="4"/>
  <c r="P52" i="4"/>
  <c r="P41" i="4"/>
  <c r="P43" i="4" s="1"/>
  <c r="P18" i="4"/>
  <c r="P63" i="4" l="1"/>
  <c r="P64" i="4" s="1"/>
  <c r="P31" i="4"/>
  <c r="O40" i="6" l="1"/>
  <c r="O5" i="6"/>
  <c r="O24" i="6" s="1"/>
  <c r="O27" i="6" s="1"/>
  <c r="O52" i="4"/>
  <c r="O62" i="4"/>
  <c r="O41" i="4"/>
  <c r="O43" i="4" s="1"/>
  <c r="O18" i="4"/>
  <c r="N62" i="4"/>
  <c r="M62" i="4"/>
  <c r="N52" i="4"/>
  <c r="M52" i="4"/>
  <c r="N18" i="4"/>
  <c r="M18" i="4"/>
  <c r="N40" i="6"/>
  <c r="N5" i="6"/>
  <c r="N24" i="6" s="1"/>
  <c r="N27" i="6" s="1"/>
  <c r="N41" i="4"/>
  <c r="N43" i="4" s="1"/>
  <c r="O63" i="4" l="1"/>
  <c r="O52" i="6"/>
  <c r="O55" i="6" s="1"/>
  <c r="O31" i="4"/>
  <c r="N52" i="6"/>
  <c r="N55" i="6" s="1"/>
  <c r="N63" i="4"/>
  <c r="M40" i="6"/>
  <c r="M5" i="6"/>
  <c r="M41" i="4"/>
  <c r="M43" i="4" s="1"/>
  <c r="O64" i="4" l="1"/>
  <c r="P24" i="6"/>
  <c r="P27" i="6" s="1"/>
  <c r="P52" i="6" s="1"/>
  <c r="P55" i="6" s="1"/>
  <c r="N64" i="4"/>
  <c r="M63" i="4"/>
  <c r="L40" i="6"/>
  <c r="L5" i="6"/>
  <c r="L62" i="4"/>
  <c r="L52" i="4"/>
  <c r="L41" i="4"/>
  <c r="L43" i="4" s="1"/>
  <c r="L18" i="4"/>
  <c r="M64" i="4" l="1"/>
  <c r="L24" i="6"/>
  <c r="L27" i="6" s="1"/>
  <c r="L52" i="6" s="1"/>
  <c r="L55" i="6" s="1"/>
  <c r="L63" i="4"/>
  <c r="L31" i="4"/>
  <c r="L64" i="4" l="1"/>
  <c r="M24" i="6" l="1"/>
  <c r="D5" i="6"/>
  <c r="C5" i="6"/>
  <c r="B5" i="6"/>
  <c r="H46" i="6"/>
  <c r="H51" i="6" s="1"/>
  <c r="G46" i="6"/>
  <c r="G51" i="6" s="1"/>
  <c r="F46" i="6"/>
  <c r="F51" i="6" s="1"/>
  <c r="E46" i="6"/>
  <c r="E51" i="6" s="1"/>
  <c r="D46" i="6"/>
  <c r="D51" i="6" s="1"/>
  <c r="C46" i="6"/>
  <c r="C51" i="6" s="1"/>
  <c r="M27" i="6" l="1"/>
  <c r="I42" i="4"/>
  <c r="J42" i="4"/>
  <c r="H42" i="4"/>
  <c r="B40" i="6"/>
  <c r="C40" i="6"/>
  <c r="D40" i="6"/>
  <c r="E40" i="6"/>
  <c r="F40" i="6"/>
  <c r="G40" i="6"/>
  <c r="H40" i="6"/>
  <c r="I40" i="6"/>
  <c r="J40" i="6"/>
  <c r="K40" i="6"/>
  <c r="N21" i="4" l="1"/>
  <c r="N30" i="4" s="1"/>
  <c r="M21" i="4"/>
  <c r="M27" i="4"/>
  <c r="M52" i="6"/>
  <c r="K5" i="6"/>
  <c r="K62" i="4"/>
  <c r="K52" i="4"/>
  <c r="K41" i="4"/>
  <c r="K43" i="4" s="1"/>
  <c r="K18" i="4"/>
  <c r="M30" i="4" l="1"/>
  <c r="H41" i="4"/>
  <c r="H43" i="4" s="1"/>
  <c r="D62" i="4"/>
  <c r="C52" i="4"/>
  <c r="I6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5" i="6"/>
  <c r="F18" i="4"/>
  <c r="E18" i="4"/>
  <c r="G18" i="4"/>
  <c r="B18" i="4"/>
  <c r="H18" i="4"/>
  <c r="I18" i="4"/>
  <c r="D18" i="4"/>
  <c r="C18" i="4"/>
  <c r="K31" i="4"/>
  <c r="K63" i="4"/>
  <c r="D63" i="4" l="1"/>
  <c r="H63" i="4"/>
  <c r="H64" i="4" s="1"/>
  <c r="B63" i="4"/>
  <c r="B64" i="4" s="1"/>
  <c r="J63" i="4"/>
  <c r="J64" i="4" s="1"/>
  <c r="I63" i="4"/>
  <c r="I64" i="4" s="1"/>
  <c r="F31" i="4"/>
  <c r="E63" i="4"/>
  <c r="E64" i="4" s="1"/>
  <c r="C63" i="4"/>
  <c r="C64" i="4" s="1"/>
  <c r="D64" i="4"/>
  <c r="G63" i="4"/>
  <c r="G64" i="4" s="1"/>
  <c r="I31" i="4"/>
  <c r="N31" i="4"/>
  <c r="F63" i="4"/>
  <c r="F64" i="4" s="1"/>
  <c r="G31" i="4"/>
  <c r="M31" i="4"/>
  <c r="D31" i="4"/>
  <c r="C31" i="4"/>
  <c r="K64" i="4"/>
  <c r="B31" i="4"/>
  <c r="E31" i="4"/>
  <c r="J31" i="4"/>
  <c r="H31" i="4"/>
  <c r="K24" i="6" l="1"/>
  <c r="K27" i="6" s="1"/>
  <c r="K52" i="6" s="1"/>
  <c r="K55" i="6" s="1"/>
  <c r="C24" i="6" l="1"/>
  <c r="C27" i="6" s="1"/>
  <c r="C52" i="6" l="1"/>
  <c r="C55" i="6" s="1"/>
  <c r="E5" i="6" l="1"/>
  <c r="E24" i="6" s="1"/>
  <c r="E27" i="6" s="1"/>
  <c r="E52" i="6" s="1"/>
  <c r="E55" i="6" s="1"/>
  <c r="J5" i="6"/>
  <c r="J24" i="6" s="1"/>
  <c r="J27" i="6" s="1"/>
  <c r="J52" i="6" s="1"/>
  <c r="J55" i="6" s="1"/>
  <c r="B24" i="6"/>
  <c r="B27" i="6" s="1"/>
  <c r="B52" i="6" s="1"/>
  <c r="B55" i="6" s="1"/>
  <c r="F5" i="6"/>
  <c r="F24" i="6" s="1"/>
  <c r="F27" i="6" s="1"/>
  <c r="F52" i="6" s="1"/>
  <c r="F55" i="6" s="1"/>
  <c r="G5" i="6"/>
  <c r="G24" i="6" s="1"/>
  <c r="G27" i="6" s="1"/>
  <c r="G52" i="6" s="1"/>
  <c r="G55" i="6" s="1"/>
  <c r="D24" i="6"/>
  <c r="D27" i="6" s="1"/>
  <c r="D52" i="6" s="1"/>
  <c r="D55" i="6" s="1"/>
  <c r="I5" i="6"/>
  <c r="I24" i="6" s="1"/>
  <c r="I27" i="6" s="1"/>
  <c r="I52" i="6" s="1"/>
  <c r="I55" i="6" s="1"/>
  <c r="H5" i="6"/>
  <c r="H24" i="6" s="1"/>
  <c r="H27" i="6" s="1"/>
  <c r="H52" i="6" s="1"/>
  <c r="H55" i="6" s="1"/>
</calcChain>
</file>

<file path=xl/sharedStrings.xml><?xml version="1.0" encoding="utf-8"?>
<sst xmlns="http://schemas.openxmlformats.org/spreadsheetml/2006/main" count="449" uniqueCount="244">
  <si>
    <t>EBITDA</t>
  </si>
  <si>
    <t>Wynagrodzenia i świadczenia na rzecz pracowników</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</si>
  <si>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</si>
  <si>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</si>
  <si>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</si>
  <si>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</si>
  <si>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</si>
  <si>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</si>
  <si>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</si>
  <si>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</si>
  <si>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</si>
  <si>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</si>
  <si>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</si>
  <si>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</si>
  <si>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PASYWA</t>
  </si>
  <si>
    <t>Kapitał zakładowy</t>
  </si>
  <si>
    <t>Kapitał zapasowy</t>
  </si>
  <si>
    <t>Kapitał rezerwowy</t>
  </si>
  <si>
    <t>Kapitał własny razem</t>
  </si>
  <si>
    <t>Zobowiązania z tytułu kredytów i pożyczek</t>
  </si>
  <si>
    <t>Zobowiązania z tytułu leasingu finansowego</t>
  </si>
  <si>
    <t>Zobowiązania z tytułu odroczonego podatku dochodowego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</si>
  <si>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</si>
  <si>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</si>
  <si>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</si>
  <si>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</si>
  <si>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</si>
  <si>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</si>
  <si>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PASYWA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</si>
  <si>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</si>
  <si>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</si>
  <si>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</si>
  <si>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</si>
  <si>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</si>
  <si>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</si>
  <si>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</si>
  <si>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</si>
  <si>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Środki pieniężne z działalności operacyjnej</t>
  </si>
  <si>
    <t>Nabycie wartości niematerialnych</t>
  </si>
  <si>
    <t>Nabycie rzeczowych aktywów trwałych</t>
  </si>
  <si>
    <t>Inne wydatki</t>
  </si>
  <si>
    <t>Zmiana netto środków pieniężnych i ich ekwiwalentów</t>
  </si>
  <si>
    <t>Środki pieniężne i ich ekwiwalenty na początek okresu</t>
  </si>
  <si>
    <t>Zmiana stanu środków pieniężnych z tytułu różnic kursowych</t>
  </si>
  <si>
    <t>Wypłacone dywidendy</t>
  </si>
  <si>
    <t>Spłata otrzymanych kredytów i pożyczek</t>
  </si>
  <si>
    <t>Środki pieniężne o ograniczonej możliwości dysponowania</t>
  </si>
  <si>
    <t>Kaucje otrzymane za wydany sprzęt</t>
  </si>
  <si>
    <t>Udzielone pożyczki</t>
  </si>
  <si>
    <t>Wpływy ze zbycia niefinansowych aktywów trwałych</t>
  </si>
  <si>
    <t>Spłata udzielonych pożyczek</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</si>
  <si>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</si>
  <si>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</si>
  <si>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</si>
  <si>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</si>
  <si>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</si>
  <si>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</si>
  <si>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Marki</t>
  </si>
  <si>
    <t>Długoterminowe aktywa programowe</t>
  </si>
  <si>
    <t>Krótkoterminowe aktywa programowe</t>
  </si>
  <si>
    <t>Kapitał z aktualizacji wyceny instrumentów zabezpieczających</t>
  </si>
  <si>
    <t>Różnice kursowe z przeliczenia jednostek działających za granicą</t>
  </si>
  <si>
    <t xml:space="preserve">Inne wartości niematerialne </t>
  </si>
  <si>
    <t>(Zyski) / straty z tytułu różnic kursowych, netto</t>
  </si>
  <si>
    <t>Pożyczki udzielone jednostkom powiązanym</t>
  </si>
  <si>
    <t>2)</t>
  </si>
  <si>
    <t>Zmiana stanu zobowiązań, rezerw i przychodów przyszłych okresów</t>
  </si>
  <si>
    <t>Zwiększenie netto wartości zestawów odbiorczych w leasingu operacyjnym</t>
  </si>
  <si>
    <t>Środki pieniężne netto z działalności operacyjnej</t>
  </si>
  <si>
    <t>Środki pieniężne netto z działalności inwestycyjnej</t>
  </si>
  <si>
    <t>Środki pieniężne netto z działalności finansowej</t>
  </si>
  <si>
    <t>Nabycie udziałów w jednostkach zależnych pomniejszone o przejęte środki pieniężne</t>
  </si>
  <si>
    <t>Pozostałe wpływy</t>
  </si>
  <si>
    <t>Koszty operacyjne</t>
  </si>
  <si>
    <t>Przychody ze sprzedaży usług, produktów, towarów i materiałów</t>
  </si>
  <si>
    <t>Zyski/(straty) zatrzymane</t>
  </si>
  <si>
    <t>Należności z tytułu podatku dochodowego</t>
  </si>
  <si>
    <t>Udziały niekontrolujące</t>
  </si>
  <si>
    <t>Kapitał przypadający na akcjonariuszy Jednostki Dominującej</t>
  </si>
  <si>
    <t>Amortyzacja, utrata wartości i likwidacja</t>
  </si>
  <si>
    <t>Otrzymane dywidendy</t>
  </si>
  <si>
    <t>Przychody detaliczne od klientów indywidualnych i biznesowych</t>
  </si>
  <si>
    <t>Przychody hurtowe</t>
  </si>
  <si>
    <t>Przychody ze sprzedaży sprzętu</t>
  </si>
  <si>
    <t>Pozostałe przychody ze sprzedaży</t>
  </si>
  <si>
    <t>Koszty kontentu</t>
  </si>
  <si>
    <t>Koszty dystrybucji, marketingu, obsługi i utrzymania klienta</t>
  </si>
  <si>
    <t>Koszty techniczne i rozliczeń międzyoperatorskich</t>
  </si>
  <si>
    <t>Koszt własny sprzedanego sprzętu</t>
  </si>
  <si>
    <t>Koszty windykacji, odpisów aktualizujących wartość należności i koszt spisanych należności</t>
  </si>
  <si>
    <t>Inne koszty</t>
  </si>
  <si>
    <t xml:space="preserve">Koszty finansowe </t>
  </si>
  <si>
    <t xml:space="preserve">Zobowiązania z tytułu obligacji </t>
  </si>
  <si>
    <t>Lokaty krótkoterminowe</t>
  </si>
  <si>
    <t>(Zysk)/strata ze sprzedaży rzeczowych aktywów trwałych i wartości niematerialnych</t>
  </si>
  <si>
    <t>Wpływy z tytułu realizacji instrumentaów pochodnych</t>
  </si>
  <si>
    <t xml:space="preserve">Lokaty krótkoterminowe </t>
  </si>
  <si>
    <t>Zapłata za usługi doradcze związane z emisją akcji</t>
  </si>
  <si>
    <t>Zysk/(strata) z działalności operacyjnej</t>
  </si>
  <si>
    <t>Płatności z tytułu koncesji</t>
  </si>
  <si>
    <t>Udział w zysku wspólnego przedsięwzięcia wycenianego metodą praw własności</t>
  </si>
  <si>
    <t>w tym aktywa z tytułu instrumentów pochodnych</t>
  </si>
  <si>
    <t>w tym zobowiązania z tytułu instrumentów pochodnych</t>
  </si>
  <si>
    <t>Środki pieniężne i ich ekwiwalenty na koniec okresu</t>
  </si>
  <si>
    <t>Zaciągnięcie kredytów</t>
  </si>
  <si>
    <t>GRUPA KAPITAŁOWA CYFROWY POLSAT S.A.</t>
  </si>
  <si>
    <t>SKONSOLIDOWANY RACHUNEK ZYSKÓW I STRAT</t>
  </si>
  <si>
    <t>(w mln PLN)</t>
  </si>
  <si>
    <t>Q1</t>
  </si>
  <si>
    <t>Q2</t>
  </si>
  <si>
    <t>Q3</t>
  </si>
  <si>
    <t>Q4</t>
  </si>
  <si>
    <t>SEGMENT USŁUG ŚWIADCZONYCH KLIENTOM INDYWIDUALNYM I BIZNESOWYM</t>
  </si>
  <si>
    <t>SEGMENT NADAWANIA I PRODUKCJI TELEWIZYJNEJ</t>
  </si>
  <si>
    <t>WYŁĄCZENIA I KOREKTY KONSOLIDACYJNE</t>
  </si>
  <si>
    <t>RAZEM</t>
  </si>
  <si>
    <t>Zmiana</t>
  </si>
  <si>
    <t>Sprzedaż do stron trzecich</t>
  </si>
  <si>
    <t>Sprzedaż pomiędzy segmentami</t>
  </si>
  <si>
    <t>Przychody ze sprzedaży</t>
  </si>
  <si>
    <t xml:space="preserve">Nabycie rzeczowych aktywów trwałych, zestawów odbiorczych i innych wartości niematerialnych </t>
  </si>
  <si>
    <t>Aktywa segmentu, w tym:</t>
  </si>
  <si>
    <t>Inwestycje we wspólne przedsięwzięcia</t>
  </si>
  <si>
    <t>SKONSOLIDOWANY BILANS</t>
  </si>
  <si>
    <t xml:space="preserve">31 marca </t>
  </si>
  <si>
    <t xml:space="preserve">30 czerwca </t>
  </si>
  <si>
    <t xml:space="preserve">30 września </t>
  </si>
  <si>
    <t xml:space="preserve">31 grudnia </t>
  </si>
  <si>
    <t>AKTYWA RAZEM</t>
  </si>
  <si>
    <t>3 miesiące 
do 31 marca</t>
  </si>
  <si>
    <t>6 miesięcy 
do 30 czerwca</t>
  </si>
  <si>
    <t xml:space="preserve">9 miesięcy 
do 30 września </t>
  </si>
  <si>
    <t xml:space="preserve">12 miesięcy 
do 31 grudnia </t>
  </si>
  <si>
    <t>Zysk  netto za okres</t>
  </si>
  <si>
    <t>SKONSOLIDOWANY RACHUNEK PRZEPŁYWÓW PIENIĘŻNYCH</t>
  </si>
  <si>
    <r>
      <t>SEGMENT USŁUG ŚWIADCZONYCH KLIENTOM                                                                                                               INDYWIDUALNYM I BIZNESOWYM</t>
    </r>
    <r>
      <rPr>
        <b/>
        <vertAlign val="superscript"/>
        <sz val="9"/>
        <color rgb="FF000000"/>
        <rFont val="Calibri"/>
        <family val="2"/>
        <charset val="238"/>
        <scheme val="minor"/>
      </rPr>
      <t>1)</t>
    </r>
  </si>
  <si>
    <t>1Q</t>
  </si>
  <si>
    <t>2Q</t>
  </si>
  <si>
    <t>3Q</t>
  </si>
  <si>
    <t>4Q</t>
  </si>
  <si>
    <r>
      <t>Łączna liczba RGU</t>
    </r>
    <r>
      <rPr>
        <b/>
        <vertAlign val="superscript"/>
        <sz val="9"/>
        <rFont val="Calibri"/>
        <family val="2"/>
        <charset val="238"/>
        <scheme val="minor"/>
      </rPr>
      <t>2)</t>
    </r>
    <r>
      <rPr>
        <b/>
        <sz val="9"/>
        <rFont val="Calibri"/>
        <family val="2"/>
        <charset val="238"/>
        <scheme val="minor"/>
      </rPr>
      <t xml:space="preserve"> (kontraktowe+przedpłacone)</t>
    </r>
  </si>
  <si>
    <t>n/d</t>
  </si>
  <si>
    <t>USŁUGI KONTRAKTOWE</t>
  </si>
  <si>
    <t>Łączna liczba RGU na koniec okresu, w tym:</t>
  </si>
  <si>
    <t>Płatna telewizja, w tym:</t>
  </si>
  <si>
    <t>Multiroom</t>
  </si>
  <si>
    <t>Telefonia komórkowa</t>
  </si>
  <si>
    <t>Internet</t>
  </si>
  <si>
    <t>Liczba klientów</t>
  </si>
  <si>
    <r>
      <t>ARPU na klienta</t>
    </r>
    <r>
      <rPr>
        <vertAlign val="superscript"/>
        <sz val="9"/>
        <color rgb="FF000000"/>
        <rFont val="Calibri"/>
        <family val="2"/>
        <charset val="238"/>
        <scheme val="minor"/>
      </rPr>
      <t>3)</t>
    </r>
    <r>
      <rPr>
        <sz val="9"/>
        <color rgb="FF000000"/>
        <rFont val="Calibri"/>
        <family val="2"/>
        <charset val="238"/>
        <scheme val="minor"/>
      </rPr>
      <t xml:space="preserve"> [PLN]</t>
    </r>
  </si>
  <si>
    <r>
      <t>Churn na klienta</t>
    </r>
    <r>
      <rPr>
        <vertAlign val="superscript"/>
        <sz val="9"/>
        <color rgb="FF000000"/>
        <rFont val="Calibri"/>
        <family val="2"/>
        <charset val="238"/>
        <scheme val="minor"/>
      </rPr>
      <t>4)</t>
    </r>
  </si>
  <si>
    <t xml:space="preserve">Wskaźnik nasycenia RGU na jednego klienta </t>
  </si>
  <si>
    <t>Średnia liczba RGU, w tym:</t>
  </si>
  <si>
    <t>Średnia liczba klientów</t>
  </si>
  <si>
    <t>USŁUGI PRZEDPŁACONE</t>
  </si>
  <si>
    <t xml:space="preserve">Płatna telewizja </t>
  </si>
  <si>
    <t xml:space="preserve">Internet </t>
  </si>
  <si>
    <r>
      <t>ARPU na RGU</t>
    </r>
    <r>
      <rPr>
        <vertAlign val="superscript"/>
        <sz val="9"/>
        <color rgb="FF000000"/>
        <rFont val="Calibri"/>
        <family val="2"/>
        <charset val="238"/>
        <scheme val="minor"/>
      </rPr>
      <t>5)</t>
    </r>
    <r>
      <rPr>
        <sz val="9"/>
        <color rgb="FF000000"/>
        <rFont val="Calibri"/>
        <family val="2"/>
        <charset val="238"/>
        <scheme val="minor"/>
      </rPr>
      <t xml:space="preserve"> [PLN]</t>
    </r>
  </si>
  <si>
    <t>1) Klient - osoba fizyczna, prawna lub jednostka organizacyjna nieposiadającą osobowości prawnej, posiadająca co najmniej jedną, aktywną usługę świadczoną w modelu kontraktowym.</t>
  </si>
  <si>
    <t>2) RGU (revenue generating unit) - pojedyncza, aktywna usługa płatnej telewizji, dostępu do Internetu lub telefonii komórkowej, świadczona w modelu kontraktowym lub przedpłaconym.</t>
  </si>
  <si>
    <t xml:space="preserve">3) ARPU na klienta - Średni miesięczny przychód od Klienta wygenerowany w danym okresie rozliczeniowy (uwzględnia przychody z interconnect)
</t>
  </si>
  <si>
    <t xml:space="preserve">4) Churn (współczynnik odejść lub odpływu) - rozwiązanie umowy z Klientem w drodze wypowiedzenia, windykacji lub innych działań, skutkujące tym, że po skutecznym rozwiązaniu umowy, Klient nie posiada żadnej aktywnej usługi świadczonej w modelu kontraktowym. Wskaźnik churn prezentuje stosunek liczby klientów, którym dezaktywowano ostatnią usługę (w drodze wypowiedzenia, jak i dezaktywacji w wyniku działań windykacyjnych lub z innych przyczyn) w okresie ostatnich 12 miesięcy do średniorocznej liczby klientów w tym 12 miesięcznym okresie. 
</t>
  </si>
  <si>
    <t>5) ARPU na RGU - średni miesięczny przychód od RGU pre-paid wygenerowany w danym okresie rozliczeniowym (uwzględnia przychody z interconnect)</t>
  </si>
  <si>
    <t>Zmiana / %</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</si>
  <si>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</si>
  <si>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</si>
  <si>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r>
      <t xml:space="preserve">    Kanały tematyczne</t>
    </r>
    <r>
      <rPr>
        <b/>
        <vertAlign val="superscript"/>
        <sz val="11"/>
        <color rgb="FF000000"/>
        <rFont val="Calibri"/>
        <family val="2"/>
        <charset val="238"/>
        <scheme val="minor"/>
      </rPr>
      <t>(2)</t>
    </r>
  </si>
  <si>
    <t>Polsat News</t>
  </si>
  <si>
    <t>Polsat Sport</t>
  </si>
  <si>
    <t>Polsat Sport Extra</t>
  </si>
  <si>
    <t>Polsat Film</t>
  </si>
  <si>
    <t>Polsat Cafe</t>
  </si>
  <si>
    <t>Polsat Play</t>
  </si>
  <si>
    <t>CI Polsat</t>
  </si>
  <si>
    <t>Polsat Viasat History</t>
  </si>
  <si>
    <t>Polsat Viasat Nature</t>
  </si>
  <si>
    <t>Polsat Romans</t>
  </si>
  <si>
    <r>
      <t>Kanały Polsatu; zasięg techniczny</t>
    </r>
    <r>
      <rPr>
        <b/>
        <vertAlign val="superscript"/>
        <sz val="11"/>
        <rFont val="Calibri"/>
        <family val="2"/>
        <charset val="238"/>
        <scheme val="minor"/>
      </rPr>
      <t>(1)</t>
    </r>
  </si>
  <si>
    <t>Polsat</t>
  </si>
  <si>
    <t>Zysk netto przypadający na akcjonariuszy Jednostki Dominującej</t>
  </si>
  <si>
    <t>Podstawowy i rozwodniony zysk na jedną akcję w złotych</t>
  </si>
  <si>
    <t xml:space="preserve"> </t>
  </si>
  <si>
    <t>1) Obejmuje wpływ instrumentów IRC/CIRS/forward, premie za wcześniejszą spłatę obligacji oraz zapłatę za koszty związane z pozyskaniem finansowania</t>
  </si>
  <si>
    <t xml:space="preserve">GRUPA KAPITAŁOWA CYFROWY POLSAT S.A. </t>
  </si>
  <si>
    <t>Polsat Food Network</t>
  </si>
  <si>
    <t>Opcja wcześniejszej spłaty obligacji</t>
  </si>
  <si>
    <t>Prowizja za wcześniejszy wykup obligacji Senior Notes</t>
  </si>
  <si>
    <t>Wpływy z tytułu realizacji instrumentów pochodnych - kapitał</t>
  </si>
  <si>
    <t xml:space="preserve">TV4 </t>
  </si>
  <si>
    <t xml:space="preserve">TV6 </t>
  </si>
  <si>
    <t>Polsat 2</t>
  </si>
  <si>
    <t xml:space="preserve">Polsat JimJam </t>
  </si>
  <si>
    <t>Disco Polo Music</t>
  </si>
  <si>
    <t>Polsat Viasat Explore</t>
  </si>
  <si>
    <t>Polsat News 2</t>
  </si>
  <si>
    <t>Muzo.tv</t>
  </si>
  <si>
    <r>
      <t>Polsat 1</t>
    </r>
    <r>
      <rPr>
        <vertAlign val="superscript"/>
        <sz val="9"/>
        <color theme="1"/>
        <rFont val="Arial Narrow"/>
        <family val="2"/>
        <charset val="238"/>
      </rPr>
      <t>(3)</t>
    </r>
  </si>
  <si>
    <t>Udział w zysku jednostki współkontrolowanej wycenianej metodą praw własności</t>
  </si>
  <si>
    <t>EBITDA (niebadana)</t>
  </si>
  <si>
    <t>Relacje z klientami</t>
  </si>
  <si>
    <t>Długoterminowe prowizje dla dystrybutorów rozliczane w czasie</t>
  </si>
  <si>
    <t>Inne aktywa długoterminowe</t>
  </si>
  <si>
    <t>Należności z tytułu dostaw i usług oraz pozostałe należności</t>
  </si>
  <si>
    <t>Krótkoterminowe prowizje dla dystrybutorów rozliczane w czasie</t>
  </si>
  <si>
    <t>Pozostałe aktywa obrotowe</t>
  </si>
  <si>
    <t>Nadwyżka wartości emisyjnej akcji powyżej ich wartości nominalnej</t>
  </si>
  <si>
    <t>Pozostałe kapitały</t>
  </si>
  <si>
    <t>Zobowiązania z tytułu koncesji UMTS</t>
  </si>
  <si>
    <t>Przychody przyszłych okresów</t>
  </si>
  <si>
    <r>
      <rPr>
        <vertAlign val="superscript"/>
        <sz val="10"/>
        <color indexed="8"/>
        <rFont val="Calibri"/>
        <family val="2"/>
        <charset val="238"/>
      </rPr>
      <t>2)</t>
    </r>
    <r>
      <rPr>
        <sz val="10"/>
        <color indexed="8"/>
        <rFont val="Calibri"/>
        <family val="2"/>
        <charset val="238"/>
      </rPr>
      <t xml:space="preserve"> Od 30 czerwca 2015 roku pozycja "Kaucje otrzymane za wydane sprzęt" została ujęta w pozycji "Zobowiązania z tytułu dostaw i usług oraz pozostałe zobowiązania".</t>
    </r>
  </si>
  <si>
    <r>
      <t xml:space="preserve">31 grudnia przekształcony </t>
    </r>
    <r>
      <rPr>
        <b/>
        <vertAlign val="superscript"/>
        <sz val="10"/>
        <color indexed="8"/>
        <rFont val="Calibri"/>
        <family val="2"/>
        <charset val="238"/>
      </rPr>
      <t>1)</t>
    </r>
  </si>
  <si>
    <t>2) Pozycja została połączona z pozycją "Inne korekty"</t>
  </si>
  <si>
    <t>Wpływy ze zbycia udziałów</t>
  </si>
  <si>
    <t>Emisja obligacji/(Wykup obligacji)</t>
  </si>
  <si>
    <r>
      <t xml:space="preserve">Spłata odsetek od kredytów, pożyczek, obligacji, leasingu finansowego i zapłacone prowizje </t>
    </r>
    <r>
      <rPr>
        <vertAlign val="superscript"/>
        <sz val="10"/>
        <color indexed="8"/>
        <rFont val="Calibri"/>
        <family val="2"/>
        <charset val="238"/>
      </rPr>
      <t>1)</t>
    </r>
  </si>
  <si>
    <t>Nabycie obligacji</t>
  </si>
  <si>
    <r>
      <rPr>
        <vertAlign val="superscript"/>
        <sz val="10"/>
        <color indexed="8"/>
        <rFont val="Calibri"/>
        <family val="2"/>
        <charset val="238"/>
      </rPr>
      <t>1)</t>
    </r>
    <r>
      <rPr>
        <sz val="10"/>
        <color indexed="8"/>
        <rFont val="Calibri"/>
        <family val="2"/>
        <charset val="238"/>
      </rPr>
      <t xml:space="preserve"> Przekszatłcenie w wyniku finalizacji procesu alokacji ceny nabycia Metelem.</t>
    </r>
  </si>
  <si>
    <r>
      <t>Polsat Sport Fight</t>
    </r>
    <r>
      <rPr>
        <vertAlign val="superscript"/>
        <sz val="9"/>
        <color theme="1"/>
        <rFont val="Arial Narrow"/>
        <family val="2"/>
        <charset val="238"/>
      </rPr>
      <t>(4)</t>
    </r>
  </si>
  <si>
    <t>1) Pozycja ta obejmuje także nabycie zestawów odbiorczych w leasingu operacyjnym.</t>
  </si>
  <si>
    <t>2) Pozycja ta obejmuje także aktywa trwałe zlokalizowane poza granicami Polski.</t>
  </si>
  <si>
    <t>Zysk brutto za okres</t>
  </si>
  <si>
    <t>Zysk netto za okres</t>
  </si>
  <si>
    <t>za okres 12 miesięcy zakończony</t>
  </si>
  <si>
    <t>31 grudnia 2016</t>
  </si>
  <si>
    <t>31 grudnia 2015</t>
  </si>
  <si>
    <t>Na dzień 31 grudnia (niebadany)</t>
  </si>
  <si>
    <t>3 miesiące zakończone 31 grudnia</t>
  </si>
  <si>
    <t>12 miesięcy zakończonych 31 grudnia</t>
  </si>
  <si>
    <r>
      <t xml:space="preserve">Q1 </t>
    </r>
    <r>
      <rPr>
        <b/>
        <vertAlign val="superscript"/>
        <sz val="10"/>
        <color indexed="8"/>
        <rFont val="Calibri"/>
        <family val="2"/>
        <charset val="238"/>
      </rPr>
      <t>1)</t>
    </r>
  </si>
  <si>
    <r>
      <t xml:space="preserve">2016 </t>
    </r>
    <r>
      <rPr>
        <b/>
        <vertAlign val="superscript"/>
        <sz val="10"/>
        <color indexed="8"/>
        <rFont val="Calibri"/>
        <family val="2"/>
        <charset val="238"/>
      </rPr>
      <t>1)</t>
    </r>
  </si>
  <si>
    <r>
      <t>Zyski i straty z działalności inwestycyjnej, netto</t>
    </r>
    <r>
      <rPr>
        <vertAlign val="superscript"/>
        <sz val="10"/>
        <color indexed="8"/>
        <rFont val="Calibri"/>
        <family val="2"/>
        <charset val="238"/>
      </rPr>
      <t xml:space="preserve"> </t>
    </r>
  </si>
  <si>
    <t>1) Wyniki Grupy Aero2 konsolidowane od 29 lutego 2016</t>
  </si>
  <si>
    <r>
      <t>Polsat 1</t>
    </r>
    <r>
      <rPr>
        <vertAlign val="superscript"/>
        <sz val="9"/>
        <color theme="1"/>
        <rFont val="Arial Narrow"/>
        <family val="2"/>
        <charset val="238"/>
      </rPr>
      <t>(4)</t>
    </r>
  </si>
  <si>
    <r>
      <t>Polsat Sport News</t>
    </r>
    <r>
      <rPr>
        <vertAlign val="superscript"/>
        <sz val="11"/>
        <color theme="1"/>
        <rFont val="Calibri"/>
        <family val="2"/>
        <charset val="238"/>
        <scheme val="minor"/>
      </rPr>
      <t>(2)</t>
    </r>
  </si>
  <si>
    <r>
      <t>Polsat Sport News</t>
    </r>
    <r>
      <rPr>
        <vertAlign val="superscript"/>
        <sz val="11"/>
        <color theme="1"/>
        <rFont val="Calibri"/>
        <family val="2"/>
        <charset val="238"/>
        <scheme val="minor"/>
      </rPr>
      <t>(3)</t>
    </r>
  </si>
  <si>
    <r>
      <t>Polsat Sport Fight</t>
    </r>
    <r>
      <rPr>
        <vertAlign val="superscript"/>
        <sz val="9"/>
        <color theme="1"/>
        <rFont val="Arial Narrow"/>
        <family val="2"/>
        <charset val="238"/>
      </rPr>
      <t>(5)</t>
    </r>
  </si>
  <si>
    <r>
      <t>Udział w rynku reklamy</t>
    </r>
    <r>
      <rPr>
        <b/>
        <vertAlign val="superscript"/>
        <sz val="11"/>
        <rFont val="Calibri"/>
        <family val="2"/>
        <charset val="238"/>
        <scheme val="minor"/>
      </rPr>
      <t>(6)</t>
    </r>
  </si>
  <si>
    <t xml:space="preserve">ZASTRZEŻENIE
Prezentowane poniżej wskaźniki operacyjne (KPI) za czwarty kwartał 2016 roku oraz cały 2016 rok obejmują wyniki operacyjne Grupy Polsat oraz Grupy Aero2 (dawniej Grupa Midas), nabytej dnia 29 lutego 2016 roku. W związku z powyższym wyniki operacyjne za analizowane okresy 2016 roku nie są w pełni porównywalne z wynikami operacyjnymi za analogiczne okresy 2015 roku, jednakże wpływ konsolidacji wyników operacyjnych Grupy Aero2 na raportowany poziom wyników operacyjnych Grupy Polsat jest niematerialny.
Przy ocenie naszej działalności operacyjnej w segmencie usług świadczonych dla klientów indywidualnych i biznesowych osobno analizujemy świadczone przez nas usługi kontraktowe i usługi przedpłacone. W przypadku tych pierwszych bierzemy pod uwagę liczbę pojedynczych, aktywnych usług świadczonych w modelu kontraktowym (RGU), liczbę klientów, wskaźnik odpływu klientów (churn) oraz średni miesięczny przychód na klienta. W przypadku usług przedpłaconych analizowana jest liczba unikalnych, aktywnych usług świadczonych w modelu przedpłaconym (RGU prepaid) oraz średni przychód przypadający na RGU prepaid. Liczba raportowanych RGU prepaid w ramach telefonii komórkowej oraz Internetu oznacza liczbę kart SIM, które w ciągu ostatnich 90 dni wykonały albo otrzymały połączenie, wysłały albo otrzymały SMS/MMS albo skorzystały z usług transmisji danych. W przypadku bezpłatnego dostępu do Internetu świadczonego przez Aero2 do RGU usług przedpłaconych w ramach dostępu do Internetu wliczone zostały wyłącznie te karty SIM, które w ciągu ostatnich 90 dni skorzystały z usług transmisji danych w ramach płatnych pakietów.
</t>
  </si>
  <si>
    <t>(1) Nielsen Audience Measurement, udział w oglądalności w grupie wszyscy 16-49 lat, cała doba.
(2) Licząc sumaryczne udziały Grupy Polsat i kanałów tematycznych uwzględniamy moment włączenia kanałów do naszego portfolio. 
(3) Od 2 stycznia 2017 roku kanał dostępny wyłącznie w sieciach kablowo – satelitarnych.
(4) Kanał uruchomiony 18 grudnia 2015 roku, nieobecny w badaniu telemetrycznym.
(5) Kanał uruchomiony 1 sierpnia 2016, nieobecny w badaniu telemetrycznym.
(6) Szacunki własne na podstawie danych Starcom.</t>
  </si>
  <si>
    <t>(1) Nielsen Audience Measurement, odsetek telewizyjnych gospodarstw domowych, które mają możliwość odbioru danego kanału; średnia arytmetyczna zasięgów miesięcznych.
(2) Od 2 stycznia 2017 roku kanał dostępny wyłącznie w sieciach kablowo – satelitarnych.
(3) Kanał nadawany poza granicami Polski, nie jest objęty badaniem telemetrycznym.
(4) Kanał uruchomiony 1 sierpnia 2016, nie był objęty badaniem telemetrycznym.</t>
  </si>
  <si>
    <t>Pozostałe przychody / (koszty) operacyjne, netto</t>
  </si>
  <si>
    <t>Zysk/ (strata) netto przypadający na akcjonariuszy niekontrolujących</t>
  </si>
  <si>
    <t>(Zysk) / strata na instrumentach pochodnych, netto</t>
  </si>
  <si>
    <t>Jednorazowe spisanie przeszacowania wartości obligacji na moment nabycia do wartości godziwej oraz koszt premii za wcześniejszy wykup obligacji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</si>
</sst>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0\ _z_ł_-;\-* #,##0\ _z_ł_-;_-* &quot;-&quot;\ _z_ł_-;_-@_-"/>
    <numFmt numFmtId="164" formatCode="_(* #,##0_);_(* \(#,##0\);_(* &quot;-&quot;_);_(@_)"/>
    <numFmt numFmtId="165" formatCode="_(* #,##0.00_);_(* \(#,##0.00\);_(* &quot;-&quot;??_);_(@_)"/>
    <numFmt numFmtId="166" formatCode="0.0"/>
    <numFmt numFmtId="167" formatCode="0.000"/>
    <numFmt numFmtId="168" formatCode="0.0%"/>
    <numFmt numFmtId="169" formatCode="#,##0.0"/>
    <numFmt numFmtId="170" formatCode="#,##0.0;\-#,##0.0"/>
    <numFmt numFmtId="171" formatCode="#,##0.0\ ;\(#,##0\)"/>
    <numFmt numFmtId="172" formatCode="#,##0.0\ ;\(#,##0.0\)"/>
    <numFmt numFmtId="173" formatCode="\-"/>
    <numFmt numFmtId="174" formatCode="###0.0"/>
    <numFmt numFmtId="175" formatCode="###0.0;\(###0.0\)"/>
    <numFmt numFmtId="176" formatCode="#,##0.0;\(#,##0.0\)"/>
    <numFmt numFmtId="177" formatCode="#\.##0.0"/>
    <numFmt numFmtId="178" formatCode="_-* #,##0.00\ [$€-1]_-;\-* #,##0.00\ [$€-1]_-;_-* &quot;-&quot;??\ [$€-1]_-"/>
    <numFmt numFmtId="179" formatCode="#,##0.00%;\(#,##0.00%\)"/>
    <numFmt numFmtId="180" formatCode="#,##0.00;\(#,##0.00\)"/>
    <numFmt numFmtId="181" formatCode="##\.##0.0;\(##\.##0.0\)"/>
    <numFmt numFmtId="182" formatCode="#,##0.0\ ;\(#,##0.0\);\-"/>
    <numFmt numFmtId="183" formatCode="#,##0.0;\(#,##0.0\);\-"/>
    <numFmt numFmtId="184" formatCode="#,##0.000;\(#,##0.000\);\-"/>
    <numFmt numFmtId="185" formatCode="#,##0;\(#,##0\);\-"/>
    <numFmt numFmtId="186" formatCode="#,##0.0,;\(#,##0.0\)"/>
    <numFmt numFmtId="187" formatCode="#,##0.0,;\(#,##0.0\);\-"/>
    <numFmt numFmtId="188" formatCode="#,##0.0%;\(#,##0.0%\)"/>
  </numFmts>
  <fonts count="7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b/>
      <sz val="11"/>
      <color theme="1"/>
      <name val="Czcionka tekstu podstawowego"/>
      <family val="2"/>
      <charset val="238"/>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b/>
      <vertAlign val="superscript"/>
      <sz val="10"/>
      <color indexed="8"/>
      <name val="Calibri"/>
      <family val="2"/>
      <charset val="238"/>
    </font>
    <font>
      <sz val="10"/>
      <name val="Calibri"/>
      <family val="2"/>
      <charset val="238"/>
    </font>
    <font>
      <i/>
      <sz val="10"/>
      <color theme="1"/>
      <name val="Calibri"/>
      <family val="2"/>
      <charset val="238"/>
      <scheme val="minor"/>
    </font>
    <font>
      <i/>
      <sz val="10"/>
      <color indexed="8"/>
      <name val="Calibri"/>
      <family val="2"/>
      <charset val="238"/>
    </font>
    <font>
      <b/>
      <sz val="10"/>
      <name val="Calibri"/>
      <family val="2"/>
      <charset val="238"/>
    </font>
    <font>
      <vertAlign val="superscript"/>
      <sz val="10"/>
      <name val="Calibri"/>
      <family val="2"/>
      <charset val="238"/>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b/>
      <sz val="9"/>
      <color rgb="FFFD8A00"/>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b/>
      <sz val="10"/>
      <color theme="9"/>
      <name val="Calibri"/>
      <family val="2"/>
      <charset val="238"/>
    </font>
    <font>
      <sz val="11"/>
      <color theme="1"/>
      <name val="Calibri"/>
      <family val="2"/>
      <charset val="238"/>
    </font>
    <font>
      <b/>
      <sz val="10"/>
      <color rgb="FF000000"/>
      <name val="Calibri"/>
      <family val="2"/>
      <charset val="238"/>
    </font>
    <font>
      <b/>
      <sz val="11"/>
      <color theme="1"/>
      <name val="Calibri"/>
      <family val="2"/>
      <charset val="238"/>
    </font>
    <font>
      <b/>
      <sz val="10"/>
      <color theme="1"/>
      <name val="Calibri"/>
      <family val="2"/>
      <charset val="238"/>
    </font>
    <font>
      <sz val="9"/>
      <name val="Calibri"/>
      <family val="2"/>
      <charset val="238"/>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mediumGray">
        <fgColor theme="0" tint="-0.24994659260841701"/>
        <bgColor rgb="FFFFC000"/>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s>
  <borders count="39">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7">
    <xf numFmtId="0" fontId="0" fillId="0" borderId="0"/>
    <xf numFmtId="165" fontId="8" fillId="0" borderId="0" applyFont="0" applyFill="0" applyBorder="0" applyAlignment="0" applyProtection="0"/>
    <xf numFmtId="9" fontId="6" fillId="0" borderId="0" applyFont="0" applyFill="0" applyBorder="0" applyAlignment="0" applyProtection="0"/>
    <xf numFmtId="178" fontId="14" fillId="0" borderId="0"/>
    <xf numFmtId="178" fontId="14" fillId="0" borderId="0"/>
    <xf numFmtId="178" fontId="14" fillId="0" borderId="0"/>
    <xf numFmtId="9" fontId="14" fillId="0" borderId="0" applyFont="0" applyFill="0" applyBorder="0" applyAlignment="0" applyProtection="0"/>
  </cellStyleXfs>
  <cellXfs count="564">
    <xf numFmtId="0" fontId="0" fillId="0" borderId="0" xfId="0"/>
    <xf numFmtId="0" fontId="7" fillId="0" borderId="0" xfId="0" applyFont="1" applyBorder="1" applyAlignment="1">
      <alignment vertical="center"/>
    </xf>
    <xf numFmtId="0" fontId="7" fillId="0" borderId="0" xfId="0" applyFont="1" applyAlignment="1">
      <alignment vertical="center"/>
    </xf>
    <xf numFmtId="0" fontId="16" fillId="3" borderId="0" xfId="0" applyFont="1" applyFill="1" applyAlignment="1">
      <alignment vertical="center"/>
    </xf>
    <xf numFmtId="0" fontId="7" fillId="0" borderId="0" xfId="0" applyFont="1" applyFill="1" applyBorder="1" applyAlignment="1">
      <alignment vertical="center"/>
    </xf>
    <xf numFmtId="0" fontId="22" fillId="3" borderId="0" xfId="0" applyFont="1" applyFill="1" applyAlignment="1">
      <alignment vertical="center"/>
    </xf>
    <xf numFmtId="0" fontId="11" fillId="0" borderId="0" xfId="0" applyFont="1" applyAlignment="1">
      <alignment vertical="center"/>
    </xf>
    <xf numFmtId="0" fontId="11" fillId="0" borderId="0" xfId="0" applyFont="1"/>
    <xf numFmtId="0" fontId="23" fillId="3" borderId="4" xfId="0" applyFont="1" applyFill="1" applyBorder="1" applyAlignment="1">
      <alignment vertical="center" wrapText="1"/>
    </xf>
    <xf numFmtId="0" fontId="23" fillId="3" borderId="5" xfId="0" applyFont="1" applyFill="1" applyBorder="1" applyAlignment="1">
      <alignment vertical="center" wrapText="1"/>
    </xf>
    <xf numFmtId="0" fontId="11" fillId="3" borderId="0" xfId="0" applyFont="1" applyFill="1" applyAlignment="1">
      <alignment vertical="center"/>
    </xf>
    <xf numFmtId="0" fontId="11" fillId="3" borderId="0" xfId="0" applyFont="1" applyFill="1" applyBorder="1" applyAlignment="1">
      <alignment vertical="center"/>
    </xf>
    <xf numFmtId="0" fontId="11" fillId="3" borderId="0" xfId="0" applyFont="1" applyFill="1"/>
    <xf numFmtId="0" fontId="25" fillId="6" borderId="6" xfId="0" applyFont="1" applyFill="1" applyBorder="1" applyAlignment="1">
      <alignment vertical="center" wrapText="1"/>
    </xf>
    <xf numFmtId="0" fontId="11" fillId="3" borderId="0" xfId="0" applyFont="1" applyFill="1" applyBorder="1"/>
    <xf numFmtId="0" fontId="24" fillId="3" borderId="0" xfId="0" applyFont="1" applyFill="1"/>
    <xf numFmtId="0" fontId="0" fillId="3" borderId="0" xfId="0" applyFill="1"/>
    <xf numFmtId="0" fontId="5"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9" fillId="3" borderId="0" xfId="0" applyFont="1" applyFill="1" applyAlignment="1">
      <alignment vertical="center"/>
    </xf>
    <xf numFmtId="0" fontId="30" fillId="3" borderId="0" xfId="0" applyFont="1" applyFill="1" applyBorder="1" applyAlignment="1">
      <alignment vertical="center"/>
    </xf>
    <xf numFmtId="0" fontId="30" fillId="3" borderId="0" xfId="0" applyFont="1" applyFill="1" applyAlignment="1">
      <alignment vertical="center"/>
    </xf>
    <xf numFmtId="0" fontId="30" fillId="0" borderId="0" xfId="0" applyFont="1" applyAlignment="1">
      <alignment vertical="center"/>
    </xf>
    <xf numFmtId="0" fontId="5" fillId="3" borderId="22" xfId="0" applyFont="1" applyFill="1" applyBorder="1" applyAlignment="1">
      <alignment vertical="center" wrapText="1"/>
    </xf>
    <xf numFmtId="169" fontId="5" fillId="3" borderId="11" xfId="0" applyNumberFormat="1" applyFont="1" applyFill="1" applyBorder="1" applyAlignment="1">
      <alignment horizontal="right" vertical="center"/>
    </xf>
    <xf numFmtId="169" fontId="5" fillId="2" borderId="11" xfId="0" applyNumberFormat="1" applyFont="1" applyFill="1" applyBorder="1" applyAlignment="1">
      <alignment horizontal="right" vertical="center"/>
    </xf>
    <xf numFmtId="41" fontId="5" fillId="3" borderId="0" xfId="0" applyNumberFormat="1" applyFont="1" applyFill="1" applyBorder="1" applyAlignment="1">
      <alignment horizontal="right" vertical="center" wrapText="1"/>
    </xf>
    <xf numFmtId="3" fontId="5" fillId="3" borderId="0" xfId="0" applyNumberFormat="1" applyFont="1" applyFill="1" applyBorder="1" applyAlignment="1">
      <alignment horizontal="right" vertical="center" wrapText="1"/>
    </xf>
    <xf numFmtId="0" fontId="5" fillId="3" borderId="23" xfId="0" applyFont="1" applyFill="1" applyBorder="1" applyAlignment="1">
      <alignment vertical="center" wrapText="1"/>
    </xf>
    <xf numFmtId="169" fontId="5" fillId="2" borderId="0" xfId="0" applyNumberFormat="1" applyFont="1" applyFill="1" applyBorder="1" applyAlignment="1">
      <alignment horizontal="right" vertical="center"/>
    </xf>
    <xf numFmtId="169" fontId="5" fillId="3" borderId="0" xfId="0" applyNumberFormat="1" applyFont="1" applyFill="1" applyBorder="1" applyAlignment="1">
      <alignment horizontal="right" vertical="center"/>
    </xf>
    <xf numFmtId="0" fontId="15" fillId="3" borderId="23" xfId="0" applyFont="1" applyFill="1" applyBorder="1" applyAlignment="1">
      <alignment vertical="center" wrapText="1"/>
    </xf>
    <xf numFmtId="177" fontId="15" fillId="2" borderId="0" xfId="0" applyNumberFormat="1" applyFont="1" applyFill="1" applyBorder="1" applyAlignment="1">
      <alignment horizontal="right" vertical="center"/>
    </xf>
    <xf numFmtId="169" fontId="15" fillId="3" borderId="0" xfId="0" applyNumberFormat="1" applyFont="1" applyFill="1" applyBorder="1" applyAlignment="1">
      <alignment horizontal="right" vertical="center"/>
    </xf>
    <xf numFmtId="174" fontId="15" fillId="3" borderId="0" xfId="0" applyNumberFormat="1" applyFont="1" applyFill="1" applyBorder="1" applyAlignment="1">
      <alignment horizontal="right" vertical="center"/>
    </xf>
    <xf numFmtId="0" fontId="15" fillId="3" borderId="0" xfId="0" applyFont="1" applyFill="1" applyAlignment="1">
      <alignment vertical="center"/>
    </xf>
    <xf numFmtId="3" fontId="15" fillId="3" borderId="0" xfId="0" applyNumberFormat="1" applyFont="1" applyFill="1" applyBorder="1" applyAlignment="1">
      <alignment horizontal="right" vertical="center" wrapText="1"/>
    </xf>
    <xf numFmtId="0" fontId="33" fillId="3" borderId="0" xfId="0" applyFont="1" applyFill="1" applyBorder="1" applyAlignment="1">
      <alignment vertical="center"/>
    </xf>
    <xf numFmtId="0" fontId="33" fillId="3" borderId="0" xfId="0" applyFont="1" applyFill="1" applyAlignment="1">
      <alignment vertical="center"/>
    </xf>
    <xf numFmtId="0" fontId="33" fillId="0" borderId="0" xfId="0" applyFont="1" applyAlignment="1">
      <alignment vertical="center"/>
    </xf>
    <xf numFmtId="169" fontId="15" fillId="2" borderId="0" xfId="0" applyNumberFormat="1" applyFont="1" applyFill="1" applyBorder="1" applyAlignment="1">
      <alignment horizontal="right" vertical="center"/>
    </xf>
    <xf numFmtId="169" fontId="15" fillId="2" borderId="1" xfId="0" applyNumberFormat="1" applyFont="1" applyFill="1" applyBorder="1" applyAlignment="1">
      <alignment horizontal="right" vertical="center"/>
    </xf>
    <xf numFmtId="0" fontId="5" fillId="3" borderId="25" xfId="0" applyFont="1" applyFill="1" applyBorder="1" applyAlignment="1">
      <alignment vertical="center" wrapText="1"/>
    </xf>
    <xf numFmtId="169" fontId="5" fillId="3" borderId="27" xfId="0" applyNumberFormat="1" applyFont="1" applyFill="1" applyBorder="1" applyAlignment="1">
      <alignment horizontal="right" vertical="center"/>
    </xf>
    <xf numFmtId="169" fontId="5" fillId="2" borderId="27" xfId="0" applyNumberFormat="1" applyFont="1" applyFill="1" applyBorder="1" applyAlignment="1">
      <alignment horizontal="right" vertical="center"/>
    </xf>
    <xf numFmtId="0" fontId="31" fillId="3" borderId="4" xfId="0" applyFont="1" applyFill="1" applyBorder="1" applyAlignment="1">
      <alignment vertical="center"/>
    </xf>
    <xf numFmtId="0" fontId="0" fillId="2" borderId="11" xfId="0" applyFill="1" applyBorder="1" applyAlignment="1">
      <alignment vertical="center"/>
    </xf>
    <xf numFmtId="0" fontId="0" fillId="3" borderId="11" xfId="0" applyFill="1" applyBorder="1" applyAlignment="1">
      <alignment vertical="center"/>
    </xf>
    <xf numFmtId="0" fontId="5" fillId="3" borderId="3" xfId="0" applyFont="1" applyFill="1" applyBorder="1" applyAlignment="1">
      <alignment vertical="center"/>
    </xf>
    <xf numFmtId="0" fontId="34" fillId="2" borderId="0" xfId="0" applyFont="1" applyFill="1" applyBorder="1" applyAlignment="1">
      <alignment vertical="center"/>
    </xf>
    <xf numFmtId="0" fontId="34" fillId="3" borderId="0" xfId="0" applyFont="1" applyFill="1" applyBorder="1" applyAlignment="1">
      <alignment vertical="center"/>
    </xf>
    <xf numFmtId="0" fontId="5" fillId="3" borderId="5" xfId="0" applyFont="1" applyFill="1" applyBorder="1" applyAlignment="1">
      <alignment vertical="center" wrapText="1"/>
    </xf>
    <xf numFmtId="0" fontId="5" fillId="3" borderId="18" xfId="0" applyFont="1" applyFill="1" applyBorder="1" applyAlignment="1">
      <alignment vertical="center"/>
    </xf>
    <xf numFmtId="0" fontId="5" fillId="2" borderId="18" xfId="0" applyFont="1" applyFill="1" applyBorder="1" applyAlignment="1">
      <alignment vertical="center"/>
    </xf>
    <xf numFmtId="0" fontId="5" fillId="3" borderId="0" xfId="0" applyFont="1" applyFill="1"/>
    <xf numFmtId="3" fontId="29" fillId="3" borderId="0" xfId="0" applyNumberFormat="1" applyFont="1" applyFill="1" applyAlignment="1">
      <alignment horizontal="right"/>
    </xf>
    <xf numFmtId="0" fontId="36" fillId="3" borderId="0" xfId="0" applyFont="1" applyFill="1" applyAlignment="1"/>
    <xf numFmtId="0" fontId="36" fillId="3" borderId="0" xfId="0" applyFont="1" applyFill="1" applyAlignment="1">
      <alignment horizontal="left"/>
    </xf>
    <xf numFmtId="3" fontId="25" fillId="3" borderId="0" xfId="0" applyNumberFormat="1" applyFont="1" applyFill="1" applyBorder="1" applyAlignment="1">
      <alignment horizontal="right"/>
    </xf>
    <xf numFmtId="3" fontId="29" fillId="3" borderId="0" xfId="0" applyNumberFormat="1" applyFont="1" applyFill="1" applyBorder="1" applyAlignment="1">
      <alignment horizontal="right"/>
    </xf>
    <xf numFmtId="0" fontId="30" fillId="3" borderId="0" xfId="0" applyFont="1" applyFill="1"/>
    <xf numFmtId="0" fontId="30" fillId="0" borderId="0" xfId="0" applyFont="1"/>
    <xf numFmtId="0" fontId="24" fillId="4" borderId="27" xfId="0" applyFont="1" applyFill="1" applyBorder="1" applyAlignment="1">
      <alignment horizontal="right" vertical="center"/>
    </xf>
    <xf numFmtId="0" fontId="41" fillId="3" borderId="0" xfId="0" applyFont="1" applyFill="1"/>
    <xf numFmtId="0" fontId="11" fillId="0" borderId="0" xfId="0" applyFont="1" applyBorder="1"/>
    <xf numFmtId="172" fontId="11" fillId="3" borderId="11" xfId="0" applyNumberFormat="1" applyFont="1" applyFill="1" applyBorder="1" applyAlignment="1">
      <alignment vertical="center"/>
    </xf>
    <xf numFmtId="169" fontId="11" fillId="3" borderId="0" xfId="0" applyNumberFormat="1" applyFont="1" applyFill="1" applyBorder="1" applyAlignment="1">
      <alignment vertical="center"/>
    </xf>
    <xf numFmtId="172" fontId="11" fillId="3" borderId="0" xfId="0" applyNumberFormat="1" applyFont="1" applyFill="1" applyBorder="1" applyAlignment="1">
      <alignment vertical="center"/>
    </xf>
    <xf numFmtId="173" fontId="39" fillId="3" borderId="0" xfId="1" applyNumberFormat="1" applyFont="1" applyFill="1" applyBorder="1" applyAlignment="1">
      <alignment horizontal="right" vertical="center"/>
    </xf>
    <xf numFmtId="173" fontId="11" fillId="3" borderId="0" xfId="0" applyNumberFormat="1" applyFont="1" applyFill="1" applyBorder="1" applyAlignment="1">
      <alignment vertical="center"/>
    </xf>
    <xf numFmtId="172" fontId="39" fillId="3" borderId="0" xfId="1" applyNumberFormat="1" applyFont="1" applyFill="1" applyBorder="1" applyAlignment="1">
      <alignment horizontal="right" vertical="center"/>
    </xf>
    <xf numFmtId="171" fontId="11" fillId="3" borderId="0" xfId="0" applyNumberFormat="1" applyFont="1" applyFill="1" applyBorder="1" applyAlignment="1">
      <alignment vertical="center"/>
    </xf>
    <xf numFmtId="172" fontId="41" fillId="3" borderId="0" xfId="0" applyNumberFormat="1" applyFont="1" applyFill="1" applyBorder="1" applyAlignment="1">
      <alignment vertical="center"/>
    </xf>
    <xf numFmtId="173" fontId="41" fillId="3" borderId="0" xfId="0" applyNumberFormat="1" applyFont="1" applyFill="1" applyBorder="1" applyAlignment="1">
      <alignment vertical="center"/>
    </xf>
    <xf numFmtId="171" fontId="11" fillId="3" borderId="18" xfId="0" applyNumberFormat="1" applyFont="1" applyFill="1" applyBorder="1" applyAlignment="1">
      <alignment vertical="center"/>
    </xf>
    <xf numFmtId="172" fontId="11" fillId="3" borderId="18" xfId="0" applyNumberFormat="1" applyFont="1" applyFill="1" applyBorder="1" applyAlignment="1">
      <alignment vertical="center"/>
    </xf>
    <xf numFmtId="164" fontId="39" fillId="3" borderId="0" xfId="0" applyNumberFormat="1" applyFont="1" applyFill="1" applyBorder="1" applyAlignment="1">
      <alignment horizontal="right" vertical="center"/>
    </xf>
    <xf numFmtId="169" fontId="41" fillId="3" borderId="0" xfId="0" applyNumberFormat="1" applyFont="1" applyFill="1" applyBorder="1" applyAlignment="1">
      <alignment vertical="center"/>
    </xf>
    <xf numFmtId="169" fontId="39" fillId="3" borderId="0" xfId="0" applyNumberFormat="1" applyFont="1" applyFill="1" applyBorder="1" applyAlignment="1">
      <alignment horizontal="right" vertical="center"/>
    </xf>
    <xf numFmtId="169" fontId="11" fillId="3" borderId="0" xfId="0" applyNumberFormat="1" applyFont="1" applyFill="1" applyAlignment="1">
      <alignment vertical="center"/>
    </xf>
    <xf numFmtId="164" fontId="42" fillId="3" borderId="0" xfId="0" applyNumberFormat="1" applyFont="1" applyFill="1" applyBorder="1" applyAlignment="1">
      <alignment horizontal="right" vertical="center"/>
    </xf>
    <xf numFmtId="164" fontId="43" fillId="3" borderId="0" xfId="0" applyNumberFormat="1" applyFont="1" applyFill="1" applyBorder="1" applyAlignment="1">
      <alignment horizontal="right" vertical="center"/>
    </xf>
    <xf numFmtId="0" fontId="11" fillId="3" borderId="4"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left" vertical="center"/>
    </xf>
    <xf numFmtId="169" fontId="24" fillId="12" borderId="7" xfId="0" applyNumberFormat="1" applyFont="1" applyFill="1" applyBorder="1" applyAlignment="1">
      <alignment vertical="center"/>
    </xf>
    <xf numFmtId="172" fontId="24" fillId="12" borderId="7" xfId="0" applyNumberFormat="1" applyFont="1" applyFill="1" applyBorder="1" applyAlignment="1">
      <alignment vertical="center"/>
    </xf>
    <xf numFmtId="0" fontId="40" fillId="3" borderId="3" xfId="0" applyFont="1" applyFill="1" applyBorder="1" applyAlignment="1">
      <alignment horizontal="left" vertical="center" indent="2"/>
    </xf>
    <xf numFmtId="171" fontId="11" fillId="3" borderId="11" xfId="0" applyNumberFormat="1" applyFont="1" applyFill="1" applyBorder="1" applyAlignment="1">
      <alignment vertical="center"/>
    </xf>
    <xf numFmtId="0" fontId="24" fillId="4" borderId="26" xfId="0" applyFont="1" applyFill="1" applyBorder="1" applyAlignment="1">
      <alignment horizontal="left" vertical="center"/>
    </xf>
    <xf numFmtId="172" fontId="24" fillId="4" borderId="27" xfId="0" applyNumberFormat="1" applyFont="1" applyFill="1" applyBorder="1" applyAlignment="1">
      <alignment vertical="center"/>
    </xf>
    <xf numFmtId="167" fontId="11" fillId="3" borderId="0" xfId="0" applyNumberFormat="1" applyFont="1" applyFill="1" applyBorder="1" applyAlignment="1">
      <alignment horizontal="right" vertical="center"/>
    </xf>
    <xf numFmtId="169" fontId="11" fillId="3" borderId="0" xfId="0" applyNumberFormat="1" applyFont="1" applyFill="1" applyBorder="1" applyAlignment="1">
      <alignment horizontal="right" vertical="center"/>
    </xf>
    <xf numFmtId="172" fontId="11" fillId="3" borderId="0" xfId="0" applyNumberFormat="1" applyFont="1" applyFill="1" applyBorder="1" applyAlignment="1">
      <alignment horizontal="right" vertical="center"/>
    </xf>
    <xf numFmtId="174" fontId="11" fillId="3" borderId="0" xfId="0" applyNumberFormat="1" applyFont="1" applyFill="1" applyBorder="1" applyAlignment="1">
      <alignment vertical="center"/>
    </xf>
    <xf numFmtId="174" fontId="41" fillId="3" borderId="0" xfId="0" applyNumberFormat="1" applyFont="1" applyFill="1" applyBorder="1" applyAlignment="1">
      <alignment vertical="center"/>
    </xf>
    <xf numFmtId="0" fontId="25" fillId="3" borderId="7" xfId="0" applyFont="1" applyFill="1" applyBorder="1" applyAlignment="1">
      <alignment vertical="center"/>
    </xf>
    <xf numFmtId="0" fontId="11" fillId="3" borderId="7" xfId="0" applyFont="1" applyFill="1" applyBorder="1"/>
    <xf numFmtId="0" fontId="11" fillId="3" borderId="7" xfId="0" applyFont="1" applyFill="1" applyBorder="1" applyAlignment="1">
      <alignment horizontal="right"/>
    </xf>
    <xf numFmtId="169" fontId="11" fillId="3" borderId="11" xfId="0" applyNumberFormat="1" applyFont="1" applyFill="1" applyBorder="1" applyAlignment="1">
      <alignment vertical="center"/>
    </xf>
    <xf numFmtId="174" fontId="11" fillId="3" borderId="11" xfId="0" applyNumberFormat="1" applyFont="1" applyFill="1" applyBorder="1" applyAlignment="1">
      <alignment vertical="center"/>
    </xf>
    <xf numFmtId="0" fontId="24" fillId="3" borderId="3" xfId="0" applyFont="1" applyFill="1" applyBorder="1" applyAlignment="1">
      <alignment horizontal="left" vertical="center"/>
    </xf>
    <xf numFmtId="0" fontId="24" fillId="13" borderId="27" xfId="0" applyFont="1" applyFill="1" applyBorder="1" applyAlignment="1">
      <alignment horizontal="right" vertical="center"/>
    </xf>
    <xf numFmtId="0" fontId="11" fillId="14" borderId="7" xfId="0" applyFont="1" applyFill="1" applyBorder="1"/>
    <xf numFmtId="173" fontId="11" fillId="14" borderId="0" xfId="0" applyNumberFormat="1" applyFont="1" applyFill="1" applyBorder="1" applyAlignment="1">
      <alignment vertical="center"/>
    </xf>
    <xf numFmtId="173" fontId="41" fillId="14" borderId="0" xfId="0" applyNumberFormat="1" applyFont="1" applyFill="1" applyBorder="1" applyAlignment="1">
      <alignment vertical="center"/>
    </xf>
    <xf numFmtId="173" fontId="39" fillId="14" borderId="0" xfId="1" applyNumberFormat="1" applyFont="1" applyFill="1" applyBorder="1" applyAlignment="1">
      <alignment horizontal="right" vertical="center"/>
    </xf>
    <xf numFmtId="164" fontId="39" fillId="14" borderId="0" xfId="0" applyNumberFormat="1" applyFont="1" applyFill="1" applyBorder="1" applyAlignment="1">
      <alignment horizontal="right" vertical="center"/>
    </xf>
    <xf numFmtId="172" fontId="24" fillId="12" borderId="8" xfId="0" applyNumberFormat="1" applyFont="1" applyFill="1" applyBorder="1" applyAlignment="1">
      <alignment vertical="center"/>
    </xf>
    <xf numFmtId="0" fontId="24" fillId="13" borderId="28" xfId="0" applyFont="1" applyFill="1" applyBorder="1" applyAlignment="1">
      <alignment horizontal="right" vertical="center"/>
    </xf>
    <xf numFmtId="0" fontId="24" fillId="4" borderId="26" xfId="0" applyFont="1" applyFill="1" applyBorder="1" applyAlignment="1">
      <alignment horizontal="right" vertical="center"/>
    </xf>
    <xf numFmtId="0" fontId="24" fillId="13" borderId="28" xfId="0" applyFont="1" applyFill="1" applyBorder="1" applyAlignment="1">
      <alignment horizontal="right" vertical="center" wrapText="1"/>
    </xf>
    <xf numFmtId="0" fontId="11" fillId="3" borderId="6" xfId="0" applyFont="1" applyFill="1" applyBorder="1"/>
    <xf numFmtId="0" fontId="11" fillId="14" borderId="8" xfId="0" applyFont="1" applyFill="1" applyBorder="1"/>
    <xf numFmtId="172" fontId="11" fillId="14" borderId="10" xfId="0" applyNumberFormat="1" applyFont="1" applyFill="1" applyBorder="1" applyAlignment="1">
      <alignment vertical="center"/>
    </xf>
    <xf numFmtId="173" fontId="39" fillId="3" borderId="3" xfId="1" applyNumberFormat="1" applyFont="1" applyFill="1" applyBorder="1" applyAlignment="1">
      <alignment horizontal="right" vertical="center"/>
    </xf>
    <xf numFmtId="173" fontId="41" fillId="3" borderId="3" xfId="0" applyNumberFormat="1" applyFont="1" applyFill="1" applyBorder="1" applyAlignment="1">
      <alignment vertical="center"/>
    </xf>
    <xf numFmtId="172" fontId="41" fillId="14" borderId="10" xfId="0" applyNumberFormat="1" applyFont="1" applyFill="1" applyBorder="1" applyAlignment="1">
      <alignment vertical="center"/>
    </xf>
    <xf numFmtId="172" fontId="11" fillId="14" borderId="19" xfId="0" applyNumberFormat="1" applyFont="1" applyFill="1" applyBorder="1" applyAlignment="1">
      <alignment vertical="center"/>
    </xf>
    <xf numFmtId="172" fontId="11" fillId="14" borderId="12" xfId="0" applyNumberFormat="1" applyFont="1" applyFill="1" applyBorder="1" applyAlignment="1">
      <alignment vertical="center"/>
    </xf>
    <xf numFmtId="173" fontId="11" fillId="14" borderId="10" xfId="0" applyNumberFormat="1" applyFont="1" applyFill="1" applyBorder="1" applyAlignment="1">
      <alignment vertical="center"/>
    </xf>
    <xf numFmtId="172" fontId="24" fillId="13" borderId="28" xfId="0" applyNumberFormat="1" applyFont="1" applyFill="1" applyBorder="1" applyAlignment="1">
      <alignment vertical="center"/>
    </xf>
    <xf numFmtId="174" fontId="11" fillId="14" borderId="12" xfId="0" applyNumberFormat="1" applyFont="1" applyFill="1" applyBorder="1" applyAlignment="1">
      <alignment vertical="center"/>
    </xf>
    <xf numFmtId="164" fontId="39" fillId="3" borderId="3" xfId="0" applyNumberFormat="1" applyFont="1" applyFill="1" applyBorder="1" applyAlignment="1">
      <alignment horizontal="right" vertical="center"/>
    </xf>
    <xf numFmtId="164" fontId="39" fillId="14" borderId="10" xfId="0" applyNumberFormat="1" applyFont="1" applyFill="1" applyBorder="1" applyAlignment="1">
      <alignment horizontal="right" vertical="center"/>
    </xf>
    <xf numFmtId="169" fontId="11" fillId="14" borderId="10" xfId="0" applyNumberFormat="1" applyFont="1" applyFill="1" applyBorder="1" applyAlignment="1">
      <alignment vertical="center"/>
    </xf>
    <xf numFmtId="176" fontId="11" fillId="14" borderId="10" xfId="0" applyNumberFormat="1" applyFont="1" applyFill="1" applyBorder="1" applyAlignment="1">
      <alignment vertical="center"/>
    </xf>
    <xf numFmtId="174" fontId="11" fillId="14" borderId="10" xfId="0" applyNumberFormat="1" applyFont="1" applyFill="1" applyBorder="1" applyAlignment="1">
      <alignment vertical="center"/>
    </xf>
    <xf numFmtId="174" fontId="41" fillId="14" borderId="10" xfId="0" applyNumberFormat="1" applyFont="1" applyFill="1" applyBorder="1" applyAlignment="1">
      <alignment vertical="center"/>
    </xf>
    <xf numFmtId="173" fontId="11" fillId="3" borderId="3" xfId="0" applyNumberFormat="1" applyFont="1" applyFill="1" applyBorder="1" applyAlignment="1">
      <alignment vertical="center"/>
    </xf>
    <xf numFmtId="173" fontId="41" fillId="14" borderId="10" xfId="0" applyNumberFormat="1" applyFont="1" applyFill="1" applyBorder="1" applyAlignment="1">
      <alignment vertical="center"/>
    </xf>
    <xf numFmtId="173" fontId="39" fillId="14" borderId="10" xfId="1" applyNumberFormat="1" applyFont="1" applyFill="1" applyBorder="1" applyAlignment="1">
      <alignment horizontal="right" vertical="center"/>
    </xf>
    <xf numFmtId="0" fontId="24" fillId="4" borderId="27"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4" fillId="15" borderId="27" xfId="0" applyFont="1" applyFill="1" applyBorder="1" applyAlignment="1">
      <alignment horizontal="center" vertical="center" wrapText="1"/>
    </xf>
    <xf numFmtId="0" fontId="45" fillId="11" borderId="13" xfId="0" applyFont="1" applyFill="1" applyBorder="1" applyAlignment="1">
      <alignment horizontal="center" vertical="center"/>
    </xf>
    <xf numFmtId="0" fontId="45" fillId="11" borderId="0" xfId="0" applyFont="1" applyFill="1" applyBorder="1" applyAlignment="1">
      <alignment horizontal="center" vertical="center"/>
    </xf>
    <xf numFmtId="0" fontId="45" fillId="11" borderId="14" xfId="0" applyFont="1" applyFill="1" applyBorder="1" applyAlignment="1">
      <alignment horizontal="center" vertical="center"/>
    </xf>
    <xf numFmtId="0" fontId="45" fillId="11" borderId="11" xfId="0" applyFont="1" applyFill="1" applyBorder="1" applyAlignment="1">
      <alignment horizontal="center" vertical="center"/>
    </xf>
    <xf numFmtId="0" fontId="46" fillId="3" borderId="9" xfId="0" applyFont="1" applyFill="1" applyBorder="1" applyAlignment="1">
      <alignment horizontal="left" vertical="center" wrapText="1"/>
    </xf>
    <xf numFmtId="3" fontId="46" fillId="17" borderId="6" xfId="0" applyNumberFormat="1" applyFont="1" applyFill="1" applyBorder="1" applyAlignment="1">
      <alignment horizontal="center" vertical="center" wrapText="1"/>
    </xf>
    <xf numFmtId="3" fontId="46" fillId="17" borderId="7" xfId="0" applyNumberFormat="1" applyFont="1" applyFill="1" applyBorder="1" applyAlignment="1">
      <alignment horizontal="center" vertical="center" wrapText="1"/>
    </xf>
    <xf numFmtId="3" fontId="46" fillId="18" borderId="8" xfId="0" applyNumberFormat="1" applyFont="1" applyFill="1" applyBorder="1" applyAlignment="1">
      <alignment horizontal="center" vertical="center" wrapText="1"/>
    </xf>
    <xf numFmtId="3" fontId="46" fillId="3" borderId="6" xfId="0" applyNumberFormat="1" applyFont="1" applyFill="1" applyBorder="1" applyAlignment="1">
      <alignment horizontal="right" vertical="center" wrapText="1"/>
    </xf>
    <xf numFmtId="3" fontId="46" fillId="3" borderId="7" xfId="0" applyNumberFormat="1" applyFont="1" applyFill="1" applyBorder="1" applyAlignment="1">
      <alignment horizontal="right" vertical="center" wrapText="1"/>
    </xf>
    <xf numFmtId="0" fontId="48" fillId="2" borderId="3" xfId="0" applyFont="1" applyFill="1" applyBorder="1" applyAlignment="1">
      <alignment horizontal="left" vertical="center" wrapText="1"/>
    </xf>
    <xf numFmtId="3" fontId="21" fillId="2" borderId="3" xfId="0" applyNumberFormat="1" applyFont="1" applyFill="1" applyBorder="1" applyAlignment="1">
      <alignment horizontal="right" vertical="center" wrapText="1"/>
    </xf>
    <xf numFmtId="3" fontId="21" fillId="2" borderId="0" xfId="0" applyNumberFormat="1" applyFont="1" applyFill="1" applyBorder="1" applyAlignment="1">
      <alignment horizontal="right" vertical="center" wrapText="1"/>
    </xf>
    <xf numFmtId="3" fontId="21" fillId="19" borderId="0" xfId="0" applyNumberFormat="1" applyFont="1" applyFill="1" applyBorder="1" applyAlignment="1">
      <alignment horizontal="right" vertical="center" wrapText="1"/>
    </xf>
    <xf numFmtId="3" fontId="21" fillId="2" borderId="4" xfId="0" applyNumberFormat="1" applyFont="1" applyFill="1" applyBorder="1" applyAlignment="1">
      <alignment horizontal="right" vertical="center" wrapText="1"/>
    </xf>
    <xf numFmtId="168" fontId="21" fillId="2" borderId="3" xfId="6" applyNumberFormat="1" applyFont="1" applyFill="1" applyBorder="1" applyAlignment="1">
      <alignment horizontal="right" vertical="center" wrapText="1"/>
    </xf>
    <xf numFmtId="3" fontId="21" fillId="19" borderId="10" xfId="0" applyNumberFormat="1" applyFont="1" applyFill="1" applyBorder="1" applyAlignment="1">
      <alignment horizontal="right" vertical="center" wrapText="1"/>
    </xf>
    <xf numFmtId="0" fontId="19" fillId="3" borderId="3" xfId="0" applyFont="1" applyFill="1" applyBorder="1" applyAlignment="1">
      <alignment horizontal="left" vertical="center" wrapText="1"/>
    </xf>
    <xf numFmtId="3" fontId="46" fillId="3" borderId="3" xfId="0" applyNumberFormat="1" applyFont="1" applyFill="1" applyBorder="1" applyAlignment="1">
      <alignment horizontal="right" vertical="center" wrapText="1"/>
    </xf>
    <xf numFmtId="3" fontId="46" fillId="3" borderId="0" xfId="0" applyNumberFormat="1" applyFont="1" applyFill="1" applyBorder="1" applyAlignment="1">
      <alignment horizontal="right" vertical="center" wrapText="1"/>
    </xf>
    <xf numFmtId="3" fontId="46" fillId="18" borderId="0" xfId="0" applyNumberFormat="1" applyFont="1" applyFill="1" applyBorder="1" applyAlignment="1">
      <alignment horizontal="right" vertical="center" wrapText="1"/>
    </xf>
    <xf numFmtId="3" fontId="46" fillId="18"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1"/>
    </xf>
    <xf numFmtId="3" fontId="21" fillId="3" borderId="3" xfId="0" applyNumberFormat="1" applyFont="1" applyFill="1" applyBorder="1" applyAlignment="1">
      <alignment horizontal="right" vertical="center" wrapText="1"/>
    </xf>
    <xf numFmtId="3" fontId="21" fillId="3" borderId="0" xfId="0" applyNumberFormat="1" applyFont="1" applyFill="1" applyBorder="1" applyAlignment="1">
      <alignment horizontal="right" vertical="center" wrapText="1"/>
    </xf>
    <xf numFmtId="3" fontId="21" fillId="18" borderId="0" xfId="0" applyNumberFormat="1" applyFont="1" applyFill="1" applyBorder="1" applyAlignment="1">
      <alignment horizontal="right" vertical="center" wrapText="1"/>
    </xf>
    <xf numFmtId="3" fontId="36" fillId="3" borderId="0" xfId="0" applyNumberFormat="1" applyFont="1" applyFill="1" applyBorder="1" applyAlignment="1">
      <alignment horizontal="right" vertical="center" wrapText="1"/>
    </xf>
    <xf numFmtId="3" fontId="21" fillId="18" borderId="10" xfId="0" applyNumberFormat="1" applyFont="1" applyFill="1" applyBorder="1" applyAlignment="1">
      <alignment horizontal="right" vertical="center" wrapText="1"/>
    </xf>
    <xf numFmtId="0" fontId="50" fillId="3" borderId="3" xfId="0" applyFont="1" applyFill="1" applyBorder="1" applyAlignment="1">
      <alignment horizontal="left" vertical="center" wrapText="1" indent="3"/>
    </xf>
    <xf numFmtId="3" fontId="51" fillId="3" borderId="3" xfId="0" applyNumberFormat="1" applyFont="1" applyFill="1" applyBorder="1" applyAlignment="1">
      <alignment horizontal="right" vertical="center" wrapText="1"/>
    </xf>
    <xf numFmtId="3" fontId="51" fillId="3" borderId="0" xfId="0" applyNumberFormat="1" applyFont="1" applyFill="1" applyBorder="1" applyAlignment="1">
      <alignment horizontal="right" vertical="center" wrapText="1"/>
    </xf>
    <xf numFmtId="3" fontId="51" fillId="18" borderId="0"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3" fontId="51" fillId="18" borderId="1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21" fillId="3" borderId="29" xfId="0" applyNumberFormat="1" applyFont="1" applyFill="1" applyBorder="1" applyAlignment="1">
      <alignment horizontal="right" vertical="center" wrapText="1"/>
    </xf>
    <xf numFmtId="3" fontId="21" fillId="3" borderId="30" xfId="0" applyNumberFormat="1" applyFont="1" applyFill="1" applyBorder="1" applyAlignment="1">
      <alignment horizontal="right" vertical="center" wrapText="1"/>
    </xf>
    <xf numFmtId="0" fontId="19" fillId="3" borderId="31" xfId="0" applyFont="1" applyFill="1" applyBorder="1" applyAlignment="1">
      <alignment horizontal="left" vertical="center" wrapText="1"/>
    </xf>
    <xf numFmtId="3" fontId="46" fillId="3" borderId="32" xfId="0" applyNumberFormat="1" applyFont="1" applyFill="1" applyBorder="1" applyAlignment="1">
      <alignment horizontal="right" vertical="center" wrapText="1"/>
    </xf>
    <xf numFmtId="3" fontId="46" fillId="3" borderId="33" xfId="0" applyNumberFormat="1" applyFont="1" applyFill="1" applyBorder="1" applyAlignment="1">
      <alignment horizontal="right" vertical="center" wrapText="1"/>
    </xf>
    <xf numFmtId="3" fontId="46" fillId="18" borderId="33" xfId="0" applyNumberFormat="1" applyFont="1" applyFill="1" applyBorder="1" applyAlignment="1">
      <alignment horizontal="right" vertical="center" wrapText="1"/>
    </xf>
    <xf numFmtId="3" fontId="20" fillId="3" borderId="33" xfId="0" applyNumberFormat="1" applyFont="1" applyFill="1" applyBorder="1" applyAlignment="1">
      <alignment horizontal="right" vertical="center" wrapText="1"/>
    </xf>
    <xf numFmtId="3" fontId="46" fillId="18" borderId="34" xfId="0" applyNumberFormat="1" applyFont="1" applyFill="1" applyBorder="1" applyAlignment="1">
      <alignment horizontal="right" vertical="center" wrapText="1"/>
    </xf>
    <xf numFmtId="0" fontId="49" fillId="3" borderId="4" xfId="0" applyFont="1" applyFill="1" applyBorder="1" applyAlignment="1">
      <alignment horizontal="left" vertical="center"/>
    </xf>
    <xf numFmtId="166" fontId="21" fillId="3" borderId="4" xfId="0" applyNumberFormat="1" applyFont="1" applyFill="1" applyBorder="1" applyAlignment="1">
      <alignment horizontal="right" vertical="center" wrapText="1"/>
    </xf>
    <xf numFmtId="166" fontId="21" fillId="3" borderId="11" xfId="0" applyNumberFormat="1" applyFont="1" applyFill="1" applyBorder="1" applyAlignment="1">
      <alignment horizontal="right" vertical="center" wrapText="1"/>
    </xf>
    <xf numFmtId="166" fontId="21" fillId="18" borderId="11" xfId="0" applyNumberFormat="1" applyFont="1" applyFill="1" applyBorder="1" applyAlignment="1">
      <alignment horizontal="right" vertical="center" wrapText="1"/>
    </xf>
    <xf numFmtId="169" fontId="36" fillId="3" borderId="0" xfId="0" applyNumberFormat="1" applyFont="1" applyFill="1" applyBorder="1" applyAlignment="1">
      <alignment horizontal="right" vertical="center" wrapText="1"/>
    </xf>
    <xf numFmtId="166" fontId="21" fillId="18" borderId="12" xfId="0" applyNumberFormat="1" applyFont="1" applyFill="1" applyBorder="1" applyAlignment="1">
      <alignment horizontal="right" vertical="center" wrapText="1"/>
    </xf>
    <xf numFmtId="0" fontId="49" fillId="3" borderId="3" xfId="0" applyFont="1" applyFill="1" applyBorder="1" applyAlignment="1">
      <alignment horizontal="left" vertical="center" wrapText="1"/>
    </xf>
    <xf numFmtId="3" fontId="21" fillId="17" borderId="3" xfId="0" applyNumberFormat="1" applyFont="1" applyFill="1" applyBorder="1" applyAlignment="1">
      <alignment horizontal="right" vertical="center" wrapText="1"/>
    </xf>
    <xf numFmtId="3" fontId="21" fillId="17" borderId="0" xfId="0" applyNumberFormat="1" applyFont="1" applyFill="1" applyBorder="1" applyAlignment="1">
      <alignment horizontal="right" vertical="center" wrapText="1"/>
    </xf>
    <xf numFmtId="168" fontId="21" fillId="3" borderId="0" xfId="0" applyNumberFormat="1" applyFont="1" applyFill="1" applyBorder="1" applyAlignment="1">
      <alignment horizontal="right" vertical="center" wrapText="1"/>
    </xf>
    <xf numFmtId="168" fontId="21" fillId="18" borderId="0" xfId="0" applyNumberFormat="1" applyFont="1" applyFill="1" applyBorder="1" applyAlignment="1">
      <alignment horizontal="right" vertical="center" wrapText="1"/>
    </xf>
    <xf numFmtId="168" fontId="21" fillId="3" borderId="3" xfId="0" applyNumberFormat="1" applyFont="1" applyFill="1" applyBorder="1" applyAlignment="1">
      <alignment horizontal="right" vertical="center" wrapText="1"/>
    </xf>
    <xf numFmtId="168" fontId="36" fillId="3" borderId="0" xfId="0" applyNumberFormat="1" applyFont="1" applyFill="1" applyBorder="1" applyAlignment="1">
      <alignment horizontal="right" vertical="center" wrapText="1"/>
    </xf>
    <xf numFmtId="168" fontId="21" fillId="18" borderId="10" xfId="0" applyNumberFormat="1" applyFont="1" applyFill="1" applyBorder="1" applyAlignment="1">
      <alignment horizontal="right" vertical="center" wrapText="1"/>
    </xf>
    <xf numFmtId="2" fontId="21" fillId="3" borderId="5" xfId="0" applyNumberFormat="1" applyFont="1" applyFill="1" applyBorder="1" applyAlignment="1">
      <alignment horizontal="right" vertical="center" wrapText="1"/>
    </xf>
    <xf numFmtId="2" fontId="21" fillId="3" borderId="18" xfId="0" applyNumberFormat="1" applyFont="1" applyFill="1" applyBorder="1" applyAlignment="1">
      <alignment horizontal="right" vertical="center" wrapText="1"/>
    </xf>
    <xf numFmtId="2" fontId="21" fillId="18" borderId="19" xfId="0" applyNumberFormat="1" applyFont="1" applyFill="1" applyBorder="1" applyAlignment="1">
      <alignment horizontal="right" vertical="center" wrapText="1"/>
    </xf>
    <xf numFmtId="4" fontId="36" fillId="3" borderId="18" xfId="0" applyNumberFormat="1" applyFont="1" applyFill="1" applyBorder="1" applyAlignment="1">
      <alignment horizontal="right" vertical="center" wrapText="1"/>
    </xf>
    <xf numFmtId="0" fontId="19" fillId="3" borderId="4" xfId="0" applyFont="1" applyFill="1" applyBorder="1" applyAlignment="1">
      <alignment horizontal="left" vertical="center"/>
    </xf>
    <xf numFmtId="3" fontId="46" fillId="3" borderId="4" xfId="0" applyNumberFormat="1" applyFont="1" applyFill="1" applyBorder="1" applyAlignment="1">
      <alignment horizontal="right" vertical="center" wrapText="1"/>
    </xf>
    <xf numFmtId="3" fontId="46" fillId="3" borderId="11" xfId="0" applyNumberFormat="1" applyFont="1" applyFill="1" applyBorder="1" applyAlignment="1">
      <alignment horizontal="right" vertical="center" wrapText="1"/>
    </xf>
    <xf numFmtId="3" fontId="51" fillId="3" borderId="3" xfId="6" applyNumberFormat="1" applyFont="1" applyFill="1" applyBorder="1" applyAlignment="1">
      <alignment horizontal="right" vertical="center" wrapText="1"/>
    </xf>
    <xf numFmtId="3" fontId="21" fillId="3" borderId="3" xfId="6" applyNumberFormat="1" applyFont="1" applyFill="1" applyBorder="1" applyAlignment="1">
      <alignment horizontal="right" vertical="center" wrapText="1"/>
    </xf>
    <xf numFmtId="0" fontId="19" fillId="3" borderId="35" xfId="0" applyFont="1" applyFill="1" applyBorder="1" applyAlignment="1">
      <alignment horizontal="left" vertical="center" wrapText="1"/>
    </xf>
    <xf numFmtId="3" fontId="9" fillId="3" borderId="35" xfId="0" applyNumberFormat="1" applyFont="1" applyFill="1" applyBorder="1" applyAlignment="1">
      <alignment vertical="center"/>
    </xf>
    <xf numFmtId="3" fontId="9" fillId="3" borderId="33" xfId="0" applyNumberFormat="1" applyFont="1" applyFill="1" applyBorder="1" applyAlignment="1">
      <alignment vertical="center"/>
    </xf>
    <xf numFmtId="3" fontId="9" fillId="18" borderId="33" xfId="0" applyNumberFormat="1" applyFont="1" applyFill="1" applyBorder="1" applyAlignment="1">
      <alignment vertical="center"/>
    </xf>
    <xf numFmtId="3" fontId="9" fillId="3" borderId="32" xfId="0" applyNumberFormat="1" applyFont="1" applyFill="1" applyBorder="1" applyAlignment="1">
      <alignment vertical="center"/>
    </xf>
    <xf numFmtId="3" fontId="9" fillId="18" borderId="34" xfId="0" applyNumberFormat="1" applyFont="1" applyFill="1" applyBorder="1" applyAlignment="1">
      <alignment vertical="center"/>
    </xf>
    <xf numFmtId="0" fontId="18" fillId="2" borderId="4" xfId="0" applyFont="1" applyFill="1" applyBorder="1" applyAlignment="1">
      <alignment horizontal="left" vertical="center" wrapText="1"/>
    </xf>
    <xf numFmtId="3" fontId="18" fillId="20" borderId="4" xfId="0" applyNumberFormat="1" applyFont="1" applyFill="1" applyBorder="1" applyAlignment="1">
      <alignment horizontal="right" vertical="center" wrapText="1"/>
    </xf>
    <xf numFmtId="3" fontId="18" fillId="20" borderId="11" xfId="0" applyNumberFormat="1" applyFont="1" applyFill="1" applyBorder="1" applyAlignment="1">
      <alignment horizontal="right" vertical="center" wrapText="1"/>
    </xf>
    <xf numFmtId="3" fontId="18" fillId="19" borderId="12" xfId="0" applyNumberFormat="1" applyFont="1" applyFill="1" applyBorder="1" applyAlignment="1">
      <alignment horizontal="right" vertical="center" wrapText="1"/>
    </xf>
    <xf numFmtId="166" fontId="53" fillId="2" borderId="4" xfId="0" applyNumberFormat="1" applyFont="1" applyFill="1" applyBorder="1" applyAlignment="1">
      <alignment horizontal="right" vertical="center" wrapText="1"/>
    </xf>
    <xf numFmtId="166" fontId="53" fillId="2" borderId="11" xfId="0" applyNumberFormat="1" applyFont="1" applyFill="1" applyBorder="1" applyAlignment="1">
      <alignment horizontal="right" vertical="center" wrapText="1"/>
    </xf>
    <xf numFmtId="166" fontId="18" fillId="2" borderId="0" xfId="0" applyNumberFormat="1" applyFont="1" applyFill="1" applyBorder="1" applyAlignment="1">
      <alignment horizontal="right" vertical="center" wrapText="1"/>
    </xf>
    <xf numFmtId="3" fontId="46" fillId="17" borderId="3" xfId="0" applyNumberFormat="1" applyFont="1" applyFill="1" applyBorder="1" applyAlignment="1">
      <alignment horizontal="right" vertical="center" wrapText="1"/>
    </xf>
    <xf numFmtId="3" fontId="46" fillId="17" borderId="0" xfId="0" applyNumberFormat="1" applyFont="1" applyFill="1" applyBorder="1" applyAlignment="1">
      <alignment horizontal="right" vertical="center" wrapText="1"/>
    </xf>
    <xf numFmtId="3" fontId="21" fillId="17" borderId="5" xfId="0" applyNumberFormat="1" applyFont="1" applyFill="1" applyBorder="1" applyAlignment="1">
      <alignment horizontal="right" vertical="center" wrapText="1"/>
    </xf>
    <xf numFmtId="3" fontId="21" fillId="17" borderId="18" xfId="0" applyNumberFormat="1" applyFont="1" applyFill="1" applyBorder="1" applyAlignment="1">
      <alignment horizontal="right" vertical="center" wrapText="1"/>
    </xf>
    <xf numFmtId="0" fontId="49" fillId="3" borderId="6" xfId="0" applyFont="1" applyFill="1" applyBorder="1" applyAlignment="1">
      <alignment horizontal="left" vertical="center" wrapText="1"/>
    </xf>
    <xf numFmtId="3" fontId="21" fillId="17" borderId="6" xfId="0" applyNumberFormat="1" applyFont="1" applyFill="1" applyBorder="1" applyAlignment="1">
      <alignment horizontal="right" vertical="center" wrapText="1"/>
    </xf>
    <xf numFmtId="3" fontId="21" fillId="17" borderId="7" xfId="0" applyNumberFormat="1" applyFont="1" applyFill="1" applyBorder="1" applyAlignment="1">
      <alignment horizontal="right" vertical="center" wrapText="1"/>
    </xf>
    <xf numFmtId="3" fontId="21" fillId="18" borderId="8" xfId="0" applyNumberFormat="1" applyFont="1" applyFill="1" applyBorder="1" applyAlignment="1">
      <alignment horizontal="right" vertical="center" wrapText="1"/>
    </xf>
    <xf numFmtId="166" fontId="21" fillId="3" borderId="6" xfId="0" applyNumberFormat="1" applyFont="1" applyFill="1" applyBorder="1" applyAlignment="1">
      <alignment horizontal="right" vertical="center" wrapText="1"/>
    </xf>
    <xf numFmtId="166" fontId="21" fillId="3" borderId="7" xfId="0" applyNumberFormat="1" applyFont="1" applyFill="1" applyBorder="1" applyAlignment="1">
      <alignment horizontal="right" vertical="center" wrapText="1"/>
    </xf>
    <xf numFmtId="169" fontId="21" fillId="18" borderId="8" xfId="0" applyNumberFormat="1" applyFont="1" applyFill="1" applyBorder="1" applyAlignment="1">
      <alignment horizontal="right" vertical="center" wrapText="1"/>
    </xf>
    <xf numFmtId="0" fontId="21" fillId="3" borderId="7" xfId="0" applyFont="1" applyFill="1" applyBorder="1" applyAlignment="1">
      <alignment horizontal="right" vertical="center" wrapText="1"/>
    </xf>
    <xf numFmtId="0" fontId="19" fillId="3" borderId="4" xfId="0" applyFont="1" applyFill="1" applyBorder="1" applyAlignment="1">
      <alignment horizontal="left" vertical="center" wrapText="1"/>
    </xf>
    <xf numFmtId="3" fontId="46" fillId="17" borderId="4" xfId="0" applyNumberFormat="1" applyFont="1" applyFill="1" applyBorder="1" applyAlignment="1">
      <alignment horizontal="right" vertical="center" wrapText="1"/>
    </xf>
    <xf numFmtId="3" fontId="46" fillId="17" borderId="11" xfId="0" applyNumberFormat="1" applyFont="1" applyFill="1" applyBorder="1" applyAlignment="1">
      <alignment horizontal="right" vertical="center" wrapText="1"/>
    </xf>
    <xf numFmtId="3" fontId="46" fillId="18" borderId="12" xfId="0" applyNumberFormat="1" applyFont="1" applyFill="1" applyBorder="1" applyAlignment="1">
      <alignment horizontal="right" vertical="center" wrapText="1"/>
    </xf>
    <xf numFmtId="0" fontId="49" fillId="3" borderId="5" xfId="0" applyFont="1" applyFill="1" applyBorder="1" applyAlignment="1">
      <alignment horizontal="left" vertical="center" wrapText="1" indent="1"/>
    </xf>
    <xf numFmtId="3" fontId="21" fillId="18" borderId="19" xfId="0" applyNumberFormat="1" applyFont="1" applyFill="1" applyBorder="1" applyAlignment="1">
      <alignment horizontal="right" vertical="center" wrapText="1"/>
    </xf>
    <xf numFmtId="3" fontId="21" fillId="3" borderId="5" xfId="0" applyNumberFormat="1" applyFont="1" applyFill="1" applyBorder="1" applyAlignment="1">
      <alignment horizontal="right" vertical="center" wrapText="1"/>
    </xf>
    <xf numFmtId="3" fontId="21" fillId="3" borderId="18" xfId="0" applyNumberFormat="1" applyFont="1" applyFill="1" applyBorder="1" applyAlignment="1">
      <alignment horizontal="right" vertical="center" wrapText="1"/>
    </xf>
    <xf numFmtId="3" fontId="36" fillId="3" borderId="18" xfId="0" applyNumberFormat="1" applyFont="1" applyFill="1" applyBorder="1" applyAlignment="1">
      <alignment horizontal="right" vertical="center" wrapText="1"/>
    </xf>
    <xf numFmtId="0" fontId="7" fillId="3" borderId="0" xfId="0" applyFont="1" applyFill="1" applyAlignment="1">
      <alignment vertical="center"/>
    </xf>
    <xf numFmtId="0" fontId="7" fillId="3" borderId="0" xfId="0" applyFont="1" applyFill="1" applyBorder="1" applyAlignment="1">
      <alignment vertical="center"/>
    </xf>
    <xf numFmtId="0" fontId="7" fillId="3" borderId="0" xfId="0" applyFont="1" applyFill="1" applyBorder="1" applyAlignment="1">
      <alignment vertical="top"/>
    </xf>
    <xf numFmtId="0" fontId="7" fillId="3" borderId="0" xfId="0" applyFont="1" applyFill="1" applyAlignment="1">
      <alignment vertical="top"/>
    </xf>
    <xf numFmtId="0" fontId="0" fillId="3" borderId="0" xfId="0" applyFill="1" applyBorder="1"/>
    <xf numFmtId="0" fontId="15" fillId="3" borderId="22" xfId="0" applyFont="1" applyFill="1" applyBorder="1" applyAlignment="1">
      <alignment vertical="center" wrapText="1"/>
    </xf>
    <xf numFmtId="10" fontId="15" fillId="2" borderId="0" xfId="0" applyNumberFormat="1" applyFont="1" applyFill="1" applyAlignment="1">
      <alignment horizontal="right" vertical="center" wrapText="1" indent="1"/>
    </xf>
    <xf numFmtId="179" fontId="32" fillId="21" borderId="12" xfId="0" applyNumberFormat="1" applyFont="1" applyFill="1" applyBorder="1" applyAlignment="1">
      <alignment horizontal="right" vertical="center" wrapText="1" indent="1"/>
    </xf>
    <xf numFmtId="10" fontId="57" fillId="3" borderId="0" xfId="2" applyNumberFormat="1" applyFont="1" applyFill="1" applyBorder="1" applyAlignment="1">
      <alignment horizontal="right" vertical="center" wrapText="1"/>
    </xf>
    <xf numFmtId="0" fontId="17" fillId="3" borderId="23" xfId="0" applyFont="1" applyFill="1" applyBorder="1" applyAlignment="1">
      <alignment vertical="center" wrapText="1"/>
    </xf>
    <xf numFmtId="10" fontId="15" fillId="2" borderId="36" xfId="0" applyNumberFormat="1" applyFont="1" applyFill="1" applyBorder="1" applyAlignment="1">
      <alignment horizontal="right" vertical="center" wrapText="1" indent="1"/>
    </xf>
    <xf numFmtId="10" fontId="15" fillId="3" borderId="37" xfId="0" applyNumberFormat="1" applyFont="1" applyFill="1" applyBorder="1" applyAlignment="1">
      <alignment horizontal="right" vertical="center" wrapText="1" indent="1"/>
    </xf>
    <xf numFmtId="179" fontId="32" fillId="21" borderId="38" xfId="0" applyNumberFormat="1" applyFont="1" applyFill="1" applyBorder="1" applyAlignment="1">
      <alignment horizontal="right" vertical="center" wrapText="1" indent="1"/>
    </xf>
    <xf numFmtId="10" fontId="5" fillId="2"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179" fontId="31" fillId="21" borderId="10" xfId="0" applyNumberFormat="1" applyFont="1" applyFill="1" applyBorder="1" applyAlignment="1">
      <alignment horizontal="right" vertical="center" wrapText="1" indent="1"/>
    </xf>
    <xf numFmtId="10" fontId="13" fillId="3" borderId="0" xfId="2" applyNumberFormat="1" applyFont="1" applyFill="1" applyBorder="1" applyAlignment="1">
      <alignment horizontal="right" vertical="center" wrapText="1"/>
    </xf>
    <xf numFmtId="10" fontId="60" fillId="3" borderId="0" xfId="0" applyNumberFormat="1" applyFont="1" applyFill="1" applyAlignment="1">
      <alignment horizontal="right" wrapText="1" indent="1"/>
    </xf>
    <xf numFmtId="0" fontId="57" fillId="3" borderId="6" xfId="0" applyFont="1" applyFill="1" applyBorder="1" applyAlignment="1">
      <alignment vertical="center" wrapText="1"/>
    </xf>
    <xf numFmtId="168" fontId="57" fillId="3" borderId="0" xfId="2" applyNumberFormat="1" applyFont="1" applyFill="1" applyBorder="1" applyAlignment="1">
      <alignment horizontal="right" vertical="center" wrapText="1"/>
    </xf>
    <xf numFmtId="0" fontId="37" fillId="3" borderId="0" xfId="0" applyFont="1" applyFill="1"/>
    <xf numFmtId="0" fontId="0" fillId="3" borderId="0" xfId="0" applyFill="1" applyAlignment="1">
      <alignment vertical="top"/>
    </xf>
    <xf numFmtId="0" fontId="0" fillId="3" borderId="0" xfId="0" applyFill="1" applyAlignment="1">
      <alignment wrapText="1"/>
    </xf>
    <xf numFmtId="0" fontId="0" fillId="3" borderId="0" xfId="0" applyFill="1" applyAlignment="1">
      <alignment vertical="top" wrapText="1"/>
    </xf>
    <xf numFmtId="0" fontId="36" fillId="3" borderId="0" xfId="0" applyFont="1" applyFill="1" applyAlignment="1">
      <alignment horizontal="left" vertical="top"/>
    </xf>
    <xf numFmtId="0" fontId="0" fillId="3" borderId="0" xfId="0" applyFont="1" applyFill="1" applyAlignment="1">
      <alignment vertical="top"/>
    </xf>
    <xf numFmtId="0" fontId="27" fillId="5" borderId="5" xfId="0" applyFont="1" applyFill="1" applyBorder="1" applyAlignment="1">
      <alignment horizontal="right" vertical="center"/>
    </xf>
    <xf numFmtId="0" fontId="27" fillId="5" borderId="18" xfId="0" applyFont="1" applyFill="1" applyBorder="1" applyAlignment="1">
      <alignment horizontal="right" vertical="center"/>
    </xf>
    <xf numFmtId="0" fontId="23" fillId="4" borderId="18" xfId="0" applyFont="1" applyFill="1" applyBorder="1" applyAlignment="1">
      <alignment horizontal="left" vertical="center" wrapText="1"/>
    </xf>
    <xf numFmtId="0" fontId="23" fillId="4" borderId="18" xfId="0" applyFont="1" applyFill="1" applyBorder="1" applyAlignment="1">
      <alignment horizontal="right" vertical="center" wrapText="1"/>
    </xf>
    <xf numFmtId="0" fontId="28" fillId="4" borderId="19" xfId="0" applyFont="1" applyFill="1" applyBorder="1" applyAlignment="1">
      <alignment horizontal="right" vertical="center" wrapText="1"/>
    </xf>
    <xf numFmtId="0" fontId="28" fillId="4" borderId="8" xfId="0" applyFont="1" applyFill="1" applyBorder="1" applyAlignment="1">
      <alignment horizontal="right" vertical="center" wrapText="1"/>
    </xf>
    <xf numFmtId="166" fontId="25" fillId="6" borderId="11" xfId="0" applyNumberFormat="1" applyFont="1" applyFill="1" applyBorder="1" applyAlignment="1">
      <alignment vertical="center" wrapText="1"/>
    </xf>
    <xf numFmtId="0" fontId="23" fillId="3" borderId="6" xfId="0" applyFont="1" applyFill="1" applyBorder="1" applyAlignment="1">
      <alignment vertical="center"/>
    </xf>
    <xf numFmtId="0" fontId="11" fillId="3" borderId="3" xfId="0" applyFont="1" applyFill="1" applyBorder="1" applyAlignment="1">
      <alignment vertical="center"/>
    </xf>
    <xf numFmtId="0" fontId="11" fillId="3" borderId="3" xfId="0" applyFont="1" applyFill="1" applyBorder="1" applyAlignment="1">
      <alignment vertical="center" wrapText="1"/>
    </xf>
    <xf numFmtId="0" fontId="24" fillId="3" borderId="15" xfId="0" applyFont="1" applyFill="1" applyBorder="1" applyAlignment="1">
      <alignment vertical="center"/>
    </xf>
    <xf numFmtId="0" fontId="54" fillId="5" borderId="6" xfId="0" applyFont="1" applyFill="1" applyBorder="1" applyAlignment="1">
      <alignment horizontal="right" vertical="center"/>
    </xf>
    <xf numFmtId="0" fontId="17" fillId="4" borderId="7" xfId="0" applyFont="1" applyFill="1" applyBorder="1" applyAlignment="1">
      <alignment horizontal="right" vertical="center" wrapText="1"/>
    </xf>
    <xf numFmtId="0" fontId="55" fillId="4" borderId="8" xfId="0" applyFont="1" applyFill="1" applyBorder="1" applyAlignment="1">
      <alignment horizontal="right" vertical="center" wrapText="1"/>
    </xf>
    <xf numFmtId="0" fontId="24" fillId="15" borderId="28" xfId="0" applyFont="1" applyFill="1" applyBorder="1" applyAlignment="1">
      <alignment horizontal="center" vertical="center" wrapText="1"/>
    </xf>
    <xf numFmtId="168" fontId="5" fillId="3" borderId="0" xfId="0" applyNumberFormat="1" applyFont="1" applyFill="1" applyBorder="1" applyAlignment="1">
      <alignment horizontal="right" wrapText="1" indent="1"/>
    </xf>
    <xf numFmtId="182" fontId="11" fillId="14" borderId="10" xfId="0" applyNumberFormat="1" applyFont="1" applyFill="1" applyBorder="1" applyAlignment="1">
      <alignment vertical="center"/>
    </xf>
    <xf numFmtId="182" fontId="41" fillId="14" borderId="10" xfId="0" applyNumberFormat="1" applyFont="1" applyFill="1" applyBorder="1" applyAlignment="1">
      <alignment vertical="center"/>
    </xf>
    <xf numFmtId="182" fontId="24" fillId="12" borderId="8" xfId="0" applyNumberFormat="1" applyFont="1" applyFill="1" applyBorder="1" applyAlignment="1">
      <alignment vertical="center"/>
    </xf>
    <xf numFmtId="182" fontId="24" fillId="4" borderId="28" xfId="0" applyNumberFormat="1" applyFont="1" applyFill="1" applyBorder="1" applyAlignment="1">
      <alignment vertical="center"/>
    </xf>
    <xf numFmtId="182" fontId="11" fillId="14" borderId="12" xfId="0" applyNumberFormat="1" applyFont="1" applyFill="1" applyBorder="1" applyAlignment="1">
      <alignment vertical="center"/>
    </xf>
    <xf numFmtId="183" fontId="24" fillId="12" borderId="8" xfId="0" applyNumberFormat="1" applyFont="1" applyFill="1" applyBorder="1" applyAlignment="1">
      <alignment vertical="center"/>
    </xf>
    <xf numFmtId="183" fontId="11" fillId="14" borderId="10" xfId="0" applyNumberFormat="1" applyFont="1" applyFill="1" applyBorder="1" applyAlignment="1">
      <alignment vertical="center"/>
    </xf>
    <xf numFmtId="183" fontId="26" fillId="14" borderId="10" xfId="0" applyNumberFormat="1" applyFont="1" applyFill="1" applyBorder="1" applyAlignment="1">
      <alignment horizontal="right" vertical="center"/>
    </xf>
    <xf numFmtId="183" fontId="24" fillId="4" borderId="28" xfId="0" applyNumberFormat="1" applyFont="1" applyFill="1" applyBorder="1" applyAlignment="1">
      <alignment vertical="center"/>
    </xf>
    <xf numFmtId="183" fontId="24" fillId="3" borderId="6" xfId="0" applyNumberFormat="1" applyFont="1" applyFill="1" applyBorder="1" applyAlignment="1">
      <alignment vertical="center"/>
    </xf>
    <xf numFmtId="183" fontId="24" fillId="3" borderId="7" xfId="0" applyNumberFormat="1" applyFont="1" applyFill="1" applyBorder="1" applyAlignment="1">
      <alignment vertical="center"/>
    </xf>
    <xf numFmtId="183" fontId="24" fillId="2" borderId="8" xfId="0" applyNumberFormat="1" applyFont="1" applyFill="1" applyBorder="1" applyAlignment="1">
      <alignment vertical="center"/>
    </xf>
    <xf numFmtId="183" fontId="11" fillId="3" borderId="3" xfId="0" applyNumberFormat="1" applyFont="1" applyFill="1" applyBorder="1" applyAlignment="1">
      <alignment vertical="center"/>
    </xf>
    <xf numFmtId="183" fontId="11" fillId="3" borderId="0" xfId="0" applyNumberFormat="1" applyFont="1" applyFill="1" applyBorder="1" applyAlignment="1">
      <alignment vertical="center"/>
    </xf>
    <xf numFmtId="183" fontId="11" fillId="2" borderId="10" xfId="0" applyNumberFormat="1" applyFont="1" applyFill="1" applyBorder="1" applyAlignment="1">
      <alignment vertical="center"/>
    </xf>
    <xf numFmtId="183" fontId="24" fillId="12" borderId="6" xfId="0" applyNumberFormat="1" applyFont="1" applyFill="1" applyBorder="1" applyAlignment="1">
      <alignment vertical="center"/>
    </xf>
    <xf numFmtId="183" fontId="24" fillId="12" borderId="7" xfId="0" applyNumberFormat="1" applyFont="1" applyFill="1" applyBorder="1" applyAlignment="1">
      <alignment vertical="center"/>
    </xf>
    <xf numFmtId="183" fontId="24" fillId="7" borderId="8" xfId="0" applyNumberFormat="1" applyFont="1" applyFill="1" applyBorder="1" applyAlignment="1">
      <alignment vertical="center"/>
    </xf>
    <xf numFmtId="183" fontId="24" fillId="3" borderId="15" xfId="0" applyNumberFormat="1" applyFont="1" applyFill="1" applyBorder="1" applyAlignment="1">
      <alignment vertical="center"/>
    </xf>
    <xf numFmtId="183" fontId="24" fillId="3" borderId="2" xfId="0" applyNumberFormat="1" applyFont="1" applyFill="1" applyBorder="1" applyAlignment="1">
      <alignment vertical="center"/>
    </xf>
    <xf numFmtId="183" fontId="24" fillId="2" borderId="16" xfId="0" applyNumberFormat="1" applyFont="1" applyFill="1" applyBorder="1" applyAlignment="1">
      <alignment vertical="center"/>
    </xf>
    <xf numFmtId="183" fontId="24" fillId="2" borderId="7" xfId="0" applyNumberFormat="1" applyFont="1" applyFill="1" applyBorder="1" applyAlignment="1">
      <alignment vertical="center"/>
    </xf>
    <xf numFmtId="183" fontId="11" fillId="3" borderId="0" xfId="0" applyNumberFormat="1" applyFont="1" applyFill="1" applyAlignment="1">
      <alignment vertical="center"/>
    </xf>
    <xf numFmtId="183" fontId="11" fillId="2" borderId="0" xfId="0" applyNumberFormat="1" applyFont="1" applyFill="1" applyAlignment="1">
      <alignment vertical="center"/>
    </xf>
    <xf numFmtId="183" fontId="24" fillId="7" borderId="7" xfId="0" applyNumberFormat="1" applyFont="1" applyFill="1" applyBorder="1" applyAlignment="1">
      <alignment vertical="center"/>
    </xf>
    <xf numFmtId="183" fontId="24" fillId="2" borderId="2" xfId="0" applyNumberFormat="1" applyFont="1" applyFill="1" applyBorder="1" applyAlignment="1">
      <alignment vertical="center"/>
    </xf>
    <xf numFmtId="183" fontId="11" fillId="2" borderId="0" xfId="0" applyNumberFormat="1" applyFont="1" applyFill="1" applyBorder="1" applyAlignment="1">
      <alignment vertical="center"/>
    </xf>
    <xf numFmtId="184" fontId="11" fillId="3" borderId="0" xfId="0" applyNumberFormat="1" applyFont="1" applyFill="1" applyBorder="1" applyAlignment="1">
      <alignment vertical="center"/>
    </xf>
    <xf numFmtId="184" fontId="11" fillId="3" borderId="10" xfId="0" applyNumberFormat="1" applyFont="1" applyFill="1" applyBorder="1" applyAlignment="1">
      <alignment vertical="center"/>
    </xf>
    <xf numFmtId="184" fontId="11" fillId="3" borderId="3" xfId="0" applyNumberFormat="1" applyFont="1" applyFill="1" applyBorder="1" applyAlignment="1">
      <alignment vertical="center"/>
    </xf>
    <xf numFmtId="184" fontId="11" fillId="3" borderId="0" xfId="0" applyNumberFormat="1" applyFont="1" applyFill="1" applyAlignment="1">
      <alignment vertical="center"/>
    </xf>
    <xf numFmtId="184" fontId="11" fillId="3" borderId="18" xfId="0" applyNumberFormat="1" applyFont="1" applyFill="1" applyBorder="1" applyAlignment="1">
      <alignment vertical="center"/>
    </xf>
    <xf numFmtId="183" fontId="11" fillId="0" borderId="0" xfId="0" applyNumberFormat="1" applyFont="1" applyFill="1" applyBorder="1" applyAlignment="1">
      <alignment vertical="center"/>
    </xf>
    <xf numFmtId="183" fontId="5" fillId="2" borderId="11" xfId="0" applyNumberFormat="1" applyFont="1" applyFill="1" applyBorder="1" applyAlignment="1">
      <alignment horizontal="right" vertical="center"/>
    </xf>
    <xf numFmtId="183" fontId="5" fillId="3" borderId="11" xfId="0" applyNumberFormat="1" applyFont="1" applyFill="1" applyBorder="1" applyAlignment="1">
      <alignment horizontal="right" vertical="center"/>
    </xf>
    <xf numFmtId="183" fontId="31" fillId="3" borderId="12" xfId="0" applyNumberFormat="1" applyFont="1" applyFill="1" applyBorder="1" applyAlignment="1">
      <alignment horizontal="right" vertical="center"/>
    </xf>
    <xf numFmtId="183" fontId="5" fillId="2" borderId="3" xfId="0" applyNumberFormat="1" applyFont="1" applyFill="1" applyBorder="1" applyAlignment="1">
      <alignment horizontal="right" vertical="center"/>
    </xf>
    <xf numFmtId="183" fontId="5" fillId="2" borderId="0" xfId="0" applyNumberFormat="1" applyFont="1" applyFill="1" applyBorder="1" applyAlignment="1">
      <alignment horizontal="right" vertical="center"/>
    </xf>
    <xf numFmtId="183" fontId="5" fillId="3" borderId="0" xfId="0" applyNumberFormat="1" applyFont="1" applyFill="1" applyBorder="1" applyAlignment="1">
      <alignment horizontal="right" vertical="center"/>
    </xf>
    <xf numFmtId="183" fontId="31" fillId="3" borderId="10" xfId="0" applyNumberFormat="1" applyFont="1" applyFill="1" applyBorder="1" applyAlignment="1">
      <alignment horizontal="right" vertical="center"/>
    </xf>
    <xf numFmtId="183" fontId="15" fillId="2" borderId="3" xfId="0" applyNumberFormat="1" applyFont="1" applyFill="1" applyBorder="1" applyAlignment="1">
      <alignment horizontal="right" vertical="center"/>
    </xf>
    <xf numFmtId="183" fontId="15" fillId="2" borderId="0" xfId="0" applyNumberFormat="1" applyFont="1" applyFill="1" applyBorder="1" applyAlignment="1">
      <alignment horizontal="right" vertical="center"/>
    </xf>
    <xf numFmtId="183" fontId="15" fillId="3" borderId="0" xfId="0" applyNumberFormat="1" applyFont="1" applyFill="1" applyBorder="1" applyAlignment="1">
      <alignment horizontal="right" vertical="center"/>
    </xf>
    <xf numFmtId="183" fontId="32" fillId="3" borderId="10" xfId="0" applyNumberFormat="1" applyFont="1" applyFill="1" applyBorder="1" applyAlignment="1">
      <alignment horizontal="right" vertical="center"/>
    </xf>
    <xf numFmtId="183" fontId="15" fillId="2" borderId="1" xfId="0" applyNumberFormat="1" applyFont="1" applyFill="1" applyBorder="1" applyAlignment="1">
      <alignment horizontal="right" vertical="center"/>
    </xf>
    <xf numFmtId="183" fontId="15" fillId="3" borderId="1" xfId="0" applyNumberFormat="1" applyFont="1" applyFill="1" applyBorder="1" applyAlignment="1">
      <alignment horizontal="right" vertical="center"/>
    </xf>
    <xf numFmtId="183" fontId="5" fillId="2" borderId="26" xfId="0" applyNumberFormat="1" applyFont="1" applyFill="1" applyBorder="1" applyAlignment="1">
      <alignment horizontal="right" vertical="center"/>
    </xf>
    <xf numFmtId="183" fontId="5" fillId="3" borderId="27" xfId="0" applyNumberFormat="1" applyFont="1" applyFill="1" applyBorder="1" applyAlignment="1">
      <alignment horizontal="right" vertical="center"/>
    </xf>
    <xf numFmtId="183" fontId="31" fillId="3" borderId="28" xfId="0" applyNumberFormat="1" applyFont="1" applyFill="1" applyBorder="1" applyAlignment="1">
      <alignment horizontal="right" vertical="center"/>
    </xf>
    <xf numFmtId="183" fontId="0" fillId="2" borderId="4" xfId="0" applyNumberFormat="1" applyFill="1" applyBorder="1" applyAlignment="1">
      <alignment vertical="center"/>
    </xf>
    <xf numFmtId="183" fontId="0" fillId="2" borderId="11" xfId="0" applyNumberFormat="1" applyFill="1" applyBorder="1" applyAlignment="1">
      <alignment vertical="center"/>
    </xf>
    <xf numFmtId="183" fontId="0" fillId="3" borderId="11" xfId="0" applyNumberFormat="1" applyFill="1" applyBorder="1" applyAlignment="1">
      <alignment vertical="center"/>
    </xf>
    <xf numFmtId="183" fontId="35" fillId="3" borderId="12" xfId="0" applyNumberFormat="1" applyFont="1" applyFill="1" applyBorder="1" applyAlignment="1">
      <alignment vertical="center"/>
    </xf>
    <xf numFmtId="183" fontId="5" fillId="2" borderId="0" xfId="0" applyNumberFormat="1" applyFont="1" applyFill="1" applyBorder="1" applyAlignment="1">
      <alignment vertical="center"/>
    </xf>
    <xf numFmtId="183" fontId="0" fillId="0" borderId="0" xfId="0" applyNumberFormat="1" applyAlignment="1">
      <alignment vertical="center"/>
    </xf>
    <xf numFmtId="183" fontId="5" fillId="2" borderId="5" xfId="0" applyNumberFormat="1" applyFont="1" applyFill="1" applyBorder="1" applyAlignment="1">
      <alignment vertical="center"/>
    </xf>
    <xf numFmtId="183" fontId="5" fillId="2" borderId="18" xfId="0" applyNumberFormat="1" applyFont="1" applyFill="1" applyBorder="1" applyAlignment="1">
      <alignment vertical="center"/>
    </xf>
    <xf numFmtId="183" fontId="5" fillId="3" borderId="18" xfId="0" applyNumberFormat="1" applyFont="1" applyFill="1" applyBorder="1" applyAlignment="1">
      <alignment vertical="center"/>
    </xf>
    <xf numFmtId="185" fontId="34" fillId="2" borderId="27" xfId="0" applyNumberFormat="1" applyFont="1" applyFill="1" applyBorder="1" applyAlignment="1">
      <alignment horizontal="right" vertical="center"/>
    </xf>
    <xf numFmtId="185" fontId="34" fillId="3" borderId="27" xfId="0" applyNumberFormat="1" applyFont="1" applyFill="1" applyBorder="1" applyAlignment="1">
      <alignment horizontal="right" vertical="center"/>
    </xf>
    <xf numFmtId="183" fontId="31" fillId="3" borderId="19" xfId="0" applyNumberFormat="1" applyFont="1" applyFill="1" applyBorder="1" applyAlignment="1">
      <alignment vertical="center"/>
    </xf>
    <xf numFmtId="183" fontId="31" fillId="3" borderId="11" xfId="0" applyNumberFormat="1" applyFont="1" applyFill="1" applyBorder="1" applyAlignment="1">
      <alignment horizontal="right" vertical="center"/>
    </xf>
    <xf numFmtId="183" fontId="31" fillId="3" borderId="0" xfId="0" applyNumberFormat="1" applyFont="1" applyFill="1" applyBorder="1" applyAlignment="1">
      <alignment horizontal="right" vertical="center"/>
    </xf>
    <xf numFmtId="183" fontId="32" fillId="3" borderId="0" xfId="0" applyNumberFormat="1" applyFont="1" applyFill="1" applyBorder="1" applyAlignment="1">
      <alignment horizontal="right" vertical="center"/>
    </xf>
    <xf numFmtId="183" fontId="31" fillId="3" borderId="27" xfId="0" applyNumberFormat="1" applyFont="1" applyFill="1" applyBorder="1" applyAlignment="1">
      <alignment horizontal="right" vertical="center"/>
    </xf>
    <xf numFmtId="183" fontId="35" fillId="3" borderId="11" xfId="0" applyNumberFormat="1" applyFont="1" applyFill="1" applyBorder="1" applyAlignment="1">
      <alignment vertical="center"/>
    </xf>
    <xf numFmtId="183" fontId="31" fillId="3" borderId="19" xfId="0" applyNumberFormat="1" applyFont="1" applyFill="1" applyBorder="1" applyAlignment="1">
      <alignment horizontal="right" vertical="center"/>
    </xf>
    <xf numFmtId="183" fontId="5" fillId="2" borderId="3" xfId="0" applyNumberFormat="1" applyFont="1" applyFill="1" applyBorder="1" applyAlignment="1">
      <alignment horizontal="right" vertical="center" wrapText="1"/>
    </xf>
    <xf numFmtId="183" fontId="5" fillId="2" borderId="0" xfId="0" applyNumberFormat="1" applyFont="1" applyFill="1" applyBorder="1" applyAlignment="1">
      <alignment horizontal="right" vertical="center" wrapText="1"/>
    </xf>
    <xf numFmtId="183" fontId="5" fillId="3" borderId="0" xfId="0" applyNumberFormat="1" applyFont="1" applyFill="1" applyBorder="1" applyAlignment="1">
      <alignment horizontal="right" vertical="center" wrapText="1"/>
    </xf>
    <xf numFmtId="183" fontId="31" fillId="3" borderId="10" xfId="0" applyNumberFormat="1" applyFont="1" applyFill="1" applyBorder="1" applyAlignment="1">
      <alignment horizontal="right" vertical="center" wrapText="1"/>
    </xf>
    <xf numFmtId="183" fontId="32" fillId="3" borderId="10" xfId="0" applyNumberFormat="1" applyFont="1" applyFill="1" applyBorder="1" applyAlignment="1">
      <alignment horizontal="right" vertical="center" wrapText="1"/>
    </xf>
    <xf numFmtId="183" fontId="15" fillId="2" borderId="3" xfId="0" applyNumberFormat="1" applyFont="1" applyFill="1" applyBorder="1" applyAlignment="1">
      <alignment horizontal="right" vertical="center" wrapText="1"/>
    </xf>
    <xf numFmtId="183" fontId="15" fillId="2" borderId="0" xfId="0" applyNumberFormat="1" applyFont="1" applyFill="1" applyBorder="1" applyAlignment="1">
      <alignment horizontal="right" vertical="center" wrapText="1"/>
    </xf>
    <xf numFmtId="183" fontId="15" fillId="3" borderId="0" xfId="0" applyNumberFormat="1" applyFont="1" applyFill="1" applyBorder="1" applyAlignment="1">
      <alignment horizontal="right" vertical="center" wrapText="1"/>
    </xf>
    <xf numFmtId="183" fontId="5" fillId="2" borderId="26" xfId="0" applyNumberFormat="1" applyFont="1" applyFill="1" applyBorder="1" applyAlignment="1">
      <alignment horizontal="right" vertical="center" wrapText="1"/>
    </xf>
    <xf numFmtId="183" fontId="5" fillId="2" borderId="27" xfId="0" applyNumberFormat="1" applyFont="1" applyFill="1" applyBorder="1" applyAlignment="1">
      <alignment horizontal="right" vertical="center" wrapText="1"/>
    </xf>
    <xf numFmtId="183" fontId="5" fillId="3" borderId="27" xfId="0" applyNumberFormat="1" applyFont="1" applyFill="1" applyBorder="1" applyAlignment="1">
      <alignment horizontal="right" vertical="center" wrapText="1"/>
    </xf>
    <xf numFmtId="183" fontId="5" fillId="3" borderId="2" xfId="0" applyNumberFormat="1" applyFont="1" applyFill="1" applyBorder="1" applyAlignment="1">
      <alignment horizontal="right" vertical="center" wrapText="1"/>
    </xf>
    <xf numFmtId="183" fontId="31" fillId="3" borderId="16" xfId="0" applyNumberFormat="1" applyFont="1" applyFill="1" applyBorder="1" applyAlignment="1">
      <alignment horizontal="right" vertical="center" wrapText="1"/>
    </xf>
    <xf numFmtId="183" fontId="31" fillId="3" borderId="12" xfId="0" applyNumberFormat="1" applyFont="1" applyFill="1" applyBorder="1" applyAlignment="1">
      <alignment horizontal="right" vertical="center" wrapText="1"/>
    </xf>
    <xf numFmtId="183" fontId="34" fillId="2" borderId="0" xfId="0" applyNumberFormat="1" applyFont="1" applyFill="1" applyBorder="1" applyAlignment="1">
      <alignment vertical="center"/>
    </xf>
    <xf numFmtId="183" fontId="34" fillId="3" borderId="0" xfId="0" applyNumberFormat="1" applyFont="1" applyFill="1" applyBorder="1" applyAlignment="1">
      <alignment vertical="center"/>
    </xf>
    <xf numFmtId="183" fontId="5" fillId="2" borderId="5" xfId="0" applyNumberFormat="1" applyFont="1" applyFill="1" applyBorder="1" applyAlignment="1">
      <alignment horizontal="right" vertical="center" wrapText="1"/>
    </xf>
    <xf numFmtId="183" fontId="31" fillId="3" borderId="19" xfId="0" applyNumberFormat="1" applyFont="1" applyFill="1" applyBorder="1" applyAlignment="1">
      <alignment horizontal="right" vertical="center" wrapText="1"/>
    </xf>
    <xf numFmtId="183" fontId="5" fillId="2" borderId="11" xfId="0" applyNumberFormat="1" applyFont="1" applyFill="1" applyBorder="1" applyAlignment="1">
      <alignment horizontal="right" vertical="center" wrapText="1"/>
    </xf>
    <xf numFmtId="183" fontId="5" fillId="3" borderId="11" xfId="0" applyNumberFormat="1" applyFont="1" applyFill="1" applyBorder="1" applyAlignment="1">
      <alignment horizontal="right" vertical="center" wrapText="1"/>
    </xf>
    <xf numFmtId="183" fontId="31" fillId="3" borderId="28" xfId="0" applyNumberFormat="1" applyFont="1" applyFill="1" applyBorder="1" applyAlignment="1">
      <alignment horizontal="right" vertical="center" wrapText="1"/>
    </xf>
    <xf numFmtId="183" fontId="5" fillId="2" borderId="18" xfId="0" applyNumberFormat="1" applyFont="1" applyFill="1" applyBorder="1" applyAlignment="1">
      <alignment horizontal="right" vertical="center" wrapText="1"/>
    </xf>
    <xf numFmtId="183" fontId="5" fillId="3" borderId="18" xfId="0" applyNumberFormat="1" applyFont="1" applyFill="1" applyBorder="1" applyAlignment="1">
      <alignment horizontal="right" vertical="center" wrapText="1"/>
    </xf>
    <xf numFmtId="182" fontId="11" fillId="3" borderId="0" xfId="0" applyNumberFormat="1" applyFont="1" applyFill="1" applyBorder="1" applyAlignment="1">
      <alignment vertical="center"/>
    </xf>
    <xf numFmtId="182" fontId="39" fillId="3" borderId="0" xfId="1" applyNumberFormat="1" applyFont="1" applyFill="1" applyBorder="1" applyAlignment="1">
      <alignment horizontal="right" vertical="center"/>
    </xf>
    <xf numFmtId="182" fontId="41" fillId="3" borderId="0" xfId="0" applyNumberFormat="1" applyFont="1" applyFill="1" applyBorder="1" applyAlignment="1">
      <alignment vertical="center"/>
    </xf>
    <xf numFmtId="182" fontId="11" fillId="3" borderId="18" xfId="0" applyNumberFormat="1" applyFont="1" applyFill="1" applyBorder="1" applyAlignment="1">
      <alignment vertical="center"/>
    </xf>
    <xf numFmtId="182" fontId="24" fillId="12" borderId="7" xfId="0" applyNumberFormat="1" applyFont="1" applyFill="1" applyBorder="1" applyAlignment="1">
      <alignment vertical="center"/>
    </xf>
    <xf numFmtId="182" fontId="11" fillId="3" borderId="11" xfId="0" applyNumberFormat="1" applyFont="1" applyFill="1" applyBorder="1" applyAlignment="1">
      <alignment vertical="center"/>
    </xf>
    <xf numFmtId="182" fontId="24" fillId="4" borderId="27" xfId="0" applyNumberFormat="1" applyFont="1" applyFill="1" applyBorder="1" applyAlignment="1">
      <alignment vertical="center"/>
    </xf>
    <xf numFmtId="182" fontId="11" fillId="3" borderId="7" xfId="0" applyNumberFormat="1" applyFont="1" applyFill="1" applyBorder="1"/>
    <xf numFmtId="182" fontId="39" fillId="3" borderId="0" xfId="0" applyNumberFormat="1" applyFont="1" applyFill="1" applyBorder="1" applyAlignment="1">
      <alignment horizontal="right" vertical="center"/>
    </xf>
    <xf numFmtId="182" fontId="11" fillId="3" borderId="0" xfId="0" applyNumberFormat="1" applyFont="1" applyFill="1" applyBorder="1" applyAlignment="1">
      <alignment horizontal="right" vertical="center"/>
    </xf>
    <xf numFmtId="182" fontId="42" fillId="3" borderId="0" xfId="0" applyNumberFormat="1" applyFont="1" applyFill="1" applyBorder="1" applyAlignment="1">
      <alignment horizontal="right" vertical="center"/>
    </xf>
    <xf numFmtId="182" fontId="26" fillId="3" borderId="0" xfId="0" applyNumberFormat="1" applyFont="1" applyFill="1" applyBorder="1" applyAlignment="1">
      <alignment horizontal="right" vertical="center"/>
    </xf>
    <xf numFmtId="0" fontId="4" fillId="3" borderId="22" xfId="0" applyFont="1" applyFill="1" applyBorder="1"/>
    <xf numFmtId="0" fontId="4" fillId="3" borderId="23" xfId="0" applyFont="1" applyFill="1" applyBorder="1"/>
    <xf numFmtId="168" fontId="5" fillId="2" borderId="3" xfId="0" applyNumberFormat="1" applyFont="1" applyFill="1" applyBorder="1" applyAlignment="1">
      <alignment horizontal="right" wrapText="1" indent="1"/>
    </xf>
    <xf numFmtId="0" fontId="63" fillId="3" borderId="0" xfId="0" applyFont="1" applyFill="1"/>
    <xf numFmtId="0" fontId="27" fillId="4" borderId="2" xfId="0" applyFont="1" applyFill="1" applyBorder="1" applyAlignment="1">
      <alignment horizontal="right" vertical="center"/>
    </xf>
    <xf numFmtId="170" fontId="27" fillId="6" borderId="7" xfId="0" applyNumberFormat="1" applyFont="1" applyFill="1" applyBorder="1" applyAlignment="1">
      <alignment vertical="center"/>
    </xf>
    <xf numFmtId="170" fontId="63" fillId="3" borderId="0" xfId="0" applyNumberFormat="1" applyFont="1" applyFill="1" applyBorder="1" applyAlignment="1">
      <alignment horizontal="right" vertical="center"/>
    </xf>
    <xf numFmtId="176" fontId="27" fillId="6" borderId="7" xfId="0" applyNumberFormat="1" applyFont="1" applyFill="1" applyBorder="1" applyAlignment="1">
      <alignment vertical="center"/>
    </xf>
    <xf numFmtId="176" fontId="63" fillId="3" borderId="0" xfId="0" applyNumberFormat="1" applyFont="1" applyFill="1" applyBorder="1" applyAlignment="1">
      <alignment horizontal="right" vertical="center"/>
    </xf>
    <xf numFmtId="180" fontId="27" fillId="3" borderId="0" xfId="0" applyNumberFormat="1" applyFont="1" applyFill="1" applyBorder="1" applyAlignment="1">
      <alignment vertical="center"/>
    </xf>
    <xf numFmtId="0" fontId="63" fillId="3" borderId="0" xfId="0" applyFont="1" applyFill="1" applyBorder="1" applyAlignment="1">
      <alignment horizontal="right" vertical="center"/>
    </xf>
    <xf numFmtId="0" fontId="63" fillId="3" borderId="0" xfId="0" applyFont="1" applyFill="1" applyAlignment="1">
      <alignment vertical="center"/>
    </xf>
    <xf numFmtId="0" fontId="63" fillId="0" borderId="0" xfId="0" applyFont="1" applyAlignment="1">
      <alignment vertical="center"/>
    </xf>
    <xf numFmtId="172" fontId="11" fillId="14" borderId="10" xfId="0" applyNumberFormat="1" applyFont="1" applyFill="1" applyBorder="1" applyAlignment="1">
      <alignment horizontal="right" vertical="center"/>
    </xf>
    <xf numFmtId="172" fontId="11" fillId="14" borderId="0" xfId="0" applyNumberFormat="1" applyFont="1" applyFill="1" applyBorder="1" applyAlignment="1">
      <alignment horizontal="right" vertical="center"/>
    </xf>
    <xf numFmtId="172" fontId="11" fillId="3" borderId="3" xfId="0" applyNumberFormat="1" applyFont="1" applyFill="1" applyBorder="1" applyAlignment="1">
      <alignment horizontal="right" vertical="center"/>
    </xf>
    <xf numFmtId="172" fontId="24" fillId="12" borderId="6" xfId="0" applyNumberFormat="1" applyFont="1" applyFill="1" applyBorder="1" applyAlignment="1">
      <alignment vertical="center"/>
    </xf>
    <xf numFmtId="172" fontId="24" fillId="13" borderId="27" xfId="0" applyNumberFormat="1" applyFont="1" applyFill="1" applyBorder="1" applyAlignment="1">
      <alignment vertical="center"/>
    </xf>
    <xf numFmtId="172" fontId="24" fillId="4" borderId="26" xfId="0" applyNumberFormat="1" applyFont="1" applyFill="1" applyBorder="1" applyAlignment="1">
      <alignment vertical="center"/>
    </xf>
    <xf numFmtId="166" fontId="11" fillId="3" borderId="0" xfId="0" applyNumberFormat="1" applyFont="1" applyFill="1" applyBorder="1" applyAlignment="1">
      <alignment horizontal="right" vertical="center"/>
    </xf>
    <xf numFmtId="166" fontId="11" fillId="14" borderId="10" xfId="0" applyNumberFormat="1" applyFont="1" applyFill="1" applyBorder="1" applyAlignment="1">
      <alignment horizontal="right" vertical="center"/>
    </xf>
    <xf numFmtId="166" fontId="11" fillId="14" borderId="0" xfId="0"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6" fontId="11" fillId="3" borderId="11" xfId="0" applyNumberFormat="1" applyFont="1" applyFill="1" applyBorder="1" applyAlignment="1">
      <alignment horizontal="right" vertical="center"/>
    </xf>
    <xf numFmtId="166" fontId="11" fillId="14" borderId="12" xfId="0" applyNumberFormat="1" applyFont="1" applyFill="1" applyBorder="1" applyAlignment="1">
      <alignment horizontal="right" vertical="center"/>
    </xf>
    <xf numFmtId="166" fontId="11" fillId="14" borderId="11" xfId="0" applyNumberFormat="1" applyFont="1" applyFill="1" applyBorder="1" applyAlignment="1">
      <alignment horizontal="right" vertical="center"/>
    </xf>
    <xf numFmtId="166" fontId="11" fillId="3" borderId="4" xfId="0" applyNumberFormat="1" applyFont="1" applyFill="1" applyBorder="1" applyAlignment="1">
      <alignment horizontal="right" vertical="center"/>
    </xf>
    <xf numFmtId="186" fontId="11" fillId="3" borderId="0" xfId="0" applyNumberFormat="1" applyFont="1" applyFill="1" applyBorder="1" applyAlignment="1">
      <alignment horizontal="right" vertical="center"/>
    </xf>
    <xf numFmtId="166" fontId="11" fillId="3" borderId="0" xfId="0" applyNumberFormat="1" applyFont="1" applyFill="1" applyBorder="1" applyAlignment="1">
      <alignment vertical="center"/>
    </xf>
    <xf numFmtId="166" fontId="11" fillId="14" borderId="10" xfId="0" applyNumberFormat="1" applyFont="1" applyFill="1" applyBorder="1" applyAlignment="1">
      <alignment vertical="center"/>
    </xf>
    <xf numFmtId="167" fontId="24" fillId="3" borderId="0" xfId="0" applyNumberFormat="1" applyFont="1" applyFill="1" applyBorder="1" applyAlignment="1">
      <alignment vertical="center"/>
    </xf>
    <xf numFmtId="167" fontId="24" fillId="14" borderId="0" xfId="0" applyNumberFormat="1" applyFont="1" applyFill="1" applyBorder="1" applyAlignment="1">
      <alignment vertical="center"/>
    </xf>
    <xf numFmtId="167" fontId="24" fillId="3" borderId="3" xfId="0" applyNumberFormat="1" applyFont="1" applyFill="1" applyBorder="1" applyAlignment="1">
      <alignment vertical="center"/>
    </xf>
    <xf numFmtId="183" fontId="24" fillId="3" borderId="8" xfId="0" applyNumberFormat="1" applyFont="1" applyFill="1" applyBorder="1" applyAlignment="1">
      <alignment vertical="center"/>
    </xf>
    <xf numFmtId="183" fontId="24" fillId="3" borderId="7" xfId="0" applyNumberFormat="1" applyFont="1" applyFill="1" applyBorder="1" applyAlignment="1">
      <alignment horizontal="right" vertical="center"/>
    </xf>
    <xf numFmtId="183" fontId="11" fillId="3" borderId="10" xfId="0" applyNumberFormat="1" applyFont="1" applyFill="1" applyBorder="1" applyAlignment="1">
      <alignment vertical="center"/>
    </xf>
    <xf numFmtId="183" fontId="24" fillId="3" borderId="16" xfId="0" applyNumberFormat="1" applyFont="1" applyFill="1" applyBorder="1" applyAlignment="1">
      <alignment vertical="center"/>
    </xf>
    <xf numFmtId="0" fontId="36" fillId="3" borderId="0" xfId="0" applyFont="1" applyFill="1" applyAlignment="1">
      <alignment horizontal="left" vertical="top"/>
    </xf>
    <xf numFmtId="168" fontId="21" fillId="2" borderId="0" xfId="6" applyNumberFormat="1" applyFont="1" applyFill="1" applyBorder="1" applyAlignment="1">
      <alignment horizontal="right" vertical="center" wrapText="1"/>
    </xf>
    <xf numFmtId="3" fontId="51" fillId="3" borderId="0" xfId="6" applyNumberFormat="1" applyFont="1" applyFill="1" applyBorder="1" applyAlignment="1">
      <alignment horizontal="right" vertical="center" wrapText="1"/>
    </xf>
    <xf numFmtId="3" fontId="21" fillId="3" borderId="0" xfId="6" applyNumberFormat="1" applyFont="1" applyFill="1" applyBorder="1" applyAlignment="1">
      <alignment horizontal="right" vertical="center" wrapText="1"/>
    </xf>
    <xf numFmtId="0" fontId="45" fillId="11" borderId="7" xfId="0" applyFont="1" applyFill="1" applyBorder="1" applyAlignment="1">
      <alignment horizontal="center" vertical="center"/>
    </xf>
    <xf numFmtId="10" fontId="15" fillId="2" borderId="6" xfId="0" applyNumberFormat="1" applyFont="1" applyFill="1" applyBorder="1" applyAlignment="1">
      <alignment horizontal="right" vertical="center" wrapText="1" indent="1"/>
    </xf>
    <xf numFmtId="10" fontId="15" fillId="3" borderId="7" xfId="0" applyNumberFormat="1" applyFont="1" applyFill="1" applyBorder="1" applyAlignment="1">
      <alignment horizontal="right" vertical="center" wrapText="1" indent="1"/>
    </xf>
    <xf numFmtId="10" fontId="32" fillId="21" borderId="8" xfId="0" applyNumberFormat="1" applyFont="1" applyFill="1" applyBorder="1" applyAlignment="1">
      <alignment horizontal="right" vertical="center" wrapText="1" indent="1"/>
    </xf>
    <xf numFmtId="183" fontId="3" fillId="2" borderId="3" xfId="0" applyNumberFormat="1" applyFont="1" applyFill="1" applyBorder="1" applyAlignment="1">
      <alignment horizontal="right" vertical="center"/>
    </xf>
    <xf numFmtId="183" fontId="11" fillId="3" borderId="0" xfId="0" applyNumberFormat="1" applyFont="1" applyFill="1" applyBorder="1" applyAlignment="1">
      <alignment horizontal="right" vertical="center"/>
    </xf>
    <xf numFmtId="187" fontId="11" fillId="14" borderId="10" xfId="0" applyNumberFormat="1" applyFont="1" applyFill="1" applyBorder="1" applyAlignment="1">
      <alignment horizontal="right" vertical="center"/>
    </xf>
    <xf numFmtId="183" fontId="26" fillId="3" borderId="3" xfId="0" applyNumberFormat="1" applyFont="1" applyFill="1" applyBorder="1" applyAlignment="1">
      <alignment horizontal="right" vertical="center"/>
    </xf>
    <xf numFmtId="183" fontId="26" fillId="3" borderId="0" xfId="0" applyNumberFormat="1" applyFont="1" applyFill="1" applyBorder="1" applyAlignment="1">
      <alignment horizontal="right" vertical="center"/>
    </xf>
    <xf numFmtId="183" fontId="63" fillId="3" borderId="0" xfId="0" applyNumberFormat="1" applyFont="1" applyFill="1" applyBorder="1" applyAlignment="1">
      <alignment horizontal="right" vertical="center"/>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68" fontId="2" fillId="2" borderId="3" xfId="0" applyNumberFormat="1" applyFont="1" applyFill="1" applyBorder="1" applyAlignment="1">
      <alignment horizontal="right" wrapText="1" indent="1"/>
    </xf>
    <xf numFmtId="168" fontId="2" fillId="2" borderId="5" xfId="0" applyNumberFormat="1" applyFont="1" applyFill="1" applyBorder="1" applyAlignment="1">
      <alignment horizontal="right" wrapText="1" indent="1"/>
    </xf>
    <xf numFmtId="168" fontId="2" fillId="3" borderId="0" xfId="0" applyNumberFormat="1" applyFont="1" applyFill="1" applyBorder="1" applyAlignment="1">
      <alignment horizontal="right" wrapText="1" indent="1"/>
    </xf>
    <xf numFmtId="168" fontId="2" fillId="3" borderId="18" xfId="0" applyNumberFormat="1" applyFont="1" applyFill="1" applyBorder="1" applyAlignment="1">
      <alignment horizontal="right" wrapText="1" indent="1"/>
    </xf>
    <xf numFmtId="188" fontId="31" fillId="21" borderId="10" xfId="0" applyNumberFormat="1" applyFont="1" applyFill="1" applyBorder="1" applyAlignment="1">
      <alignment horizontal="right" vertical="center" wrapText="1" indent="1"/>
    </xf>
    <xf numFmtId="188" fontId="31" fillId="21" borderId="19" xfId="0" applyNumberFormat="1" applyFont="1" applyFill="1" applyBorder="1" applyAlignment="1">
      <alignment horizontal="right" vertical="center" wrapText="1" indent="1"/>
    </xf>
    <xf numFmtId="183" fontId="0" fillId="2" borderId="3" xfId="0" applyNumberFormat="1" applyFill="1" applyBorder="1" applyAlignment="1">
      <alignment vertical="center"/>
    </xf>
    <xf numFmtId="183" fontId="5" fillId="2" borderId="5" xfId="0" applyNumberFormat="1" applyFont="1" applyFill="1" applyBorder="1" applyAlignment="1">
      <alignment horizontal="right" vertical="center"/>
    </xf>
    <xf numFmtId="0" fontId="4" fillId="21" borderId="23" xfId="0" applyFont="1" applyFill="1" applyBorder="1" applyAlignment="1">
      <alignment horizontal="left" vertical="center" wrapText="1" indent="3"/>
    </xf>
    <xf numFmtId="3" fontId="46" fillId="18" borderId="8" xfId="0" applyNumberFormat="1" applyFont="1" applyFill="1" applyBorder="1" applyAlignment="1">
      <alignment horizontal="right" vertical="center" wrapText="1"/>
    </xf>
    <xf numFmtId="0" fontId="64" fillId="3" borderId="0" xfId="0" applyFont="1" applyFill="1" applyAlignment="1">
      <alignment vertical="center"/>
    </xf>
    <xf numFmtId="0" fontId="11" fillId="3" borderId="0" xfId="0" applyFont="1" applyFill="1" applyBorder="1" applyAlignment="1">
      <alignment horizontal="right" vertical="center"/>
    </xf>
    <xf numFmtId="0" fontId="65" fillId="3" borderId="0" xfId="0" applyFont="1" applyFill="1"/>
    <xf numFmtId="0" fontId="1" fillId="3" borderId="0" xfId="0" applyFont="1" applyFill="1"/>
    <xf numFmtId="0" fontId="66" fillId="3" borderId="4" xfId="0" applyFont="1" applyFill="1" applyBorder="1" applyAlignment="1">
      <alignment vertical="center" wrapText="1"/>
    </xf>
    <xf numFmtId="0" fontId="66" fillId="3" borderId="5" xfId="0" applyFont="1" applyFill="1" applyBorder="1" applyAlignment="1">
      <alignment vertical="center" wrapText="1"/>
    </xf>
    <xf numFmtId="0" fontId="24" fillId="4" borderId="2" xfId="0" applyFont="1" applyFill="1" applyBorder="1" applyAlignment="1">
      <alignment horizontal="right" vertical="center"/>
    </xf>
    <xf numFmtId="0" fontId="24" fillId="8" borderId="2" xfId="0" applyFont="1" applyFill="1" applyBorder="1" applyAlignment="1">
      <alignment horizontal="right" vertical="center"/>
    </xf>
    <xf numFmtId="0" fontId="24" fillId="4" borderId="15" xfId="0" applyFont="1" applyFill="1" applyBorder="1" applyAlignment="1">
      <alignment horizontal="right" vertical="center"/>
    </xf>
    <xf numFmtId="0" fontId="24" fillId="8" borderId="16" xfId="0" applyFont="1" applyFill="1" applyBorder="1" applyAlignment="1">
      <alignment horizontal="right" vertical="center"/>
    </xf>
    <xf numFmtId="0" fontId="68" fillId="6" borderId="6" xfId="0" applyFont="1" applyFill="1" applyBorder="1" applyAlignment="1">
      <alignment vertical="center" wrapText="1"/>
    </xf>
    <xf numFmtId="170" fontId="24" fillId="6" borderId="7" xfId="0" applyNumberFormat="1" applyFont="1" applyFill="1" applyBorder="1" applyAlignment="1">
      <alignment vertical="center"/>
    </xf>
    <xf numFmtId="170" fontId="24" fillId="9" borderId="7" xfId="0" applyNumberFormat="1" applyFont="1" applyFill="1" applyBorder="1" applyAlignment="1">
      <alignment horizontal="right" vertical="center"/>
    </xf>
    <xf numFmtId="170" fontId="24" fillId="6" borderId="6" xfId="0" applyNumberFormat="1" applyFont="1" applyFill="1" applyBorder="1" applyAlignment="1">
      <alignment vertical="center"/>
    </xf>
    <xf numFmtId="170" fontId="24" fillId="9" borderId="8" xfId="0" applyNumberFormat="1" applyFont="1" applyFill="1" applyBorder="1" applyAlignment="1">
      <alignment horizontal="right" vertical="center"/>
    </xf>
    <xf numFmtId="0" fontId="11" fillId="0" borderId="3" xfId="0" applyFont="1" applyFill="1" applyBorder="1" applyAlignment="1">
      <alignment horizontal="left" vertical="center" wrapText="1"/>
    </xf>
    <xf numFmtId="170" fontId="11" fillId="0" borderId="0" xfId="0" applyNumberFormat="1" applyFont="1" applyFill="1" applyBorder="1" applyAlignment="1">
      <alignment horizontal="right" vertical="center"/>
    </xf>
    <xf numFmtId="170" fontId="11" fillId="9" borderId="0" xfId="0" applyNumberFormat="1" applyFont="1" applyFill="1" applyBorder="1" applyAlignment="1">
      <alignment horizontal="right" vertical="center"/>
    </xf>
    <xf numFmtId="170" fontId="11" fillId="0" borderId="3" xfId="0" applyNumberFormat="1" applyFont="1" applyFill="1" applyBorder="1" applyAlignment="1">
      <alignment horizontal="right" vertical="center"/>
    </xf>
    <xf numFmtId="170" fontId="11" fillId="9" borderId="10" xfId="0" applyNumberFormat="1" applyFont="1" applyFill="1" applyBorder="1" applyAlignment="1">
      <alignment horizontal="right" vertical="center"/>
    </xf>
    <xf numFmtId="181" fontId="69" fillId="0" borderId="0" xfId="0" applyNumberFormat="1" applyFont="1" applyFill="1" applyAlignment="1">
      <alignment horizontal="right" vertical="center"/>
    </xf>
    <xf numFmtId="170" fontId="11" fillId="3" borderId="0" xfId="0" applyNumberFormat="1" applyFont="1" applyFill="1" applyBorder="1" applyAlignment="1">
      <alignment horizontal="right" vertical="center"/>
    </xf>
    <xf numFmtId="175" fontId="69" fillId="0" borderId="0" xfId="0" applyNumberFormat="1" applyFont="1" applyFill="1" applyAlignment="1">
      <alignment horizontal="right" vertical="center"/>
    </xf>
    <xf numFmtId="176" fontId="24" fillId="6" borderId="7" xfId="0" applyNumberFormat="1" applyFont="1" applyFill="1" applyBorder="1" applyAlignment="1">
      <alignment vertical="center"/>
    </xf>
    <xf numFmtId="176" fontId="24" fillId="7" borderId="7" xfId="0" applyNumberFormat="1" applyFont="1" applyFill="1" applyBorder="1" applyAlignment="1">
      <alignment vertical="center"/>
    </xf>
    <xf numFmtId="176" fontId="24" fillId="6" borderId="6" xfId="0" applyNumberFormat="1" applyFont="1" applyFill="1" applyBorder="1" applyAlignment="1">
      <alignment vertical="center"/>
    </xf>
    <xf numFmtId="176" fontId="24" fillId="7" borderId="8" xfId="0" applyNumberFormat="1" applyFont="1" applyFill="1" applyBorder="1" applyAlignment="1">
      <alignment vertical="center"/>
    </xf>
    <xf numFmtId="0" fontId="24" fillId="0" borderId="0" xfId="0" applyFont="1"/>
    <xf numFmtId="176" fontId="11" fillId="0" borderId="0" xfId="0" applyNumberFormat="1" applyFont="1" applyFill="1" applyBorder="1" applyAlignment="1">
      <alignment horizontal="right" vertical="center"/>
    </xf>
    <xf numFmtId="176" fontId="11" fillId="9" borderId="0" xfId="0" applyNumberFormat="1" applyFont="1" applyFill="1" applyBorder="1" applyAlignment="1">
      <alignment horizontal="right" vertical="center"/>
    </xf>
    <xf numFmtId="176" fontId="11" fillId="0" borderId="3" xfId="0" applyNumberFormat="1" applyFont="1" applyFill="1" applyBorder="1" applyAlignment="1">
      <alignment horizontal="right" vertical="center"/>
    </xf>
    <xf numFmtId="176" fontId="11" fillId="9" borderId="10" xfId="0" applyNumberFormat="1" applyFont="1" applyFill="1" applyBorder="1" applyAlignment="1">
      <alignment horizontal="right" vertical="center"/>
    </xf>
    <xf numFmtId="176" fontId="11" fillId="3" borderId="0" xfId="0" applyNumberFormat="1" applyFont="1" applyFill="1" applyBorder="1" applyAlignment="1">
      <alignment horizontal="right" vertical="center"/>
    </xf>
    <xf numFmtId="0" fontId="24" fillId="0" borderId="0" xfId="0" applyFont="1" applyFill="1"/>
    <xf numFmtId="170" fontId="24" fillId="7" borderId="7" xfId="0" applyNumberFormat="1" applyFont="1" applyFill="1" applyBorder="1" applyAlignment="1">
      <alignment horizontal="right" vertical="center"/>
    </xf>
    <xf numFmtId="170" fontId="24" fillId="7" borderId="8" xfId="0" applyNumberFormat="1" applyFont="1" applyFill="1" applyBorder="1" applyAlignment="1">
      <alignment horizontal="right" vertical="center"/>
    </xf>
    <xf numFmtId="183" fontId="11" fillId="9" borderId="10" xfId="0" applyNumberFormat="1" applyFont="1" applyFill="1" applyBorder="1" applyAlignment="1">
      <alignment horizontal="right" vertical="center"/>
    </xf>
    <xf numFmtId="175" fontId="39" fillId="0" borderId="0" xfId="0" applyNumberFormat="1" applyFont="1" applyFill="1" applyAlignment="1">
      <alignment horizontal="right" vertical="center"/>
    </xf>
    <xf numFmtId="0" fontId="68" fillId="0" borderId="3" xfId="0" applyFont="1" applyBorder="1" applyAlignment="1">
      <alignment vertical="center"/>
    </xf>
    <xf numFmtId="180" fontId="24" fillId="0" borderId="0" xfId="0" applyNumberFormat="1" applyFont="1" applyFill="1" applyBorder="1" applyAlignment="1">
      <alignment horizontal="right" vertical="center"/>
    </xf>
    <xf numFmtId="180" fontId="24" fillId="9" borderId="0" xfId="0" applyNumberFormat="1" applyFont="1" applyFill="1" applyBorder="1" applyAlignment="1">
      <alignment horizontal="right" vertical="center"/>
    </xf>
    <xf numFmtId="180" fontId="11" fillId="0" borderId="3" xfId="0" applyNumberFormat="1" applyFont="1" applyFill="1" applyBorder="1" applyAlignment="1">
      <alignment horizontal="right" vertical="center"/>
    </xf>
    <xf numFmtId="180" fontId="24" fillId="0" borderId="3" xfId="0" applyNumberFormat="1" applyFont="1" applyFill="1" applyBorder="1" applyAlignment="1">
      <alignment horizontal="right" vertical="center"/>
    </xf>
    <xf numFmtId="180" fontId="24" fillId="9" borderId="10" xfId="0" applyNumberFormat="1" applyFont="1" applyFill="1" applyBorder="1" applyAlignment="1">
      <alignment horizontal="right" vertical="center"/>
    </xf>
    <xf numFmtId="180" fontId="42" fillId="0" borderId="0" xfId="0" applyNumberFormat="1" applyFont="1" applyFill="1" applyAlignment="1">
      <alignment horizontal="right" vertical="center"/>
    </xf>
    <xf numFmtId="180" fontId="24" fillId="3" borderId="0" xfId="0" applyNumberFormat="1" applyFont="1" applyFill="1" applyBorder="1" applyAlignment="1">
      <alignment horizontal="right" vertical="center"/>
    </xf>
    <xf numFmtId="0" fontId="11" fillId="3" borderId="5" xfId="0" applyFont="1" applyFill="1" applyBorder="1" applyAlignment="1">
      <alignment vertical="center"/>
    </xf>
    <xf numFmtId="176" fontId="11" fillId="9" borderId="19" xfId="0" applyNumberFormat="1" applyFont="1" applyFill="1" applyBorder="1" applyAlignment="1">
      <alignment horizontal="right" vertical="center"/>
    </xf>
    <xf numFmtId="0" fontId="68" fillId="6" borderId="4" xfId="0" applyFont="1" applyFill="1" applyBorder="1" applyAlignment="1">
      <alignment vertical="center" wrapText="1"/>
    </xf>
    <xf numFmtId="0" fontId="68" fillId="6" borderId="11" xfId="0" applyFont="1" applyFill="1" applyBorder="1" applyAlignment="1">
      <alignment vertical="center" wrapText="1"/>
    </xf>
    <xf numFmtId="169" fontId="68" fillId="10" borderId="11" xfId="0" applyNumberFormat="1" applyFont="1" applyFill="1" applyBorder="1" applyAlignment="1">
      <alignment vertical="center" wrapText="1"/>
    </xf>
    <xf numFmtId="169" fontId="68" fillId="10" borderId="12" xfId="0" applyNumberFormat="1" applyFont="1" applyFill="1" applyBorder="1" applyAlignment="1">
      <alignment vertical="center" wrapText="1"/>
    </xf>
    <xf numFmtId="166" fontId="68" fillId="6" borderId="11" xfId="0" applyNumberFormat="1" applyFont="1" applyFill="1" applyBorder="1" applyAlignment="1">
      <alignment vertical="center" wrapText="1"/>
    </xf>
    <xf numFmtId="0" fontId="68" fillId="6" borderId="5" xfId="0" applyFont="1" applyFill="1" applyBorder="1" applyAlignment="1">
      <alignment vertical="center" wrapText="1"/>
    </xf>
    <xf numFmtId="168" fontId="68" fillId="6" borderId="5" xfId="2" applyNumberFormat="1" applyFont="1" applyFill="1" applyBorder="1" applyAlignment="1">
      <alignment vertical="center" wrapText="1"/>
    </xf>
    <xf numFmtId="168" fontId="68" fillId="6" borderId="18" xfId="2" applyNumberFormat="1" applyFont="1" applyFill="1" applyBorder="1" applyAlignment="1">
      <alignment vertical="center" wrapText="1"/>
    </xf>
    <xf numFmtId="168" fontId="68" fillId="10" borderId="19" xfId="2" applyNumberFormat="1" applyFont="1" applyFill="1" applyBorder="1" applyAlignment="1">
      <alignment vertical="center" wrapText="1"/>
    </xf>
    <xf numFmtId="168" fontId="68" fillId="10" borderId="18" xfId="2" applyNumberFormat="1" applyFont="1" applyFill="1" applyBorder="1" applyAlignment="1">
      <alignment vertical="center" wrapText="1"/>
    </xf>
    <xf numFmtId="168" fontId="25" fillId="6" borderId="18" xfId="2" applyNumberFormat="1" applyFont="1" applyFill="1" applyBorder="1" applyAlignment="1">
      <alignment vertical="center" wrapText="1"/>
    </xf>
    <xf numFmtId="0" fontId="11" fillId="0" borderId="0" xfId="0" applyFont="1" applyFill="1"/>
    <xf numFmtId="0" fontId="11" fillId="0" borderId="0" xfId="0" applyFont="1" applyFill="1" applyAlignment="1">
      <alignmen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11" fillId="0" borderId="0" xfId="0" applyFont="1" applyFill="1" applyAlignment="1">
      <alignment vertical="center" wrapText="1"/>
    </xf>
    <xf numFmtId="0" fontId="11" fillId="0" borderId="0" xfId="0" applyFont="1" applyBorder="1" applyAlignment="1">
      <alignment horizontal="right" vertical="center"/>
    </xf>
    <xf numFmtId="0" fontId="11" fillId="0" borderId="0" xfId="0" applyFont="1" applyBorder="1" applyAlignment="1">
      <alignment vertical="center"/>
    </xf>
    <xf numFmtId="183" fontId="26" fillId="2" borderId="10" xfId="0" applyNumberFormat="1" applyFont="1" applyFill="1" applyBorder="1" applyAlignment="1">
      <alignment horizontal="right" vertical="center"/>
    </xf>
    <xf numFmtId="10" fontId="1" fillId="2" borderId="0" xfId="0" applyNumberFormat="1" applyFont="1" applyFill="1" applyAlignment="1">
      <alignment horizontal="right" vertical="center" wrapText="1" indent="1"/>
    </xf>
    <xf numFmtId="10" fontId="1" fillId="3" borderId="0" xfId="0" applyNumberFormat="1" applyFont="1" applyFill="1" applyAlignment="1">
      <alignment horizontal="right" vertical="center" wrapText="1" indent="1"/>
    </xf>
    <xf numFmtId="0" fontId="1" fillId="3" borderId="23" xfId="0" applyFont="1" applyFill="1" applyBorder="1"/>
    <xf numFmtId="0" fontId="1" fillId="3" borderId="24" xfId="0" applyFont="1" applyFill="1" applyBorder="1"/>
    <xf numFmtId="0" fontId="1" fillId="21" borderId="23" xfId="0" applyFont="1" applyFill="1" applyBorder="1" applyAlignment="1">
      <alignment horizontal="left" vertical="center" wrapText="1" indent="3"/>
    </xf>
    <xf numFmtId="176" fontId="24" fillId="7" borderId="7" xfId="0" applyNumberFormat="1" applyFont="1" applyFill="1" applyBorder="1" applyAlignment="1">
      <alignment horizontal="right" vertical="center"/>
    </xf>
    <xf numFmtId="176" fontId="24" fillId="7" borderId="8" xfId="0" applyNumberFormat="1" applyFont="1" applyFill="1" applyBorder="1" applyAlignment="1">
      <alignment horizontal="right" vertical="center"/>
    </xf>
    <xf numFmtId="176" fontId="24" fillId="12" borderId="7" xfId="0" applyNumberFormat="1" applyFont="1" applyFill="1" applyBorder="1" applyAlignment="1">
      <alignment vertical="center"/>
    </xf>
    <xf numFmtId="183" fontId="27" fillId="12" borderId="7" xfId="0" applyNumberFormat="1" applyFont="1" applyFill="1" applyBorder="1" applyAlignment="1">
      <alignment vertical="center"/>
    </xf>
    <xf numFmtId="0" fontId="11" fillId="0" borderId="3" xfId="0" applyFont="1" applyFill="1" applyBorder="1" applyAlignment="1">
      <alignment vertical="center" wrapText="1"/>
    </xf>
    <xf numFmtId="183" fontId="41" fillId="14" borderId="10" xfId="0" applyNumberFormat="1" applyFont="1" applyFill="1" applyBorder="1" applyAlignment="1">
      <alignment vertical="center"/>
    </xf>
    <xf numFmtId="0" fontId="67" fillId="4" borderId="17" xfId="0" applyFont="1" applyFill="1" applyBorder="1" applyAlignment="1">
      <alignment horizontal="center" vertical="center" wrapText="1"/>
    </xf>
    <xf numFmtId="0" fontId="67" fillId="4" borderId="20" xfId="0" applyFont="1" applyFill="1" applyBorder="1" applyAlignment="1">
      <alignment horizontal="center" vertical="center" wrapText="1"/>
    </xf>
    <xf numFmtId="0" fontId="67" fillId="4" borderId="21" xfId="0" applyFont="1" applyFill="1" applyBorder="1" applyAlignment="1">
      <alignment horizontal="center" vertical="center" wrapText="1"/>
    </xf>
    <xf numFmtId="0" fontId="11" fillId="0" borderId="0" xfId="0" applyFont="1" applyFill="1" applyAlignment="1">
      <alignment horizontal="left" vertical="center" wrapText="1"/>
    </xf>
    <xf numFmtId="0" fontId="67" fillId="4" borderId="11" xfId="0" applyFont="1" applyFill="1" applyBorder="1" applyAlignment="1">
      <alignment horizontal="center" vertical="center" wrapText="1"/>
    </xf>
    <xf numFmtId="0" fontId="67" fillId="4" borderId="12"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36" fillId="3" borderId="0" xfId="0" applyFont="1" applyFill="1" applyAlignment="1">
      <alignment horizontal="left"/>
    </xf>
    <xf numFmtId="0" fontId="17" fillId="3" borderId="22" xfId="0" applyFont="1" applyFill="1" applyBorder="1" applyAlignment="1">
      <alignment horizontal="left" vertical="center" wrapText="1"/>
    </xf>
    <xf numFmtId="0" fontId="17" fillId="3" borderId="23"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25" fillId="4" borderId="17"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11" fillId="3" borderId="0" xfId="0" applyFont="1" applyFill="1" applyAlignment="1">
      <alignment horizontal="left" vertical="center" wrapText="1"/>
    </xf>
    <xf numFmtId="0" fontId="25" fillId="4" borderId="1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20" fillId="16" borderId="19"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7" fillId="3" borderId="0" xfId="0" applyFont="1" applyFill="1" applyBorder="1" applyAlignment="1">
      <alignment horizontal="left" vertical="top"/>
    </xf>
    <xf numFmtId="0" fontId="7" fillId="3" borderId="0" xfId="0" applyFont="1" applyFill="1" applyBorder="1" applyAlignment="1">
      <alignment horizontal="left" vertical="top" wrapText="1"/>
    </xf>
    <xf numFmtId="0" fontId="20" fillId="3" borderId="0" xfId="0" applyFont="1" applyFill="1" applyAlignment="1">
      <alignment horizontal="left" vertical="top" wrapText="1"/>
    </xf>
    <xf numFmtId="0" fontId="19" fillId="3" borderId="22"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7" fillId="3" borderId="2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36" fillId="3" borderId="0" xfId="0" applyFont="1" applyFill="1" applyAlignment="1">
      <alignment horizontal="left" vertical="top" wrapText="1"/>
    </xf>
    <xf numFmtId="0" fontId="57" fillId="3" borderId="22" xfId="0" applyFont="1" applyFill="1" applyBorder="1" applyAlignment="1">
      <alignment horizontal="left" vertical="center" wrapText="1"/>
    </xf>
    <xf numFmtId="0" fontId="57" fillId="3" borderId="24" xfId="0" applyFont="1" applyFill="1" applyBorder="1" applyAlignment="1">
      <alignment horizontal="left" vertical="center" wrapText="1"/>
    </xf>
    <xf numFmtId="0" fontId="37" fillId="3" borderId="0" xfId="0" applyFont="1" applyFill="1" applyAlignment="1">
      <alignment horizontal="left" wrapText="1"/>
    </xf>
    <xf numFmtId="0" fontId="36" fillId="3" borderId="0" xfId="0" applyFont="1" applyFill="1" applyAlignment="1">
      <alignment horizontal="left" vertical="top"/>
    </xf>
  </cellXfs>
  <cellStyles count="7">
    <cellStyle name="Dziesiętny" xfId="1" builtinId="3"/>
    <cellStyle name="Normalny" xfId="0" builtinId="0"/>
    <cellStyle name="Normalny 2" xfId="3"/>
    <cellStyle name="Normalny 2 2 3" xfId="4"/>
    <cellStyle name="Normalny 66" xfId="5"/>
    <cellStyle name="Procentowy 2" xfId="2"/>
    <cellStyle name="Procentowy 3" xfId="6"/>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9"/>
  <sheetViews>
    <sheetView showGridLines="0" tabSelected="1" zoomScaleNormal="100" zoomScaleSheetLayoutView="85" workbookViewId="0">
      <pane xSplit="1" ySplit="3" topLeftCell="O4" activePane="bottomRight" state="frozen"/>
      <selection pane="topRight" activeCell="B1" sqref="B1"/>
      <selection pane="bottomLeft" activeCell="A4" sqref="A4"/>
      <selection pane="bottomRight" activeCell="B4" sqref="B4"/>
    </sheetView>
  </sheetViews>
  <sheetFormatPr defaultRowHeight="28.5" customHeight="1"/>
  <cols>
    <col min="1" max="1" width="41.625" style="7" customWidth="1"/>
    <col min="2" max="7" width="9" style="6"/>
    <col min="8" max="8" width="9" style="510"/>
    <col min="9" max="9" width="9" style="511"/>
    <col min="10" max="11" width="10.125" style="6" bestFit="1" customWidth="1"/>
    <col min="12" max="12" width="10.125" style="6" customWidth="1"/>
    <col min="13" max="15" width="9.25" style="6" customWidth="1"/>
    <col min="16" max="16" width="10.125" style="6" bestFit="1" customWidth="1"/>
    <col min="17" max="20" width="10.125" style="6" customWidth="1"/>
    <col min="21" max="21" width="10.125" style="6" bestFit="1" customWidth="1"/>
    <col min="22" max="23" width="10.125" style="6" customWidth="1"/>
    <col min="24" max="24" width="10.125" style="395" customWidth="1"/>
    <col min="25" max="25" width="10.125" style="6" customWidth="1"/>
    <col min="26" max="26" width="10.125" style="6" bestFit="1" customWidth="1"/>
    <col min="27" max="16384" width="9" style="7"/>
  </cols>
  <sheetData>
    <row r="1" spans="1:26" s="12" customFormat="1" ht="28.5" customHeight="1" thickBot="1">
      <c r="A1" s="446" t="s">
        <v>105</v>
      </c>
      <c r="B1" s="10"/>
      <c r="C1" s="10"/>
      <c r="D1" s="10"/>
      <c r="E1" s="10"/>
      <c r="F1" s="10"/>
      <c r="G1" s="10"/>
      <c r="H1" s="447"/>
      <c r="I1" s="11"/>
      <c r="J1" s="10"/>
      <c r="K1" s="10"/>
      <c r="L1" s="10"/>
      <c r="M1" s="10"/>
      <c r="N1" s="10"/>
      <c r="O1" s="10"/>
      <c r="P1" s="10"/>
      <c r="Q1" s="10"/>
      <c r="R1" s="10"/>
      <c r="S1" s="10"/>
      <c r="T1" s="448"/>
      <c r="U1" s="448"/>
      <c r="V1" s="448"/>
      <c r="W1" s="448"/>
      <c r="X1" s="449"/>
      <c r="Y1" s="448"/>
      <c r="Z1" s="448"/>
    </row>
    <row r="2" spans="1:26" ht="28.5" customHeight="1">
      <c r="A2" s="450" t="s">
        <v>106</v>
      </c>
      <c r="B2" s="528">
        <v>2012</v>
      </c>
      <c r="C2" s="528"/>
      <c r="D2" s="528"/>
      <c r="E2" s="528"/>
      <c r="F2" s="529"/>
      <c r="G2" s="528">
        <v>2013</v>
      </c>
      <c r="H2" s="528"/>
      <c r="I2" s="528"/>
      <c r="J2" s="528"/>
      <c r="K2" s="529"/>
      <c r="L2" s="530">
        <v>2014</v>
      </c>
      <c r="M2" s="528"/>
      <c r="N2" s="528"/>
      <c r="O2" s="528"/>
      <c r="P2" s="529"/>
      <c r="Q2" s="524">
        <v>2015</v>
      </c>
      <c r="R2" s="525"/>
      <c r="S2" s="525"/>
      <c r="T2" s="525"/>
      <c r="U2" s="526"/>
      <c r="V2" s="524">
        <v>2016</v>
      </c>
      <c r="W2" s="525"/>
      <c r="X2" s="525"/>
      <c r="Y2" s="525"/>
      <c r="Z2" s="526"/>
    </row>
    <row r="3" spans="1:26" ht="16.5" customHeight="1" thickBot="1">
      <c r="A3" s="451" t="s">
        <v>107</v>
      </c>
      <c r="B3" s="452" t="s">
        <v>108</v>
      </c>
      <c r="C3" s="452" t="s">
        <v>109</v>
      </c>
      <c r="D3" s="452" t="s">
        <v>110</v>
      </c>
      <c r="E3" s="452" t="s">
        <v>111</v>
      </c>
      <c r="F3" s="453">
        <v>2012</v>
      </c>
      <c r="G3" s="454" t="s">
        <v>108</v>
      </c>
      <c r="H3" s="452" t="s">
        <v>109</v>
      </c>
      <c r="I3" s="452" t="s">
        <v>110</v>
      </c>
      <c r="J3" s="452" t="s">
        <v>111</v>
      </c>
      <c r="K3" s="453">
        <v>2013</v>
      </c>
      <c r="L3" s="454" t="s">
        <v>108</v>
      </c>
      <c r="M3" s="452" t="s">
        <v>109</v>
      </c>
      <c r="N3" s="452" t="s">
        <v>110</v>
      </c>
      <c r="O3" s="452" t="s">
        <v>111</v>
      </c>
      <c r="P3" s="455">
        <v>2014</v>
      </c>
      <c r="Q3" s="452" t="s">
        <v>108</v>
      </c>
      <c r="R3" s="452" t="s">
        <v>109</v>
      </c>
      <c r="S3" s="452" t="s">
        <v>110</v>
      </c>
      <c r="T3" s="452" t="s">
        <v>111</v>
      </c>
      <c r="U3" s="455">
        <v>2015</v>
      </c>
      <c r="V3" s="452" t="s">
        <v>228</v>
      </c>
      <c r="W3" s="452" t="s">
        <v>109</v>
      </c>
      <c r="X3" s="387" t="s">
        <v>110</v>
      </c>
      <c r="Y3" s="452" t="s">
        <v>111</v>
      </c>
      <c r="Z3" s="455" t="s">
        <v>229</v>
      </c>
    </row>
    <row r="4" spans="1:26" ht="34.5" customHeight="1" thickBot="1">
      <c r="A4" s="456" t="s">
        <v>74</v>
      </c>
      <c r="B4" s="457">
        <f>SUM(B5:B8)</f>
        <v>669.2</v>
      </c>
      <c r="C4" s="457">
        <f t="shared" ref="C4:O4" si="0">SUM(C5:C8)</f>
        <v>713.8</v>
      </c>
      <c r="D4" s="457">
        <f t="shared" si="0"/>
        <v>644.5</v>
      </c>
      <c r="E4" s="457">
        <f t="shared" si="0"/>
        <v>750.60000000000014</v>
      </c>
      <c r="F4" s="458">
        <f>SUM(F5:F8)</f>
        <v>2778.0999999999995</v>
      </c>
      <c r="G4" s="459">
        <f t="shared" si="0"/>
        <v>697.1</v>
      </c>
      <c r="H4" s="457">
        <f t="shared" si="0"/>
        <v>735.9</v>
      </c>
      <c r="I4" s="457">
        <f t="shared" si="0"/>
        <v>677.3</v>
      </c>
      <c r="J4" s="457">
        <f t="shared" si="0"/>
        <v>800.5</v>
      </c>
      <c r="K4" s="458">
        <f>SUM(K5:K8)</f>
        <v>2910.8</v>
      </c>
      <c r="L4" s="459">
        <f t="shared" si="0"/>
        <v>723.29999999999984</v>
      </c>
      <c r="M4" s="457">
        <f t="shared" si="0"/>
        <v>1745.9</v>
      </c>
      <c r="N4" s="457">
        <f t="shared" si="0"/>
        <v>2419.6</v>
      </c>
      <c r="O4" s="457">
        <f t="shared" si="0"/>
        <v>2521.1000000000004</v>
      </c>
      <c r="P4" s="460">
        <f>SUM(P5:P8)</f>
        <v>7409.9</v>
      </c>
      <c r="Q4" s="457">
        <f t="shared" ref="Q4:T4" si="1">SUM(Q5:Q8)</f>
        <v>2329</v>
      </c>
      <c r="R4" s="457">
        <f t="shared" si="1"/>
        <v>2469.1999999999998</v>
      </c>
      <c r="S4" s="457">
        <f t="shared" si="1"/>
        <v>2414.8999999999996</v>
      </c>
      <c r="T4" s="457">
        <f t="shared" si="1"/>
        <v>2609.9</v>
      </c>
      <c r="U4" s="460">
        <f>SUM(U5:U8)</f>
        <v>9823</v>
      </c>
      <c r="V4" s="457">
        <f t="shared" ref="V4:Y4" si="2">SUM(V5:V8)</f>
        <v>2364</v>
      </c>
      <c r="W4" s="457">
        <f t="shared" si="2"/>
        <v>2442.9</v>
      </c>
      <c r="X4" s="388">
        <f t="shared" si="2"/>
        <v>2387.8000000000002</v>
      </c>
      <c r="Y4" s="388">
        <f t="shared" si="2"/>
        <v>2535.1</v>
      </c>
      <c r="Z4" s="460">
        <f>SUM(Z5:Z8)</f>
        <v>9729.7999999999993</v>
      </c>
    </row>
    <row r="5" spans="1:26" ht="24.75" customHeight="1">
      <c r="A5" s="461" t="s">
        <v>81</v>
      </c>
      <c r="B5" s="462">
        <v>424</v>
      </c>
      <c r="C5" s="462">
        <v>427.1</v>
      </c>
      <c r="D5" s="462">
        <v>434.4</v>
      </c>
      <c r="E5" s="462">
        <v>446.6</v>
      </c>
      <c r="F5" s="463">
        <f>SUM(B5:E5)</f>
        <v>1732.1</v>
      </c>
      <c r="G5" s="464">
        <v>451.7</v>
      </c>
      <c r="H5" s="462">
        <v>452</v>
      </c>
      <c r="I5" s="462">
        <v>460.3</v>
      </c>
      <c r="J5" s="462">
        <v>466.1</v>
      </c>
      <c r="K5" s="463">
        <f>SUM(G5:J5)</f>
        <v>1830.1</v>
      </c>
      <c r="L5" s="464">
        <v>467.79999999999995</v>
      </c>
      <c r="M5" s="462">
        <v>1204.5</v>
      </c>
      <c r="N5" s="462">
        <v>1710.7</v>
      </c>
      <c r="O5" s="462">
        <v>1701.7</v>
      </c>
      <c r="P5" s="465">
        <f>SUM(L5:O5)</f>
        <v>5084.7</v>
      </c>
      <c r="Q5" s="462">
        <v>1637.2</v>
      </c>
      <c r="R5" s="462">
        <v>1652</v>
      </c>
      <c r="S5" s="462">
        <v>1643.3</v>
      </c>
      <c r="T5" s="466">
        <v>1620.6</v>
      </c>
      <c r="U5" s="465">
        <v>6553.1</v>
      </c>
      <c r="V5" s="467">
        <v>1565.7</v>
      </c>
      <c r="W5" s="467">
        <v>1586.9</v>
      </c>
      <c r="X5" s="389">
        <v>1583.7</v>
      </c>
      <c r="Y5" s="466">
        <v>1589</v>
      </c>
      <c r="Z5" s="465">
        <f>SUM(V5:Y5)</f>
        <v>6325.3</v>
      </c>
    </row>
    <row r="6" spans="1:26" ht="20.100000000000001" customHeight="1">
      <c r="A6" s="461" t="s">
        <v>82</v>
      </c>
      <c r="B6" s="462">
        <v>234.6</v>
      </c>
      <c r="C6" s="462">
        <v>272.7</v>
      </c>
      <c r="D6" s="462">
        <v>198</v>
      </c>
      <c r="E6" s="462">
        <v>286.3</v>
      </c>
      <c r="F6" s="463">
        <f t="shared" ref="F6:F8" si="3">SUM(B6:E6)</f>
        <v>991.59999999999991</v>
      </c>
      <c r="G6" s="464">
        <v>223.8</v>
      </c>
      <c r="H6" s="462">
        <v>265.2</v>
      </c>
      <c r="I6" s="462">
        <v>204</v>
      </c>
      <c r="J6" s="462">
        <v>317.2</v>
      </c>
      <c r="K6" s="463">
        <f t="shared" ref="K6:K8" si="4">SUM(G6:J6)</f>
        <v>1010.2</v>
      </c>
      <c r="L6" s="464">
        <v>242.19999999999993</v>
      </c>
      <c r="M6" s="462">
        <v>479.1</v>
      </c>
      <c r="N6" s="462">
        <v>591.6</v>
      </c>
      <c r="O6" s="462">
        <v>641.1</v>
      </c>
      <c r="P6" s="465">
        <f t="shared" ref="P6:P8" si="5">SUM(L6:O6)</f>
        <v>1954</v>
      </c>
      <c r="Q6" s="462">
        <v>553.29999999999995</v>
      </c>
      <c r="R6" s="462">
        <v>688.7</v>
      </c>
      <c r="S6" s="462">
        <v>616.9</v>
      </c>
      <c r="T6" s="468">
        <v>738</v>
      </c>
      <c r="U6" s="465">
        <v>2596.9</v>
      </c>
      <c r="V6" s="467">
        <v>599.79999999999995</v>
      </c>
      <c r="W6" s="467">
        <v>645</v>
      </c>
      <c r="X6" s="389">
        <v>562.9</v>
      </c>
      <c r="Y6" s="468">
        <v>658.4</v>
      </c>
      <c r="Z6" s="465">
        <f t="shared" ref="Z6:Z27" si="6">SUM(V6:Y6)</f>
        <v>2466.1</v>
      </c>
    </row>
    <row r="7" spans="1:26" ht="20.100000000000001" customHeight="1">
      <c r="A7" s="461" t="s">
        <v>83</v>
      </c>
      <c r="B7" s="462">
        <v>2.7</v>
      </c>
      <c r="C7" s="462">
        <v>6.2</v>
      </c>
      <c r="D7" s="462">
        <v>2.6</v>
      </c>
      <c r="E7" s="462">
        <v>7.2</v>
      </c>
      <c r="F7" s="463">
        <f t="shared" si="3"/>
        <v>18.7</v>
      </c>
      <c r="G7" s="464">
        <v>13.1</v>
      </c>
      <c r="H7" s="462">
        <v>11.8</v>
      </c>
      <c r="I7" s="462">
        <v>7.1</v>
      </c>
      <c r="J7" s="462">
        <v>9.6999999999999993</v>
      </c>
      <c r="K7" s="463">
        <f t="shared" si="4"/>
        <v>41.7</v>
      </c>
      <c r="L7" s="464">
        <v>7.8999999999999986</v>
      </c>
      <c r="M7" s="462">
        <v>55.4</v>
      </c>
      <c r="N7" s="462">
        <v>104.1</v>
      </c>
      <c r="O7" s="462">
        <v>159.9</v>
      </c>
      <c r="P7" s="465">
        <f t="shared" si="5"/>
        <v>327.29999999999995</v>
      </c>
      <c r="Q7" s="462">
        <v>118.4</v>
      </c>
      <c r="R7" s="462">
        <v>106.9</v>
      </c>
      <c r="S7" s="462">
        <v>131.19999999999999</v>
      </c>
      <c r="T7" s="468">
        <v>226.89999999999998</v>
      </c>
      <c r="U7" s="465">
        <v>583.4</v>
      </c>
      <c r="V7" s="467">
        <v>172.8</v>
      </c>
      <c r="W7" s="467">
        <v>191.1</v>
      </c>
      <c r="X7" s="389">
        <v>221.3</v>
      </c>
      <c r="Y7" s="468">
        <v>265.60000000000002</v>
      </c>
      <c r="Z7" s="465">
        <f t="shared" si="6"/>
        <v>850.80000000000007</v>
      </c>
    </row>
    <row r="8" spans="1:26" ht="20.100000000000001" customHeight="1" thickBot="1">
      <c r="A8" s="461" t="s">
        <v>84</v>
      </c>
      <c r="B8" s="462">
        <v>7.9</v>
      </c>
      <c r="C8" s="462">
        <v>7.8</v>
      </c>
      <c r="D8" s="462">
        <v>9.5</v>
      </c>
      <c r="E8" s="462">
        <v>10.5</v>
      </c>
      <c r="F8" s="463">
        <f t="shared" si="3"/>
        <v>35.700000000000003</v>
      </c>
      <c r="G8" s="464">
        <v>8.5</v>
      </c>
      <c r="H8" s="462">
        <v>6.9</v>
      </c>
      <c r="I8" s="462">
        <v>5.9</v>
      </c>
      <c r="J8" s="462">
        <v>7.5</v>
      </c>
      <c r="K8" s="463">
        <f t="shared" si="4"/>
        <v>28.8</v>
      </c>
      <c r="L8" s="464">
        <v>5.4</v>
      </c>
      <c r="M8" s="462">
        <v>6.9</v>
      </c>
      <c r="N8" s="462">
        <v>13.2</v>
      </c>
      <c r="O8" s="462">
        <v>18.399999999999999</v>
      </c>
      <c r="P8" s="465">
        <f t="shared" si="5"/>
        <v>43.9</v>
      </c>
      <c r="Q8" s="462">
        <v>20.100000000000001</v>
      </c>
      <c r="R8" s="462">
        <v>21.6</v>
      </c>
      <c r="S8" s="462">
        <v>23.5</v>
      </c>
      <c r="T8" s="468">
        <v>24.399999999999991</v>
      </c>
      <c r="U8" s="465">
        <v>89.6</v>
      </c>
      <c r="V8" s="467">
        <v>25.7</v>
      </c>
      <c r="W8" s="467">
        <v>19.899999999999999</v>
      </c>
      <c r="X8" s="389">
        <v>19.899999999999999</v>
      </c>
      <c r="Y8" s="468">
        <v>22.1</v>
      </c>
      <c r="Z8" s="465">
        <f t="shared" si="6"/>
        <v>87.6</v>
      </c>
    </row>
    <row r="9" spans="1:26" s="473" customFormat="1" ht="20.100000000000001" customHeight="1" thickBot="1">
      <c r="A9" s="456" t="s">
        <v>73</v>
      </c>
      <c r="B9" s="469">
        <f t="shared" ref="B9:Y9" si="7">SUM(B10:B17)</f>
        <v>-464.5</v>
      </c>
      <c r="C9" s="469">
        <f t="shared" si="7"/>
        <v>-499.7</v>
      </c>
      <c r="D9" s="469">
        <f t="shared" si="7"/>
        <v>-444.9</v>
      </c>
      <c r="E9" s="469">
        <f t="shared" si="7"/>
        <v>-562.4</v>
      </c>
      <c r="F9" s="470">
        <f t="shared" si="7"/>
        <v>-1971.5000000000002</v>
      </c>
      <c r="G9" s="471">
        <f t="shared" si="7"/>
        <v>-512.92000000000007</v>
      </c>
      <c r="H9" s="469">
        <f t="shared" si="7"/>
        <v>-542.4</v>
      </c>
      <c r="I9" s="469">
        <f t="shared" si="7"/>
        <v>-510.7</v>
      </c>
      <c r="J9" s="469">
        <f t="shared" si="7"/>
        <v>-591.70000000000016</v>
      </c>
      <c r="K9" s="470">
        <f t="shared" si="7"/>
        <v>-2157.7200000000003</v>
      </c>
      <c r="L9" s="471">
        <f t="shared" si="7"/>
        <v>-507.40000000000003</v>
      </c>
      <c r="M9" s="469">
        <f t="shared" si="7"/>
        <v>-1351.8</v>
      </c>
      <c r="N9" s="469">
        <f t="shared" si="7"/>
        <v>-1992.5</v>
      </c>
      <c r="O9" s="469">
        <f t="shared" si="7"/>
        <v>-2125.4</v>
      </c>
      <c r="P9" s="472">
        <f t="shared" si="7"/>
        <v>-5977.1</v>
      </c>
      <c r="Q9" s="469">
        <f t="shared" si="7"/>
        <v>-1908.9999999999998</v>
      </c>
      <c r="R9" s="469">
        <f t="shared" si="7"/>
        <v>-1899.4999999999998</v>
      </c>
      <c r="S9" s="469">
        <f t="shared" si="7"/>
        <v>-1900.1</v>
      </c>
      <c r="T9" s="469">
        <f t="shared" si="7"/>
        <v>-2159.2999999999997</v>
      </c>
      <c r="U9" s="472">
        <f t="shared" si="7"/>
        <v>-7867.9000000000005</v>
      </c>
      <c r="V9" s="469">
        <f t="shared" si="7"/>
        <v>-1948</v>
      </c>
      <c r="W9" s="469">
        <f t="shared" si="7"/>
        <v>-2041.9999999999998</v>
      </c>
      <c r="X9" s="390">
        <f t="shared" si="7"/>
        <v>-1938.7</v>
      </c>
      <c r="Y9" s="390">
        <f t="shared" si="7"/>
        <v>-2140.6</v>
      </c>
      <c r="Z9" s="472">
        <f>SUM(Z10:Z17)</f>
        <v>-8069.2999999999993</v>
      </c>
    </row>
    <row r="10" spans="1:26" ht="20.100000000000001" customHeight="1">
      <c r="A10" s="461" t="s">
        <v>85</v>
      </c>
      <c r="B10" s="474">
        <v>-206.8</v>
      </c>
      <c r="C10" s="474">
        <v>-226.6</v>
      </c>
      <c r="D10" s="474">
        <v>-171.5</v>
      </c>
      <c r="E10" s="474">
        <v>-219</v>
      </c>
      <c r="F10" s="475">
        <f>SUM(B10:E10)</f>
        <v>-823.9</v>
      </c>
      <c r="G10" s="476">
        <v>-207.5</v>
      </c>
      <c r="H10" s="474">
        <v>-239.5</v>
      </c>
      <c r="I10" s="474">
        <v>-219.3</v>
      </c>
      <c r="J10" s="474">
        <v>-260.7</v>
      </c>
      <c r="K10" s="475">
        <f>SUM(G10:J10)</f>
        <v>-927</v>
      </c>
      <c r="L10" s="476">
        <v>-210.60000000000002</v>
      </c>
      <c r="M10" s="474">
        <v>-260.89999999999998</v>
      </c>
      <c r="N10" s="474">
        <v>-262.39999999999998</v>
      </c>
      <c r="O10" s="474">
        <v>-295.60000000000002</v>
      </c>
      <c r="P10" s="477">
        <f>SUM(L10:O10)</f>
        <v>-1029.5</v>
      </c>
      <c r="Q10" s="474">
        <v>-235.5</v>
      </c>
      <c r="R10" s="474">
        <v>-274</v>
      </c>
      <c r="S10" s="474">
        <v>-257.3</v>
      </c>
      <c r="T10" s="468">
        <v>-299.10000000000014</v>
      </c>
      <c r="U10" s="477">
        <v>-1065.9000000000001</v>
      </c>
      <c r="V10" s="478">
        <v>-248.5</v>
      </c>
      <c r="W10" s="478">
        <v>-316.3</v>
      </c>
      <c r="X10" s="391">
        <v>-252.1</v>
      </c>
      <c r="Y10" s="468">
        <v>-297.3</v>
      </c>
      <c r="Z10" s="477">
        <f t="shared" si="6"/>
        <v>-1114.2</v>
      </c>
    </row>
    <row r="11" spans="1:26" ht="18.75" customHeight="1">
      <c r="A11" s="461" t="s">
        <v>86</v>
      </c>
      <c r="B11" s="474">
        <v>-71.5</v>
      </c>
      <c r="C11" s="474">
        <v>-71.8</v>
      </c>
      <c r="D11" s="474">
        <v>-73.7</v>
      </c>
      <c r="E11" s="474">
        <v>-95.7</v>
      </c>
      <c r="F11" s="475">
        <f t="shared" ref="F11:F18" si="8">SUM(B11:E11)</f>
        <v>-312.7</v>
      </c>
      <c r="G11" s="476">
        <v>-79</v>
      </c>
      <c r="H11" s="474">
        <v>-81.3</v>
      </c>
      <c r="I11" s="474">
        <v>-79.3</v>
      </c>
      <c r="J11" s="474">
        <v>-92.4</v>
      </c>
      <c r="K11" s="475">
        <f t="shared" ref="K11:K18" si="9">SUM(G11:J11)</f>
        <v>-332</v>
      </c>
      <c r="L11" s="476">
        <v>-75.400000000000006</v>
      </c>
      <c r="M11" s="474">
        <v>-132.19999999999999</v>
      </c>
      <c r="N11" s="474">
        <v>-186.8</v>
      </c>
      <c r="O11" s="474">
        <v>-218.3</v>
      </c>
      <c r="P11" s="477">
        <f t="shared" ref="P11:P18" si="10">SUM(L11:O11)</f>
        <v>-612.70000000000005</v>
      </c>
      <c r="Q11" s="474">
        <v>-189.2</v>
      </c>
      <c r="R11" s="474">
        <v>-193.2</v>
      </c>
      <c r="S11" s="474">
        <v>-200.1</v>
      </c>
      <c r="T11" s="468">
        <v>-220.1</v>
      </c>
      <c r="U11" s="477">
        <v>-802.6</v>
      </c>
      <c r="V11" s="478">
        <v>-200.5</v>
      </c>
      <c r="W11" s="478">
        <v>-202.2</v>
      </c>
      <c r="X11" s="391">
        <v>-202.6</v>
      </c>
      <c r="Y11" s="468">
        <v>-222.5</v>
      </c>
      <c r="Z11" s="477">
        <f t="shared" si="6"/>
        <v>-827.8</v>
      </c>
    </row>
    <row r="12" spans="1:26" ht="18.75" customHeight="1">
      <c r="A12" s="461" t="s">
        <v>79</v>
      </c>
      <c r="B12" s="474">
        <v>-54.4</v>
      </c>
      <c r="C12" s="474">
        <v>-56.7</v>
      </c>
      <c r="D12" s="474">
        <v>-60.2</v>
      </c>
      <c r="E12" s="474">
        <v>-71.7</v>
      </c>
      <c r="F12" s="475">
        <f t="shared" si="8"/>
        <v>-243</v>
      </c>
      <c r="G12" s="476">
        <v>-60.7</v>
      </c>
      <c r="H12" s="474">
        <v>-62.3</v>
      </c>
      <c r="I12" s="474">
        <v>-64.8</v>
      </c>
      <c r="J12" s="474">
        <v>-68.599999999999994</v>
      </c>
      <c r="K12" s="475">
        <f t="shared" si="9"/>
        <v>-256.39999999999998</v>
      </c>
      <c r="L12" s="476">
        <v>-62.5</v>
      </c>
      <c r="M12" s="474">
        <v>-311.3</v>
      </c>
      <c r="N12" s="474">
        <v>-478.3</v>
      </c>
      <c r="O12" s="474">
        <v>-443.8</v>
      </c>
      <c r="P12" s="477">
        <f t="shared" si="10"/>
        <v>-1295.9000000000001</v>
      </c>
      <c r="Q12" s="474">
        <v>-467.9</v>
      </c>
      <c r="R12" s="474">
        <v>-393.5</v>
      </c>
      <c r="S12" s="474">
        <v>-401.2</v>
      </c>
      <c r="T12" s="468">
        <v>-436.70000000000005</v>
      </c>
      <c r="U12" s="477">
        <v>-1699.3</v>
      </c>
      <c r="V12" s="478">
        <v>-423.7</v>
      </c>
      <c r="W12" s="478">
        <v>-527.5</v>
      </c>
      <c r="X12" s="391">
        <v>-507.9</v>
      </c>
      <c r="Y12" s="468">
        <v>-512.4</v>
      </c>
      <c r="Z12" s="477">
        <f t="shared" si="6"/>
        <v>-1971.5</v>
      </c>
    </row>
    <row r="13" spans="1:26" ht="20.100000000000001" customHeight="1">
      <c r="A13" s="461" t="s">
        <v>87</v>
      </c>
      <c r="B13" s="474">
        <v>-49.7</v>
      </c>
      <c r="C13" s="474">
        <v>-55.1</v>
      </c>
      <c r="D13" s="474">
        <v>-58.6</v>
      </c>
      <c r="E13" s="474">
        <v>-59.3</v>
      </c>
      <c r="F13" s="475">
        <f t="shared" si="8"/>
        <v>-222.7</v>
      </c>
      <c r="G13" s="476">
        <v>-60.7</v>
      </c>
      <c r="H13" s="474">
        <v>-62</v>
      </c>
      <c r="I13" s="474">
        <v>-62.2</v>
      </c>
      <c r="J13" s="474">
        <v>-71.400000000000006</v>
      </c>
      <c r="K13" s="475">
        <f t="shared" si="9"/>
        <v>-256.3</v>
      </c>
      <c r="L13" s="476">
        <v>-71.300000000000011</v>
      </c>
      <c r="M13" s="474">
        <v>-288</v>
      </c>
      <c r="N13" s="474">
        <v>-495.9</v>
      </c>
      <c r="O13" s="474">
        <v>-557.20000000000005</v>
      </c>
      <c r="P13" s="477">
        <f t="shared" si="10"/>
        <v>-1412.4</v>
      </c>
      <c r="Q13" s="474">
        <v>-482.3</v>
      </c>
      <c r="R13" s="474">
        <v>-522.4</v>
      </c>
      <c r="S13" s="474">
        <v>-551.20000000000005</v>
      </c>
      <c r="T13" s="468">
        <v>-585.09999999999991</v>
      </c>
      <c r="U13" s="477">
        <v>-2141</v>
      </c>
      <c r="V13" s="478">
        <v>-550.29999999999995</v>
      </c>
      <c r="W13" s="478">
        <v>-456.6</v>
      </c>
      <c r="X13" s="391">
        <v>-459.2</v>
      </c>
      <c r="Y13" s="468">
        <v>-472.6</v>
      </c>
      <c r="Z13" s="477">
        <f t="shared" si="6"/>
        <v>-1938.6999999999998</v>
      </c>
    </row>
    <row r="14" spans="1:26" ht="20.100000000000001" customHeight="1">
      <c r="A14" s="461" t="s">
        <v>1</v>
      </c>
      <c r="B14" s="474">
        <v>-40.6</v>
      </c>
      <c r="C14" s="474">
        <v>-40.299999999999997</v>
      </c>
      <c r="D14" s="474">
        <v>-38.9</v>
      </c>
      <c r="E14" s="474">
        <v>-58.6</v>
      </c>
      <c r="F14" s="475">
        <f t="shared" si="8"/>
        <v>-178.4</v>
      </c>
      <c r="G14" s="476">
        <v>-43.1</v>
      </c>
      <c r="H14" s="474">
        <v>-41.9</v>
      </c>
      <c r="I14" s="474">
        <v>-40.4</v>
      </c>
      <c r="J14" s="474">
        <v>-53.2</v>
      </c>
      <c r="K14" s="475">
        <f t="shared" si="9"/>
        <v>-178.60000000000002</v>
      </c>
      <c r="L14" s="476">
        <v>-44.600000000000009</v>
      </c>
      <c r="M14" s="474">
        <v>-108.2</v>
      </c>
      <c r="N14" s="474">
        <v>-118</v>
      </c>
      <c r="O14" s="474">
        <v>-150.9</v>
      </c>
      <c r="P14" s="477">
        <f t="shared" si="10"/>
        <v>-421.70000000000005</v>
      </c>
      <c r="Q14" s="474">
        <v>-129.1</v>
      </c>
      <c r="R14" s="474">
        <v>-140.80000000000001</v>
      </c>
      <c r="S14" s="474">
        <v>-122.3</v>
      </c>
      <c r="T14" s="468">
        <v>-158.00000000000006</v>
      </c>
      <c r="U14" s="477">
        <v>-550.20000000000005</v>
      </c>
      <c r="V14" s="478">
        <v>-137.9</v>
      </c>
      <c r="W14" s="478">
        <v>-138.19999999999999</v>
      </c>
      <c r="X14" s="391">
        <v>-130.5</v>
      </c>
      <c r="Y14" s="468">
        <v>-163.9</v>
      </c>
      <c r="Z14" s="477">
        <f t="shared" si="6"/>
        <v>-570.5</v>
      </c>
    </row>
    <row r="15" spans="1:26" ht="18.75" customHeight="1">
      <c r="A15" s="461" t="s">
        <v>88</v>
      </c>
      <c r="B15" s="474">
        <v>-5.5</v>
      </c>
      <c r="C15" s="474">
        <v>-7.6</v>
      </c>
      <c r="D15" s="474">
        <v>-7</v>
      </c>
      <c r="E15" s="474">
        <v>-16.100000000000001</v>
      </c>
      <c r="F15" s="475">
        <f t="shared" si="8"/>
        <v>-36.200000000000003</v>
      </c>
      <c r="G15" s="476">
        <v>-25.8</v>
      </c>
      <c r="H15" s="474">
        <v>-16.8</v>
      </c>
      <c r="I15" s="474">
        <v>-10.7</v>
      </c>
      <c r="J15" s="474">
        <v>-10.6</v>
      </c>
      <c r="K15" s="475">
        <f t="shared" si="9"/>
        <v>-63.9</v>
      </c>
      <c r="L15" s="476">
        <v>-10.300000000000011</v>
      </c>
      <c r="M15" s="474">
        <v>-189.7</v>
      </c>
      <c r="N15" s="474">
        <v>-348.6</v>
      </c>
      <c r="O15" s="474">
        <v>-376.6</v>
      </c>
      <c r="P15" s="477">
        <f t="shared" si="10"/>
        <v>-925.2</v>
      </c>
      <c r="Q15" s="474">
        <v>-332.5</v>
      </c>
      <c r="R15" s="474">
        <v>-291.7</v>
      </c>
      <c r="S15" s="474">
        <v>-314.89999999999998</v>
      </c>
      <c r="T15" s="468">
        <v>-393.59999999999991</v>
      </c>
      <c r="U15" s="477">
        <v>-1332.8</v>
      </c>
      <c r="V15" s="478">
        <v>-326.8</v>
      </c>
      <c r="W15" s="478">
        <v>-317.3</v>
      </c>
      <c r="X15" s="391">
        <v>-330.5</v>
      </c>
      <c r="Y15" s="468">
        <v>-380.1</v>
      </c>
      <c r="Z15" s="477">
        <f t="shared" si="6"/>
        <v>-1354.7</v>
      </c>
    </row>
    <row r="16" spans="1:26" ht="24.75" customHeight="1">
      <c r="A16" s="461" t="s">
        <v>89</v>
      </c>
      <c r="B16" s="474">
        <v>-5.9</v>
      </c>
      <c r="C16" s="474">
        <v>-8.4</v>
      </c>
      <c r="D16" s="474">
        <v>-5.3</v>
      </c>
      <c r="E16" s="474">
        <v>-7.8</v>
      </c>
      <c r="F16" s="475">
        <f t="shared" si="8"/>
        <v>-27.400000000000002</v>
      </c>
      <c r="G16" s="476">
        <v>-6.42</v>
      </c>
      <c r="H16" s="474">
        <v>-9.3000000000000007</v>
      </c>
      <c r="I16" s="474">
        <v>-5.3</v>
      </c>
      <c r="J16" s="474">
        <v>-7.2</v>
      </c>
      <c r="K16" s="475">
        <f t="shared" si="9"/>
        <v>-28.22</v>
      </c>
      <c r="L16" s="476">
        <v>-6.6999999999999993</v>
      </c>
      <c r="M16" s="474">
        <v>-18.100000000000001</v>
      </c>
      <c r="N16" s="474">
        <v>-15.3</v>
      </c>
      <c r="O16" s="474">
        <v>-27.5</v>
      </c>
      <c r="P16" s="477">
        <f t="shared" si="10"/>
        <v>-67.599999999999994</v>
      </c>
      <c r="Q16" s="474">
        <v>-18.7</v>
      </c>
      <c r="R16" s="474">
        <v>-27.8</v>
      </c>
      <c r="S16" s="474">
        <v>-8.5</v>
      </c>
      <c r="T16" s="468">
        <v>-7.6000000000000014</v>
      </c>
      <c r="U16" s="477">
        <v>-62.6</v>
      </c>
      <c r="V16" s="478">
        <v>-9.6</v>
      </c>
      <c r="W16" s="478">
        <v>-16.3</v>
      </c>
      <c r="X16" s="391">
        <v>-5.7</v>
      </c>
      <c r="Y16" s="468">
        <v>-15.3</v>
      </c>
      <c r="Z16" s="477">
        <f t="shared" si="6"/>
        <v>-46.9</v>
      </c>
    </row>
    <row r="17" spans="1:26" ht="18.75" customHeight="1" thickBot="1">
      <c r="A17" s="461" t="s">
        <v>90</v>
      </c>
      <c r="B17" s="474">
        <v>-30.1</v>
      </c>
      <c r="C17" s="474">
        <v>-33.200000000000003</v>
      </c>
      <c r="D17" s="474">
        <v>-29.7</v>
      </c>
      <c r="E17" s="474">
        <v>-34.200000000000003</v>
      </c>
      <c r="F17" s="475">
        <f t="shared" si="8"/>
        <v>-127.2</v>
      </c>
      <c r="G17" s="476">
        <v>-29.7</v>
      </c>
      <c r="H17" s="474">
        <v>-29.3</v>
      </c>
      <c r="I17" s="474">
        <v>-28.7</v>
      </c>
      <c r="J17" s="474">
        <v>-27.6</v>
      </c>
      <c r="K17" s="475">
        <f t="shared" si="9"/>
        <v>-115.30000000000001</v>
      </c>
      <c r="L17" s="476">
        <v>-26.000000000000007</v>
      </c>
      <c r="M17" s="474">
        <v>-43.4</v>
      </c>
      <c r="N17" s="474">
        <v>-87.2</v>
      </c>
      <c r="O17" s="474">
        <v>-55.5</v>
      </c>
      <c r="P17" s="477">
        <f t="shared" si="10"/>
        <v>-212.10000000000002</v>
      </c>
      <c r="Q17" s="474">
        <v>-53.8</v>
      </c>
      <c r="R17" s="474">
        <v>-56.1</v>
      </c>
      <c r="S17" s="474">
        <v>-44.6</v>
      </c>
      <c r="T17" s="468">
        <v>-59.099999999999994</v>
      </c>
      <c r="U17" s="477">
        <v>-213.5</v>
      </c>
      <c r="V17" s="478">
        <v>-50.7</v>
      </c>
      <c r="W17" s="478">
        <v>-67.599999999999994</v>
      </c>
      <c r="X17" s="391">
        <v>-50.2</v>
      </c>
      <c r="Y17" s="468">
        <v>-76.5</v>
      </c>
      <c r="Z17" s="477">
        <f t="shared" si="6"/>
        <v>-245</v>
      </c>
    </row>
    <row r="18" spans="1:26" s="479" customFormat="1" ht="20.100000000000001" customHeight="1" thickBot="1">
      <c r="A18" s="456" t="s">
        <v>240</v>
      </c>
      <c r="B18" s="469">
        <v>-1.7</v>
      </c>
      <c r="C18" s="469">
        <v>-1.1000000000000001</v>
      </c>
      <c r="D18" s="469">
        <v>-2</v>
      </c>
      <c r="E18" s="469">
        <v>-12.7</v>
      </c>
      <c r="F18" s="518">
        <f t="shared" si="8"/>
        <v>-17.5</v>
      </c>
      <c r="G18" s="471">
        <v>0.5</v>
      </c>
      <c r="H18" s="469">
        <v>1.5</v>
      </c>
      <c r="I18" s="469">
        <v>36.799999999999997</v>
      </c>
      <c r="J18" s="469">
        <v>-2</v>
      </c>
      <c r="K18" s="518">
        <f t="shared" si="9"/>
        <v>36.799999999999997</v>
      </c>
      <c r="L18" s="471">
        <v>3.6</v>
      </c>
      <c r="M18" s="469">
        <v>3.5</v>
      </c>
      <c r="N18" s="469">
        <v>4.7</v>
      </c>
      <c r="O18" s="469">
        <v>-2.2000000000000002</v>
      </c>
      <c r="P18" s="519">
        <f t="shared" si="10"/>
        <v>9.6000000000000014</v>
      </c>
      <c r="Q18" s="469">
        <v>8.6999999999999993</v>
      </c>
      <c r="R18" s="469">
        <v>13.8</v>
      </c>
      <c r="S18" s="469">
        <v>14.4</v>
      </c>
      <c r="T18" s="469">
        <v>-6.2</v>
      </c>
      <c r="U18" s="519">
        <v>30.7</v>
      </c>
      <c r="V18" s="520">
        <v>6.8</v>
      </c>
      <c r="W18" s="520">
        <v>6.6</v>
      </c>
      <c r="X18" s="521">
        <v>0</v>
      </c>
      <c r="Y18" s="469">
        <v>-4.5999999999999996</v>
      </c>
      <c r="Z18" s="519">
        <f t="shared" si="6"/>
        <v>8.7999999999999989</v>
      </c>
    </row>
    <row r="19" spans="1:26" s="473" customFormat="1" ht="20.100000000000001" customHeight="1" thickBot="1">
      <c r="A19" s="456" t="s">
        <v>51</v>
      </c>
      <c r="B19" s="469">
        <f t="shared" ref="B19:Z19" si="11">B4+B9+B18</f>
        <v>203.00000000000006</v>
      </c>
      <c r="C19" s="469">
        <f t="shared" si="11"/>
        <v>212.99999999999997</v>
      </c>
      <c r="D19" s="469">
        <f t="shared" si="11"/>
        <v>197.60000000000002</v>
      </c>
      <c r="E19" s="469">
        <f t="shared" si="11"/>
        <v>175.50000000000017</v>
      </c>
      <c r="F19" s="480">
        <f t="shared" si="11"/>
        <v>789.09999999999923</v>
      </c>
      <c r="G19" s="459">
        <f t="shared" si="11"/>
        <v>184.67999999999995</v>
      </c>
      <c r="H19" s="457">
        <f t="shared" si="11"/>
        <v>195</v>
      </c>
      <c r="I19" s="457">
        <f t="shared" si="11"/>
        <v>203.39999999999998</v>
      </c>
      <c r="J19" s="457">
        <f t="shared" si="11"/>
        <v>206.79999999999984</v>
      </c>
      <c r="K19" s="480">
        <f t="shared" si="11"/>
        <v>789.87999999999988</v>
      </c>
      <c r="L19" s="459">
        <f t="shared" si="11"/>
        <v>219.4999999999998</v>
      </c>
      <c r="M19" s="457">
        <f t="shared" si="11"/>
        <v>397.60000000000014</v>
      </c>
      <c r="N19" s="457">
        <f t="shared" si="11"/>
        <v>431.7999999999999</v>
      </c>
      <c r="O19" s="457">
        <f t="shared" si="11"/>
        <v>393.50000000000028</v>
      </c>
      <c r="P19" s="481">
        <f t="shared" si="11"/>
        <v>1442.3999999999992</v>
      </c>
      <c r="Q19" s="457">
        <f t="shared" si="11"/>
        <v>428.70000000000022</v>
      </c>
      <c r="R19" s="457">
        <f t="shared" si="11"/>
        <v>583.5</v>
      </c>
      <c r="S19" s="457">
        <f t="shared" si="11"/>
        <v>529.1999999999997</v>
      </c>
      <c r="T19" s="457">
        <f t="shared" si="11"/>
        <v>444.40000000000038</v>
      </c>
      <c r="U19" s="481">
        <f t="shared" si="11"/>
        <v>1985.7999999999995</v>
      </c>
      <c r="V19" s="457">
        <f t="shared" si="11"/>
        <v>422.8</v>
      </c>
      <c r="W19" s="457">
        <f t="shared" si="11"/>
        <v>407.50000000000034</v>
      </c>
      <c r="X19" s="388">
        <f t="shared" si="11"/>
        <v>449.10000000000014</v>
      </c>
      <c r="Y19" s="388">
        <f t="shared" si="11"/>
        <v>389.9</v>
      </c>
      <c r="Z19" s="481">
        <f t="shared" si="11"/>
        <v>1669.3</v>
      </c>
    </row>
    <row r="20" spans="1:26" ht="20.100000000000001" customHeight="1">
      <c r="A20" s="461" t="s">
        <v>230</v>
      </c>
      <c r="B20" s="474">
        <v>12.5</v>
      </c>
      <c r="C20" s="474">
        <v>-8.5</v>
      </c>
      <c r="D20" s="474">
        <v>5.3</v>
      </c>
      <c r="E20" s="474">
        <v>5</v>
      </c>
      <c r="F20" s="475">
        <f>SUM(B20:E20)</f>
        <v>14.3</v>
      </c>
      <c r="G20" s="476">
        <v>3.9</v>
      </c>
      <c r="H20" s="474">
        <v>0.7</v>
      </c>
      <c r="I20" s="474">
        <v>7.4</v>
      </c>
      <c r="J20" s="474">
        <v>4.0999999999999996</v>
      </c>
      <c r="K20" s="475">
        <f>SUM(G20:J20)</f>
        <v>16.100000000000001</v>
      </c>
      <c r="L20" s="476">
        <v>1.2000000000000028</v>
      </c>
      <c r="M20" s="474">
        <v>23.9</v>
      </c>
      <c r="N20" s="474">
        <v>1.5</v>
      </c>
      <c r="O20" s="474">
        <v>-11.4</v>
      </c>
      <c r="P20" s="477">
        <f>SUM(L20:O20)</f>
        <v>15.200000000000001</v>
      </c>
      <c r="Q20" s="474">
        <v>28.9</v>
      </c>
      <c r="R20" s="474">
        <v>-11.9</v>
      </c>
      <c r="S20" s="474">
        <v>-5.2</v>
      </c>
      <c r="T20" s="468">
        <v>-3.2</v>
      </c>
      <c r="U20" s="477">
        <v>8.6000000000000014</v>
      </c>
      <c r="V20" s="478">
        <v>-35.200000000000003</v>
      </c>
      <c r="W20" s="478">
        <v>-21.4</v>
      </c>
      <c r="X20" s="391">
        <v>13.1</v>
      </c>
      <c r="Y20" s="468">
        <v>-26.3</v>
      </c>
      <c r="Z20" s="477">
        <f t="shared" si="6"/>
        <v>-69.8</v>
      </c>
    </row>
    <row r="21" spans="1:26" ht="20.100000000000001" customHeight="1">
      <c r="A21" s="461" t="s">
        <v>91</v>
      </c>
      <c r="B21" s="474">
        <v>30.1</v>
      </c>
      <c r="C21" s="474">
        <v>-92.4</v>
      </c>
      <c r="D21" s="474">
        <v>-5.2</v>
      </c>
      <c r="E21" s="474">
        <v>-43.1</v>
      </c>
      <c r="F21" s="475">
        <f t="shared" ref="F21:F22" si="12">SUM(B21:E21)</f>
        <v>-110.6</v>
      </c>
      <c r="G21" s="476">
        <v>-80.099999999999994</v>
      </c>
      <c r="H21" s="474">
        <v>-102.4</v>
      </c>
      <c r="I21" s="474">
        <v>-10.7</v>
      </c>
      <c r="J21" s="474">
        <v>-22.8</v>
      </c>
      <c r="K21" s="475">
        <f t="shared" ref="K21:K22" si="13">SUM(G21:J21)</f>
        <v>-216</v>
      </c>
      <c r="L21" s="476">
        <v>-108.70000000000005</v>
      </c>
      <c r="M21" s="474">
        <v>-273.39999999999998</v>
      </c>
      <c r="N21" s="474">
        <v>-384.7</v>
      </c>
      <c r="O21" s="474">
        <v>-379.2</v>
      </c>
      <c r="P21" s="477">
        <f t="shared" ref="P21:P22" si="14">SUM(L21:O21)</f>
        <v>-1146</v>
      </c>
      <c r="Q21" s="474">
        <v>-261.3</v>
      </c>
      <c r="R21" s="474">
        <v>-222.1</v>
      </c>
      <c r="S21" s="474">
        <v>88.8</v>
      </c>
      <c r="T21" s="468">
        <v>-270</v>
      </c>
      <c r="U21" s="477">
        <v>-664.59999999999991</v>
      </c>
      <c r="V21" s="478">
        <v>-182.7</v>
      </c>
      <c r="W21" s="478">
        <v>-133.19999999999999</v>
      </c>
      <c r="X21" s="391">
        <v>-127.3</v>
      </c>
      <c r="Y21" s="468">
        <v>-122.9</v>
      </c>
      <c r="Z21" s="477">
        <f t="shared" si="6"/>
        <v>-566.1</v>
      </c>
    </row>
    <row r="22" spans="1:26" ht="26.25" customHeight="1" thickBot="1">
      <c r="A22" s="461" t="s">
        <v>197</v>
      </c>
      <c r="B22" s="474">
        <v>0.7</v>
      </c>
      <c r="C22" s="474">
        <v>0.8</v>
      </c>
      <c r="D22" s="474">
        <v>0.5</v>
      </c>
      <c r="E22" s="474">
        <v>0.8</v>
      </c>
      <c r="F22" s="475">
        <f t="shared" si="12"/>
        <v>2.8</v>
      </c>
      <c r="G22" s="476">
        <v>0.8</v>
      </c>
      <c r="H22" s="474">
        <v>0.8</v>
      </c>
      <c r="I22" s="474">
        <v>0.7</v>
      </c>
      <c r="J22" s="474">
        <v>0.6</v>
      </c>
      <c r="K22" s="475">
        <f t="shared" si="13"/>
        <v>2.9</v>
      </c>
      <c r="L22" s="476">
        <v>0.60000000000000009</v>
      </c>
      <c r="M22" s="474">
        <v>0.7</v>
      </c>
      <c r="N22" s="474">
        <v>0.7</v>
      </c>
      <c r="O22" s="474">
        <v>0.6</v>
      </c>
      <c r="P22" s="477">
        <f t="shared" si="14"/>
        <v>2.6</v>
      </c>
      <c r="Q22" s="474">
        <v>0.5</v>
      </c>
      <c r="R22" s="474">
        <v>0.9</v>
      </c>
      <c r="S22" s="474">
        <v>0.5</v>
      </c>
      <c r="T22" s="468">
        <v>0.70000000000000018</v>
      </c>
      <c r="U22" s="477">
        <v>2.6</v>
      </c>
      <c r="V22" s="478">
        <v>0.8</v>
      </c>
      <c r="W22" s="478">
        <v>-0.8</v>
      </c>
      <c r="X22" s="433">
        <v>0</v>
      </c>
      <c r="Y22" s="433">
        <v>0</v>
      </c>
      <c r="Z22" s="482">
        <f t="shared" si="6"/>
        <v>0</v>
      </c>
    </row>
    <row r="23" spans="1:26" s="473" customFormat="1" ht="20.100000000000001" customHeight="1" thickBot="1">
      <c r="A23" s="456" t="s">
        <v>220</v>
      </c>
      <c r="B23" s="457">
        <f>B19+B20+B21+B22</f>
        <v>246.30000000000004</v>
      </c>
      <c r="C23" s="457">
        <f t="shared" ref="C23:Z23" si="15">C19+C20+C21+C22</f>
        <v>112.89999999999996</v>
      </c>
      <c r="D23" s="457">
        <f t="shared" si="15"/>
        <v>198.20000000000005</v>
      </c>
      <c r="E23" s="457">
        <f t="shared" si="15"/>
        <v>138.20000000000019</v>
      </c>
      <c r="F23" s="480">
        <f t="shared" si="15"/>
        <v>695.59999999999911</v>
      </c>
      <c r="G23" s="459">
        <f t="shared" si="15"/>
        <v>109.27999999999996</v>
      </c>
      <c r="H23" s="457">
        <f t="shared" si="15"/>
        <v>94.09999999999998</v>
      </c>
      <c r="I23" s="457">
        <f t="shared" si="15"/>
        <v>200.79999999999998</v>
      </c>
      <c r="J23" s="457">
        <f t="shared" si="15"/>
        <v>188.69999999999982</v>
      </c>
      <c r="K23" s="480">
        <f t="shared" si="15"/>
        <v>592.87999999999988</v>
      </c>
      <c r="L23" s="459">
        <f t="shared" si="15"/>
        <v>112.59999999999977</v>
      </c>
      <c r="M23" s="457">
        <f t="shared" si="15"/>
        <v>148.80000000000013</v>
      </c>
      <c r="N23" s="457">
        <f t="shared" si="15"/>
        <v>49.299999999999912</v>
      </c>
      <c r="O23" s="457">
        <f t="shared" si="15"/>
        <v>3.5000000000003184</v>
      </c>
      <c r="P23" s="481">
        <f t="shared" si="15"/>
        <v>314.19999999999925</v>
      </c>
      <c r="Q23" s="457">
        <f t="shared" si="15"/>
        <v>196.80000000000018</v>
      </c>
      <c r="R23" s="457">
        <f t="shared" si="15"/>
        <v>350.4</v>
      </c>
      <c r="S23" s="457">
        <f t="shared" si="15"/>
        <v>613.29999999999961</v>
      </c>
      <c r="T23" s="457">
        <f t="shared" si="15"/>
        <v>171.90000000000038</v>
      </c>
      <c r="U23" s="481">
        <f t="shared" si="15"/>
        <v>1332.3999999999994</v>
      </c>
      <c r="V23" s="457">
        <f t="shared" si="15"/>
        <v>205.70000000000005</v>
      </c>
      <c r="W23" s="457">
        <f t="shared" si="15"/>
        <v>252.10000000000036</v>
      </c>
      <c r="X23" s="388">
        <f t="shared" si="15"/>
        <v>334.90000000000015</v>
      </c>
      <c r="Y23" s="388">
        <f t="shared" si="15"/>
        <v>240.69999999999996</v>
      </c>
      <c r="Z23" s="481">
        <f t="shared" si="15"/>
        <v>1033.4000000000001</v>
      </c>
    </row>
    <row r="24" spans="1:26" ht="20.100000000000001" customHeight="1" thickBot="1">
      <c r="A24" s="461" t="s">
        <v>2</v>
      </c>
      <c r="B24" s="474">
        <v>-41.2</v>
      </c>
      <c r="C24" s="474">
        <v>-13.4</v>
      </c>
      <c r="D24" s="474">
        <v>-26.2</v>
      </c>
      <c r="E24" s="474">
        <v>-16.600000000000001</v>
      </c>
      <c r="F24" s="475">
        <f>SUM(B24:E24)</f>
        <v>-97.4</v>
      </c>
      <c r="G24" s="476">
        <v>-14.1</v>
      </c>
      <c r="H24" s="474">
        <v>-13.4</v>
      </c>
      <c r="I24" s="474">
        <v>-24.4</v>
      </c>
      <c r="J24" s="474">
        <v>-15.5</v>
      </c>
      <c r="K24" s="475">
        <f>SUM(G24:J24)</f>
        <v>-67.400000000000006</v>
      </c>
      <c r="L24" s="476">
        <v>-14.400000000000002</v>
      </c>
      <c r="M24" s="474">
        <v>-16.7</v>
      </c>
      <c r="N24" s="474">
        <v>-1.1000000000000001</v>
      </c>
      <c r="O24" s="474">
        <v>10.5</v>
      </c>
      <c r="P24" s="477">
        <f>SUM(L24:O24)</f>
        <v>-21.700000000000003</v>
      </c>
      <c r="Q24" s="474">
        <v>-26</v>
      </c>
      <c r="R24" s="474">
        <v>-45.9</v>
      </c>
      <c r="S24" s="474">
        <v>-110.8</v>
      </c>
      <c r="T24" s="478">
        <v>13.7</v>
      </c>
      <c r="U24" s="477">
        <v>-169</v>
      </c>
      <c r="V24" s="478">
        <v>-27.2</v>
      </c>
      <c r="W24" s="478">
        <v>-21.2</v>
      </c>
      <c r="X24" s="391">
        <v>-65.099999999999994</v>
      </c>
      <c r="Y24" s="478">
        <v>101.1</v>
      </c>
      <c r="Z24" s="477">
        <f t="shared" si="6"/>
        <v>-12.400000000000006</v>
      </c>
    </row>
    <row r="25" spans="1:26" s="473" customFormat="1" ht="20.100000000000001" customHeight="1" thickBot="1">
      <c r="A25" s="456" t="s">
        <v>221</v>
      </c>
      <c r="B25" s="457">
        <f t="shared" ref="B25:Z25" si="16">B23+B24</f>
        <v>205.10000000000002</v>
      </c>
      <c r="C25" s="457">
        <f t="shared" si="16"/>
        <v>99.499999999999957</v>
      </c>
      <c r="D25" s="457">
        <f t="shared" si="16"/>
        <v>172.00000000000006</v>
      </c>
      <c r="E25" s="457">
        <f t="shared" si="16"/>
        <v>121.60000000000019</v>
      </c>
      <c r="F25" s="480">
        <f>F23+F24</f>
        <v>598.19999999999914</v>
      </c>
      <c r="G25" s="459">
        <f t="shared" si="16"/>
        <v>95.179999999999964</v>
      </c>
      <c r="H25" s="457">
        <f t="shared" si="16"/>
        <v>80.699999999999974</v>
      </c>
      <c r="I25" s="457">
        <f t="shared" si="16"/>
        <v>176.39999999999998</v>
      </c>
      <c r="J25" s="457">
        <f t="shared" si="16"/>
        <v>173.19999999999982</v>
      </c>
      <c r="K25" s="480">
        <f t="shared" si="16"/>
        <v>525.4799999999999</v>
      </c>
      <c r="L25" s="459">
        <f t="shared" si="16"/>
        <v>98.199999999999761</v>
      </c>
      <c r="M25" s="457">
        <f t="shared" si="16"/>
        <v>132.10000000000014</v>
      </c>
      <c r="N25" s="457">
        <f t="shared" si="16"/>
        <v>48.19999999999991</v>
      </c>
      <c r="O25" s="457">
        <f t="shared" si="16"/>
        <v>14.000000000000318</v>
      </c>
      <c r="P25" s="481">
        <f t="shared" si="16"/>
        <v>292.49999999999926</v>
      </c>
      <c r="Q25" s="457">
        <f t="shared" si="16"/>
        <v>170.80000000000018</v>
      </c>
      <c r="R25" s="457">
        <f t="shared" si="16"/>
        <v>304.5</v>
      </c>
      <c r="S25" s="457">
        <f t="shared" si="16"/>
        <v>502.4999999999996</v>
      </c>
      <c r="T25" s="457">
        <f t="shared" si="16"/>
        <v>185.60000000000036</v>
      </c>
      <c r="U25" s="481">
        <f t="shared" si="16"/>
        <v>1163.3999999999994</v>
      </c>
      <c r="V25" s="457">
        <f t="shared" si="16"/>
        <v>178.50000000000006</v>
      </c>
      <c r="W25" s="457">
        <f t="shared" si="16"/>
        <v>230.90000000000038</v>
      </c>
      <c r="X25" s="388">
        <f t="shared" si="16"/>
        <v>269.80000000000018</v>
      </c>
      <c r="Y25" s="388">
        <f t="shared" si="16"/>
        <v>341.79999999999995</v>
      </c>
      <c r="Z25" s="481">
        <f t="shared" si="16"/>
        <v>1021.0000000000001</v>
      </c>
    </row>
    <row r="26" spans="1:26" ht="25.5">
      <c r="A26" s="461" t="s">
        <v>179</v>
      </c>
      <c r="B26" s="474">
        <f>B25</f>
        <v>205.10000000000002</v>
      </c>
      <c r="C26" s="474">
        <f t="shared" ref="C26:U26" si="17">C25</f>
        <v>99.499999999999957</v>
      </c>
      <c r="D26" s="474">
        <f t="shared" si="17"/>
        <v>172.00000000000006</v>
      </c>
      <c r="E26" s="474">
        <f t="shared" si="17"/>
        <v>121.60000000000019</v>
      </c>
      <c r="F26" s="475">
        <f t="shared" si="17"/>
        <v>598.19999999999914</v>
      </c>
      <c r="G26" s="476">
        <f t="shared" si="17"/>
        <v>95.179999999999964</v>
      </c>
      <c r="H26" s="474">
        <f t="shared" si="17"/>
        <v>80.699999999999974</v>
      </c>
      <c r="I26" s="474">
        <f t="shared" si="17"/>
        <v>176.39999999999998</v>
      </c>
      <c r="J26" s="474">
        <f t="shared" si="17"/>
        <v>173.19999999999982</v>
      </c>
      <c r="K26" s="475">
        <f t="shared" si="17"/>
        <v>525.4799999999999</v>
      </c>
      <c r="L26" s="476">
        <f t="shared" si="17"/>
        <v>98.199999999999761</v>
      </c>
      <c r="M26" s="474">
        <f t="shared" si="17"/>
        <v>132.10000000000014</v>
      </c>
      <c r="N26" s="474">
        <f t="shared" si="17"/>
        <v>48.19999999999991</v>
      </c>
      <c r="O26" s="474">
        <f t="shared" si="17"/>
        <v>14.000000000000318</v>
      </c>
      <c r="P26" s="477">
        <f t="shared" si="17"/>
        <v>292.49999999999926</v>
      </c>
      <c r="Q26" s="474">
        <f t="shared" si="17"/>
        <v>170.80000000000018</v>
      </c>
      <c r="R26" s="474">
        <f t="shared" si="17"/>
        <v>304.5</v>
      </c>
      <c r="S26" s="474">
        <f t="shared" si="17"/>
        <v>502.4999999999996</v>
      </c>
      <c r="T26" s="483">
        <f t="shared" si="17"/>
        <v>185.60000000000036</v>
      </c>
      <c r="U26" s="477">
        <f t="shared" si="17"/>
        <v>1163.3999999999994</v>
      </c>
      <c r="V26" s="478">
        <v>175.5</v>
      </c>
      <c r="W26" s="478">
        <v>237.7</v>
      </c>
      <c r="X26" s="391">
        <v>278.2</v>
      </c>
      <c r="Y26" s="483">
        <v>349.9</v>
      </c>
      <c r="Z26" s="477">
        <f t="shared" si="6"/>
        <v>1041.3</v>
      </c>
    </row>
    <row r="27" spans="1:26" ht="25.5">
      <c r="A27" s="461" t="s">
        <v>241</v>
      </c>
      <c r="B27" s="474"/>
      <c r="C27" s="474"/>
      <c r="D27" s="474"/>
      <c r="E27" s="474"/>
      <c r="F27" s="475"/>
      <c r="G27" s="476"/>
      <c r="H27" s="474"/>
      <c r="I27" s="474"/>
      <c r="J27" s="474"/>
      <c r="K27" s="475"/>
      <c r="L27" s="476"/>
      <c r="M27" s="474"/>
      <c r="N27" s="474"/>
      <c r="O27" s="474"/>
      <c r="P27" s="477"/>
      <c r="Q27" s="474"/>
      <c r="R27" s="474"/>
      <c r="S27" s="474"/>
      <c r="T27" s="483"/>
      <c r="U27" s="477"/>
      <c r="V27" s="478">
        <v>3</v>
      </c>
      <c r="W27" s="478">
        <v>-6.8</v>
      </c>
      <c r="X27" s="391">
        <v>-8.4</v>
      </c>
      <c r="Y27" s="483">
        <v>-8.1</v>
      </c>
      <c r="Z27" s="477">
        <f t="shared" si="6"/>
        <v>-20.299999999999997</v>
      </c>
    </row>
    <row r="28" spans="1:26" s="473" customFormat="1" ht="20.100000000000001" customHeight="1">
      <c r="A28" s="484" t="s">
        <v>180</v>
      </c>
      <c r="B28" s="485">
        <f t="shared" ref="B28:L28" si="18">ROUND(B25/348.352836,2)</f>
        <v>0.59</v>
      </c>
      <c r="C28" s="485">
        <f t="shared" si="18"/>
        <v>0.28999999999999998</v>
      </c>
      <c r="D28" s="485">
        <f t="shared" si="18"/>
        <v>0.49</v>
      </c>
      <c r="E28" s="485">
        <f t="shared" si="18"/>
        <v>0.35</v>
      </c>
      <c r="F28" s="486">
        <f t="shared" si="18"/>
        <v>1.72</v>
      </c>
      <c r="G28" s="487">
        <f t="shared" si="18"/>
        <v>0.27</v>
      </c>
      <c r="H28" s="485">
        <f t="shared" si="18"/>
        <v>0.23</v>
      </c>
      <c r="I28" s="485">
        <f t="shared" si="18"/>
        <v>0.51</v>
      </c>
      <c r="J28" s="485">
        <f t="shared" si="18"/>
        <v>0.5</v>
      </c>
      <c r="K28" s="486">
        <f t="shared" si="18"/>
        <v>1.51</v>
      </c>
      <c r="L28" s="488">
        <f t="shared" si="18"/>
        <v>0.28000000000000003</v>
      </c>
      <c r="M28" s="485">
        <f>ROUND(M25/524.348714,2)</f>
        <v>0.25</v>
      </c>
      <c r="N28" s="485">
        <f>ROUND(N25/639.546016,2)</f>
        <v>0.08</v>
      </c>
      <c r="O28" s="485">
        <f>ROUND(O25/639.546016,2)</f>
        <v>0.02</v>
      </c>
      <c r="P28" s="489">
        <f>ROUND(P25/539.024535,2)</f>
        <v>0.54</v>
      </c>
      <c r="Q28" s="485">
        <f t="shared" ref="Q28:Z28" si="19">ROUND(Q25/639.546016,2)</f>
        <v>0.27</v>
      </c>
      <c r="R28" s="485">
        <f t="shared" si="19"/>
        <v>0.48</v>
      </c>
      <c r="S28" s="485">
        <f t="shared" si="19"/>
        <v>0.79</v>
      </c>
      <c r="T28" s="490">
        <f t="shared" si="19"/>
        <v>0.28999999999999998</v>
      </c>
      <c r="U28" s="489">
        <f t="shared" si="19"/>
        <v>1.82</v>
      </c>
      <c r="V28" s="491">
        <f t="shared" si="19"/>
        <v>0.28000000000000003</v>
      </c>
      <c r="W28" s="491">
        <f t="shared" si="19"/>
        <v>0.36</v>
      </c>
      <c r="X28" s="392">
        <f t="shared" si="19"/>
        <v>0.42</v>
      </c>
      <c r="Y28" s="392">
        <f>ROUNDUP(Y25/639.546016,2)</f>
        <v>0.54</v>
      </c>
      <c r="Z28" s="489">
        <f t="shared" si="19"/>
        <v>1.6</v>
      </c>
    </row>
    <row r="29" spans="1:26" s="14" customFormat="1" ht="20.100000000000001" customHeight="1" thickBot="1">
      <c r="A29" s="492"/>
      <c r="B29" s="474"/>
      <c r="C29" s="474"/>
      <c r="D29" s="474"/>
      <c r="E29" s="474"/>
      <c r="F29" s="493"/>
      <c r="G29" s="474"/>
      <c r="H29" s="474"/>
      <c r="I29" s="474"/>
      <c r="J29" s="474"/>
      <c r="K29" s="493"/>
      <c r="L29" s="474"/>
      <c r="M29" s="474"/>
      <c r="N29" s="474"/>
      <c r="O29" s="474"/>
      <c r="P29" s="493"/>
      <c r="Q29" s="474"/>
      <c r="R29" s="474"/>
      <c r="S29" s="474"/>
      <c r="T29" s="474" t="s">
        <v>181</v>
      </c>
      <c r="U29" s="493"/>
      <c r="V29" s="447"/>
      <c r="W29" s="447"/>
      <c r="X29" s="393"/>
      <c r="Y29" s="474"/>
      <c r="Z29" s="493"/>
    </row>
    <row r="30" spans="1:26" s="473" customFormat="1" ht="20.100000000000001" customHeight="1">
      <c r="A30" s="494" t="s">
        <v>0</v>
      </c>
      <c r="B30" s="494">
        <f t="shared" ref="B30:W30" si="20">B19-B12</f>
        <v>257.40000000000003</v>
      </c>
      <c r="C30" s="495">
        <f t="shared" si="20"/>
        <v>269.7</v>
      </c>
      <c r="D30" s="495">
        <f t="shared" si="20"/>
        <v>257.8</v>
      </c>
      <c r="E30" s="495">
        <f t="shared" si="20"/>
        <v>247.20000000000016</v>
      </c>
      <c r="F30" s="496">
        <f t="shared" si="20"/>
        <v>1032.0999999999992</v>
      </c>
      <c r="G30" s="494">
        <f t="shared" si="20"/>
        <v>245.37999999999994</v>
      </c>
      <c r="H30" s="495">
        <f t="shared" si="20"/>
        <v>257.3</v>
      </c>
      <c r="I30" s="495">
        <f t="shared" si="20"/>
        <v>268.2</v>
      </c>
      <c r="J30" s="495">
        <f t="shared" si="20"/>
        <v>275.39999999999986</v>
      </c>
      <c r="K30" s="496">
        <f t="shared" si="20"/>
        <v>1046.2799999999997</v>
      </c>
      <c r="L30" s="494">
        <f t="shared" si="20"/>
        <v>281.99999999999977</v>
      </c>
      <c r="M30" s="495">
        <f t="shared" si="20"/>
        <v>708.90000000000009</v>
      </c>
      <c r="N30" s="495">
        <f t="shared" si="20"/>
        <v>910.09999999999991</v>
      </c>
      <c r="O30" s="495">
        <f t="shared" si="20"/>
        <v>837.3000000000003</v>
      </c>
      <c r="P30" s="496">
        <f t="shared" si="20"/>
        <v>2738.2999999999993</v>
      </c>
      <c r="Q30" s="494">
        <f t="shared" si="20"/>
        <v>896.60000000000014</v>
      </c>
      <c r="R30" s="495">
        <f t="shared" si="20"/>
        <v>977</v>
      </c>
      <c r="S30" s="495">
        <f t="shared" si="20"/>
        <v>930.39999999999964</v>
      </c>
      <c r="T30" s="495">
        <f t="shared" si="20"/>
        <v>881.10000000000036</v>
      </c>
      <c r="U30" s="497">
        <f t="shared" si="20"/>
        <v>3685.0999999999995</v>
      </c>
      <c r="V30" s="494">
        <f t="shared" si="20"/>
        <v>846.5</v>
      </c>
      <c r="W30" s="498">
        <f t="shared" si="20"/>
        <v>935.00000000000034</v>
      </c>
      <c r="X30" s="271">
        <f>X19-X12</f>
        <v>957.00000000000011</v>
      </c>
      <c r="Y30" s="271">
        <f>Y19-Y12</f>
        <v>902.3</v>
      </c>
      <c r="Z30" s="497">
        <f t="shared" ref="Z30" si="21">Z19-Z12</f>
        <v>3640.8</v>
      </c>
    </row>
    <row r="31" spans="1:26" s="473" customFormat="1" ht="20.100000000000001" customHeight="1" thickBot="1">
      <c r="A31" s="499" t="s">
        <v>3</v>
      </c>
      <c r="B31" s="500">
        <f t="shared" ref="B31:W31" si="22">B30/B4</f>
        <v>0.38463837417812313</v>
      </c>
      <c r="C31" s="501">
        <f t="shared" si="22"/>
        <v>0.377836929111796</v>
      </c>
      <c r="D31" s="501">
        <f t="shared" si="22"/>
        <v>0.4</v>
      </c>
      <c r="E31" s="501">
        <f t="shared" si="22"/>
        <v>0.32933653077537983</v>
      </c>
      <c r="F31" s="502">
        <f t="shared" si="22"/>
        <v>0.37151290450307745</v>
      </c>
      <c r="G31" s="500">
        <f t="shared" si="22"/>
        <v>0.35200114761153339</v>
      </c>
      <c r="H31" s="501">
        <f t="shared" si="22"/>
        <v>0.34963989672509854</v>
      </c>
      <c r="I31" s="501">
        <f t="shared" si="22"/>
        <v>0.39598405433338257</v>
      </c>
      <c r="J31" s="501">
        <f t="shared" si="22"/>
        <v>0.34403497813866318</v>
      </c>
      <c r="K31" s="503">
        <f t="shared" si="22"/>
        <v>0.3594475745499518</v>
      </c>
      <c r="L31" s="500">
        <f t="shared" si="22"/>
        <v>0.38987971795935272</v>
      </c>
      <c r="M31" s="501">
        <f t="shared" si="22"/>
        <v>0.40603700097370987</v>
      </c>
      <c r="N31" s="501">
        <f t="shared" si="22"/>
        <v>0.37613655149611502</v>
      </c>
      <c r="O31" s="501">
        <f t="shared" si="22"/>
        <v>0.33211693308476464</v>
      </c>
      <c r="P31" s="502">
        <f t="shared" si="22"/>
        <v>0.36954614772129168</v>
      </c>
      <c r="Q31" s="501">
        <f t="shared" si="22"/>
        <v>0.38497209102619157</v>
      </c>
      <c r="R31" s="501">
        <f t="shared" si="22"/>
        <v>0.39567471245747615</v>
      </c>
      <c r="S31" s="501">
        <f t="shared" si="22"/>
        <v>0.3852747525777464</v>
      </c>
      <c r="T31" s="501">
        <f t="shared" si="22"/>
        <v>0.33759914172956829</v>
      </c>
      <c r="U31" s="502">
        <f t="shared" si="22"/>
        <v>0.37515015779293487</v>
      </c>
      <c r="V31" s="501">
        <f t="shared" si="22"/>
        <v>0.35807952622673433</v>
      </c>
      <c r="W31" s="501">
        <f t="shared" si="22"/>
        <v>0.38274182324286721</v>
      </c>
      <c r="X31" s="504">
        <f>X30/X4</f>
        <v>0.40078733562274899</v>
      </c>
      <c r="Y31" s="504">
        <f>Y30/Y4</f>
        <v>0.35592284328034396</v>
      </c>
      <c r="Z31" s="502">
        <f t="shared" ref="Z31" si="23">Z30/Z4</f>
        <v>0.37419063084544396</v>
      </c>
    </row>
    <row r="32" spans="1:26" ht="15" customHeight="1">
      <c r="A32" s="505"/>
      <c r="B32" s="506"/>
      <c r="C32" s="506"/>
      <c r="D32" s="506"/>
      <c r="E32" s="506"/>
      <c r="F32" s="506"/>
      <c r="G32" s="506"/>
      <c r="H32" s="507"/>
      <c r="I32" s="508"/>
      <c r="J32" s="508"/>
      <c r="T32" s="10"/>
      <c r="U32" s="10"/>
      <c r="V32" s="10"/>
      <c r="W32" s="10"/>
      <c r="X32" s="394"/>
      <c r="Y32" s="10"/>
      <c r="Z32" s="10"/>
    </row>
    <row r="33" spans="1:26" ht="15" customHeight="1">
      <c r="A33" s="509" t="s">
        <v>231</v>
      </c>
      <c r="B33" s="506"/>
      <c r="C33" s="506"/>
      <c r="D33" s="506"/>
      <c r="E33" s="506"/>
      <c r="F33" s="506"/>
      <c r="G33" s="506"/>
      <c r="H33" s="506"/>
      <c r="I33" s="506"/>
      <c r="J33" s="506"/>
      <c r="K33" s="506"/>
      <c r="L33" s="506"/>
      <c r="M33" s="506"/>
      <c r="N33" s="7"/>
      <c r="O33" s="7"/>
      <c r="P33" s="7"/>
      <c r="Q33" s="7"/>
      <c r="R33" s="7"/>
      <c r="S33" s="7"/>
      <c r="T33" s="12"/>
      <c r="U33" s="12"/>
      <c r="V33" s="12"/>
      <c r="W33" s="12"/>
      <c r="X33" s="386"/>
      <c r="Y33" s="12"/>
      <c r="Z33" s="12"/>
    </row>
    <row r="34" spans="1:26" ht="15" customHeight="1">
      <c r="A34" s="527"/>
      <c r="B34" s="527"/>
      <c r="C34" s="527"/>
      <c r="D34" s="527"/>
      <c r="E34" s="527"/>
      <c r="F34" s="527"/>
      <c r="G34" s="527"/>
      <c r="H34" s="527"/>
      <c r="I34" s="527"/>
      <c r="J34" s="527"/>
      <c r="K34" s="527"/>
      <c r="L34" s="527"/>
      <c r="M34" s="527"/>
      <c r="N34" s="7"/>
      <c r="O34" s="7"/>
      <c r="P34" s="7"/>
      <c r="Q34" s="7"/>
      <c r="R34" s="7"/>
      <c r="S34" s="7"/>
      <c r="T34" s="12"/>
      <c r="U34" s="12"/>
      <c r="V34" s="12"/>
      <c r="W34" s="12"/>
      <c r="X34" s="386"/>
      <c r="Y34" s="12"/>
      <c r="Z34" s="12"/>
    </row>
    <row r="35" spans="1:26" ht="15" customHeight="1">
      <c r="A35" s="506"/>
      <c r="B35" s="506"/>
      <c r="C35" s="506"/>
      <c r="D35" s="506"/>
      <c r="E35" s="506"/>
      <c r="F35" s="506"/>
      <c r="G35" s="506"/>
      <c r="H35" s="507"/>
      <c r="I35" s="508"/>
      <c r="T35" s="10"/>
      <c r="U35" s="10"/>
      <c r="V35" s="10"/>
      <c r="W35" s="10"/>
      <c r="X35" s="394"/>
      <c r="Y35" s="10"/>
      <c r="Z35" s="10"/>
    </row>
    <row r="36" spans="1:26" ht="15" customHeight="1">
      <c r="A36" s="527"/>
      <c r="B36" s="527"/>
      <c r="C36" s="527"/>
      <c r="D36" s="527"/>
      <c r="E36" s="527"/>
      <c r="F36" s="527"/>
      <c r="G36" s="527"/>
      <c r="H36" s="527"/>
      <c r="I36" s="527"/>
      <c r="J36" s="527"/>
      <c r="K36" s="527"/>
      <c r="L36" s="527"/>
      <c r="M36" s="527"/>
      <c r="N36" s="7"/>
      <c r="O36" s="7"/>
      <c r="P36" s="7"/>
      <c r="Q36" s="7"/>
      <c r="R36" s="7"/>
      <c r="S36" s="7"/>
      <c r="T36" s="12"/>
      <c r="U36" s="12"/>
      <c r="V36" s="12"/>
      <c r="W36" s="12"/>
      <c r="X36" s="386"/>
      <c r="Y36" s="12"/>
      <c r="Z36" s="12"/>
    </row>
    <row r="37" spans="1:26" ht="15" customHeight="1">
      <c r="A37" s="506"/>
      <c r="B37" s="506"/>
      <c r="C37" s="506"/>
      <c r="D37" s="506"/>
      <c r="E37" s="506"/>
      <c r="F37" s="506"/>
      <c r="G37" s="506"/>
      <c r="H37" s="507"/>
      <c r="I37" s="508"/>
      <c r="T37" s="10"/>
      <c r="U37" s="10"/>
      <c r="V37" s="10"/>
      <c r="W37" s="10"/>
      <c r="X37" s="394"/>
      <c r="Y37" s="10"/>
      <c r="Z37" s="10"/>
    </row>
    <row r="38" spans="1:26" ht="15" customHeight="1">
      <c r="A38" s="527"/>
      <c r="B38" s="527"/>
      <c r="C38" s="527"/>
      <c r="D38" s="527"/>
      <c r="E38" s="527"/>
      <c r="F38" s="527"/>
      <c r="G38" s="527"/>
      <c r="H38" s="527"/>
      <c r="I38" s="527"/>
      <c r="J38" s="527"/>
      <c r="K38" s="527"/>
      <c r="L38" s="527"/>
      <c r="M38" s="527"/>
      <c r="N38" s="7"/>
      <c r="O38" s="7"/>
      <c r="P38" s="7"/>
      <c r="Q38" s="7"/>
      <c r="R38" s="7"/>
      <c r="S38" s="7"/>
      <c r="T38" s="12"/>
      <c r="U38" s="12"/>
      <c r="V38" s="12"/>
      <c r="W38" s="12"/>
      <c r="X38" s="386"/>
      <c r="Y38" s="12"/>
      <c r="Z38" s="12"/>
    </row>
    <row r="39" spans="1:26" ht="15" customHeight="1">
      <c r="A39" s="505"/>
      <c r="B39" s="506"/>
      <c r="C39" s="506"/>
      <c r="D39" s="506"/>
      <c r="E39" s="506"/>
      <c r="F39" s="506"/>
      <c r="G39" s="506"/>
      <c r="H39" s="507"/>
      <c r="I39" s="508"/>
      <c r="T39" s="10"/>
      <c r="U39" s="10"/>
      <c r="V39" s="10"/>
      <c r="W39" s="10"/>
      <c r="X39" s="394"/>
      <c r="Y39" s="10"/>
      <c r="Z39" s="10"/>
    </row>
    <row r="40" spans="1:26" ht="28.5" customHeight="1">
      <c r="A40" s="505"/>
      <c r="B40" s="506"/>
      <c r="C40" s="506"/>
      <c r="D40" s="506"/>
      <c r="E40" s="506"/>
      <c r="F40" s="506"/>
      <c r="G40" s="506"/>
      <c r="H40" s="507"/>
      <c r="I40" s="508"/>
      <c r="T40" s="10"/>
      <c r="U40" s="10"/>
      <c r="V40" s="10"/>
      <c r="W40" s="10"/>
      <c r="X40" s="394"/>
      <c r="Y40" s="10"/>
      <c r="Z40" s="10"/>
    </row>
    <row r="41" spans="1:26" ht="28.5" customHeight="1">
      <c r="A41" s="505"/>
      <c r="B41" s="506"/>
      <c r="C41" s="506"/>
      <c r="D41" s="506"/>
      <c r="E41" s="506"/>
      <c r="F41" s="506"/>
      <c r="G41" s="506"/>
      <c r="H41" s="507"/>
      <c r="I41" s="508"/>
      <c r="T41" s="10"/>
      <c r="U41" s="10"/>
      <c r="V41" s="10"/>
      <c r="W41" s="10"/>
      <c r="X41" s="394"/>
      <c r="Y41" s="10"/>
      <c r="Z41" s="10"/>
    </row>
    <row r="42" spans="1:26" ht="28.5" customHeight="1">
      <c r="A42" s="505"/>
      <c r="B42" s="506"/>
      <c r="C42" s="506"/>
      <c r="D42" s="506"/>
      <c r="E42" s="506"/>
      <c r="F42" s="506"/>
      <c r="G42" s="506"/>
      <c r="H42" s="507"/>
      <c r="I42" s="508"/>
      <c r="T42" s="10"/>
      <c r="U42" s="10"/>
      <c r="V42" s="10"/>
      <c r="W42" s="10"/>
      <c r="X42" s="394"/>
      <c r="Y42" s="10"/>
      <c r="Z42" s="10"/>
    </row>
    <row r="43" spans="1:26" ht="28.5" customHeight="1">
      <c r="A43" s="505"/>
      <c r="B43" s="506"/>
      <c r="C43" s="506"/>
      <c r="D43" s="506"/>
      <c r="E43" s="506"/>
      <c r="F43" s="506"/>
      <c r="G43" s="506"/>
      <c r="H43" s="507"/>
      <c r="I43" s="508"/>
      <c r="T43" s="10"/>
      <c r="U43" s="10"/>
      <c r="V43" s="10"/>
      <c r="W43" s="10"/>
      <c r="X43" s="394"/>
      <c r="Y43" s="10"/>
      <c r="Z43" s="10"/>
    </row>
    <row r="44" spans="1:26" ht="28.5" customHeight="1">
      <c r="A44" s="505"/>
      <c r="B44" s="506"/>
      <c r="C44" s="506"/>
      <c r="D44" s="506"/>
      <c r="E44" s="506"/>
      <c r="F44" s="506"/>
      <c r="G44" s="506"/>
      <c r="H44" s="507"/>
      <c r="I44" s="508"/>
      <c r="T44" s="10"/>
      <c r="U44" s="10"/>
      <c r="V44" s="10"/>
      <c r="W44" s="10"/>
      <c r="X44" s="394"/>
      <c r="Y44" s="10"/>
      <c r="Z44" s="10"/>
    </row>
    <row r="45" spans="1:26" ht="28.5" customHeight="1">
      <c r="A45" s="505"/>
      <c r="B45" s="506"/>
      <c r="C45" s="506"/>
      <c r="D45" s="506"/>
      <c r="E45" s="506"/>
      <c r="F45" s="506"/>
      <c r="G45" s="506"/>
      <c r="H45" s="507"/>
      <c r="I45" s="508"/>
      <c r="T45" s="10"/>
      <c r="U45" s="10"/>
      <c r="V45" s="10"/>
      <c r="W45" s="10"/>
      <c r="X45" s="394"/>
      <c r="Y45" s="10"/>
      <c r="Z45" s="10"/>
    </row>
    <row r="46" spans="1:26" ht="28.5" customHeight="1">
      <c r="A46" s="505"/>
      <c r="B46" s="506"/>
      <c r="C46" s="506"/>
      <c r="D46" s="506"/>
      <c r="E46" s="506"/>
      <c r="F46" s="506"/>
      <c r="G46" s="506"/>
      <c r="H46" s="507"/>
      <c r="I46" s="508"/>
      <c r="T46" s="10"/>
      <c r="U46" s="10"/>
      <c r="V46" s="10"/>
      <c r="W46" s="10"/>
      <c r="X46" s="394"/>
      <c r="Y46" s="10"/>
      <c r="Z46" s="10"/>
    </row>
    <row r="47" spans="1:26" ht="28.5" customHeight="1">
      <c r="A47" s="505"/>
      <c r="B47" s="506"/>
      <c r="C47" s="506"/>
      <c r="D47" s="506"/>
      <c r="E47" s="506"/>
      <c r="F47" s="506"/>
      <c r="G47" s="506"/>
      <c r="H47" s="507"/>
      <c r="I47" s="508"/>
      <c r="T47" s="10"/>
      <c r="U47" s="10"/>
      <c r="V47" s="10"/>
      <c r="W47" s="10"/>
      <c r="X47" s="394"/>
      <c r="Y47" s="10"/>
      <c r="Z47" s="10"/>
    </row>
    <row r="48" spans="1:26" ht="28.5" customHeight="1">
      <c r="A48" s="505"/>
      <c r="B48" s="506"/>
      <c r="C48" s="506"/>
      <c r="D48" s="506"/>
      <c r="E48" s="506"/>
      <c r="F48" s="506"/>
      <c r="G48" s="506"/>
      <c r="H48" s="507"/>
      <c r="I48" s="508"/>
      <c r="T48" s="10"/>
      <c r="U48" s="10"/>
      <c r="V48" s="10"/>
      <c r="W48" s="10"/>
      <c r="X48" s="394"/>
      <c r="Y48" s="10"/>
      <c r="Z48" s="10"/>
    </row>
    <row r="49" spans="1:9" ht="28.5" customHeight="1">
      <c r="A49" s="505"/>
      <c r="B49" s="506"/>
      <c r="C49" s="506"/>
      <c r="D49" s="506"/>
      <c r="E49" s="506"/>
      <c r="F49" s="506"/>
      <c r="G49" s="506"/>
      <c r="H49" s="507"/>
      <c r="I49" s="508"/>
    </row>
  </sheetData>
  <mergeCells count="8">
    <mergeCell ref="Q2:U2"/>
    <mergeCell ref="V2:Z2"/>
    <mergeCell ref="A34:M34"/>
    <mergeCell ref="A36:M36"/>
    <mergeCell ref="A38:M38"/>
    <mergeCell ref="B2:F2"/>
    <mergeCell ref="G2:K2"/>
    <mergeCell ref="L2:P2"/>
  </mergeCells>
  <pageMargins left="0.70866141732283472" right="0.70866141732283472" top="0.74803149606299213" bottom="0.74803149606299213" header="0.31496062992125984" footer="0.31496062992125984"/>
  <pageSetup paperSize="9" scale="56" orientation="landscape" r:id="rId1"/>
  <ignoredErrors>
    <ignoredError sqref="Z14:Z18 Z5:Z8 T9:Y9 Z10:Z13 Z20:Z22 Z24 B9:E9 G9:J9 L9:O9 Q9:S9" formulaRange="1"/>
    <ignoredError sqref="Z9 Z19 Z23 Z25 F9 K9 P9 Y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C728"/>
  <sheetViews>
    <sheetView showGridLines="0" zoomScale="85" zoomScaleNormal="85" zoomScaleSheetLayoutView="100" workbookViewId="0">
      <selection activeCell="B27" sqref="B27"/>
    </sheetView>
  </sheetViews>
  <sheetFormatPr defaultRowHeight="14.25"/>
  <cols>
    <col min="1" max="1" width="1.625" customWidth="1"/>
    <col min="2" max="2" width="31.125" customWidth="1"/>
    <col min="3" max="3" width="12.875" customWidth="1"/>
    <col min="4" max="4" width="1.875" customWidth="1"/>
    <col min="5" max="5" width="13.25" customWidth="1"/>
    <col min="6" max="6" width="1.625" customWidth="1"/>
    <col min="7" max="7" width="9.625" customWidth="1"/>
    <col min="8" max="8" width="12.875" customWidth="1"/>
    <col min="9" max="9" width="1.875" customWidth="1"/>
    <col min="10" max="10" width="13.375" customWidth="1"/>
    <col min="11" max="11" width="1.875" customWidth="1"/>
    <col min="12" max="12" width="9.625" customWidth="1"/>
    <col min="13" max="13" width="12.875" customWidth="1"/>
    <col min="14" max="14" width="1.875" customWidth="1"/>
    <col min="15" max="15" width="13.25" customWidth="1"/>
    <col min="16" max="16" width="1.875" customWidth="1"/>
    <col min="17" max="17" width="9.625" customWidth="1"/>
    <col min="18" max="18" width="12.875" customWidth="1"/>
    <col min="19" max="19" width="13.625" customWidth="1"/>
    <col min="20" max="20" width="9.625" customWidth="1"/>
    <col min="21" max="497" width="9" style="16"/>
  </cols>
  <sheetData>
    <row r="1" spans="2:497" ht="50.25" customHeight="1" thickBot="1">
      <c r="B1" s="3" t="s">
        <v>183</v>
      </c>
      <c r="C1" s="16"/>
      <c r="D1" s="16"/>
      <c r="E1" s="16"/>
      <c r="F1" s="16"/>
      <c r="G1" s="16"/>
      <c r="H1" s="16"/>
      <c r="I1" s="16"/>
      <c r="J1" s="16"/>
      <c r="K1" s="16"/>
      <c r="L1" s="16"/>
      <c r="M1" s="16"/>
      <c r="N1" s="16"/>
      <c r="O1" s="16"/>
      <c r="P1" s="16"/>
      <c r="Q1" s="16"/>
      <c r="R1" s="16"/>
      <c r="S1" s="16"/>
      <c r="T1" s="16"/>
    </row>
    <row r="2" spans="2:497" s="19" customFormat="1" ht="30" customHeight="1" thickBot="1">
      <c r="B2" s="538" t="s">
        <v>107</v>
      </c>
      <c r="C2" s="531" t="s">
        <v>112</v>
      </c>
      <c r="D2" s="532"/>
      <c r="E2" s="532"/>
      <c r="F2" s="532"/>
      <c r="G2" s="533"/>
      <c r="H2" s="531" t="s">
        <v>113</v>
      </c>
      <c r="I2" s="532"/>
      <c r="J2" s="532"/>
      <c r="K2" s="532"/>
      <c r="L2" s="533"/>
      <c r="M2" s="531" t="s">
        <v>114</v>
      </c>
      <c r="N2" s="532"/>
      <c r="O2" s="532"/>
      <c r="P2" s="532"/>
      <c r="Q2" s="533"/>
      <c r="R2" s="531" t="s">
        <v>115</v>
      </c>
      <c r="S2" s="532"/>
      <c r="T2" s="533"/>
      <c r="U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row>
    <row r="3" spans="2:497" s="19" customFormat="1" ht="20.25" customHeight="1" thickBot="1">
      <c r="B3" s="539"/>
      <c r="C3" s="534" t="s">
        <v>222</v>
      </c>
      <c r="D3" s="535"/>
      <c r="E3" s="535"/>
      <c r="F3" s="535"/>
      <c r="G3" s="536"/>
      <c r="H3" s="534" t="s">
        <v>222</v>
      </c>
      <c r="I3" s="535"/>
      <c r="J3" s="535"/>
      <c r="K3" s="535"/>
      <c r="L3" s="536"/>
      <c r="M3" s="534" t="s">
        <v>222</v>
      </c>
      <c r="N3" s="535"/>
      <c r="O3" s="535"/>
      <c r="P3" s="535"/>
      <c r="Q3" s="536"/>
      <c r="R3" s="534" t="s">
        <v>222</v>
      </c>
      <c r="S3" s="535"/>
      <c r="T3" s="536"/>
      <c r="U3" s="17"/>
      <c r="V3" s="20"/>
      <c r="W3" s="20"/>
      <c r="X3" s="20"/>
      <c r="Y3" s="20"/>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row>
    <row r="4" spans="2:497" s="24" customFormat="1" ht="20.25" customHeight="1" thickBot="1">
      <c r="B4" s="540"/>
      <c r="C4" s="265" t="s">
        <v>223</v>
      </c>
      <c r="D4" s="266"/>
      <c r="E4" s="267" t="s">
        <v>224</v>
      </c>
      <c r="F4" s="268"/>
      <c r="G4" s="269" t="s">
        <v>116</v>
      </c>
      <c r="H4" s="265" t="s">
        <v>223</v>
      </c>
      <c r="I4" s="266"/>
      <c r="J4" s="268" t="s">
        <v>224</v>
      </c>
      <c r="K4" s="268"/>
      <c r="L4" s="269" t="s">
        <v>116</v>
      </c>
      <c r="M4" s="265" t="s">
        <v>223</v>
      </c>
      <c r="N4" s="266"/>
      <c r="O4" s="268" t="s">
        <v>224</v>
      </c>
      <c r="P4" s="268"/>
      <c r="Q4" s="270" t="s">
        <v>116</v>
      </c>
      <c r="R4" s="265" t="s">
        <v>223</v>
      </c>
      <c r="S4" s="268" t="s">
        <v>224</v>
      </c>
      <c r="T4" s="270" t="s">
        <v>116</v>
      </c>
      <c r="U4" s="21"/>
      <c r="V4" s="22"/>
      <c r="W4" s="22"/>
      <c r="X4" s="22"/>
      <c r="Y4" s="22"/>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row>
    <row r="5" spans="2:497" s="19" customFormat="1" ht="20.25" customHeight="1">
      <c r="B5" s="25" t="s">
        <v>117</v>
      </c>
      <c r="C5" s="428">
        <v>8440.4</v>
      </c>
      <c r="D5" s="314"/>
      <c r="E5" s="315">
        <v>8675.5</v>
      </c>
      <c r="F5" s="315"/>
      <c r="G5" s="316">
        <f>C5-E5</f>
        <v>-235.10000000000036</v>
      </c>
      <c r="H5" s="317">
        <v>1289.4000000000001</v>
      </c>
      <c r="I5" s="27"/>
      <c r="J5" s="315">
        <v>1147.5</v>
      </c>
      <c r="K5" s="26"/>
      <c r="L5" s="342">
        <f>H5-J5</f>
        <v>141.90000000000009</v>
      </c>
      <c r="M5" s="348">
        <v>0</v>
      </c>
      <c r="N5" s="349"/>
      <c r="O5" s="350">
        <v>0</v>
      </c>
      <c r="P5" s="350"/>
      <c r="Q5" s="351">
        <f>M5-O5</f>
        <v>0</v>
      </c>
      <c r="R5" s="366">
        <f>C5+H5+M5</f>
        <v>9729.7999999999993</v>
      </c>
      <c r="S5" s="367">
        <f>E5+J5+O5</f>
        <v>9823</v>
      </c>
      <c r="T5" s="361">
        <f>R5-S5</f>
        <v>-93.200000000000728</v>
      </c>
      <c r="U5" s="17"/>
      <c r="V5" s="29"/>
      <c r="W5" s="29"/>
      <c r="X5" s="29"/>
      <c r="Y5" s="20"/>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row>
    <row r="6" spans="2:497" s="19" customFormat="1" ht="20.25" customHeight="1">
      <c r="B6" s="30" t="s">
        <v>118</v>
      </c>
      <c r="C6" s="317">
        <v>35.4</v>
      </c>
      <c r="D6" s="318"/>
      <c r="E6" s="319">
        <v>33.700000000000003</v>
      </c>
      <c r="F6" s="319"/>
      <c r="G6" s="320">
        <f t="shared" ref="G6:G14" si="0">C6-E6</f>
        <v>1.6999999999999957</v>
      </c>
      <c r="H6" s="317">
        <v>194.6</v>
      </c>
      <c r="I6" s="31"/>
      <c r="J6" s="319">
        <v>152.4</v>
      </c>
      <c r="K6" s="32"/>
      <c r="L6" s="343">
        <f t="shared" ref="L6:L11" si="1">H6-J6</f>
        <v>42.199999999999989</v>
      </c>
      <c r="M6" s="317">
        <v>-230</v>
      </c>
      <c r="N6" s="318"/>
      <c r="O6" s="319">
        <v>-186.1</v>
      </c>
      <c r="P6" s="319"/>
      <c r="Q6" s="351">
        <f t="shared" ref="Q6:Q14" si="2">M6-O6</f>
        <v>-43.900000000000006</v>
      </c>
      <c r="R6" s="353">
        <f t="shared" ref="R6:R14" si="3">C6+H6+M6</f>
        <v>0</v>
      </c>
      <c r="S6" s="350">
        <f t="shared" ref="S6:S11" si="4">E6+J6+O6</f>
        <v>0</v>
      </c>
      <c r="T6" s="351">
        <f t="shared" ref="T6:T11" si="5">R6-S6</f>
        <v>0</v>
      </c>
      <c r="U6" s="17"/>
      <c r="V6" s="28"/>
      <c r="W6" s="28"/>
      <c r="X6" s="28"/>
      <c r="Y6" s="20"/>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row>
    <row r="7" spans="2:497" s="41" customFormat="1" ht="20.25" customHeight="1">
      <c r="B7" s="33" t="s">
        <v>119</v>
      </c>
      <c r="C7" s="321">
        <f>C5+C6</f>
        <v>8475.7999999999993</v>
      </c>
      <c r="D7" s="322"/>
      <c r="E7" s="323">
        <f>E5+E6</f>
        <v>8709.2000000000007</v>
      </c>
      <c r="F7" s="323"/>
      <c r="G7" s="324">
        <f>C7-E7</f>
        <v>-233.40000000000146</v>
      </c>
      <c r="H7" s="321">
        <f>H5+H6</f>
        <v>1484</v>
      </c>
      <c r="I7" s="34"/>
      <c r="J7" s="323">
        <f>J5+J6</f>
        <v>1299.9000000000001</v>
      </c>
      <c r="K7" s="36"/>
      <c r="L7" s="344">
        <f t="shared" si="1"/>
        <v>184.09999999999991</v>
      </c>
      <c r="M7" s="321">
        <f>M5+M6</f>
        <v>-230</v>
      </c>
      <c r="N7" s="322"/>
      <c r="O7" s="323">
        <f>O5+O6</f>
        <v>-186.1</v>
      </c>
      <c r="P7" s="323"/>
      <c r="Q7" s="352">
        <f t="shared" si="2"/>
        <v>-43.900000000000006</v>
      </c>
      <c r="R7" s="354">
        <f t="shared" si="3"/>
        <v>9729.7999999999993</v>
      </c>
      <c r="S7" s="355">
        <f t="shared" si="4"/>
        <v>9823</v>
      </c>
      <c r="T7" s="352">
        <f t="shared" si="5"/>
        <v>-93.200000000000728</v>
      </c>
      <c r="U7" s="37"/>
      <c r="V7" s="38"/>
      <c r="W7" s="38"/>
      <c r="X7" s="38"/>
      <c r="Y7" s="39"/>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c r="IX7" s="40"/>
      <c r="IY7" s="40"/>
      <c r="IZ7" s="40"/>
      <c r="JA7" s="40"/>
      <c r="JB7" s="40"/>
      <c r="JC7" s="40"/>
      <c r="JD7" s="40"/>
      <c r="JE7" s="40"/>
      <c r="JF7" s="40"/>
      <c r="JG7" s="40"/>
      <c r="JH7" s="40"/>
      <c r="JI7" s="40"/>
      <c r="JJ7" s="40"/>
      <c r="JK7" s="40"/>
      <c r="JL7" s="40"/>
      <c r="JM7" s="40"/>
      <c r="JN7" s="40"/>
      <c r="JO7" s="40"/>
      <c r="JP7" s="40"/>
      <c r="JQ7" s="40"/>
      <c r="JR7" s="40"/>
      <c r="JS7" s="40"/>
      <c r="JT7" s="40"/>
      <c r="JU7" s="40"/>
      <c r="JV7" s="40"/>
      <c r="JW7" s="40"/>
      <c r="JX7" s="40"/>
      <c r="JY7" s="40"/>
      <c r="JZ7" s="40"/>
      <c r="KA7" s="40"/>
      <c r="KB7" s="40"/>
      <c r="KC7" s="40"/>
      <c r="KD7" s="40"/>
      <c r="KE7" s="40"/>
      <c r="KF7" s="40"/>
      <c r="KG7" s="40"/>
      <c r="KH7" s="40"/>
      <c r="KI7" s="40"/>
      <c r="KJ7" s="40"/>
      <c r="KK7" s="40"/>
      <c r="KL7" s="40"/>
      <c r="KM7" s="40"/>
      <c r="KN7" s="40"/>
      <c r="KO7" s="40"/>
      <c r="KP7" s="40"/>
      <c r="KQ7" s="40"/>
      <c r="KR7" s="40"/>
      <c r="KS7" s="40"/>
      <c r="KT7" s="40"/>
      <c r="KU7" s="40"/>
      <c r="KV7" s="40"/>
      <c r="KW7" s="40"/>
      <c r="KX7" s="40"/>
      <c r="KY7" s="40"/>
      <c r="KZ7" s="40"/>
      <c r="LA7" s="40"/>
      <c r="LB7" s="40"/>
      <c r="LC7" s="40"/>
      <c r="LD7" s="40"/>
      <c r="LE7" s="40"/>
      <c r="LF7" s="40"/>
      <c r="LG7" s="40"/>
      <c r="LH7" s="40"/>
      <c r="LI7" s="40"/>
      <c r="LJ7" s="40"/>
      <c r="LK7" s="40"/>
      <c r="LL7" s="40"/>
      <c r="LM7" s="40"/>
      <c r="LN7" s="40"/>
      <c r="LO7" s="40"/>
      <c r="LP7" s="40"/>
      <c r="LQ7" s="40"/>
      <c r="LR7" s="40"/>
      <c r="LS7" s="40"/>
      <c r="LT7" s="40"/>
      <c r="LU7" s="40"/>
      <c r="LV7" s="40"/>
      <c r="LW7" s="40"/>
      <c r="LX7" s="40"/>
      <c r="LY7" s="40"/>
      <c r="LZ7" s="40"/>
      <c r="MA7" s="40"/>
      <c r="MB7" s="40"/>
      <c r="MC7" s="40"/>
      <c r="MD7" s="40"/>
      <c r="ME7" s="40"/>
      <c r="MF7" s="40"/>
      <c r="MG7" s="40"/>
      <c r="MH7" s="40"/>
      <c r="MI7" s="40"/>
      <c r="MJ7" s="40"/>
      <c r="MK7" s="40"/>
      <c r="ML7" s="40"/>
      <c r="MM7" s="40"/>
      <c r="MN7" s="40"/>
      <c r="MO7" s="40"/>
      <c r="MP7" s="40"/>
      <c r="MQ7" s="40"/>
      <c r="MR7" s="40"/>
      <c r="MS7" s="40"/>
      <c r="MT7" s="40"/>
      <c r="MU7" s="40"/>
      <c r="MV7" s="40"/>
      <c r="MW7" s="40"/>
      <c r="MX7" s="40"/>
      <c r="MY7" s="40"/>
      <c r="MZ7" s="40"/>
      <c r="NA7" s="40"/>
      <c r="NB7" s="40"/>
      <c r="NC7" s="40"/>
      <c r="ND7" s="40"/>
      <c r="NE7" s="40"/>
      <c r="NF7" s="40"/>
      <c r="NG7" s="40"/>
      <c r="NH7" s="40"/>
      <c r="NI7" s="40"/>
      <c r="NJ7" s="40"/>
      <c r="NK7" s="40"/>
      <c r="NL7" s="40"/>
      <c r="NM7" s="40"/>
      <c r="NN7" s="40"/>
      <c r="NO7" s="40"/>
      <c r="NP7" s="40"/>
      <c r="NQ7" s="40"/>
      <c r="NR7" s="40"/>
      <c r="NS7" s="40"/>
      <c r="NT7" s="40"/>
      <c r="NU7" s="40"/>
      <c r="NV7" s="40"/>
      <c r="NW7" s="40"/>
      <c r="NX7" s="40"/>
      <c r="NY7" s="40"/>
      <c r="NZ7" s="40"/>
      <c r="OA7" s="40"/>
      <c r="OB7" s="40"/>
      <c r="OC7" s="40"/>
      <c r="OD7" s="40"/>
      <c r="OE7" s="40"/>
      <c r="OF7" s="40"/>
      <c r="OG7" s="40"/>
      <c r="OH7" s="40"/>
      <c r="OI7" s="40"/>
      <c r="OJ7" s="40"/>
      <c r="OK7" s="40"/>
      <c r="OL7" s="40"/>
      <c r="OM7" s="40"/>
      <c r="ON7" s="40"/>
      <c r="OO7" s="40"/>
      <c r="OP7" s="40"/>
      <c r="OQ7" s="40"/>
      <c r="OR7" s="40"/>
      <c r="OS7" s="40"/>
      <c r="OT7" s="40"/>
      <c r="OU7" s="40"/>
      <c r="OV7" s="40"/>
      <c r="OW7" s="40"/>
      <c r="OX7" s="40"/>
      <c r="OY7" s="40"/>
      <c r="OZ7" s="40"/>
      <c r="PA7" s="40"/>
      <c r="PB7" s="40"/>
      <c r="PC7" s="40"/>
      <c r="PD7" s="40"/>
      <c r="PE7" s="40"/>
      <c r="PF7" s="40"/>
      <c r="PG7" s="40"/>
      <c r="PH7" s="40"/>
      <c r="PI7" s="40"/>
      <c r="PJ7" s="40"/>
      <c r="PK7" s="40"/>
      <c r="PL7" s="40"/>
      <c r="PM7" s="40"/>
      <c r="PN7" s="40"/>
      <c r="PO7" s="40"/>
      <c r="PP7" s="40"/>
      <c r="PQ7" s="40"/>
      <c r="PR7" s="40"/>
      <c r="PS7" s="40"/>
      <c r="PT7" s="40"/>
      <c r="PU7" s="40"/>
      <c r="PV7" s="40"/>
      <c r="PW7" s="40"/>
      <c r="PX7" s="40"/>
      <c r="PY7" s="40"/>
      <c r="PZ7" s="40"/>
      <c r="QA7" s="40"/>
      <c r="QB7" s="40"/>
      <c r="QC7" s="40"/>
      <c r="QD7" s="40"/>
      <c r="QE7" s="40"/>
      <c r="QF7" s="40"/>
      <c r="QG7" s="40"/>
      <c r="QH7" s="40"/>
      <c r="QI7" s="40"/>
      <c r="QJ7" s="40"/>
      <c r="QK7" s="40"/>
      <c r="QL7" s="40"/>
      <c r="QM7" s="40"/>
      <c r="QN7" s="40"/>
      <c r="QO7" s="40"/>
      <c r="QP7" s="40"/>
      <c r="QQ7" s="40"/>
      <c r="QR7" s="40"/>
      <c r="QS7" s="40"/>
      <c r="QT7" s="40"/>
      <c r="QU7" s="40"/>
      <c r="QV7" s="40"/>
      <c r="QW7" s="40"/>
      <c r="QX7" s="40"/>
      <c r="QY7" s="40"/>
      <c r="QZ7" s="40"/>
      <c r="RA7" s="40"/>
      <c r="RB7" s="40"/>
      <c r="RC7" s="40"/>
      <c r="RD7" s="40"/>
      <c r="RE7" s="40"/>
      <c r="RF7" s="40"/>
      <c r="RG7" s="40"/>
      <c r="RH7" s="40"/>
      <c r="RI7" s="40"/>
      <c r="RJ7" s="40"/>
      <c r="RK7" s="40"/>
      <c r="RL7" s="40"/>
      <c r="RM7" s="40"/>
      <c r="RN7" s="40"/>
      <c r="RO7" s="40"/>
      <c r="RP7" s="40"/>
      <c r="RQ7" s="40"/>
      <c r="RR7" s="40"/>
      <c r="RS7" s="40"/>
      <c r="RT7" s="40"/>
      <c r="RU7" s="40"/>
      <c r="RV7" s="40"/>
      <c r="RW7" s="40"/>
      <c r="RX7" s="40"/>
      <c r="RY7" s="40"/>
      <c r="RZ7" s="40"/>
      <c r="SA7" s="40"/>
      <c r="SB7" s="40"/>
      <c r="SC7" s="40"/>
    </row>
    <row r="8" spans="2:497" s="41" customFormat="1" ht="20.25" customHeight="1">
      <c r="B8" s="33" t="s">
        <v>198</v>
      </c>
      <c r="C8" s="321">
        <v>3077.4</v>
      </c>
      <c r="D8" s="322"/>
      <c r="E8" s="323">
        <v>3240</v>
      </c>
      <c r="F8" s="323"/>
      <c r="G8" s="324">
        <f t="shared" si="0"/>
        <v>-162.59999999999991</v>
      </c>
      <c r="H8" s="321">
        <v>563.4</v>
      </c>
      <c r="I8" s="42"/>
      <c r="J8" s="323">
        <v>445.1</v>
      </c>
      <c r="K8" s="35"/>
      <c r="L8" s="344">
        <f t="shared" si="1"/>
        <v>118.29999999999995</v>
      </c>
      <c r="M8" s="353">
        <v>0</v>
      </c>
      <c r="N8" s="354"/>
      <c r="O8" s="355">
        <v>0</v>
      </c>
      <c r="P8" s="323"/>
      <c r="Q8" s="352">
        <f t="shared" si="2"/>
        <v>0</v>
      </c>
      <c r="R8" s="354">
        <f>C8+H8+M8</f>
        <v>3640.8</v>
      </c>
      <c r="S8" s="355">
        <f t="shared" si="4"/>
        <v>3685.1</v>
      </c>
      <c r="T8" s="352">
        <f t="shared" si="5"/>
        <v>-44.299999999999727</v>
      </c>
      <c r="U8" s="37"/>
      <c r="V8" s="38"/>
      <c r="W8" s="38"/>
      <c r="X8" s="38"/>
      <c r="Y8" s="39"/>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c r="IZ8" s="40"/>
      <c r="JA8" s="40"/>
      <c r="JB8" s="40"/>
      <c r="JC8" s="40"/>
      <c r="JD8" s="40"/>
      <c r="JE8" s="40"/>
      <c r="JF8" s="40"/>
      <c r="JG8" s="40"/>
      <c r="JH8" s="40"/>
      <c r="JI8" s="40"/>
      <c r="JJ8" s="40"/>
      <c r="JK8" s="40"/>
      <c r="JL8" s="40"/>
      <c r="JM8" s="40"/>
      <c r="JN8" s="40"/>
      <c r="JO8" s="40"/>
      <c r="JP8" s="40"/>
      <c r="JQ8" s="40"/>
      <c r="JR8" s="40"/>
      <c r="JS8" s="40"/>
      <c r="JT8" s="40"/>
      <c r="JU8" s="40"/>
      <c r="JV8" s="40"/>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0"/>
      <c r="LP8" s="40"/>
      <c r="LQ8" s="40"/>
      <c r="LR8" s="40"/>
      <c r="LS8" s="40"/>
      <c r="LT8" s="40"/>
      <c r="LU8" s="40"/>
      <c r="LV8" s="40"/>
      <c r="LW8" s="40"/>
      <c r="LX8" s="40"/>
      <c r="LY8" s="40"/>
      <c r="LZ8" s="40"/>
      <c r="MA8" s="40"/>
      <c r="MB8" s="40"/>
      <c r="MC8" s="40"/>
      <c r="MD8" s="40"/>
      <c r="ME8" s="40"/>
      <c r="MF8" s="40"/>
      <c r="MG8" s="40"/>
      <c r="MH8" s="40"/>
      <c r="MI8" s="40"/>
      <c r="MJ8" s="40"/>
      <c r="MK8" s="40"/>
      <c r="ML8" s="40"/>
      <c r="MM8" s="40"/>
      <c r="MN8" s="40"/>
      <c r="MO8" s="40"/>
      <c r="MP8" s="40"/>
      <c r="MQ8" s="40"/>
      <c r="MR8" s="40"/>
      <c r="MS8" s="40"/>
      <c r="MT8" s="40"/>
      <c r="MU8" s="40"/>
      <c r="MV8" s="40"/>
      <c r="MW8" s="40"/>
      <c r="MX8" s="40"/>
      <c r="MY8" s="40"/>
      <c r="MZ8" s="40"/>
      <c r="NA8" s="40"/>
      <c r="NB8" s="40"/>
      <c r="NC8" s="40"/>
      <c r="ND8" s="40"/>
      <c r="NE8" s="40"/>
      <c r="NF8" s="40"/>
      <c r="NG8" s="40"/>
      <c r="NH8" s="40"/>
      <c r="NI8" s="40"/>
      <c r="NJ8" s="40"/>
      <c r="NK8" s="40"/>
      <c r="NL8" s="40"/>
      <c r="NM8" s="40"/>
      <c r="NN8" s="40"/>
      <c r="NO8" s="40"/>
      <c r="NP8" s="40"/>
      <c r="NQ8" s="40"/>
      <c r="NR8" s="40"/>
      <c r="NS8" s="40"/>
      <c r="NT8" s="40"/>
      <c r="NU8" s="40"/>
      <c r="NV8" s="40"/>
      <c r="NW8" s="40"/>
      <c r="NX8" s="40"/>
      <c r="NY8" s="40"/>
      <c r="NZ8" s="40"/>
      <c r="OA8" s="40"/>
      <c r="OB8" s="40"/>
      <c r="OC8" s="40"/>
      <c r="OD8" s="40"/>
      <c r="OE8" s="40"/>
      <c r="OF8" s="40"/>
      <c r="OG8" s="40"/>
      <c r="OH8" s="40"/>
      <c r="OI8" s="40"/>
      <c r="OJ8" s="40"/>
      <c r="OK8" s="40"/>
      <c r="OL8" s="40"/>
      <c r="OM8" s="40"/>
      <c r="ON8" s="40"/>
      <c r="OO8" s="40"/>
      <c r="OP8" s="40"/>
      <c r="OQ8" s="40"/>
      <c r="OR8" s="40"/>
      <c r="OS8" s="40"/>
      <c r="OT8" s="40"/>
      <c r="OU8" s="40"/>
      <c r="OV8" s="40"/>
      <c r="OW8" s="40"/>
      <c r="OX8" s="40"/>
      <c r="OY8" s="40"/>
      <c r="OZ8" s="40"/>
      <c r="PA8" s="40"/>
      <c r="PB8" s="40"/>
      <c r="PC8" s="40"/>
      <c r="PD8" s="40"/>
      <c r="PE8" s="40"/>
      <c r="PF8" s="40"/>
      <c r="PG8" s="40"/>
      <c r="PH8" s="40"/>
      <c r="PI8" s="40"/>
      <c r="PJ8" s="40"/>
      <c r="PK8" s="40"/>
      <c r="PL8" s="40"/>
      <c r="PM8" s="40"/>
      <c r="PN8" s="40"/>
      <c r="PO8" s="40"/>
      <c r="PP8" s="40"/>
      <c r="PQ8" s="40"/>
      <c r="PR8" s="40"/>
      <c r="PS8" s="40"/>
      <c r="PT8" s="40"/>
      <c r="PU8" s="40"/>
      <c r="PV8" s="40"/>
      <c r="PW8" s="40"/>
      <c r="PX8" s="40"/>
      <c r="PY8" s="40"/>
      <c r="PZ8" s="40"/>
      <c r="QA8" s="40"/>
      <c r="QB8" s="40"/>
      <c r="QC8" s="40"/>
      <c r="QD8" s="40"/>
      <c r="QE8" s="40"/>
      <c r="QF8" s="40"/>
      <c r="QG8" s="40"/>
      <c r="QH8" s="40"/>
      <c r="QI8" s="40"/>
      <c r="QJ8" s="40"/>
      <c r="QK8" s="40"/>
      <c r="QL8" s="40"/>
      <c r="QM8" s="40"/>
      <c r="QN8" s="40"/>
      <c r="QO8" s="40"/>
      <c r="QP8" s="40"/>
      <c r="QQ8" s="40"/>
      <c r="QR8" s="40"/>
      <c r="QS8" s="40"/>
      <c r="QT8" s="40"/>
      <c r="QU8" s="40"/>
      <c r="QV8" s="40"/>
      <c r="QW8" s="40"/>
      <c r="QX8" s="40"/>
      <c r="QY8" s="40"/>
      <c r="QZ8" s="40"/>
      <c r="RA8" s="40"/>
      <c r="RB8" s="40"/>
      <c r="RC8" s="40"/>
      <c r="RD8" s="40"/>
      <c r="RE8" s="40"/>
      <c r="RF8" s="40"/>
      <c r="RG8" s="40"/>
      <c r="RH8" s="40"/>
      <c r="RI8" s="40"/>
      <c r="RJ8" s="40"/>
      <c r="RK8" s="40"/>
      <c r="RL8" s="40"/>
      <c r="RM8" s="40"/>
      <c r="RN8" s="40"/>
      <c r="RO8" s="40"/>
      <c r="RP8" s="40"/>
      <c r="RQ8" s="40"/>
      <c r="RR8" s="40"/>
      <c r="RS8" s="40"/>
      <c r="RT8" s="40"/>
      <c r="RU8" s="40"/>
      <c r="RV8" s="40"/>
      <c r="RW8" s="40"/>
      <c r="RX8" s="40"/>
      <c r="RY8" s="40"/>
      <c r="RZ8" s="40"/>
      <c r="SA8" s="40"/>
      <c r="SB8" s="40"/>
      <c r="SC8" s="40"/>
    </row>
    <row r="9" spans="2:497" s="19" customFormat="1" ht="32.25" customHeight="1">
      <c r="B9" s="30" t="s">
        <v>79</v>
      </c>
      <c r="C9" s="317">
        <v>1929.6</v>
      </c>
      <c r="D9" s="322"/>
      <c r="E9" s="319">
        <v>1660.5</v>
      </c>
      <c r="F9" s="323"/>
      <c r="G9" s="320">
        <f t="shared" si="0"/>
        <v>269.09999999999991</v>
      </c>
      <c r="H9" s="317">
        <v>41.9</v>
      </c>
      <c r="I9" s="31"/>
      <c r="J9" s="319">
        <v>38.799999999999997</v>
      </c>
      <c r="K9" s="32"/>
      <c r="L9" s="343">
        <f t="shared" si="1"/>
        <v>3.1000000000000014</v>
      </c>
      <c r="M9" s="348">
        <v>0</v>
      </c>
      <c r="N9" s="349"/>
      <c r="O9" s="350">
        <v>0</v>
      </c>
      <c r="P9" s="319"/>
      <c r="Q9" s="351">
        <f t="shared" si="2"/>
        <v>0</v>
      </c>
      <c r="R9" s="349">
        <f>C9+H9+M9</f>
        <v>1971.5</v>
      </c>
      <c r="S9" s="350">
        <f t="shared" si="4"/>
        <v>1699.3</v>
      </c>
      <c r="T9" s="351">
        <f t="shared" si="5"/>
        <v>272.20000000000005</v>
      </c>
      <c r="U9" s="17"/>
      <c r="V9" s="38"/>
      <c r="W9" s="38"/>
      <c r="X9" s="38"/>
      <c r="Y9" s="20"/>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row>
    <row r="10" spans="2:497" s="41" customFormat="1" ht="20.25" customHeight="1">
      <c r="B10" s="33" t="s">
        <v>98</v>
      </c>
      <c r="C10" s="321">
        <f>C8-C9</f>
        <v>1147.8000000000002</v>
      </c>
      <c r="D10" s="325"/>
      <c r="E10" s="326">
        <f>E8-E9</f>
        <v>1579.5</v>
      </c>
      <c r="F10" s="323"/>
      <c r="G10" s="324">
        <f>C10-E10</f>
        <v>-431.69999999999982</v>
      </c>
      <c r="H10" s="321">
        <f>H8-H9</f>
        <v>521.5</v>
      </c>
      <c r="I10" s="43"/>
      <c r="J10" s="326">
        <f>J8-J9</f>
        <v>406.3</v>
      </c>
      <c r="K10" s="35"/>
      <c r="L10" s="344">
        <f t="shared" si="1"/>
        <v>115.19999999999999</v>
      </c>
      <c r="M10" s="353">
        <f>M8-M9</f>
        <v>0</v>
      </c>
      <c r="N10" s="354"/>
      <c r="O10" s="355">
        <f>O8-O9</f>
        <v>0</v>
      </c>
      <c r="P10" s="323"/>
      <c r="Q10" s="352">
        <f t="shared" si="2"/>
        <v>0</v>
      </c>
      <c r="R10" s="354">
        <f t="shared" si="3"/>
        <v>1669.3000000000002</v>
      </c>
      <c r="S10" s="355">
        <f>E10+J10+O10</f>
        <v>1985.8</v>
      </c>
      <c r="T10" s="352">
        <f t="shared" si="5"/>
        <v>-316.49999999999977</v>
      </c>
      <c r="U10" s="37"/>
      <c r="V10" s="38"/>
      <c r="W10" s="38"/>
      <c r="X10" s="38"/>
      <c r="Y10" s="39"/>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0"/>
      <c r="JW10" s="40"/>
      <c r="JX10" s="40"/>
      <c r="JY10" s="40"/>
      <c r="JZ10" s="40"/>
      <c r="KA10" s="40"/>
      <c r="KB10" s="40"/>
      <c r="KC10" s="40"/>
      <c r="KD10" s="40"/>
      <c r="KE10" s="40"/>
      <c r="KF10" s="40"/>
      <c r="KG10" s="40"/>
      <c r="KH10" s="40"/>
      <c r="KI10" s="40"/>
      <c r="KJ10" s="40"/>
      <c r="KK10" s="40"/>
      <c r="KL10" s="40"/>
      <c r="KM10" s="40"/>
      <c r="KN10" s="40"/>
      <c r="KO10" s="40"/>
      <c r="KP10" s="40"/>
      <c r="KQ10" s="40"/>
      <c r="KR10" s="40"/>
      <c r="KS10" s="40"/>
      <c r="KT10" s="40"/>
      <c r="KU10" s="40"/>
      <c r="KV10" s="40"/>
      <c r="KW10" s="40"/>
      <c r="KX10" s="40"/>
      <c r="KY10" s="40"/>
      <c r="KZ10" s="40"/>
      <c r="LA10" s="40"/>
      <c r="LB10" s="40"/>
      <c r="LC10" s="40"/>
      <c r="LD10" s="40"/>
      <c r="LE10" s="40"/>
      <c r="LF10" s="40"/>
      <c r="LG10" s="40"/>
      <c r="LH10" s="40"/>
      <c r="LI10" s="40"/>
      <c r="LJ10" s="40"/>
      <c r="LK10" s="40"/>
      <c r="LL10" s="40"/>
      <c r="LM10" s="40"/>
      <c r="LN10" s="40"/>
      <c r="LO10" s="40"/>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c r="MR10" s="40"/>
      <c r="MS10" s="40"/>
      <c r="MT10" s="40"/>
      <c r="MU10" s="40"/>
      <c r="MV10" s="40"/>
      <c r="MW10" s="40"/>
      <c r="MX10" s="40"/>
      <c r="MY10" s="40"/>
      <c r="MZ10" s="40"/>
      <c r="NA10" s="40"/>
      <c r="NB10" s="40"/>
      <c r="NC10" s="40"/>
      <c r="ND10" s="40"/>
      <c r="NE10" s="40"/>
      <c r="NF10" s="40"/>
      <c r="NG10" s="40"/>
      <c r="NH10" s="40"/>
      <c r="NI10" s="40"/>
      <c r="NJ10" s="40"/>
      <c r="NK10" s="40"/>
      <c r="NL10" s="40"/>
      <c r="NM10" s="40"/>
      <c r="NN10" s="40"/>
      <c r="NO10" s="40"/>
      <c r="NP10" s="40"/>
      <c r="NQ10" s="40"/>
      <c r="NR10" s="40"/>
      <c r="NS10" s="40"/>
      <c r="NT10" s="40"/>
      <c r="NU10" s="40"/>
      <c r="NV10" s="40"/>
      <c r="NW10" s="40"/>
      <c r="NX10" s="40"/>
      <c r="NY10" s="40"/>
      <c r="NZ10" s="40"/>
      <c r="OA10" s="40"/>
      <c r="OB10" s="40"/>
      <c r="OC10" s="40"/>
      <c r="OD10" s="40"/>
      <c r="OE10" s="40"/>
      <c r="OF10" s="40"/>
      <c r="OG10" s="40"/>
      <c r="OH10" s="40"/>
      <c r="OI10" s="40"/>
      <c r="OJ10" s="40"/>
      <c r="OK10" s="40"/>
      <c r="OL10" s="40"/>
      <c r="OM10" s="40"/>
      <c r="ON10" s="40"/>
      <c r="OO10" s="40"/>
      <c r="OP10" s="40"/>
      <c r="OQ10" s="40"/>
      <c r="OR10" s="40"/>
      <c r="OS10" s="40"/>
      <c r="OT10" s="40"/>
      <c r="OU10" s="40"/>
      <c r="OV10" s="40"/>
      <c r="OW10" s="40"/>
      <c r="OX10" s="40"/>
      <c r="OY10" s="40"/>
      <c r="OZ10" s="40"/>
      <c r="PA10" s="40"/>
      <c r="PB10" s="40"/>
      <c r="PC10" s="40"/>
      <c r="PD10" s="40"/>
      <c r="PE10" s="40"/>
      <c r="PF10" s="40"/>
      <c r="PG10" s="40"/>
      <c r="PH10" s="40"/>
      <c r="PI10" s="40"/>
      <c r="PJ10" s="40"/>
      <c r="PK10" s="40"/>
      <c r="PL10" s="40"/>
      <c r="PM10" s="40"/>
      <c r="PN10" s="40"/>
      <c r="PO10" s="40"/>
      <c r="PP10" s="40"/>
      <c r="PQ10" s="40"/>
      <c r="PR10" s="40"/>
      <c r="PS10" s="40"/>
      <c r="PT10" s="40"/>
      <c r="PU10" s="40"/>
      <c r="PV10" s="40"/>
      <c r="PW10" s="40"/>
      <c r="PX10" s="40"/>
      <c r="PY10" s="40"/>
      <c r="PZ10" s="40"/>
      <c r="QA10" s="40"/>
      <c r="QB10" s="40"/>
      <c r="QC10" s="40"/>
      <c r="QD10" s="40"/>
      <c r="QE10" s="40"/>
      <c r="QF10" s="40"/>
      <c r="QG10" s="40"/>
      <c r="QH10" s="40"/>
      <c r="QI10" s="40"/>
      <c r="QJ10" s="40"/>
      <c r="QK10" s="40"/>
      <c r="QL10" s="40"/>
      <c r="QM10" s="40"/>
      <c r="QN10" s="40"/>
      <c r="QO10" s="40"/>
      <c r="QP10" s="40"/>
      <c r="QQ10" s="40"/>
      <c r="QR10" s="40"/>
      <c r="QS10" s="40"/>
      <c r="QT10" s="40"/>
      <c r="QU10" s="40"/>
      <c r="QV10" s="40"/>
      <c r="QW10" s="40"/>
      <c r="QX10" s="40"/>
      <c r="QY10" s="40"/>
      <c r="QZ10" s="40"/>
      <c r="RA10" s="40"/>
      <c r="RB10" s="40"/>
      <c r="RC10" s="40"/>
      <c r="RD10" s="40"/>
      <c r="RE10" s="40"/>
      <c r="RF10" s="40"/>
      <c r="RG10" s="40"/>
      <c r="RH10" s="40"/>
      <c r="RI10" s="40"/>
      <c r="RJ10" s="40"/>
      <c r="RK10" s="40"/>
      <c r="RL10" s="40"/>
      <c r="RM10" s="40"/>
      <c r="RN10" s="40"/>
      <c r="RO10" s="40"/>
      <c r="RP10" s="40"/>
      <c r="RQ10" s="40"/>
      <c r="RR10" s="40"/>
      <c r="RS10" s="40"/>
      <c r="RT10" s="40"/>
      <c r="RU10" s="40"/>
      <c r="RV10" s="40"/>
      <c r="RW10" s="40"/>
      <c r="RX10" s="40"/>
      <c r="RY10" s="40"/>
      <c r="RZ10" s="40"/>
      <c r="SA10" s="40"/>
      <c r="SB10" s="40"/>
      <c r="SC10" s="40"/>
    </row>
    <row r="11" spans="2:497" s="19" customFormat="1" ht="48" customHeight="1" thickBot="1">
      <c r="B11" s="44" t="s">
        <v>120</v>
      </c>
      <c r="C11" s="327">
        <v>717.2</v>
      </c>
      <c r="D11" s="339">
        <v>1</v>
      </c>
      <c r="E11" s="328">
        <v>688.3</v>
      </c>
      <c r="F11" s="340">
        <v>1</v>
      </c>
      <c r="G11" s="329">
        <f t="shared" si="0"/>
        <v>28.900000000000091</v>
      </c>
      <c r="H11" s="327">
        <v>27.7</v>
      </c>
      <c r="I11" s="46"/>
      <c r="J11" s="328">
        <v>31.9</v>
      </c>
      <c r="K11" s="45"/>
      <c r="L11" s="345">
        <f t="shared" si="1"/>
        <v>-4.1999999999999993</v>
      </c>
      <c r="M11" s="356">
        <v>0</v>
      </c>
      <c r="N11" s="357"/>
      <c r="O11" s="358">
        <v>0</v>
      </c>
      <c r="P11" s="359"/>
      <c r="Q11" s="360">
        <f t="shared" si="2"/>
        <v>0</v>
      </c>
      <c r="R11" s="357">
        <f t="shared" si="3"/>
        <v>744.90000000000009</v>
      </c>
      <c r="S11" s="358">
        <f t="shared" si="4"/>
        <v>720.19999999999993</v>
      </c>
      <c r="T11" s="368">
        <f t="shared" si="5"/>
        <v>24.700000000000159</v>
      </c>
      <c r="U11" s="17"/>
      <c r="V11" s="38"/>
      <c r="W11" s="38"/>
      <c r="X11" s="38"/>
      <c r="Y11" s="20"/>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row>
    <row r="12" spans="2:497" s="19" customFormat="1" ht="20.25" customHeight="1">
      <c r="B12" s="47" t="s">
        <v>225</v>
      </c>
      <c r="C12" s="330"/>
      <c r="D12" s="331"/>
      <c r="E12" s="332"/>
      <c r="F12" s="332"/>
      <c r="G12" s="333"/>
      <c r="H12" s="331"/>
      <c r="I12" s="48"/>
      <c r="J12" s="332"/>
      <c r="K12" s="49"/>
      <c r="L12" s="346">
        <f>H12-J12</f>
        <v>0</v>
      </c>
      <c r="M12" s="330"/>
      <c r="N12" s="331"/>
      <c r="O12" s="332"/>
      <c r="P12" s="332"/>
      <c r="Q12" s="361">
        <f t="shared" si="2"/>
        <v>0</v>
      </c>
      <c r="R12" s="331"/>
      <c r="S12" s="332"/>
      <c r="T12" s="333"/>
      <c r="U12" s="17"/>
      <c r="V12" s="29"/>
      <c r="W12" s="29"/>
      <c r="X12" s="29"/>
      <c r="Y12" s="20"/>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row>
    <row r="13" spans="2:497" s="19" customFormat="1" ht="20.25" customHeight="1">
      <c r="B13" s="50" t="s">
        <v>121</v>
      </c>
      <c r="C13" s="317">
        <v>23324.5</v>
      </c>
      <c r="D13" s="334"/>
      <c r="E13" s="319">
        <v>22110.799999999999</v>
      </c>
      <c r="F13" s="335"/>
      <c r="G13" s="320">
        <f t="shared" si="0"/>
        <v>1213.7000000000007</v>
      </c>
      <c r="H13" s="442">
        <v>4459.8999999999996</v>
      </c>
      <c r="I13" s="51">
        <v>2</v>
      </c>
      <c r="J13" s="319">
        <v>4421.8</v>
      </c>
      <c r="K13" s="52">
        <v>2</v>
      </c>
      <c r="L13" s="320">
        <f>H13-J13</f>
        <v>38.099999999999454</v>
      </c>
      <c r="M13" s="317">
        <v>-55.1</v>
      </c>
      <c r="N13" s="362"/>
      <c r="O13" s="319">
        <v>-42.5</v>
      </c>
      <c r="P13" s="363"/>
      <c r="Q13" s="351">
        <f t="shared" si="2"/>
        <v>-12.600000000000001</v>
      </c>
      <c r="R13" s="348">
        <f>C13+H13+M13</f>
        <v>27729.300000000003</v>
      </c>
      <c r="S13" s="319">
        <f>J13+O13+E13</f>
        <v>26490.1</v>
      </c>
      <c r="T13" s="320">
        <f>R13-S13</f>
        <v>1239.2000000000044</v>
      </c>
      <c r="U13" s="17"/>
      <c r="V13" s="29"/>
      <c r="W13" s="29"/>
      <c r="X13" s="29"/>
      <c r="Y13" s="20"/>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row>
    <row r="14" spans="2:497" s="19" customFormat="1" ht="31.5" customHeight="1" thickBot="1">
      <c r="B14" s="53" t="s">
        <v>122</v>
      </c>
      <c r="C14" s="336">
        <v>0</v>
      </c>
      <c r="D14" s="337"/>
      <c r="E14" s="338">
        <v>0</v>
      </c>
      <c r="F14" s="338"/>
      <c r="G14" s="341">
        <f t="shared" si="0"/>
        <v>0</v>
      </c>
      <c r="H14" s="443">
        <v>5.9</v>
      </c>
      <c r="I14" s="55"/>
      <c r="J14" s="338">
        <v>5.9</v>
      </c>
      <c r="K14" s="54"/>
      <c r="L14" s="347">
        <f t="shared" ref="L14" si="6">H14-J14</f>
        <v>0</v>
      </c>
      <c r="M14" s="364">
        <v>0</v>
      </c>
      <c r="N14" s="337"/>
      <c r="O14" s="338">
        <v>0</v>
      </c>
      <c r="P14" s="338"/>
      <c r="Q14" s="365">
        <f t="shared" si="2"/>
        <v>0</v>
      </c>
      <c r="R14" s="369">
        <f t="shared" si="3"/>
        <v>5.9</v>
      </c>
      <c r="S14" s="370">
        <f>J14+O14+E14</f>
        <v>5.9</v>
      </c>
      <c r="T14" s="341">
        <f>R14-S14</f>
        <v>0</v>
      </c>
      <c r="U14" s="17"/>
      <c r="V14" s="29"/>
      <c r="W14" s="29"/>
      <c r="X14" s="29"/>
      <c r="Y14" s="20"/>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row>
    <row r="15" spans="2:497" s="18" customFormat="1" ht="20.25" customHeight="1">
      <c r="B15" s="537" t="s">
        <v>218</v>
      </c>
      <c r="C15" s="537"/>
      <c r="D15" s="537"/>
      <c r="E15" s="537"/>
      <c r="F15" s="537"/>
      <c r="G15" s="537"/>
      <c r="H15" s="56"/>
      <c r="I15" s="56"/>
      <c r="J15" s="57"/>
      <c r="K15" s="57"/>
      <c r="L15" s="57"/>
      <c r="M15" s="56"/>
      <c r="N15" s="56"/>
      <c r="O15" s="56"/>
      <c r="P15" s="56"/>
      <c r="Q15" s="56"/>
      <c r="R15" s="56"/>
      <c r="S15" s="56"/>
      <c r="T15" s="56"/>
      <c r="U15" s="17"/>
      <c r="V15" s="20"/>
      <c r="W15" s="20"/>
      <c r="X15" s="20"/>
      <c r="Y15" s="20"/>
    </row>
    <row r="16" spans="2:497" s="16" customFormat="1" ht="15">
      <c r="B16" s="58" t="s">
        <v>219</v>
      </c>
      <c r="C16" s="58"/>
      <c r="D16" s="58"/>
      <c r="E16" s="58"/>
      <c r="F16" s="58"/>
      <c r="G16" s="58"/>
      <c r="H16" s="56"/>
      <c r="I16" s="56"/>
      <c r="J16" s="57"/>
      <c r="K16" s="57"/>
      <c r="L16" s="57"/>
      <c r="M16" s="56"/>
      <c r="N16" s="56"/>
      <c r="O16" s="56"/>
      <c r="P16" s="56"/>
      <c r="Q16" s="56"/>
      <c r="R16" s="56"/>
      <c r="S16" s="56"/>
      <c r="T16" s="56"/>
      <c r="U16" s="56"/>
    </row>
    <row r="17" spans="2:25" s="18" customFormat="1" ht="15" customHeight="1">
      <c r="B17" s="59"/>
      <c r="C17" s="59"/>
      <c r="D17" s="59"/>
      <c r="E17" s="59"/>
      <c r="F17" s="59"/>
      <c r="G17" s="59"/>
      <c r="H17" s="56"/>
      <c r="I17" s="56"/>
      <c r="J17" s="57"/>
      <c r="K17" s="57"/>
      <c r="L17" s="57"/>
      <c r="M17" s="56"/>
      <c r="N17" s="56"/>
      <c r="O17" s="56"/>
      <c r="P17" s="56"/>
      <c r="Q17" s="56"/>
      <c r="R17" s="56"/>
      <c r="S17" s="56"/>
      <c r="T17" s="56"/>
      <c r="U17" s="17"/>
      <c r="V17" s="20"/>
      <c r="W17" s="20"/>
      <c r="X17" s="20"/>
      <c r="Y17" s="20"/>
    </row>
    <row r="18" spans="2:25" s="16" customFormat="1" ht="15">
      <c r="B18" s="59"/>
      <c r="C18" s="58"/>
      <c r="D18" s="58"/>
      <c r="E18" s="58"/>
      <c r="F18" s="58"/>
      <c r="G18" s="58"/>
      <c r="H18" s="56"/>
      <c r="I18" s="56"/>
      <c r="J18" s="57"/>
      <c r="K18" s="57"/>
      <c r="L18" s="57"/>
      <c r="M18" s="56"/>
      <c r="N18" s="56"/>
      <c r="O18" s="56"/>
      <c r="P18" s="56"/>
      <c r="Q18" s="56"/>
      <c r="R18" s="56"/>
      <c r="S18" s="56"/>
      <c r="T18" s="56"/>
      <c r="U18" s="56"/>
    </row>
    <row r="19" spans="2:25" s="16" customFormat="1" ht="15">
      <c r="B19" s="58"/>
      <c r="G19" s="60"/>
      <c r="H19" s="56"/>
      <c r="I19" s="56"/>
      <c r="J19" s="60"/>
      <c r="K19" s="60"/>
      <c r="L19" s="60"/>
      <c r="M19" s="56"/>
      <c r="N19" s="56"/>
      <c r="O19" s="56"/>
      <c r="P19" s="56"/>
      <c r="Q19" s="56"/>
      <c r="R19" s="56"/>
      <c r="S19" s="56"/>
      <c r="T19" s="56"/>
      <c r="U19" s="56"/>
    </row>
    <row r="20" spans="2:25" s="16" customFormat="1" ht="15">
      <c r="G20" s="61"/>
      <c r="H20" s="56"/>
      <c r="I20" s="56"/>
      <c r="J20" s="61"/>
      <c r="K20" s="61"/>
      <c r="L20" s="61"/>
      <c r="M20" s="56"/>
      <c r="N20" s="56"/>
      <c r="O20" s="56"/>
      <c r="P20" s="56"/>
      <c r="Q20" s="56"/>
      <c r="R20" s="56"/>
      <c r="S20" s="56"/>
      <c r="T20" s="56"/>
      <c r="U20" s="56"/>
    </row>
    <row r="21" spans="2:25" s="16" customFormat="1" ht="15">
      <c r="G21" s="60"/>
      <c r="H21" s="56"/>
      <c r="I21" s="56"/>
      <c r="J21" s="60"/>
      <c r="K21" s="60"/>
      <c r="L21" s="60"/>
      <c r="M21" s="56"/>
      <c r="N21" s="56"/>
      <c r="O21" s="56"/>
      <c r="P21" s="56"/>
      <c r="Q21" s="56"/>
      <c r="R21" s="56"/>
      <c r="S21" s="56"/>
      <c r="T21" s="56"/>
      <c r="U21" s="56"/>
    </row>
    <row r="22" spans="2:25" s="16" customFormat="1" ht="15">
      <c r="B22" s="56"/>
      <c r="C22" s="56"/>
      <c r="D22" s="56"/>
      <c r="E22" s="56"/>
      <c r="F22" s="56"/>
      <c r="G22" s="56"/>
      <c r="H22" s="56"/>
      <c r="I22" s="56"/>
      <c r="J22" s="56"/>
      <c r="K22" s="56"/>
      <c r="L22" s="56"/>
      <c r="M22" s="56"/>
      <c r="N22" s="56"/>
      <c r="O22" s="56"/>
      <c r="P22" s="56"/>
      <c r="Q22" s="56"/>
      <c r="R22" s="56"/>
      <c r="S22" s="56"/>
      <c r="T22" s="56"/>
      <c r="U22" s="56"/>
    </row>
    <row r="23" spans="2:25" s="16" customFormat="1" ht="15">
      <c r="U23" s="56"/>
    </row>
    <row r="24" spans="2:25" s="16" customFormat="1"/>
    <row r="25" spans="2:25" s="16" customFormat="1"/>
    <row r="26" spans="2:25" s="16" customFormat="1"/>
    <row r="27" spans="2:25" s="16" customFormat="1"/>
    <row r="28" spans="2:25" s="16" customFormat="1"/>
    <row r="29" spans="2:25" s="16" customFormat="1"/>
    <row r="30" spans="2:25" s="16" customFormat="1"/>
    <row r="31" spans="2:25" s="16" customFormat="1"/>
    <row r="32" spans="2:25"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row r="73" s="16" customFormat="1"/>
    <row r="74" s="16" customFormat="1"/>
    <row r="75" s="16" customFormat="1"/>
    <row r="76" s="16" customFormat="1"/>
    <row r="77" s="16" customFormat="1"/>
    <row r="78" s="16" customFormat="1"/>
    <row r="79" s="16" customFormat="1"/>
    <row r="80"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row r="97" s="16" customFormat="1"/>
    <row r="98" s="16" customFormat="1"/>
    <row r="99" s="16" customFormat="1"/>
    <row r="100" s="16" customFormat="1"/>
    <row r="101" s="16" customFormat="1"/>
    <row r="102" s="16" customFormat="1"/>
    <row r="103" s="16" customFormat="1"/>
    <row r="104" s="16" customFormat="1"/>
    <row r="105" s="16" customFormat="1"/>
    <row r="106" s="16" customFormat="1"/>
    <row r="107" s="16" customFormat="1"/>
    <row r="108" s="16" customFormat="1"/>
    <row r="109" s="16" customFormat="1"/>
    <row r="110" s="16" customFormat="1"/>
    <row r="111" s="16" customFormat="1"/>
    <row r="112" s="16" customFormat="1"/>
    <row r="113" s="16" customFormat="1"/>
    <row r="114" s="16" customFormat="1"/>
    <row r="115" s="16" customFormat="1"/>
    <row r="116" s="16" customFormat="1"/>
    <row r="117" s="16" customFormat="1"/>
    <row r="118" s="16" customFormat="1"/>
    <row r="119" s="16" customFormat="1"/>
    <row r="120" s="16" customFormat="1"/>
    <row r="121" s="16" customFormat="1"/>
    <row r="122" s="16" customFormat="1"/>
    <row r="123" s="16" customFormat="1"/>
    <row r="124" s="16" customFormat="1"/>
    <row r="125" s="16" customFormat="1"/>
    <row r="126" s="16" customFormat="1"/>
    <row r="127" s="16" customFormat="1"/>
    <row r="128" s="16" customFormat="1"/>
    <row r="129" s="16" customFormat="1"/>
    <row r="130" s="16" customFormat="1"/>
    <row r="131" s="16" customFormat="1"/>
    <row r="132" s="16" customFormat="1"/>
    <row r="133" s="16" customFormat="1"/>
    <row r="134" s="16" customFormat="1"/>
    <row r="135" s="16" customFormat="1"/>
    <row r="136" s="16" customFormat="1"/>
    <row r="137" s="16" customFormat="1"/>
    <row r="138" s="16" customFormat="1"/>
    <row r="139" s="16" customFormat="1"/>
    <row r="140" s="16" customFormat="1"/>
    <row r="141" s="16" customFormat="1"/>
    <row r="142" s="16" customFormat="1"/>
    <row r="143" s="16" customFormat="1"/>
    <row r="144" s="16" customFormat="1"/>
    <row r="145" s="16" customFormat="1"/>
    <row r="146" s="16" customFormat="1"/>
    <row r="147" s="16" customFormat="1"/>
    <row r="148" s="16" customFormat="1"/>
    <row r="149" s="16" customFormat="1"/>
    <row r="150" s="16" customFormat="1"/>
    <row r="151" s="16" customFormat="1"/>
    <row r="152" s="16" customFormat="1"/>
    <row r="153" s="16" customFormat="1"/>
    <row r="154" s="16" customFormat="1"/>
    <row r="155" s="16" customFormat="1"/>
    <row r="156" s="16" customFormat="1"/>
    <row r="157" s="16" customFormat="1"/>
    <row r="158" s="16" customFormat="1"/>
    <row r="159" s="16" customFormat="1"/>
    <row r="160" s="16" customFormat="1"/>
    <row r="161" s="16" customFormat="1"/>
    <row r="162" s="16" customFormat="1"/>
    <row r="163" s="16" customFormat="1"/>
    <row r="164" s="16" customFormat="1"/>
    <row r="165" s="16" customFormat="1"/>
    <row r="166" s="16" customFormat="1"/>
    <row r="167" s="16" customFormat="1"/>
    <row r="168" s="16" customFormat="1"/>
    <row r="169" s="16" customFormat="1"/>
    <row r="170" s="16" customFormat="1"/>
    <row r="171" s="16" customFormat="1"/>
    <row r="172" s="16" customFormat="1"/>
    <row r="173" s="16" customFormat="1"/>
    <row r="174" s="16" customFormat="1"/>
    <row r="175" s="16" customFormat="1"/>
    <row r="176" s="16" customFormat="1"/>
    <row r="177" s="16" customFormat="1"/>
    <row r="178" s="16" customFormat="1"/>
    <row r="179" s="16" customFormat="1"/>
    <row r="180" s="16" customFormat="1"/>
    <row r="181" s="16" customFormat="1"/>
    <row r="182" s="16" customFormat="1"/>
    <row r="183" s="16" customFormat="1"/>
    <row r="184" s="16" customFormat="1"/>
    <row r="185" s="16" customFormat="1"/>
    <row r="186" s="16" customFormat="1"/>
    <row r="187" s="16" customFormat="1"/>
    <row r="188" s="16" customFormat="1"/>
    <row r="189" s="16" customFormat="1"/>
    <row r="190" s="16" customFormat="1"/>
    <row r="191" s="16" customFormat="1"/>
    <row r="192" s="16" customFormat="1"/>
    <row r="193" s="16" customFormat="1"/>
    <row r="194" s="16" customFormat="1"/>
    <row r="195" s="16" customFormat="1"/>
    <row r="196" s="16" customFormat="1"/>
    <row r="197" s="16" customFormat="1"/>
    <row r="198" s="16" customFormat="1"/>
    <row r="199" s="16" customFormat="1"/>
    <row r="200" s="16" customFormat="1"/>
    <row r="201" s="16" customFormat="1"/>
    <row r="202" s="16" customFormat="1"/>
    <row r="203" s="16" customFormat="1"/>
    <row r="204" s="16" customFormat="1"/>
    <row r="205" s="16" customFormat="1"/>
    <row r="206" s="16" customFormat="1"/>
    <row r="207" s="16" customFormat="1"/>
    <row r="208" s="16" customFormat="1"/>
    <row r="209" s="16" customFormat="1"/>
    <row r="210" s="16" customFormat="1"/>
    <row r="211" s="16" customFormat="1"/>
    <row r="212" s="16" customFormat="1"/>
    <row r="213" s="16" customFormat="1"/>
    <row r="214" s="16" customFormat="1"/>
    <row r="215" s="16" customFormat="1"/>
    <row r="216" s="16" customFormat="1"/>
    <row r="217" s="16" customFormat="1"/>
    <row r="218" s="16" customFormat="1"/>
    <row r="219" s="16" customFormat="1"/>
    <row r="220" s="16" customFormat="1"/>
    <row r="221" s="16" customFormat="1"/>
    <row r="222" s="16" customFormat="1"/>
    <row r="223" s="16" customFormat="1"/>
    <row r="224" s="16" customFormat="1"/>
    <row r="225" s="16" customFormat="1"/>
    <row r="226" s="16" customFormat="1"/>
    <row r="227" s="16" customFormat="1"/>
    <row r="228" s="16" customFormat="1"/>
    <row r="229" s="16" customFormat="1"/>
    <row r="230" s="16" customFormat="1"/>
    <row r="231" s="16" customFormat="1"/>
    <row r="232" s="16" customFormat="1"/>
    <row r="233" s="16" customFormat="1"/>
    <row r="234" s="16" customFormat="1"/>
    <row r="235" s="16" customFormat="1"/>
    <row r="236" s="16" customFormat="1"/>
    <row r="237" s="16" customFormat="1"/>
    <row r="238" s="16" customFormat="1"/>
    <row r="239" s="16" customFormat="1"/>
    <row r="240" s="16" customFormat="1"/>
    <row r="241" s="16" customFormat="1"/>
    <row r="242" s="16" customFormat="1"/>
    <row r="243" s="16" customFormat="1"/>
    <row r="244" s="16" customFormat="1"/>
    <row r="245" s="16" customFormat="1"/>
    <row r="246" s="16" customFormat="1"/>
    <row r="247" s="16" customFormat="1"/>
    <row r="248" s="16" customFormat="1"/>
    <row r="249" s="16" customFormat="1"/>
    <row r="250" s="16" customFormat="1"/>
    <row r="251" s="16" customFormat="1"/>
    <row r="252" s="16" customFormat="1"/>
    <row r="253" s="16" customFormat="1"/>
    <row r="254" s="16" customFormat="1"/>
    <row r="255" s="16" customFormat="1"/>
    <row r="256" s="16" customFormat="1"/>
    <row r="257" s="16" customFormat="1"/>
    <row r="258" s="16" customFormat="1"/>
    <row r="259" s="16" customFormat="1"/>
    <row r="260" s="16" customFormat="1"/>
    <row r="261" s="16" customFormat="1"/>
    <row r="262" s="16" customFormat="1"/>
    <row r="263" s="16" customFormat="1"/>
    <row r="264" s="16" customFormat="1"/>
    <row r="265" s="16" customFormat="1"/>
    <row r="266" s="16" customFormat="1"/>
    <row r="267" s="16" customFormat="1"/>
    <row r="268" s="16" customFormat="1"/>
    <row r="269" s="16" customFormat="1"/>
    <row r="270" s="16" customFormat="1"/>
    <row r="271" s="16" customFormat="1"/>
    <row r="272" s="16" customFormat="1"/>
    <row r="273" s="16" customFormat="1"/>
    <row r="274" s="16" customFormat="1"/>
    <row r="275" s="16" customFormat="1"/>
    <row r="276" s="16" customFormat="1"/>
    <row r="277" s="16" customFormat="1"/>
    <row r="278" s="16" customFormat="1"/>
    <row r="279" s="16" customFormat="1"/>
    <row r="280" s="16" customFormat="1"/>
    <row r="281" s="16" customFormat="1"/>
    <row r="282" s="16" customFormat="1"/>
    <row r="283" s="16" customFormat="1"/>
    <row r="284" s="16" customFormat="1"/>
    <row r="285" s="16" customFormat="1"/>
    <row r="286" s="16" customFormat="1"/>
    <row r="287" s="16" customFormat="1"/>
    <row r="288" s="16" customFormat="1"/>
    <row r="289" s="16" customFormat="1"/>
    <row r="290" s="16" customFormat="1"/>
    <row r="291" s="16" customFormat="1"/>
    <row r="292" s="16" customFormat="1"/>
    <row r="293" s="16" customFormat="1"/>
    <row r="294" s="16" customFormat="1"/>
    <row r="295" s="16" customFormat="1"/>
    <row r="296" s="16" customFormat="1"/>
    <row r="297" s="16" customFormat="1"/>
    <row r="298" s="16" customFormat="1"/>
    <row r="299" s="16" customFormat="1"/>
    <row r="300" s="16" customFormat="1"/>
    <row r="301" s="16" customFormat="1"/>
    <row r="302" s="16" customFormat="1"/>
    <row r="303" s="16" customFormat="1"/>
    <row r="304" s="16" customFormat="1"/>
    <row r="305" s="16" customFormat="1"/>
    <row r="306" s="16" customFormat="1"/>
    <row r="307" s="16" customFormat="1"/>
    <row r="308" s="16" customFormat="1"/>
    <row r="309" s="16" customFormat="1"/>
    <row r="310" s="16" customFormat="1"/>
    <row r="311" s="16" customFormat="1"/>
    <row r="312" s="16" customFormat="1"/>
    <row r="313" s="16" customFormat="1"/>
    <row r="314" s="16" customFormat="1"/>
    <row r="315" s="16" customFormat="1"/>
    <row r="316" s="16" customFormat="1"/>
    <row r="317" s="16" customFormat="1"/>
    <row r="318" s="16" customFormat="1"/>
    <row r="319" s="16" customFormat="1"/>
    <row r="320" s="16" customFormat="1"/>
    <row r="321" s="16" customFormat="1"/>
    <row r="322" s="16" customFormat="1"/>
    <row r="323" s="16" customFormat="1"/>
    <row r="324" s="16" customFormat="1"/>
    <row r="325" s="16" customFormat="1"/>
    <row r="326" s="16" customFormat="1"/>
    <row r="327" s="16" customFormat="1"/>
    <row r="328" s="16" customFormat="1"/>
    <row r="329" s="16" customFormat="1"/>
    <row r="330" s="16" customFormat="1"/>
    <row r="331" s="16" customFormat="1"/>
    <row r="332" s="16" customFormat="1"/>
    <row r="333" s="16" customFormat="1"/>
    <row r="334" s="16" customFormat="1"/>
    <row r="335" s="16" customFormat="1"/>
    <row r="336" s="16" customFormat="1"/>
    <row r="337" s="16" customFormat="1"/>
    <row r="338" s="16" customFormat="1"/>
    <row r="339" s="16" customFormat="1"/>
    <row r="340" s="16" customFormat="1"/>
    <row r="341" s="16" customFormat="1"/>
    <row r="342" s="16" customFormat="1"/>
    <row r="343" s="16" customFormat="1"/>
    <row r="344" s="16" customFormat="1"/>
    <row r="345" s="16" customFormat="1"/>
    <row r="346" s="16" customFormat="1"/>
    <row r="347" s="16" customFormat="1"/>
    <row r="348" s="16" customFormat="1"/>
    <row r="349" s="16" customFormat="1"/>
    <row r="350" s="16" customFormat="1"/>
    <row r="351" s="16" customFormat="1"/>
    <row r="352" s="16" customFormat="1"/>
    <row r="353" s="16" customFormat="1"/>
    <row r="354" s="16" customFormat="1"/>
    <row r="355" s="16" customFormat="1"/>
    <row r="356" s="16" customFormat="1"/>
    <row r="357" s="16" customFormat="1"/>
    <row r="358" s="16" customFormat="1"/>
    <row r="359" s="16" customFormat="1"/>
    <row r="360" s="16" customFormat="1"/>
    <row r="361" s="16" customFormat="1"/>
    <row r="362" s="16" customFormat="1"/>
    <row r="363" s="16" customFormat="1"/>
    <row r="364" s="16" customFormat="1"/>
    <row r="365" s="16" customFormat="1"/>
    <row r="366" s="16" customFormat="1"/>
    <row r="367" s="16" customFormat="1"/>
    <row r="368" s="16" customFormat="1"/>
    <row r="369" s="16" customFormat="1"/>
    <row r="370" s="16" customFormat="1"/>
    <row r="371" s="16" customFormat="1"/>
    <row r="372" s="16" customFormat="1"/>
    <row r="373" s="16" customFormat="1"/>
    <row r="374" s="16" customFormat="1"/>
    <row r="375" s="16" customFormat="1"/>
    <row r="376" s="16" customFormat="1"/>
    <row r="377" s="16" customFormat="1"/>
    <row r="378" s="16" customFormat="1"/>
    <row r="379" s="16" customFormat="1"/>
    <row r="380" s="16" customFormat="1"/>
    <row r="381" s="16" customFormat="1"/>
    <row r="382" s="16" customFormat="1"/>
    <row r="383" s="16" customFormat="1"/>
    <row r="384" s="16" customFormat="1"/>
    <row r="385" s="16" customFormat="1"/>
    <row r="386" s="16" customFormat="1"/>
    <row r="387" s="16" customFormat="1"/>
    <row r="388" s="16" customFormat="1"/>
    <row r="389" s="16" customFormat="1"/>
    <row r="390" s="16" customFormat="1"/>
    <row r="391" s="16" customFormat="1"/>
    <row r="392" s="16" customFormat="1"/>
    <row r="393" s="16" customFormat="1"/>
    <row r="394" s="16" customFormat="1"/>
    <row r="395" s="16" customFormat="1"/>
    <row r="396" s="16" customFormat="1"/>
    <row r="397" s="16" customFormat="1"/>
    <row r="398" s="16" customFormat="1"/>
    <row r="399" s="16" customFormat="1"/>
    <row r="400" s="16" customFormat="1"/>
    <row r="401" s="16" customFormat="1"/>
    <row r="402" s="16" customFormat="1"/>
    <row r="403" s="16" customFormat="1"/>
    <row r="404" s="16" customFormat="1"/>
    <row r="405" s="16" customFormat="1"/>
    <row r="406" s="16" customFormat="1"/>
    <row r="407" s="16" customFormat="1"/>
    <row r="408" s="16" customFormat="1"/>
    <row r="409" s="16" customFormat="1"/>
    <row r="410" s="16" customFormat="1"/>
    <row r="411" s="16" customFormat="1"/>
    <row r="412" s="16" customFormat="1"/>
    <row r="413" s="16" customFormat="1"/>
    <row r="414" s="16" customFormat="1"/>
    <row r="415" s="16" customFormat="1"/>
    <row r="416" s="16" customFormat="1"/>
    <row r="417" s="16" customFormat="1"/>
    <row r="418" s="16" customFormat="1"/>
    <row r="419" s="16" customFormat="1"/>
    <row r="420" s="16" customFormat="1"/>
    <row r="421" s="16" customFormat="1"/>
    <row r="422" s="16" customFormat="1"/>
    <row r="423" s="16" customFormat="1"/>
    <row r="424" s="16" customFormat="1"/>
    <row r="425" s="16" customFormat="1"/>
    <row r="426" s="16" customFormat="1"/>
    <row r="427" s="16" customFormat="1"/>
    <row r="428" s="16" customFormat="1"/>
    <row r="429" s="16" customFormat="1"/>
    <row r="430" s="16" customFormat="1"/>
    <row r="431" s="16" customFormat="1"/>
    <row r="432" s="16" customFormat="1"/>
    <row r="433" s="16" customFormat="1"/>
    <row r="434" s="16" customFormat="1"/>
    <row r="435" s="16" customFormat="1"/>
    <row r="436" s="16" customFormat="1"/>
    <row r="437" s="16" customFormat="1"/>
    <row r="438" s="16" customFormat="1"/>
    <row r="439" s="16" customFormat="1"/>
    <row r="440" s="16" customFormat="1"/>
    <row r="441" s="16" customFormat="1"/>
    <row r="442" s="16" customFormat="1"/>
    <row r="443" s="16" customFormat="1"/>
    <row r="444" s="16" customFormat="1"/>
    <row r="445" s="16" customFormat="1"/>
    <row r="446" s="16" customFormat="1"/>
    <row r="447" s="16" customFormat="1"/>
    <row r="448" s="16" customFormat="1"/>
    <row r="449" s="16" customFormat="1"/>
    <row r="450" s="16" customFormat="1"/>
    <row r="451" s="16" customFormat="1"/>
    <row r="452" s="16" customFormat="1"/>
    <row r="453" s="16" customFormat="1"/>
    <row r="454" s="16" customFormat="1"/>
    <row r="455" s="16" customFormat="1"/>
    <row r="456" s="16" customFormat="1"/>
    <row r="457" s="16" customFormat="1"/>
    <row r="458" s="16" customFormat="1"/>
    <row r="459" s="16" customFormat="1"/>
    <row r="460" s="16" customFormat="1"/>
    <row r="461" s="16" customFormat="1"/>
    <row r="462" s="16" customFormat="1"/>
    <row r="463" s="16" customFormat="1"/>
    <row r="464" s="16" customFormat="1"/>
    <row r="465" s="16" customFormat="1"/>
    <row r="466" s="16" customFormat="1"/>
    <row r="467" s="16" customFormat="1"/>
    <row r="468" s="16" customFormat="1"/>
    <row r="469" s="16" customFormat="1"/>
    <row r="470" s="16" customFormat="1"/>
    <row r="471" s="16" customFormat="1"/>
    <row r="472" s="16" customFormat="1"/>
    <row r="473" s="16" customFormat="1"/>
    <row r="474" s="16" customFormat="1"/>
    <row r="475" s="16" customFormat="1"/>
    <row r="476" s="16" customFormat="1"/>
    <row r="477" s="16" customFormat="1"/>
    <row r="478" s="16" customFormat="1"/>
    <row r="479" s="16" customFormat="1"/>
    <row r="480" s="16" customFormat="1"/>
    <row r="481" s="16" customFormat="1"/>
    <row r="482" s="16" customFormat="1"/>
    <row r="483" s="16" customFormat="1"/>
    <row r="484" s="16" customFormat="1"/>
    <row r="485" s="16" customFormat="1"/>
    <row r="486" s="16" customFormat="1"/>
    <row r="487" s="16" customFormat="1"/>
    <row r="488" s="16" customFormat="1"/>
    <row r="489" s="16" customFormat="1"/>
    <row r="490" s="16" customFormat="1"/>
    <row r="491" s="16" customFormat="1"/>
    <row r="492" s="16" customFormat="1"/>
    <row r="493" s="16" customFormat="1"/>
    <row r="494" s="16" customFormat="1"/>
    <row r="495" s="16" customFormat="1"/>
    <row r="496" s="16" customFormat="1"/>
    <row r="497" s="16" customFormat="1"/>
    <row r="498" s="16" customFormat="1"/>
    <row r="499" s="16" customFormat="1"/>
    <row r="500" s="16" customFormat="1"/>
    <row r="501" s="16" customFormat="1"/>
    <row r="502" s="16" customFormat="1"/>
    <row r="503" s="16" customFormat="1"/>
    <row r="504" s="16" customFormat="1"/>
    <row r="505" s="16" customFormat="1"/>
    <row r="506" s="16" customFormat="1"/>
    <row r="507" s="16" customFormat="1"/>
    <row r="508" s="16" customFormat="1"/>
    <row r="509" s="16" customFormat="1"/>
    <row r="510" s="16" customFormat="1"/>
    <row r="511" s="16" customFormat="1"/>
    <row r="512" s="16" customFormat="1"/>
    <row r="513" s="16" customFormat="1"/>
    <row r="514" s="16" customFormat="1"/>
    <row r="515" s="16" customFormat="1"/>
    <row r="516" s="16" customFormat="1"/>
    <row r="517" s="16" customFormat="1"/>
    <row r="518" s="16" customFormat="1"/>
    <row r="519" s="16" customFormat="1"/>
    <row r="520" s="16" customFormat="1"/>
    <row r="521" s="16" customFormat="1"/>
    <row r="522" s="16" customFormat="1"/>
    <row r="523" s="16" customFormat="1"/>
    <row r="524" s="16" customFormat="1"/>
    <row r="525" s="16" customFormat="1"/>
    <row r="526" s="16" customFormat="1"/>
    <row r="527" s="16" customFormat="1"/>
    <row r="528" s="16" customFormat="1"/>
    <row r="529" s="16" customFormat="1"/>
    <row r="530" s="16" customFormat="1"/>
    <row r="531" s="16" customFormat="1"/>
    <row r="532" s="16" customFormat="1"/>
    <row r="533" s="16" customFormat="1"/>
    <row r="534" s="16" customFormat="1"/>
    <row r="535" s="16" customFormat="1"/>
    <row r="536" s="16" customFormat="1"/>
    <row r="537" s="16" customFormat="1"/>
    <row r="538" s="16" customFormat="1"/>
    <row r="539" s="16" customFormat="1"/>
    <row r="540" s="16" customFormat="1"/>
    <row r="541" s="16" customFormat="1"/>
    <row r="542" s="16" customFormat="1"/>
    <row r="543" s="16" customFormat="1"/>
    <row r="544" s="16" customFormat="1"/>
    <row r="545" s="16" customFormat="1"/>
    <row r="546" s="16" customFormat="1"/>
    <row r="547" s="16" customFormat="1"/>
    <row r="548" s="16" customFormat="1"/>
    <row r="549" s="16" customFormat="1"/>
    <row r="550" s="16" customFormat="1"/>
    <row r="551" s="16" customFormat="1"/>
    <row r="552" s="16" customFormat="1"/>
    <row r="553" s="16" customFormat="1"/>
    <row r="554" s="16" customFormat="1"/>
    <row r="555" s="16" customFormat="1"/>
    <row r="556" s="16" customFormat="1"/>
    <row r="557" s="16" customFormat="1"/>
    <row r="558" s="16" customFormat="1"/>
    <row r="559" s="16" customFormat="1"/>
    <row r="560" s="16" customFormat="1"/>
    <row r="561" s="16" customFormat="1"/>
    <row r="562" s="16" customFormat="1"/>
    <row r="563" s="16" customFormat="1"/>
    <row r="564" s="16" customFormat="1"/>
    <row r="565" s="16" customFormat="1"/>
    <row r="566" s="16" customFormat="1"/>
    <row r="567" s="16" customFormat="1"/>
    <row r="568" s="16" customFormat="1"/>
    <row r="569" s="16" customFormat="1"/>
    <row r="570" s="16" customFormat="1"/>
    <row r="571" s="16" customFormat="1"/>
    <row r="572" s="16" customFormat="1"/>
    <row r="573" s="16" customFormat="1"/>
    <row r="574" s="16" customFormat="1"/>
    <row r="575" s="16" customFormat="1"/>
    <row r="576" s="16" customFormat="1"/>
    <row r="577" s="16" customFormat="1"/>
    <row r="578" s="16" customFormat="1"/>
    <row r="579" s="16" customFormat="1"/>
    <row r="580" s="16" customFormat="1"/>
    <row r="581" s="16" customFormat="1"/>
    <row r="582" s="16" customFormat="1"/>
    <row r="583" s="16" customFormat="1"/>
    <row r="584" s="16" customFormat="1"/>
    <row r="585" s="16" customFormat="1"/>
    <row r="586" s="16" customFormat="1"/>
    <row r="587" s="16" customFormat="1"/>
    <row r="588" s="16" customFormat="1"/>
    <row r="589" s="16" customFormat="1"/>
    <row r="590" s="16" customFormat="1"/>
    <row r="591" s="16" customFormat="1"/>
    <row r="592" s="16" customFormat="1"/>
    <row r="593" s="16" customFormat="1"/>
    <row r="594" s="16" customFormat="1"/>
    <row r="595" s="16" customFormat="1"/>
    <row r="596" s="16" customFormat="1"/>
    <row r="597" s="16" customFormat="1"/>
    <row r="598" s="16" customFormat="1"/>
    <row r="599" s="16" customFormat="1"/>
    <row r="600" s="16" customFormat="1"/>
    <row r="601" s="16" customFormat="1"/>
    <row r="602" s="16" customFormat="1"/>
    <row r="603" s="16" customFormat="1"/>
    <row r="604" s="16" customFormat="1"/>
    <row r="605" s="16" customFormat="1"/>
    <row r="606" s="16" customFormat="1"/>
    <row r="607" s="16" customFormat="1"/>
    <row r="608" s="16" customFormat="1"/>
    <row r="609" s="16" customFormat="1"/>
    <row r="610" s="16" customFormat="1"/>
    <row r="611" s="16" customFormat="1"/>
    <row r="612" s="16" customFormat="1"/>
    <row r="613" s="16" customFormat="1"/>
    <row r="614" s="16" customFormat="1"/>
    <row r="615" s="16" customFormat="1"/>
    <row r="616" s="16" customFormat="1"/>
    <row r="617" s="16" customFormat="1"/>
    <row r="618" s="16" customFormat="1"/>
    <row r="619" s="16" customFormat="1"/>
    <row r="620" s="16" customFormat="1"/>
    <row r="621" s="16" customFormat="1"/>
    <row r="622" s="16" customFormat="1"/>
    <row r="623" s="16" customFormat="1"/>
    <row r="624" s="16" customFormat="1"/>
    <row r="625" s="16" customFormat="1"/>
    <row r="626" s="16" customFormat="1"/>
    <row r="627" s="16" customFormat="1"/>
    <row r="628" s="16" customFormat="1"/>
    <row r="629" s="16" customFormat="1"/>
    <row r="630" s="16" customFormat="1"/>
    <row r="631" s="16" customFormat="1"/>
    <row r="632" s="16" customFormat="1"/>
    <row r="633" s="16" customFormat="1"/>
    <row r="634" s="16" customFormat="1"/>
    <row r="635" s="16" customFormat="1"/>
    <row r="636" s="16" customFormat="1"/>
    <row r="637" s="16" customFormat="1"/>
    <row r="638" s="16" customFormat="1"/>
    <row r="639" s="16" customFormat="1"/>
    <row r="640" s="16" customFormat="1"/>
    <row r="641" s="16" customFormat="1"/>
    <row r="642" s="16" customFormat="1"/>
    <row r="643" s="16" customFormat="1"/>
    <row r="644" s="16" customFormat="1"/>
    <row r="645" s="16" customFormat="1"/>
    <row r="646" s="16" customFormat="1"/>
    <row r="647" s="16" customFormat="1"/>
    <row r="648" s="16" customFormat="1"/>
    <row r="649" s="16" customFormat="1"/>
    <row r="650" s="16" customFormat="1"/>
    <row r="651" s="16" customFormat="1"/>
    <row r="652" s="16" customFormat="1"/>
    <row r="653" s="16" customFormat="1"/>
    <row r="654" s="16" customFormat="1"/>
    <row r="655" s="16" customFormat="1"/>
    <row r="656" s="16" customFormat="1"/>
    <row r="657" s="16" customFormat="1"/>
    <row r="658" s="16" customFormat="1"/>
    <row r="659" s="16" customFormat="1"/>
    <row r="660" s="16" customFormat="1"/>
    <row r="661" s="16" customFormat="1"/>
    <row r="662" s="16" customFormat="1"/>
    <row r="663" s="16" customFormat="1"/>
    <row r="664" s="16" customFormat="1"/>
    <row r="665" s="16" customFormat="1"/>
    <row r="666" s="16" customFormat="1"/>
    <row r="667" s="16" customFormat="1"/>
    <row r="668" s="16" customFormat="1"/>
    <row r="669" s="16" customFormat="1"/>
    <row r="670" s="16" customFormat="1"/>
    <row r="671" s="16" customFormat="1"/>
    <row r="672" s="16" customFormat="1"/>
    <row r="673" s="16" customFormat="1"/>
    <row r="674" s="16" customFormat="1"/>
    <row r="675" s="16" customFormat="1"/>
    <row r="676" s="16" customFormat="1"/>
    <row r="677" s="16" customFormat="1"/>
    <row r="678" s="16" customFormat="1"/>
    <row r="679" s="16" customFormat="1"/>
    <row r="680" s="16" customFormat="1"/>
    <row r="681" s="16" customFormat="1"/>
    <row r="682" s="16" customFormat="1"/>
    <row r="683" s="16" customFormat="1"/>
    <row r="684" s="16" customFormat="1"/>
    <row r="685" s="16" customFormat="1"/>
    <row r="686" s="16" customFormat="1"/>
    <row r="687" s="16" customFormat="1"/>
    <row r="688" s="16" customFormat="1"/>
    <row r="689" s="16" customFormat="1"/>
    <row r="690" s="16" customFormat="1"/>
    <row r="691" s="16" customFormat="1"/>
    <row r="692" s="16" customFormat="1"/>
    <row r="693" s="16" customFormat="1"/>
    <row r="694" s="16" customFormat="1"/>
    <row r="695" s="16" customFormat="1"/>
    <row r="696" s="16" customFormat="1"/>
    <row r="697" s="16" customFormat="1"/>
    <row r="698" s="16" customFormat="1"/>
    <row r="699" s="16" customFormat="1"/>
    <row r="700" s="16" customFormat="1"/>
    <row r="701" s="16" customFormat="1"/>
    <row r="702" s="16" customFormat="1"/>
    <row r="703" s="16" customFormat="1"/>
    <row r="704" s="16" customFormat="1"/>
    <row r="705" s="16" customFormat="1"/>
    <row r="706" s="16" customFormat="1"/>
    <row r="707" s="16" customFormat="1"/>
    <row r="708" s="16" customFormat="1"/>
    <row r="709" s="16" customFormat="1"/>
    <row r="710" s="16" customFormat="1"/>
    <row r="711" s="16" customFormat="1"/>
    <row r="712" s="16" customFormat="1"/>
    <row r="713" s="16" customFormat="1"/>
    <row r="714" s="16" customFormat="1"/>
    <row r="715" s="16" customFormat="1"/>
    <row r="716" s="16" customFormat="1"/>
    <row r="717" s="16" customFormat="1"/>
    <row r="718" s="16" customFormat="1"/>
    <row r="719" s="16" customFormat="1"/>
    <row r="720" s="16" customFormat="1"/>
    <row r="721" s="16" customFormat="1"/>
    <row r="722" s="16" customFormat="1"/>
    <row r="723" s="16" customFormat="1"/>
    <row r="724" s="16" customFormat="1"/>
    <row r="725" s="16" customFormat="1"/>
    <row r="726" s="16" customFormat="1"/>
    <row r="727" s="16" customFormat="1"/>
    <row r="728" s="16" customFormat="1"/>
  </sheetData>
  <mergeCells count="10">
    <mergeCell ref="B15:G15"/>
    <mergeCell ref="B2:B4"/>
    <mergeCell ref="C2:G2"/>
    <mergeCell ref="H2:L2"/>
    <mergeCell ref="M2:Q2"/>
    <mergeCell ref="R2:T2"/>
    <mergeCell ref="C3:G3"/>
    <mergeCell ref="H3:L3"/>
    <mergeCell ref="M3:Q3"/>
    <mergeCell ref="R3:T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90" zoomScaleNormal="90" zoomScaleSheetLayoutView="85" workbookViewId="0">
      <pane xSplit="1" ySplit="3" topLeftCell="N4" activePane="bottomRight" state="frozen"/>
      <selection pane="topRight" activeCell="B1" sqref="B1"/>
      <selection pane="bottomLeft" activeCell="A4" sqref="A4"/>
      <selection pane="bottomRight" activeCell="B4" sqref="B4"/>
    </sheetView>
  </sheetViews>
  <sheetFormatPr defaultRowHeight="12.75"/>
  <cols>
    <col min="1" max="1" width="53" style="6" customWidth="1"/>
    <col min="2" max="2" width="11.5" style="7" bestFit="1" customWidth="1"/>
    <col min="3" max="3" width="12.375" style="7" bestFit="1" customWidth="1"/>
    <col min="4" max="4" width="13.625" style="7" customWidth="1"/>
    <col min="5" max="5" width="12.125" style="7" bestFit="1" customWidth="1"/>
    <col min="6" max="8" width="13.625" style="7" customWidth="1"/>
    <col min="9" max="9" width="12.125" style="7" customWidth="1"/>
    <col min="10" max="10" width="13.625" style="7" customWidth="1"/>
    <col min="11" max="12" width="13.625" style="66" customWidth="1"/>
    <col min="13" max="13" width="12.125" style="7" customWidth="1"/>
    <col min="14" max="15" width="13.625" style="7" customWidth="1"/>
    <col min="16" max="16" width="13.625" style="66" customWidth="1"/>
    <col min="17" max="21" width="13.625" style="7" customWidth="1"/>
    <col min="22" max="16384" width="9" style="7"/>
  </cols>
  <sheetData>
    <row r="1" spans="1:494" s="63" customFormat="1" ht="50.25" customHeight="1" thickBot="1">
      <c r="A1" s="5" t="s">
        <v>183</v>
      </c>
      <c r="B1" s="5"/>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4.95" customHeight="1">
      <c r="A2" s="8" t="s">
        <v>123</v>
      </c>
      <c r="B2" s="542">
        <v>2012</v>
      </c>
      <c r="C2" s="542"/>
      <c r="D2" s="542"/>
      <c r="E2" s="543"/>
      <c r="F2" s="542">
        <v>2013</v>
      </c>
      <c r="G2" s="542"/>
      <c r="H2" s="542"/>
      <c r="I2" s="542"/>
      <c r="J2" s="541">
        <v>2014</v>
      </c>
      <c r="K2" s="542"/>
      <c r="L2" s="542"/>
      <c r="M2" s="543"/>
      <c r="N2" s="545">
        <v>2015</v>
      </c>
      <c r="O2" s="545"/>
      <c r="P2" s="545"/>
      <c r="Q2" s="546"/>
      <c r="R2" s="541">
        <v>2016</v>
      </c>
      <c r="S2" s="542"/>
      <c r="T2" s="542"/>
      <c r="U2" s="543"/>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34.5" customHeight="1" thickBot="1">
      <c r="A3" s="9" t="s">
        <v>107</v>
      </c>
      <c r="B3" s="64" t="s">
        <v>124</v>
      </c>
      <c r="C3" s="64" t="s">
        <v>125</v>
      </c>
      <c r="D3" s="64" t="s">
        <v>126</v>
      </c>
      <c r="E3" s="112" t="s">
        <v>127</v>
      </c>
      <c r="F3" s="64" t="s">
        <v>124</v>
      </c>
      <c r="G3" s="64" t="s">
        <v>125</v>
      </c>
      <c r="H3" s="64" t="s">
        <v>126</v>
      </c>
      <c r="I3" s="105" t="s">
        <v>127</v>
      </c>
      <c r="J3" s="113" t="s">
        <v>124</v>
      </c>
      <c r="K3" s="64" t="s">
        <v>125</v>
      </c>
      <c r="L3" s="64" t="s">
        <v>126</v>
      </c>
      <c r="M3" s="114" t="s">
        <v>210</v>
      </c>
      <c r="N3" s="64" t="s">
        <v>124</v>
      </c>
      <c r="O3" s="64" t="s">
        <v>125</v>
      </c>
      <c r="P3" s="64" t="s">
        <v>126</v>
      </c>
      <c r="Q3" s="112" t="s">
        <v>127</v>
      </c>
      <c r="R3" s="64" t="s">
        <v>124</v>
      </c>
      <c r="S3" s="64" t="s">
        <v>125</v>
      </c>
      <c r="T3" s="64" t="s">
        <v>126</v>
      </c>
      <c r="U3" s="112" t="s">
        <v>127</v>
      </c>
    </row>
    <row r="4" spans="1:494" s="12" customFormat="1" ht="33.75" customHeight="1" thickBot="1">
      <c r="A4" s="99" t="s">
        <v>4</v>
      </c>
      <c r="B4" s="100"/>
      <c r="C4" s="100"/>
      <c r="D4" s="100"/>
      <c r="E4" s="116"/>
      <c r="F4" s="100"/>
      <c r="G4" s="100"/>
      <c r="H4" s="100"/>
      <c r="I4" s="106"/>
      <c r="J4" s="115"/>
      <c r="K4" s="101"/>
      <c r="L4" s="101"/>
      <c r="M4" s="116"/>
      <c r="N4" s="100"/>
      <c r="O4" s="100"/>
      <c r="P4" s="101"/>
      <c r="Q4" s="116"/>
      <c r="R4" s="100"/>
      <c r="S4" s="100"/>
      <c r="T4" s="100"/>
      <c r="U4" s="116"/>
    </row>
    <row r="5" spans="1:494" s="12" customFormat="1" ht="20.100000000000001" customHeight="1">
      <c r="A5" s="85" t="s">
        <v>5</v>
      </c>
      <c r="B5" s="69">
        <f>415.308</f>
        <v>415.30799999999999</v>
      </c>
      <c r="C5" s="69">
        <f>419.479</f>
        <v>419.47899999999998</v>
      </c>
      <c r="D5" s="96">
        <f>(425068)*0.001</f>
        <v>425.06799999999998</v>
      </c>
      <c r="E5" s="396">
        <f>(420060)*0.001</f>
        <v>420.06</v>
      </c>
      <c r="F5" s="96">
        <f>(419894)*0.001</f>
        <v>419.89400000000001</v>
      </c>
      <c r="G5" s="96">
        <f>(418521)*0.001</f>
        <v>418.52100000000002</v>
      </c>
      <c r="H5" s="96">
        <f>(409736)*0.001</f>
        <v>409.73599999999999</v>
      </c>
      <c r="I5" s="397">
        <f>(407579)*0.001</f>
        <v>407.57900000000001</v>
      </c>
      <c r="J5" s="398">
        <f>(395393)*0.001</f>
        <v>395.39300000000003</v>
      </c>
      <c r="K5" s="69">
        <v>384.8</v>
      </c>
      <c r="L5" s="69">
        <v>417</v>
      </c>
      <c r="M5" s="117">
        <v>421.1</v>
      </c>
      <c r="N5" s="69">
        <v>416.6</v>
      </c>
      <c r="O5" s="69">
        <v>401.1</v>
      </c>
      <c r="P5" s="69">
        <v>377</v>
      </c>
      <c r="Q5" s="281">
        <v>371</v>
      </c>
      <c r="R5" s="371">
        <v>356.7</v>
      </c>
      <c r="S5" s="371">
        <v>353.3</v>
      </c>
      <c r="T5" s="371">
        <v>350.4</v>
      </c>
      <c r="U5" s="281">
        <v>350.9</v>
      </c>
    </row>
    <row r="6" spans="1:494" s="12" customFormat="1" ht="20.100000000000001" customHeight="1">
      <c r="A6" s="85" t="s">
        <v>6</v>
      </c>
      <c r="B6" s="69">
        <f>258.7</f>
        <v>258.7</v>
      </c>
      <c r="C6" s="69">
        <f>258.506</f>
        <v>258.50599999999997</v>
      </c>
      <c r="D6" s="96">
        <f>(257043)*0.001</f>
        <v>257.04300000000001</v>
      </c>
      <c r="E6" s="396">
        <f>(276407)*0.001</f>
        <v>276.40699999999998</v>
      </c>
      <c r="F6" s="96">
        <f>(266252)*0.001</f>
        <v>266.25200000000001</v>
      </c>
      <c r="G6" s="96">
        <f>(265011)*0.001</f>
        <v>265.01100000000002</v>
      </c>
      <c r="H6" s="96">
        <f>(252063)*0.001</f>
        <v>252.06300000000002</v>
      </c>
      <c r="I6" s="397">
        <f>(251152)*0.001</f>
        <v>251.15200000000002</v>
      </c>
      <c r="J6" s="398">
        <f>(248178)*0.001</f>
        <v>248.178</v>
      </c>
      <c r="K6" s="68">
        <v>3010.6</v>
      </c>
      <c r="L6" s="68">
        <v>2933.8</v>
      </c>
      <c r="M6" s="117">
        <v>2714.9</v>
      </c>
      <c r="N6" s="69">
        <v>2855.8</v>
      </c>
      <c r="O6" s="69">
        <v>2541.1999999999998</v>
      </c>
      <c r="P6" s="68">
        <v>2535.1999999999998</v>
      </c>
      <c r="Q6" s="281">
        <v>2548.6</v>
      </c>
      <c r="R6" s="371">
        <v>3002.2</v>
      </c>
      <c r="S6" s="371">
        <v>2931</v>
      </c>
      <c r="T6" s="371">
        <v>2882.8</v>
      </c>
      <c r="U6" s="281">
        <v>2964.3</v>
      </c>
    </row>
    <row r="7" spans="1:494" s="12" customFormat="1" ht="20.100000000000001" customHeight="1">
      <c r="A7" s="85" t="s">
        <v>9</v>
      </c>
      <c r="B7" s="69">
        <f>2422.989</f>
        <v>2422.989</v>
      </c>
      <c r="C7" s="69">
        <f>2575.456</f>
        <v>2575.4560000000001</v>
      </c>
      <c r="D7" s="69">
        <f>(2575456)*0.001</f>
        <v>2575.4560000000001</v>
      </c>
      <c r="E7" s="117">
        <f>(2568033)*0.001</f>
        <v>2568.0329999999999</v>
      </c>
      <c r="F7" s="69">
        <f>(2568033)*0.001</f>
        <v>2568.0329999999999</v>
      </c>
      <c r="G7" s="69">
        <f>(2568033)*0.001</f>
        <v>2568.0329999999999</v>
      </c>
      <c r="H7" s="69">
        <f>(2637594)*0.001</f>
        <v>2637.5940000000001</v>
      </c>
      <c r="I7" s="117">
        <f>(2602804)*0.001</f>
        <v>2602.8040000000001</v>
      </c>
      <c r="J7" s="69">
        <f>(2602804)*0.001</f>
        <v>2602.8040000000001</v>
      </c>
      <c r="K7" s="68">
        <v>11735.5</v>
      </c>
      <c r="L7" s="68">
        <v>11735.5</v>
      </c>
      <c r="M7" s="117">
        <v>10585.3</v>
      </c>
      <c r="N7" s="69">
        <v>10831.2</v>
      </c>
      <c r="O7" s="69">
        <v>10606.4</v>
      </c>
      <c r="P7" s="68">
        <v>10606.4</v>
      </c>
      <c r="Q7" s="281">
        <v>10606.4</v>
      </c>
      <c r="R7" s="371">
        <v>11675.3</v>
      </c>
      <c r="S7" s="371">
        <v>10975.2</v>
      </c>
      <c r="T7" s="371">
        <v>10975.3</v>
      </c>
      <c r="U7" s="281">
        <v>10975.4</v>
      </c>
    </row>
    <row r="8" spans="1:494" s="12" customFormat="1" ht="20.100000000000001" customHeight="1">
      <c r="A8" s="85" t="s">
        <v>199</v>
      </c>
      <c r="B8" s="70">
        <f>0</f>
        <v>0</v>
      </c>
      <c r="C8" s="70">
        <v>0</v>
      </c>
      <c r="D8" s="70">
        <f>0</f>
        <v>0</v>
      </c>
      <c r="E8" s="123">
        <v>0</v>
      </c>
      <c r="F8" s="70">
        <f>0</f>
        <v>0</v>
      </c>
      <c r="G8" s="70">
        <f>0</f>
        <v>0</v>
      </c>
      <c r="H8" s="70">
        <f>0</f>
        <v>0</v>
      </c>
      <c r="I8" s="107">
        <f>0</f>
        <v>0</v>
      </c>
      <c r="J8" s="118">
        <v>0</v>
      </c>
      <c r="K8" s="68">
        <v>4482</v>
      </c>
      <c r="L8" s="68">
        <v>4331.8999999999996</v>
      </c>
      <c r="M8" s="117">
        <v>4255.8</v>
      </c>
      <c r="N8" s="72">
        <v>4002.2</v>
      </c>
      <c r="O8" s="72">
        <v>3944.6</v>
      </c>
      <c r="P8" s="68">
        <v>3791.6</v>
      </c>
      <c r="Q8" s="281">
        <v>3638.5</v>
      </c>
      <c r="R8" s="372">
        <v>3488.7</v>
      </c>
      <c r="S8" s="372">
        <v>3337.3</v>
      </c>
      <c r="T8" s="372">
        <v>3184.2</v>
      </c>
      <c r="U8" s="281">
        <v>3031.2</v>
      </c>
    </row>
    <row r="9" spans="1:494" s="12" customFormat="1" ht="20.100000000000001" customHeight="1">
      <c r="A9" s="85" t="s">
        <v>57</v>
      </c>
      <c r="B9" s="69">
        <f>840</f>
        <v>840</v>
      </c>
      <c r="C9" s="96">
        <f>(840000)*0.001</f>
        <v>840</v>
      </c>
      <c r="D9" s="96">
        <f>(840000)*0.001</f>
        <v>840</v>
      </c>
      <c r="E9" s="396">
        <f>(847800)*0.001</f>
        <v>847.80000000000007</v>
      </c>
      <c r="F9" s="96">
        <f>(847800)*0.001</f>
        <v>847.80000000000007</v>
      </c>
      <c r="G9" s="96">
        <f>(847800)*0.001</f>
        <v>847.80000000000007</v>
      </c>
      <c r="H9" s="96">
        <f>(847800)*0.001</f>
        <v>847.80000000000007</v>
      </c>
      <c r="I9" s="397">
        <f>(890800)*0.001</f>
        <v>890.80000000000007</v>
      </c>
      <c r="J9" s="398">
        <f>(890800)*0.001</f>
        <v>890.80000000000007</v>
      </c>
      <c r="K9" s="73">
        <v>890.8</v>
      </c>
      <c r="L9" s="73">
        <v>890.8</v>
      </c>
      <c r="M9" s="117">
        <v>2085.9</v>
      </c>
      <c r="N9" s="69">
        <v>1783.7</v>
      </c>
      <c r="O9" s="69">
        <v>2092.6999999999998</v>
      </c>
      <c r="P9" s="73">
        <v>2086.6</v>
      </c>
      <c r="Q9" s="281">
        <v>2080.6</v>
      </c>
      <c r="R9" s="371">
        <v>2074.6</v>
      </c>
      <c r="S9" s="371">
        <v>2068.6</v>
      </c>
      <c r="T9" s="371">
        <v>2062.5</v>
      </c>
      <c r="U9" s="281">
        <v>2056.5</v>
      </c>
    </row>
    <row r="10" spans="1:494" s="12" customFormat="1" ht="20.100000000000001" customHeight="1">
      <c r="A10" s="85" t="s">
        <v>62</v>
      </c>
      <c r="B10" s="69">
        <f>69.466</f>
        <v>69.465999999999994</v>
      </c>
      <c r="C10" s="96">
        <f>(69627)*0.001</f>
        <v>69.626999999999995</v>
      </c>
      <c r="D10" s="96">
        <f>(68459)*0.001</f>
        <v>68.459000000000003</v>
      </c>
      <c r="E10" s="396">
        <f>(81380)*0.001</f>
        <v>81.38</v>
      </c>
      <c r="F10" s="96">
        <f>(82841)*0.001</f>
        <v>82.841000000000008</v>
      </c>
      <c r="G10" s="96">
        <f>(83804)*0.001</f>
        <v>83.804000000000002</v>
      </c>
      <c r="H10" s="96">
        <f>(115337)*0.001</f>
        <v>115.337</v>
      </c>
      <c r="I10" s="397">
        <f>(137401)*0.001</f>
        <v>137.40100000000001</v>
      </c>
      <c r="J10" s="398">
        <f>(136697)*0.001</f>
        <v>136.697</v>
      </c>
      <c r="K10" s="68">
        <v>2360.6</v>
      </c>
      <c r="L10" s="68">
        <v>2624.2</v>
      </c>
      <c r="M10" s="117">
        <v>2591.4</v>
      </c>
      <c r="N10" s="69">
        <v>2527.5</v>
      </c>
      <c r="O10" s="69">
        <v>2525.8000000000002</v>
      </c>
      <c r="P10" s="68">
        <v>2464.1999999999998</v>
      </c>
      <c r="Q10" s="281">
        <v>2422.1999999999998</v>
      </c>
      <c r="R10" s="371">
        <v>2988.7</v>
      </c>
      <c r="S10" s="371">
        <v>3903</v>
      </c>
      <c r="T10" s="371">
        <v>3769.5</v>
      </c>
      <c r="U10" s="281">
        <v>3656.2</v>
      </c>
    </row>
    <row r="11" spans="1:494" s="12" customFormat="1" ht="20.100000000000001" customHeight="1">
      <c r="A11" s="85" t="s">
        <v>58</v>
      </c>
      <c r="B11" s="69">
        <f>91.415</f>
        <v>91.415000000000006</v>
      </c>
      <c r="C11" s="96">
        <f>(95405)*0.001</f>
        <v>95.405000000000001</v>
      </c>
      <c r="D11" s="96">
        <f>(95323)*0.001</f>
        <v>95.323000000000008</v>
      </c>
      <c r="E11" s="396">
        <f>(97988)*0.001</f>
        <v>97.988</v>
      </c>
      <c r="F11" s="96">
        <f>(104074)*0.001</f>
        <v>104.074</v>
      </c>
      <c r="G11" s="96">
        <f>(115904)*0.001</f>
        <v>115.904</v>
      </c>
      <c r="H11" s="96">
        <f>(82162)*0.001</f>
        <v>82.162000000000006</v>
      </c>
      <c r="I11" s="397">
        <f>(71571)*0.001</f>
        <v>71.570999999999998</v>
      </c>
      <c r="J11" s="398">
        <f>(107548)*0.001</f>
        <v>107.548</v>
      </c>
      <c r="K11" s="73">
        <v>128.1</v>
      </c>
      <c r="L11" s="73">
        <v>148.80000000000001</v>
      </c>
      <c r="M11" s="117">
        <v>135.80000000000001</v>
      </c>
      <c r="N11" s="69">
        <v>158.69999999999999</v>
      </c>
      <c r="O11" s="69">
        <v>174.6</v>
      </c>
      <c r="P11" s="73">
        <v>109</v>
      </c>
      <c r="Q11" s="281">
        <v>145</v>
      </c>
      <c r="R11" s="371">
        <v>129.80000000000001</v>
      </c>
      <c r="S11" s="371">
        <v>156.19999999999999</v>
      </c>
      <c r="T11" s="371">
        <v>125.6</v>
      </c>
      <c r="U11" s="281">
        <v>151.80000000000001</v>
      </c>
    </row>
    <row r="12" spans="1:494" s="12" customFormat="1" ht="20.100000000000001" customHeight="1">
      <c r="A12" s="85" t="s">
        <v>7</v>
      </c>
      <c r="B12" s="69">
        <f>8.419</f>
        <v>8.4190000000000005</v>
      </c>
      <c r="C12" s="96">
        <f>(8398)*0.001</f>
        <v>8.3979999999999997</v>
      </c>
      <c r="D12" s="96">
        <f>(8378)*0.001</f>
        <v>8.3780000000000001</v>
      </c>
      <c r="E12" s="396">
        <f>(8357)*0.001</f>
        <v>8.3569999999999993</v>
      </c>
      <c r="F12" s="96">
        <f>(8336)*0.001</f>
        <v>8.3360000000000003</v>
      </c>
      <c r="G12" s="96">
        <f>(7788)*0.001</f>
        <v>7.7880000000000003</v>
      </c>
      <c r="H12" s="96">
        <f>(7427)*0.001</f>
        <v>7.4270000000000005</v>
      </c>
      <c r="I12" s="397">
        <f>(5330)*0.001</f>
        <v>5.33</v>
      </c>
      <c r="J12" s="398">
        <f>(5315)*0.001</f>
        <v>5.3150000000000004</v>
      </c>
      <c r="K12" s="73">
        <v>5.3</v>
      </c>
      <c r="L12" s="73">
        <v>5.3</v>
      </c>
      <c r="M12" s="117">
        <v>5.3</v>
      </c>
      <c r="N12" s="69">
        <v>5.2</v>
      </c>
      <c r="O12" s="69">
        <v>5.2</v>
      </c>
      <c r="P12" s="73">
        <v>5.2</v>
      </c>
      <c r="Q12" s="281">
        <v>5.2</v>
      </c>
      <c r="R12" s="371">
        <v>5.2</v>
      </c>
      <c r="S12" s="371">
        <v>5.2</v>
      </c>
      <c r="T12" s="371">
        <v>5.2</v>
      </c>
      <c r="U12" s="281">
        <v>5.0999999999999996</v>
      </c>
    </row>
    <row r="13" spans="1:494" s="12" customFormat="1" ht="20.100000000000001" customHeight="1">
      <c r="A13" s="85" t="s">
        <v>200</v>
      </c>
      <c r="B13" s="429">
        <v>0</v>
      </c>
      <c r="C13" s="402">
        <f>(33259)*0.001</f>
        <v>33.259</v>
      </c>
      <c r="D13" s="402">
        <f>(33252)*0.001</f>
        <v>33.252000000000002</v>
      </c>
      <c r="E13" s="403">
        <f>(35125)*0.001</f>
        <v>35.125</v>
      </c>
      <c r="F13" s="402">
        <f>(34399)*0.001</f>
        <v>34.399000000000001</v>
      </c>
      <c r="G13" s="402">
        <f>(32935)*0.001</f>
        <v>32.935000000000002</v>
      </c>
      <c r="H13" s="402">
        <f>(29318)*0.001</f>
        <v>29.318000000000001</v>
      </c>
      <c r="I13" s="404">
        <f>(29551)*0.001</f>
        <v>29.551000000000002</v>
      </c>
      <c r="J13" s="405">
        <f>(26502)*0.001</f>
        <v>26.501999999999999</v>
      </c>
      <c r="K13" s="73">
        <v>46.2</v>
      </c>
      <c r="L13" s="73">
        <v>67</v>
      </c>
      <c r="M13" s="117">
        <v>81</v>
      </c>
      <c r="N13" s="69">
        <v>84.1</v>
      </c>
      <c r="O13" s="69">
        <v>82.3</v>
      </c>
      <c r="P13" s="73">
        <v>81.2</v>
      </c>
      <c r="Q13" s="281">
        <v>83.3</v>
      </c>
      <c r="R13" s="371">
        <v>81.099999999999994</v>
      </c>
      <c r="S13" s="371">
        <v>79.7</v>
      </c>
      <c r="T13" s="371">
        <v>80.400000000000006</v>
      </c>
      <c r="U13" s="281">
        <v>82.8</v>
      </c>
    </row>
    <row r="14" spans="1:494" s="12" customFormat="1" ht="20.100000000000001" customHeight="1">
      <c r="A14" s="85" t="s">
        <v>185</v>
      </c>
      <c r="B14" s="78">
        <v>0</v>
      </c>
      <c r="C14" s="78">
        <v>0</v>
      </c>
      <c r="D14" s="78">
        <v>0</v>
      </c>
      <c r="E14" s="430">
        <v>0</v>
      </c>
      <c r="F14" s="78">
        <v>0</v>
      </c>
      <c r="G14" s="78">
        <v>0</v>
      </c>
      <c r="H14" s="78">
        <v>0</v>
      </c>
      <c r="I14" s="430">
        <v>0</v>
      </c>
      <c r="J14" s="78">
        <v>0</v>
      </c>
      <c r="K14" s="78">
        <v>0</v>
      </c>
      <c r="L14" s="78">
        <v>0</v>
      </c>
      <c r="M14" s="430">
        <v>0</v>
      </c>
      <c r="N14" s="78">
        <v>0</v>
      </c>
      <c r="O14" s="78">
        <v>0</v>
      </c>
      <c r="P14" s="78">
        <v>0</v>
      </c>
      <c r="Q14" s="430">
        <v>0</v>
      </c>
      <c r="R14" s="371">
        <v>180.5</v>
      </c>
      <c r="S14" s="371">
        <v>0</v>
      </c>
      <c r="T14" s="371">
        <v>0</v>
      </c>
      <c r="U14" s="281">
        <v>0</v>
      </c>
    </row>
    <row r="15" spans="1:494" s="12" customFormat="1" ht="20.100000000000001" customHeight="1">
      <c r="A15" s="85" t="s">
        <v>201</v>
      </c>
      <c r="B15" s="69">
        <f>92.159</f>
        <v>92.159000000000006</v>
      </c>
      <c r="C15" s="96">
        <f>(84770)*0.001</f>
        <v>84.77</v>
      </c>
      <c r="D15" s="96">
        <f>(116704)*0.001</f>
        <v>116.70400000000001</v>
      </c>
      <c r="E15" s="396">
        <f>(109642)*0.001</f>
        <v>109.642</v>
      </c>
      <c r="F15" s="96">
        <f>(62960)*0.001</f>
        <v>62.96</v>
      </c>
      <c r="G15" s="96">
        <f>(61422)*0.001</f>
        <v>61.422000000000004</v>
      </c>
      <c r="H15" s="96">
        <f>(27107)*0.001</f>
        <v>27.106999999999999</v>
      </c>
      <c r="I15" s="397">
        <f>(20803)*0.001</f>
        <v>20.803000000000001</v>
      </c>
      <c r="J15" s="398">
        <f>(6430)*0.001</f>
        <v>6.43</v>
      </c>
      <c r="K15" s="73">
        <v>107.4</v>
      </c>
      <c r="L15" s="73">
        <v>141.4</v>
      </c>
      <c r="M15" s="117">
        <v>198.5</v>
      </c>
      <c r="N15" s="69">
        <v>238</v>
      </c>
      <c r="O15" s="69">
        <v>232.8</v>
      </c>
      <c r="P15" s="73">
        <v>232.7</v>
      </c>
      <c r="Q15" s="281">
        <v>272.8</v>
      </c>
      <c r="R15" s="371">
        <v>295.39999999999998</v>
      </c>
      <c r="S15" s="371">
        <v>331.8</v>
      </c>
      <c r="T15" s="371">
        <v>373.3</v>
      </c>
      <c r="U15" s="281">
        <v>452</v>
      </c>
    </row>
    <row r="16" spans="1:494" s="65" customFormat="1" ht="20.100000000000001" customHeight="1">
      <c r="A16" s="90" t="s">
        <v>101</v>
      </c>
      <c r="B16" s="75">
        <v>0</v>
      </c>
      <c r="C16" s="75">
        <v>0</v>
      </c>
      <c r="D16" s="75">
        <v>0</v>
      </c>
      <c r="E16" s="133">
        <v>0</v>
      </c>
      <c r="F16" s="75">
        <v>0</v>
      </c>
      <c r="G16" s="75">
        <v>0</v>
      </c>
      <c r="H16" s="75">
        <v>0</v>
      </c>
      <c r="I16" s="108">
        <v>0</v>
      </c>
      <c r="J16" s="119">
        <v>0</v>
      </c>
      <c r="K16" s="75">
        <v>0</v>
      </c>
      <c r="L16" s="75">
        <v>0</v>
      </c>
      <c r="M16" s="120">
        <v>1.2</v>
      </c>
      <c r="N16" s="75">
        <v>0</v>
      </c>
      <c r="O16" s="75">
        <v>0</v>
      </c>
      <c r="P16" s="75">
        <v>0</v>
      </c>
      <c r="Q16" s="282">
        <v>6.9</v>
      </c>
      <c r="R16" s="373">
        <v>0.6</v>
      </c>
      <c r="S16" s="373">
        <v>0</v>
      </c>
      <c r="T16" s="373">
        <v>3.5</v>
      </c>
      <c r="U16" s="282">
        <v>9.5</v>
      </c>
    </row>
    <row r="17" spans="1:21" s="12" customFormat="1" ht="20.100000000000001" customHeight="1" thickBot="1">
      <c r="A17" s="86" t="s">
        <v>8</v>
      </c>
      <c r="B17" s="77">
        <f>30.5</f>
        <v>30.5</v>
      </c>
      <c r="C17" s="96">
        <f>(40245)*0.001</f>
        <v>40.244999999999997</v>
      </c>
      <c r="D17" s="96">
        <f>(37018)*0.001</f>
        <v>37.018000000000001</v>
      </c>
      <c r="E17" s="396">
        <f>(31356)*0.001</f>
        <v>31.356000000000002</v>
      </c>
      <c r="F17" s="96">
        <f>(30260)*0.001</f>
        <v>30.26</v>
      </c>
      <c r="G17" s="96">
        <f>(27326)*0.001</f>
        <v>27.326000000000001</v>
      </c>
      <c r="H17" s="96">
        <f>(27552)*0.001</f>
        <v>27.552</v>
      </c>
      <c r="I17" s="397">
        <f>(38854)*0.001</f>
        <v>38.853999999999999</v>
      </c>
      <c r="J17" s="398">
        <f>(34685)*0.001</f>
        <v>34.685000000000002</v>
      </c>
      <c r="K17" s="76">
        <v>240.5</v>
      </c>
      <c r="L17" s="76">
        <v>285.7</v>
      </c>
      <c r="M17" s="121">
        <v>281.10000000000002</v>
      </c>
      <c r="N17" s="77">
        <v>229</v>
      </c>
      <c r="O17" s="77">
        <v>260.89999999999998</v>
      </c>
      <c r="P17" s="76">
        <v>107.2</v>
      </c>
      <c r="Q17" s="281">
        <v>87.6</v>
      </c>
      <c r="R17" s="374">
        <v>211.3</v>
      </c>
      <c r="S17" s="374">
        <v>236.5</v>
      </c>
      <c r="T17" s="374">
        <v>238.4</v>
      </c>
      <c r="U17" s="281">
        <v>232.7</v>
      </c>
    </row>
    <row r="18" spans="1:21" s="15" customFormat="1" ht="24.95" customHeight="1" thickBot="1">
      <c r="A18" s="13" t="s">
        <v>10</v>
      </c>
      <c r="B18" s="89">
        <f t="shared" ref="B18:I18" si="0">(SUM(B5:B17))</f>
        <v>4228.9560000000001</v>
      </c>
      <c r="C18" s="89">
        <f t="shared" si="0"/>
        <v>4425.1450000000004</v>
      </c>
      <c r="D18" s="89">
        <f t="shared" si="0"/>
        <v>4456.701</v>
      </c>
      <c r="E18" s="111">
        <f t="shared" si="0"/>
        <v>4476.1480000000001</v>
      </c>
      <c r="F18" s="89">
        <f t="shared" si="0"/>
        <v>4424.8490000000011</v>
      </c>
      <c r="G18" s="89">
        <f t="shared" si="0"/>
        <v>4428.5439999999999</v>
      </c>
      <c r="H18" s="89">
        <f t="shared" si="0"/>
        <v>4436.0960000000005</v>
      </c>
      <c r="I18" s="89">
        <f t="shared" si="0"/>
        <v>4455.8450000000003</v>
      </c>
      <c r="J18" s="399">
        <f>(SUM(J5:J17))</f>
        <v>4454.3520000000008</v>
      </c>
      <c r="K18" s="88">
        <f t="shared" ref="K18:L18" si="1">SUM(K5:K17)</f>
        <v>23391.8</v>
      </c>
      <c r="L18" s="88">
        <f t="shared" si="1"/>
        <v>23581.399999999998</v>
      </c>
      <c r="M18" s="111">
        <f t="shared" ref="M18:R18" si="2">(SUM(M5:M17))-M16</f>
        <v>23356.1</v>
      </c>
      <c r="N18" s="89">
        <f t="shared" si="2"/>
        <v>23132</v>
      </c>
      <c r="O18" s="89">
        <f t="shared" si="2"/>
        <v>22867.599999999999</v>
      </c>
      <c r="P18" s="89">
        <f t="shared" si="2"/>
        <v>22396.3</v>
      </c>
      <c r="Q18" s="283">
        <f t="shared" si="2"/>
        <v>22261.199999999997</v>
      </c>
      <c r="R18" s="375">
        <f t="shared" si="2"/>
        <v>24489.499999999996</v>
      </c>
      <c r="S18" s="375">
        <f t="shared" ref="S18:U18" si="3">(SUM(S5:S17))-S16</f>
        <v>24377.8</v>
      </c>
      <c r="T18" s="375">
        <f t="shared" si="3"/>
        <v>24047.600000000002</v>
      </c>
      <c r="U18" s="283">
        <f t="shared" si="3"/>
        <v>23958.899999999998</v>
      </c>
    </row>
    <row r="19" spans="1:21" s="15" customFormat="1" ht="20.100000000000001" customHeight="1">
      <c r="A19" s="84" t="s">
        <v>59</v>
      </c>
      <c r="B19" s="67">
        <f>176.114</f>
        <v>176.114</v>
      </c>
      <c r="C19" s="96">
        <f>(167251)*0.001</f>
        <v>167.251</v>
      </c>
      <c r="D19" s="96">
        <f>(171461)*0.001</f>
        <v>171.46100000000001</v>
      </c>
      <c r="E19" s="396">
        <f>(141652)*0.001</f>
        <v>141.65200000000002</v>
      </c>
      <c r="F19" s="96">
        <f>(155399)*0.001</f>
        <v>155.399</v>
      </c>
      <c r="G19" s="96">
        <f>(170743)*0.001</f>
        <v>170.74299999999999</v>
      </c>
      <c r="H19" s="96">
        <f>(208533)*0.001</f>
        <v>208.53300000000002</v>
      </c>
      <c r="I19" s="397">
        <f>(181341)*0.001</f>
        <v>181.34100000000001</v>
      </c>
      <c r="J19" s="398">
        <f>(228936)*0.001</f>
        <v>228.93600000000001</v>
      </c>
      <c r="K19" s="91">
        <v>199.1</v>
      </c>
      <c r="L19" s="91">
        <v>172.6</v>
      </c>
      <c r="M19" s="122">
        <v>152.1</v>
      </c>
      <c r="N19" s="67">
        <v>163.1</v>
      </c>
      <c r="O19" s="67">
        <v>170.4</v>
      </c>
      <c r="P19" s="91">
        <v>255.6</v>
      </c>
      <c r="Q19" s="281">
        <v>192.2</v>
      </c>
      <c r="R19" s="376">
        <v>234.7</v>
      </c>
      <c r="S19" s="376">
        <v>163.5</v>
      </c>
      <c r="T19" s="376">
        <v>219.1</v>
      </c>
      <c r="U19" s="281">
        <v>192</v>
      </c>
    </row>
    <row r="20" spans="1:21" s="12" customFormat="1" ht="20.100000000000001" customHeight="1">
      <c r="A20" s="85" t="s">
        <v>11</v>
      </c>
      <c r="B20" s="69">
        <f>185.376</f>
        <v>185.376</v>
      </c>
      <c r="C20" s="96">
        <f>(185528)*0.001</f>
        <v>185.52799999999999</v>
      </c>
      <c r="D20" s="96">
        <f>(177054)*0.001</f>
        <v>177.054</v>
      </c>
      <c r="E20" s="396">
        <f>(161974)*0.001</f>
        <v>161.97399999999999</v>
      </c>
      <c r="F20" s="96">
        <f>(150701)*0.001</f>
        <v>150.70099999999999</v>
      </c>
      <c r="G20" s="96">
        <f>(157445)*0.001</f>
        <v>157.44499999999999</v>
      </c>
      <c r="H20" s="96">
        <f>(155698)*0.001</f>
        <v>155.69800000000001</v>
      </c>
      <c r="I20" s="397">
        <f>(146771)*0.001</f>
        <v>146.77100000000002</v>
      </c>
      <c r="J20" s="398">
        <f>(163072)*0.001</f>
        <v>163.072</v>
      </c>
      <c r="K20" s="68">
        <v>343.8</v>
      </c>
      <c r="L20" s="68">
        <v>316.60000000000002</v>
      </c>
      <c r="M20" s="117">
        <v>301.39999999999998</v>
      </c>
      <c r="N20" s="69">
        <v>252.9</v>
      </c>
      <c r="O20" s="69">
        <v>261.7</v>
      </c>
      <c r="P20" s="68">
        <v>264.10000000000002</v>
      </c>
      <c r="Q20" s="281">
        <v>281</v>
      </c>
      <c r="R20" s="371">
        <v>260.2</v>
      </c>
      <c r="S20" s="371">
        <v>270</v>
      </c>
      <c r="T20" s="371">
        <v>281</v>
      </c>
      <c r="U20" s="281">
        <v>278.7</v>
      </c>
    </row>
    <row r="21" spans="1:21" s="12" customFormat="1" ht="20.100000000000001" customHeight="1">
      <c r="A21" s="85" t="s">
        <v>64</v>
      </c>
      <c r="B21" s="69">
        <f>1.102</f>
        <v>1.1020000000000001</v>
      </c>
      <c r="C21" s="70">
        <f>0</f>
        <v>0</v>
      </c>
      <c r="D21" s="70">
        <f>0</f>
        <v>0</v>
      </c>
      <c r="E21" s="123">
        <f>0</f>
        <v>0</v>
      </c>
      <c r="F21" s="70">
        <f>0</f>
        <v>0</v>
      </c>
      <c r="G21" s="70">
        <f>0</f>
        <v>0</v>
      </c>
      <c r="H21" s="70">
        <f>0</f>
        <v>0</v>
      </c>
      <c r="I21" s="107">
        <v>0</v>
      </c>
      <c r="J21" s="118">
        <v>0</v>
      </c>
      <c r="K21" s="78">
        <v>0</v>
      </c>
      <c r="L21" s="78">
        <v>0</v>
      </c>
      <c r="M21" s="123">
        <f>0*($A$71)</f>
        <v>0</v>
      </c>
      <c r="N21" s="70">
        <f>0*($A$71)</f>
        <v>0</v>
      </c>
      <c r="O21" s="70">
        <v>0</v>
      </c>
      <c r="P21" s="78">
        <v>0</v>
      </c>
      <c r="Q21" s="281">
        <v>0</v>
      </c>
      <c r="R21" s="372">
        <v>0</v>
      </c>
      <c r="S21" s="372">
        <v>0</v>
      </c>
      <c r="T21" s="372">
        <v>0</v>
      </c>
      <c r="U21" s="281">
        <v>0</v>
      </c>
    </row>
    <row r="22" spans="1:21" s="12" customFormat="1" ht="20.100000000000001" customHeight="1">
      <c r="A22" s="85" t="s">
        <v>202</v>
      </c>
      <c r="B22" s="69">
        <f>342.386</f>
        <v>342.38600000000002</v>
      </c>
      <c r="C22" s="96">
        <f>(382365)*0.001</f>
        <v>382.36500000000001</v>
      </c>
      <c r="D22" s="96">
        <f>(376949)*0.001</f>
        <v>376.94900000000001</v>
      </c>
      <c r="E22" s="396">
        <f>(375659)*0.001</f>
        <v>375.65899999999999</v>
      </c>
      <c r="F22" s="96">
        <f>(403593)*0.001</f>
        <v>403.59300000000002</v>
      </c>
      <c r="G22" s="96">
        <f>(410902)*0.001</f>
        <v>410.90199999999999</v>
      </c>
      <c r="H22" s="96">
        <f>(401503)*0.001</f>
        <v>401.50299999999999</v>
      </c>
      <c r="I22" s="397">
        <f>(374424)*0.001</f>
        <v>374.42400000000004</v>
      </c>
      <c r="J22" s="398">
        <f>(398589)*0.001</f>
        <v>398.589</v>
      </c>
      <c r="K22" s="68">
        <v>1374.4</v>
      </c>
      <c r="L22" s="68">
        <v>1369.9</v>
      </c>
      <c r="M22" s="117">
        <v>1453.4</v>
      </c>
      <c r="N22" s="69">
        <v>1599.5</v>
      </c>
      <c r="O22" s="69">
        <v>1988.6</v>
      </c>
      <c r="P22" s="68">
        <v>1699.4</v>
      </c>
      <c r="Q22" s="281">
        <v>1619.1</v>
      </c>
      <c r="R22" s="371">
        <v>1503.9</v>
      </c>
      <c r="S22" s="371">
        <v>1541.1</v>
      </c>
      <c r="T22" s="371">
        <v>1571.8</v>
      </c>
      <c r="U22" s="281">
        <v>1688</v>
      </c>
    </row>
    <row r="23" spans="1:21" s="12" customFormat="1" ht="20.100000000000001" customHeight="1">
      <c r="A23" s="85" t="s">
        <v>76</v>
      </c>
      <c r="B23" s="69">
        <f>9.894</f>
        <v>9.8940000000000001</v>
      </c>
      <c r="C23" s="96">
        <f>(263)*0.001</f>
        <v>0.26300000000000001</v>
      </c>
      <c r="D23" s="96">
        <f>(321)*0.001</f>
        <v>0.32100000000000001</v>
      </c>
      <c r="E23" s="396">
        <f>(6494)*0.001</f>
        <v>6.4939999999999998</v>
      </c>
      <c r="F23" s="96">
        <f>(1372)*0.001</f>
        <v>1.3720000000000001</v>
      </c>
      <c r="G23" s="96">
        <f>(1952)*0.001</f>
        <v>1.952</v>
      </c>
      <c r="H23" s="96">
        <f>(1195)*0.001</f>
        <v>1.1950000000000001</v>
      </c>
      <c r="I23" s="397">
        <f>(183)*0.001</f>
        <v>0.183</v>
      </c>
      <c r="J23" s="398">
        <f>(365)*0.001</f>
        <v>0.36499999999999999</v>
      </c>
      <c r="K23" s="68">
        <v>28</v>
      </c>
      <c r="L23" s="68">
        <v>26</v>
      </c>
      <c r="M23" s="117">
        <v>26</v>
      </c>
      <c r="N23" s="69">
        <v>28.9</v>
      </c>
      <c r="O23" s="69">
        <v>1.5</v>
      </c>
      <c r="P23" s="68">
        <v>0.7</v>
      </c>
      <c r="Q23" s="281">
        <v>0.7</v>
      </c>
      <c r="R23" s="371">
        <v>1.9</v>
      </c>
      <c r="S23" s="371">
        <v>1.4</v>
      </c>
      <c r="T23" s="371">
        <v>0.9</v>
      </c>
      <c r="U23" s="281">
        <v>29.1</v>
      </c>
    </row>
    <row r="24" spans="1:21" s="12" customFormat="1" ht="20.100000000000001" customHeight="1">
      <c r="A24" s="85" t="s">
        <v>203</v>
      </c>
      <c r="B24" s="70">
        <v>0</v>
      </c>
      <c r="C24" s="96">
        <f>(53916)*0.001</f>
        <v>53.916000000000004</v>
      </c>
      <c r="D24" s="96">
        <f>(54038)*0.001</f>
        <v>54.038000000000004</v>
      </c>
      <c r="E24" s="396">
        <f>(57096)*0.001</f>
        <v>57.096000000000004</v>
      </c>
      <c r="F24" s="96">
        <f>(60035)*0.001</f>
        <v>60.035000000000004</v>
      </c>
      <c r="G24" s="96">
        <f>(63564)*0.001</f>
        <v>63.564</v>
      </c>
      <c r="H24" s="96">
        <f>(65852)*0.001</f>
        <v>65.852000000000004</v>
      </c>
      <c r="I24" s="397">
        <f>(70055)*0.001</f>
        <v>70.055000000000007</v>
      </c>
      <c r="J24" s="398">
        <f>(70958)*0.001</f>
        <v>70.957999999999998</v>
      </c>
      <c r="K24" s="68">
        <v>91.2</v>
      </c>
      <c r="L24" s="68">
        <v>117.3</v>
      </c>
      <c r="M24" s="117">
        <v>141.69999999999999</v>
      </c>
      <c r="N24" s="69">
        <v>165.3</v>
      </c>
      <c r="O24" s="69">
        <v>186.1</v>
      </c>
      <c r="P24" s="68">
        <v>200.4</v>
      </c>
      <c r="Q24" s="281">
        <v>212.7</v>
      </c>
      <c r="R24" s="371">
        <v>213.3</v>
      </c>
      <c r="S24" s="371">
        <v>209.1</v>
      </c>
      <c r="T24" s="371">
        <v>207.6</v>
      </c>
      <c r="U24" s="281">
        <v>207.2</v>
      </c>
    </row>
    <row r="25" spans="1:21" s="12" customFormat="1" ht="20.100000000000001" customHeight="1">
      <c r="A25" s="85" t="s">
        <v>204</v>
      </c>
      <c r="B25" s="69">
        <f>136.299</f>
        <v>136.29900000000001</v>
      </c>
      <c r="C25" s="96">
        <f>(73814)*0.001</f>
        <v>73.814000000000007</v>
      </c>
      <c r="D25" s="96">
        <f>(53239)*0.001</f>
        <v>53.239000000000004</v>
      </c>
      <c r="E25" s="396">
        <f>(71968)*0.001</f>
        <v>71.968000000000004</v>
      </c>
      <c r="F25" s="96">
        <f>(109187)*0.001</f>
        <v>109.187</v>
      </c>
      <c r="G25" s="96">
        <f>(93754)*0.001</f>
        <v>93.754000000000005</v>
      </c>
      <c r="H25" s="96">
        <f>(113708)*0.001</f>
        <v>113.708</v>
      </c>
      <c r="I25" s="397">
        <f>(105360)*0.001</f>
        <v>105.36</v>
      </c>
      <c r="J25" s="398">
        <f>(106732)*0.001</f>
        <v>106.732</v>
      </c>
      <c r="K25" s="68">
        <v>221.9</v>
      </c>
      <c r="L25" s="68">
        <v>224.2</v>
      </c>
      <c r="M25" s="117">
        <v>160.1</v>
      </c>
      <c r="N25" s="69">
        <v>212.9</v>
      </c>
      <c r="O25" s="69">
        <v>226.2</v>
      </c>
      <c r="P25" s="68">
        <v>255</v>
      </c>
      <c r="Q25" s="281">
        <v>399.5</v>
      </c>
      <c r="R25" s="371">
        <v>69.599999999999994</v>
      </c>
      <c r="S25" s="371">
        <v>62.8</v>
      </c>
      <c r="T25" s="371">
        <v>54.9</v>
      </c>
      <c r="U25" s="281">
        <v>38.700000000000003</v>
      </c>
    </row>
    <row r="26" spans="1:21" s="65" customFormat="1" ht="20.100000000000001" customHeight="1">
      <c r="A26" s="90" t="s">
        <v>101</v>
      </c>
      <c r="B26" s="70">
        <v>0</v>
      </c>
      <c r="C26" s="70">
        <f>0</f>
        <v>0</v>
      </c>
      <c r="D26" s="70">
        <v>0</v>
      </c>
      <c r="E26" s="134">
        <f>0</f>
        <v>0</v>
      </c>
      <c r="F26" s="70">
        <f>0</f>
        <v>0</v>
      </c>
      <c r="G26" s="70">
        <v>0</v>
      </c>
      <c r="H26" s="70">
        <f>0</f>
        <v>0</v>
      </c>
      <c r="I26" s="109">
        <v>0</v>
      </c>
      <c r="J26" s="118">
        <v>0</v>
      </c>
      <c r="K26" s="70">
        <f>0*($A$71)</f>
        <v>0</v>
      </c>
      <c r="L26" s="70">
        <f>0*($A$71)</f>
        <v>0</v>
      </c>
      <c r="M26" s="120">
        <v>22.2</v>
      </c>
      <c r="N26" s="74">
        <v>26.3</v>
      </c>
      <c r="O26" s="74">
        <v>27.3</v>
      </c>
      <c r="P26" s="79">
        <v>3.8</v>
      </c>
      <c r="Q26" s="282">
        <v>10.5</v>
      </c>
      <c r="R26" s="373">
        <v>0.2</v>
      </c>
      <c r="S26" s="373">
        <v>3.6</v>
      </c>
      <c r="T26" s="373">
        <v>4.8</v>
      </c>
      <c r="U26" s="282">
        <v>6.7</v>
      </c>
    </row>
    <row r="27" spans="1:21" s="12" customFormat="1" ht="20.100000000000001" customHeight="1">
      <c r="A27" s="85" t="s">
        <v>93</v>
      </c>
      <c r="B27" s="70">
        <v>0</v>
      </c>
      <c r="C27" s="70">
        <f>0</f>
        <v>0</v>
      </c>
      <c r="D27" s="70">
        <v>0</v>
      </c>
      <c r="E27" s="123">
        <v>0</v>
      </c>
      <c r="F27" s="70">
        <f>0</f>
        <v>0</v>
      </c>
      <c r="G27" s="70">
        <v>0</v>
      </c>
      <c r="H27" s="70">
        <f>0</f>
        <v>0</v>
      </c>
      <c r="I27" s="107">
        <v>0</v>
      </c>
      <c r="J27" s="118">
        <v>0</v>
      </c>
      <c r="K27" s="80">
        <v>270</v>
      </c>
      <c r="L27" s="80">
        <v>30</v>
      </c>
      <c r="M27" s="123">
        <f>0*($A$71)</f>
        <v>0</v>
      </c>
      <c r="N27" s="69">
        <v>42.7</v>
      </c>
      <c r="O27" s="69">
        <v>43.1</v>
      </c>
      <c r="P27" s="71">
        <v>0</v>
      </c>
      <c r="Q27" s="281">
        <v>0</v>
      </c>
      <c r="R27" s="371">
        <v>12.4</v>
      </c>
      <c r="S27" s="371">
        <v>0</v>
      </c>
      <c r="T27" s="371">
        <v>0</v>
      </c>
      <c r="U27" s="281">
        <v>0</v>
      </c>
    </row>
    <row r="28" spans="1:21" s="12" customFormat="1" ht="20.100000000000001" customHeight="1">
      <c r="A28" s="85" t="s">
        <v>12</v>
      </c>
      <c r="B28" s="69">
        <f>422.627</f>
        <v>422.62700000000001</v>
      </c>
      <c r="C28" s="96">
        <f>(309519)*0.001</f>
        <v>309.51900000000001</v>
      </c>
      <c r="D28" s="96">
        <f>(225111)*0.001</f>
        <v>225.11100000000002</v>
      </c>
      <c r="E28" s="396">
        <f>(270354)*0.001</f>
        <v>270.35399999999998</v>
      </c>
      <c r="F28" s="96">
        <f>(324338)*0.001</f>
        <v>324.33800000000002</v>
      </c>
      <c r="G28" s="96">
        <f>(265803)*0.001</f>
        <v>265.803</v>
      </c>
      <c r="H28" s="96">
        <f>(215396)*0.001</f>
        <v>215.39600000000002</v>
      </c>
      <c r="I28" s="397">
        <f>(342251)*0.001</f>
        <v>342.25100000000003</v>
      </c>
      <c r="J28" s="398">
        <f>(428190)*0.001</f>
        <v>428.19</v>
      </c>
      <c r="K28" s="68">
        <v>1894.3</v>
      </c>
      <c r="L28" s="68">
        <v>1631</v>
      </c>
      <c r="M28" s="117">
        <v>1735.3</v>
      </c>
      <c r="N28" s="69">
        <v>1478.9</v>
      </c>
      <c r="O28" s="69">
        <v>1383.8</v>
      </c>
      <c r="P28" s="68">
        <v>1059.5999999999999</v>
      </c>
      <c r="Q28" s="281">
        <v>1512</v>
      </c>
      <c r="R28" s="371">
        <v>1538.6</v>
      </c>
      <c r="S28" s="371">
        <v>944.5</v>
      </c>
      <c r="T28" s="371">
        <v>1099.4000000000001</v>
      </c>
      <c r="U28" s="281">
        <v>1326</v>
      </c>
    </row>
    <row r="29" spans="1:21" s="12" customFormat="1" ht="20.100000000000001" customHeight="1" thickBot="1">
      <c r="A29" s="85" t="s">
        <v>46</v>
      </c>
      <c r="B29" s="70">
        <v>0</v>
      </c>
      <c r="C29" s="70">
        <f>0</f>
        <v>0</v>
      </c>
      <c r="D29" s="70">
        <f>0</f>
        <v>0</v>
      </c>
      <c r="E29" s="123">
        <v>0</v>
      </c>
      <c r="F29" s="70">
        <f>0</f>
        <v>0</v>
      </c>
      <c r="G29" s="70">
        <v>0</v>
      </c>
      <c r="H29" s="70">
        <f>0</f>
        <v>0</v>
      </c>
      <c r="I29" s="107">
        <v>0</v>
      </c>
      <c r="J29" s="118">
        <v>0</v>
      </c>
      <c r="K29" s="80">
        <v>12.6</v>
      </c>
      <c r="L29" s="80">
        <v>12.2</v>
      </c>
      <c r="M29" s="117">
        <v>12.6</v>
      </c>
      <c r="N29" s="69">
        <v>12.7</v>
      </c>
      <c r="O29" s="69">
        <v>12.8</v>
      </c>
      <c r="P29" s="80">
        <v>12.4</v>
      </c>
      <c r="Q29" s="281">
        <v>11.7</v>
      </c>
      <c r="R29" s="371">
        <v>31.4</v>
      </c>
      <c r="S29" s="371">
        <v>10.9</v>
      </c>
      <c r="T29" s="371">
        <v>10.8</v>
      </c>
      <c r="U29" s="281">
        <v>10.7</v>
      </c>
    </row>
    <row r="30" spans="1:21" s="15" customFormat="1" ht="24.95" customHeight="1" thickBot="1">
      <c r="A30" s="13" t="s">
        <v>13</v>
      </c>
      <c r="B30" s="89">
        <f t="shared" ref="B30:L30" si="4">SUM(B19:B29)</f>
        <v>1273.798</v>
      </c>
      <c r="C30" s="89">
        <f t="shared" si="4"/>
        <v>1172.6559999999999</v>
      </c>
      <c r="D30" s="89">
        <f t="shared" si="4"/>
        <v>1058.173</v>
      </c>
      <c r="E30" s="111">
        <f t="shared" si="4"/>
        <v>1085.1969999999999</v>
      </c>
      <c r="F30" s="89">
        <f t="shared" si="4"/>
        <v>1204.625</v>
      </c>
      <c r="G30" s="89">
        <f t="shared" si="4"/>
        <v>1164.163</v>
      </c>
      <c r="H30" s="89">
        <f t="shared" si="4"/>
        <v>1161.885</v>
      </c>
      <c r="I30" s="89">
        <f t="shared" si="4"/>
        <v>1220.3850000000002</v>
      </c>
      <c r="J30" s="399">
        <f t="shared" si="4"/>
        <v>1396.8419999999999</v>
      </c>
      <c r="K30" s="88">
        <f t="shared" si="4"/>
        <v>4435.3</v>
      </c>
      <c r="L30" s="88">
        <f t="shared" si="4"/>
        <v>3899.7999999999997</v>
      </c>
      <c r="M30" s="111">
        <f t="shared" ref="M30:R30" si="5">SUM(M19:M29)-M26</f>
        <v>3982.6</v>
      </c>
      <c r="N30" s="89">
        <f t="shared" si="5"/>
        <v>3956.9</v>
      </c>
      <c r="O30" s="89">
        <f t="shared" si="5"/>
        <v>4274.2</v>
      </c>
      <c r="P30" s="89">
        <f t="shared" si="5"/>
        <v>3747.2000000000003</v>
      </c>
      <c r="Q30" s="283">
        <f t="shared" si="5"/>
        <v>4228.8999999999987</v>
      </c>
      <c r="R30" s="375">
        <f t="shared" si="5"/>
        <v>3866.0000000000005</v>
      </c>
      <c r="S30" s="375">
        <f t="shared" ref="S30:T30" si="6">SUM(S19:S29)-S26</f>
        <v>3203.3</v>
      </c>
      <c r="T30" s="375">
        <f t="shared" si="6"/>
        <v>3445.5000000000005</v>
      </c>
      <c r="U30" s="283">
        <f t="shared" ref="U30" si="7">SUM(U19:U29)-U26</f>
        <v>3770.3999999999992</v>
      </c>
    </row>
    <row r="31" spans="1:21" s="12" customFormat="1" ht="24.95" customHeight="1" thickBot="1">
      <c r="A31" s="92" t="s">
        <v>128</v>
      </c>
      <c r="B31" s="93">
        <f t="shared" ref="B31:P31" si="8">B18+B30</f>
        <v>5502.7539999999999</v>
      </c>
      <c r="C31" s="93">
        <f t="shared" si="8"/>
        <v>5597.8010000000004</v>
      </c>
      <c r="D31" s="93">
        <f t="shared" si="8"/>
        <v>5514.8739999999998</v>
      </c>
      <c r="E31" s="124">
        <f t="shared" si="8"/>
        <v>5561.3450000000003</v>
      </c>
      <c r="F31" s="93">
        <f t="shared" si="8"/>
        <v>5629.4740000000011</v>
      </c>
      <c r="G31" s="93">
        <f t="shared" si="8"/>
        <v>5592.7070000000003</v>
      </c>
      <c r="H31" s="93">
        <f t="shared" si="8"/>
        <v>5597.9810000000007</v>
      </c>
      <c r="I31" s="400">
        <f t="shared" si="8"/>
        <v>5676.2300000000005</v>
      </c>
      <c r="J31" s="401">
        <f t="shared" si="8"/>
        <v>5851.1940000000004</v>
      </c>
      <c r="K31" s="93">
        <f t="shared" si="8"/>
        <v>27827.1</v>
      </c>
      <c r="L31" s="93">
        <f t="shared" si="8"/>
        <v>27481.199999999997</v>
      </c>
      <c r="M31" s="124">
        <f t="shared" si="8"/>
        <v>27338.699999999997</v>
      </c>
      <c r="N31" s="93">
        <f t="shared" si="8"/>
        <v>27088.9</v>
      </c>
      <c r="O31" s="93">
        <f t="shared" si="8"/>
        <v>27141.8</v>
      </c>
      <c r="P31" s="93">
        <f t="shared" si="8"/>
        <v>26143.5</v>
      </c>
      <c r="Q31" s="284">
        <f t="shared" ref="Q31:R31" si="9">Q18+Q30</f>
        <v>26490.099999999995</v>
      </c>
      <c r="R31" s="377">
        <f t="shared" si="9"/>
        <v>28355.499999999996</v>
      </c>
      <c r="S31" s="377">
        <f t="shared" ref="S31:U31" si="10">S18+S30</f>
        <v>27581.1</v>
      </c>
      <c r="T31" s="377">
        <f t="shared" si="10"/>
        <v>27493.100000000002</v>
      </c>
      <c r="U31" s="284">
        <f t="shared" si="10"/>
        <v>27729.299999999996</v>
      </c>
    </row>
    <row r="32" spans="1:21" s="12" customFormat="1" ht="33.75" customHeight="1" thickBot="1">
      <c r="A32" s="99" t="s">
        <v>14</v>
      </c>
      <c r="B32" s="100"/>
      <c r="C32" s="100"/>
      <c r="D32" s="100"/>
      <c r="E32" s="116"/>
      <c r="F32" s="100"/>
      <c r="G32" s="100"/>
      <c r="H32" s="100"/>
      <c r="I32" s="106"/>
      <c r="J32" s="115"/>
      <c r="K32" s="101"/>
      <c r="L32" s="101"/>
      <c r="M32" s="116"/>
      <c r="N32" s="100"/>
      <c r="O32" s="100"/>
      <c r="P32" s="101"/>
      <c r="Q32" s="116"/>
      <c r="R32" s="378"/>
      <c r="S32" s="378"/>
      <c r="T32" s="378"/>
      <c r="U32" s="116"/>
    </row>
    <row r="33" spans="1:21" s="12" customFormat="1" ht="20.100000000000001" customHeight="1">
      <c r="A33" s="84" t="s">
        <v>15</v>
      </c>
      <c r="B33" s="406">
        <f>13.934</f>
        <v>13.933999999999999</v>
      </c>
      <c r="C33" s="406">
        <f t="shared" ref="C33:J33" si="11">(13934)*0.001</f>
        <v>13.934000000000001</v>
      </c>
      <c r="D33" s="406">
        <f t="shared" si="11"/>
        <v>13.934000000000001</v>
      </c>
      <c r="E33" s="407">
        <f t="shared" si="11"/>
        <v>13.934000000000001</v>
      </c>
      <c r="F33" s="406">
        <f t="shared" si="11"/>
        <v>13.934000000000001</v>
      </c>
      <c r="G33" s="406">
        <f t="shared" si="11"/>
        <v>13.934000000000001</v>
      </c>
      <c r="H33" s="406">
        <f t="shared" si="11"/>
        <v>13.934000000000001</v>
      </c>
      <c r="I33" s="408">
        <f t="shared" si="11"/>
        <v>13.934000000000001</v>
      </c>
      <c r="J33" s="409">
        <f t="shared" si="11"/>
        <v>13.934000000000001</v>
      </c>
      <c r="K33" s="102">
        <v>25.6</v>
      </c>
      <c r="L33" s="102">
        <v>25.6</v>
      </c>
      <c r="M33" s="125">
        <v>25.6</v>
      </c>
      <c r="N33" s="103">
        <v>25.6</v>
      </c>
      <c r="O33" s="103">
        <v>25.6</v>
      </c>
      <c r="P33" s="103">
        <v>25.6</v>
      </c>
      <c r="Q33" s="285">
        <v>25.6</v>
      </c>
      <c r="R33" s="376">
        <v>25.6</v>
      </c>
      <c r="S33" s="376">
        <v>25.6</v>
      </c>
      <c r="T33" s="376">
        <v>25.6</v>
      </c>
      <c r="U33" s="285">
        <v>25.6</v>
      </c>
    </row>
    <row r="34" spans="1:21" s="12" customFormat="1" ht="20.100000000000001" customHeight="1">
      <c r="A34" s="85" t="s">
        <v>16</v>
      </c>
      <c r="B34" s="402">
        <f>432.265</f>
        <v>432.26499999999999</v>
      </c>
      <c r="C34" s="78">
        <v>0</v>
      </c>
      <c r="D34" s="78">
        <v>0</v>
      </c>
      <c r="E34" s="127">
        <v>0</v>
      </c>
      <c r="F34" s="78">
        <v>0</v>
      </c>
      <c r="G34" s="78">
        <v>0</v>
      </c>
      <c r="H34" s="78">
        <v>0</v>
      </c>
      <c r="I34" s="110">
        <v>0</v>
      </c>
      <c r="J34" s="126">
        <v>0</v>
      </c>
      <c r="K34" s="78">
        <v>0</v>
      </c>
      <c r="L34" s="78">
        <v>0</v>
      </c>
      <c r="M34" s="127">
        <v>0</v>
      </c>
      <c r="N34" s="78">
        <v>0</v>
      </c>
      <c r="O34" s="78">
        <v>0</v>
      </c>
      <c r="P34" s="78">
        <v>0</v>
      </c>
      <c r="Q34" s="281">
        <v>0</v>
      </c>
      <c r="R34" s="379">
        <v>0</v>
      </c>
      <c r="S34" s="379">
        <v>0</v>
      </c>
      <c r="T34" s="379">
        <v>0</v>
      </c>
      <c r="U34" s="281">
        <v>0</v>
      </c>
    </row>
    <row r="35" spans="1:21" s="12" customFormat="1" ht="20.100000000000001" customHeight="1">
      <c r="A35" s="85" t="s">
        <v>17</v>
      </c>
      <c r="B35" s="402">
        <f>1305.277</f>
        <v>1305.277</v>
      </c>
      <c r="C35" s="78">
        <v>0</v>
      </c>
      <c r="D35" s="78">
        <v>0</v>
      </c>
      <c r="E35" s="127">
        <v>0</v>
      </c>
      <c r="F35" s="78">
        <v>0</v>
      </c>
      <c r="G35" s="78">
        <v>0</v>
      </c>
      <c r="H35" s="78">
        <v>0</v>
      </c>
      <c r="I35" s="110">
        <v>0</v>
      </c>
      <c r="J35" s="126">
        <v>0</v>
      </c>
      <c r="K35" s="78">
        <v>0</v>
      </c>
      <c r="L35" s="78">
        <v>0</v>
      </c>
      <c r="M35" s="127">
        <v>0</v>
      </c>
      <c r="N35" s="78">
        <v>0</v>
      </c>
      <c r="O35" s="78">
        <v>0</v>
      </c>
      <c r="P35" s="78">
        <v>0</v>
      </c>
      <c r="Q35" s="281">
        <v>0</v>
      </c>
      <c r="R35" s="379">
        <v>0</v>
      </c>
      <c r="S35" s="379">
        <v>0</v>
      </c>
      <c r="T35" s="379">
        <v>0</v>
      </c>
      <c r="U35" s="281">
        <v>0</v>
      </c>
    </row>
    <row r="36" spans="1:21" s="12" customFormat="1" ht="20.100000000000001" customHeight="1">
      <c r="A36" s="85" t="s">
        <v>205</v>
      </c>
      <c r="B36" s="78">
        <v>0</v>
      </c>
      <c r="C36" s="69">
        <f t="shared" ref="C36:J36" si="12">(1295103)*0.001</f>
        <v>1295.1030000000001</v>
      </c>
      <c r="D36" s="69">
        <f t="shared" si="12"/>
        <v>1295.1030000000001</v>
      </c>
      <c r="E36" s="117">
        <f t="shared" si="12"/>
        <v>1295.1030000000001</v>
      </c>
      <c r="F36" s="69">
        <f t="shared" si="12"/>
        <v>1295.1030000000001</v>
      </c>
      <c r="G36" s="69">
        <f t="shared" si="12"/>
        <v>1295.1030000000001</v>
      </c>
      <c r="H36" s="69">
        <f t="shared" si="12"/>
        <v>1295.1030000000001</v>
      </c>
      <c r="I36" s="117">
        <f t="shared" si="12"/>
        <v>1295.1030000000001</v>
      </c>
      <c r="J36" s="69">
        <f t="shared" si="12"/>
        <v>1295.1030000000001</v>
      </c>
      <c r="K36" s="95">
        <v>7237.5</v>
      </c>
      <c r="L36" s="95">
        <v>7237.5</v>
      </c>
      <c r="M36" s="128">
        <v>7174</v>
      </c>
      <c r="N36" s="68">
        <v>7237.4</v>
      </c>
      <c r="O36" s="68">
        <v>7174</v>
      </c>
      <c r="P36" s="68">
        <v>7174</v>
      </c>
      <c r="Q36" s="281">
        <v>7174</v>
      </c>
      <c r="R36" s="371">
        <v>7174</v>
      </c>
      <c r="S36" s="371">
        <v>7174</v>
      </c>
      <c r="T36" s="371">
        <v>7174</v>
      </c>
      <c r="U36" s="281">
        <v>7174</v>
      </c>
    </row>
    <row r="37" spans="1:21" s="12" customFormat="1" ht="20.100000000000001" customHeight="1">
      <c r="A37" s="85" t="s">
        <v>60</v>
      </c>
      <c r="B37" s="410">
        <f>-3.17</f>
        <v>-3.17</v>
      </c>
      <c r="C37" s="78">
        <v>0</v>
      </c>
      <c r="D37" s="78">
        <v>0</v>
      </c>
      <c r="E37" s="127">
        <v>0</v>
      </c>
      <c r="F37" s="78">
        <v>0</v>
      </c>
      <c r="G37" s="78">
        <v>0</v>
      </c>
      <c r="H37" s="78">
        <v>0</v>
      </c>
      <c r="I37" s="110">
        <v>0</v>
      </c>
      <c r="J37" s="126">
        <v>0</v>
      </c>
      <c r="K37" s="78">
        <v>0</v>
      </c>
      <c r="L37" s="78">
        <v>0</v>
      </c>
      <c r="M37" s="127">
        <v>0</v>
      </c>
      <c r="N37" s="78">
        <v>0</v>
      </c>
      <c r="O37" s="78">
        <v>0</v>
      </c>
      <c r="P37" s="78">
        <v>0</v>
      </c>
      <c r="Q37" s="281">
        <v>0</v>
      </c>
      <c r="R37" s="379">
        <v>0</v>
      </c>
      <c r="S37" s="379">
        <v>0</v>
      </c>
      <c r="T37" s="379">
        <v>0</v>
      </c>
      <c r="U37" s="281">
        <v>0</v>
      </c>
    </row>
    <row r="38" spans="1:21" s="12" customFormat="1" ht="20.100000000000001" customHeight="1">
      <c r="A38" s="85" t="s">
        <v>61</v>
      </c>
      <c r="B38" s="402">
        <f>2.396</f>
        <v>2.3959999999999999</v>
      </c>
      <c r="C38" s="78">
        <v>0</v>
      </c>
      <c r="D38" s="78">
        <v>0</v>
      </c>
      <c r="E38" s="127">
        <v>0</v>
      </c>
      <c r="F38" s="78">
        <v>0</v>
      </c>
      <c r="G38" s="78">
        <v>0</v>
      </c>
      <c r="H38" s="78">
        <v>0</v>
      </c>
      <c r="I38" s="110">
        <v>0</v>
      </c>
      <c r="J38" s="126">
        <v>0</v>
      </c>
      <c r="K38" s="78">
        <v>0</v>
      </c>
      <c r="L38" s="78">
        <v>0</v>
      </c>
      <c r="M38" s="127">
        <v>0</v>
      </c>
      <c r="N38" s="78">
        <v>0</v>
      </c>
      <c r="O38" s="78">
        <v>0</v>
      </c>
      <c r="P38" s="78">
        <v>0</v>
      </c>
      <c r="Q38" s="281">
        <v>0</v>
      </c>
      <c r="R38" s="379">
        <v>0</v>
      </c>
      <c r="S38" s="379">
        <v>0</v>
      </c>
      <c r="T38" s="379">
        <v>0</v>
      </c>
      <c r="U38" s="281">
        <v>0</v>
      </c>
    </row>
    <row r="39" spans="1:21" s="12" customFormat="1" ht="20.100000000000001" customHeight="1">
      <c r="A39" s="85" t="s">
        <v>206</v>
      </c>
      <c r="B39" s="78">
        <v>0</v>
      </c>
      <c r="C39" s="402">
        <f>(1225)*0.001</f>
        <v>1.2250000000000001</v>
      </c>
      <c r="D39" s="402">
        <f>(-8191)*0.001</f>
        <v>-8.1910000000000007</v>
      </c>
      <c r="E39" s="403">
        <f>(-16327)*0.001</f>
        <v>-16.327000000000002</v>
      </c>
      <c r="F39" s="402">
        <f>(-17667)*0.001</f>
        <v>-17.667000000000002</v>
      </c>
      <c r="G39" s="402">
        <f>(-13285)*0.001</f>
        <v>-13.285</v>
      </c>
      <c r="H39" s="402">
        <f>(-11455)*0.001</f>
        <v>-11.455</v>
      </c>
      <c r="I39" s="404">
        <f>(-8964)*0.001</f>
        <v>-8.9640000000000004</v>
      </c>
      <c r="J39" s="126">
        <v>0</v>
      </c>
      <c r="K39" s="78">
        <v>0</v>
      </c>
      <c r="L39" s="96">
        <v>-9.1999999999999993</v>
      </c>
      <c r="M39" s="129">
        <v>-12.2</v>
      </c>
      <c r="N39" s="96">
        <v>-12.7</v>
      </c>
      <c r="O39" s="96">
        <v>-7.9</v>
      </c>
      <c r="P39" s="96">
        <v>-8.1999999999999993</v>
      </c>
      <c r="Q39" s="281">
        <v>-3.7</v>
      </c>
      <c r="R39" s="380">
        <v>-1.7</v>
      </c>
      <c r="S39" s="380">
        <v>0.1</v>
      </c>
      <c r="T39" s="380">
        <v>2.2000000000000002</v>
      </c>
      <c r="U39" s="281">
        <v>4.5</v>
      </c>
    </row>
    <row r="40" spans="1:21" s="12" customFormat="1" ht="20.100000000000001" customHeight="1" thickBot="1">
      <c r="A40" s="85" t="s">
        <v>75</v>
      </c>
      <c r="B40" s="402">
        <f>340.065</f>
        <v>340.065</v>
      </c>
      <c r="C40" s="402">
        <f>(882007)*0.001</f>
        <v>882.00700000000006</v>
      </c>
      <c r="D40" s="411">
        <f>(1054069)*0.001</f>
        <v>1054.069</v>
      </c>
      <c r="E40" s="412">
        <f>(1175693)*0.001</f>
        <v>1175.693</v>
      </c>
      <c r="F40" s="411">
        <f>(1270798)*0.001</f>
        <v>1270.798</v>
      </c>
      <c r="G40" s="411">
        <f>(1351543)*0.001</f>
        <v>1351.5430000000001</v>
      </c>
      <c r="H40" s="411">
        <f>(1527994)*0.001</f>
        <v>1527.9940000000001</v>
      </c>
      <c r="I40" s="412">
        <f>(1701138)*0.001</f>
        <v>1701.1380000000001</v>
      </c>
      <c r="J40" s="411">
        <f>(1799310)*0.001</f>
        <v>1799.31</v>
      </c>
      <c r="K40" s="95">
        <v>1828.6</v>
      </c>
      <c r="L40" s="95">
        <v>1876.8</v>
      </c>
      <c r="M40" s="130">
        <v>1890.8</v>
      </c>
      <c r="N40" s="95">
        <v>2061.6</v>
      </c>
      <c r="O40" s="95">
        <v>2366.1</v>
      </c>
      <c r="P40" s="95">
        <v>2868.6</v>
      </c>
      <c r="Q40" s="281">
        <v>3054.2</v>
      </c>
      <c r="R40" s="380">
        <v>3229.7</v>
      </c>
      <c r="S40" s="380">
        <v>3467.4</v>
      </c>
      <c r="T40" s="380">
        <v>3745.6</v>
      </c>
      <c r="U40" s="281">
        <v>4095.5</v>
      </c>
    </row>
    <row r="41" spans="1:21" s="15" customFormat="1" ht="24.95" customHeight="1" thickBot="1">
      <c r="A41" s="13" t="s">
        <v>78</v>
      </c>
      <c r="B41" s="88">
        <f t="shared" ref="B41:C41" si="13">SUM(B33:B40)</f>
        <v>2090.7669999999998</v>
      </c>
      <c r="C41" s="88">
        <f t="shared" si="13"/>
        <v>2192.2690000000002</v>
      </c>
      <c r="D41" s="88">
        <f t="shared" ref="D41:H41" si="14">SUM(D33:D40)</f>
        <v>2354.915</v>
      </c>
      <c r="E41" s="88">
        <f t="shared" si="14"/>
        <v>2468.4030000000002</v>
      </c>
      <c r="F41" s="88">
        <f t="shared" si="14"/>
        <v>2562.1680000000001</v>
      </c>
      <c r="G41" s="88">
        <f t="shared" si="14"/>
        <v>2647.2950000000001</v>
      </c>
      <c r="H41" s="88">
        <f t="shared" si="14"/>
        <v>2825.576</v>
      </c>
      <c r="I41" s="88">
        <f t="shared" ref="I41:J41" si="15">SUM(I33:I40)</f>
        <v>3001.2110000000002</v>
      </c>
      <c r="J41" s="88">
        <f t="shared" si="15"/>
        <v>3108.3469999999998</v>
      </c>
      <c r="K41" s="88">
        <f t="shared" ref="K41:Q41" si="16">SUM(K33:K40)</f>
        <v>9091.7000000000007</v>
      </c>
      <c r="L41" s="88">
        <f t="shared" si="16"/>
        <v>9130.7000000000007</v>
      </c>
      <c r="M41" s="111">
        <f t="shared" si="16"/>
        <v>9078.2000000000007</v>
      </c>
      <c r="N41" s="89">
        <f t="shared" si="16"/>
        <v>9311.9</v>
      </c>
      <c r="O41" s="89">
        <f t="shared" si="16"/>
        <v>9557.8000000000011</v>
      </c>
      <c r="P41" s="89">
        <f t="shared" si="16"/>
        <v>10060</v>
      </c>
      <c r="Q41" s="286">
        <f t="shared" si="16"/>
        <v>10250.1</v>
      </c>
      <c r="R41" s="375">
        <f t="shared" ref="R41:U41" si="17">SUM(R33:R40)</f>
        <v>10427.6</v>
      </c>
      <c r="S41" s="375">
        <f t="shared" si="17"/>
        <v>10667.1</v>
      </c>
      <c r="T41" s="375">
        <f t="shared" si="17"/>
        <v>10947.4</v>
      </c>
      <c r="U41" s="286">
        <f t="shared" si="17"/>
        <v>11299.6</v>
      </c>
    </row>
    <row r="42" spans="1:21" s="15" customFormat="1" ht="20.100000000000001" customHeight="1" thickBot="1">
      <c r="A42" s="104" t="s">
        <v>77</v>
      </c>
      <c r="B42" s="78">
        <v>0</v>
      </c>
      <c r="C42" s="78">
        <v>0</v>
      </c>
      <c r="D42" s="78">
        <v>0</v>
      </c>
      <c r="E42" s="127">
        <v>0</v>
      </c>
      <c r="F42" s="78">
        <v>0</v>
      </c>
      <c r="G42" s="78">
        <v>0</v>
      </c>
      <c r="H42" s="413">
        <f>2/1000</f>
        <v>2E-3</v>
      </c>
      <c r="I42" s="414">
        <f>2/1000</f>
        <v>2E-3</v>
      </c>
      <c r="J42" s="415">
        <f>2/1000</f>
        <v>2E-3</v>
      </c>
      <c r="K42" s="82">
        <v>0</v>
      </c>
      <c r="L42" s="82">
        <v>0</v>
      </c>
      <c r="M42" s="127">
        <v>0</v>
      </c>
      <c r="N42" s="82">
        <v>0</v>
      </c>
      <c r="O42" s="82">
        <v>0</v>
      </c>
      <c r="P42" s="82">
        <v>0</v>
      </c>
      <c r="Q42" s="287">
        <v>0</v>
      </c>
      <c r="R42" s="381">
        <v>-22.4</v>
      </c>
      <c r="S42" s="381">
        <v>94.5</v>
      </c>
      <c r="T42" s="381">
        <v>86.1</v>
      </c>
      <c r="U42" s="287">
        <v>78</v>
      </c>
    </row>
    <row r="43" spans="1:21" s="15" customFormat="1" ht="24.95" customHeight="1" thickBot="1">
      <c r="A43" s="13" t="s">
        <v>18</v>
      </c>
      <c r="B43" s="89">
        <f t="shared" ref="B43" si="18">B41+B42</f>
        <v>2090.7669999999998</v>
      </c>
      <c r="C43" s="89">
        <f t="shared" ref="C43" si="19">C41+C42</f>
        <v>2192.2690000000002</v>
      </c>
      <c r="D43" s="89">
        <f t="shared" ref="D43" si="20">D41+D42</f>
        <v>2354.915</v>
      </c>
      <c r="E43" s="111">
        <f t="shared" ref="E43:G43" si="21">E41</f>
        <v>2468.4030000000002</v>
      </c>
      <c r="F43" s="89">
        <f t="shared" si="21"/>
        <v>2562.1680000000001</v>
      </c>
      <c r="G43" s="89">
        <f t="shared" si="21"/>
        <v>2647.2950000000001</v>
      </c>
      <c r="H43" s="89">
        <f>SUM(H41:H42)</f>
        <v>2825.578</v>
      </c>
      <c r="I43" s="89">
        <f t="shared" ref="I43:O43" si="22">I41+I42</f>
        <v>3001.2130000000002</v>
      </c>
      <c r="J43" s="399">
        <f t="shared" si="22"/>
        <v>3108.3489999999997</v>
      </c>
      <c r="K43" s="88">
        <f t="shared" si="22"/>
        <v>9091.7000000000007</v>
      </c>
      <c r="L43" s="88">
        <f t="shared" si="22"/>
        <v>9130.7000000000007</v>
      </c>
      <c r="M43" s="111">
        <f t="shared" si="22"/>
        <v>9078.2000000000007</v>
      </c>
      <c r="N43" s="89">
        <f t="shared" si="22"/>
        <v>9311.9</v>
      </c>
      <c r="O43" s="89">
        <f t="shared" si="22"/>
        <v>9557.8000000000011</v>
      </c>
      <c r="P43" s="89">
        <f t="shared" ref="P43:R43" si="23">P41+P42</f>
        <v>10060</v>
      </c>
      <c r="Q43" s="286">
        <f t="shared" si="23"/>
        <v>10250.1</v>
      </c>
      <c r="R43" s="375">
        <f t="shared" si="23"/>
        <v>10405.200000000001</v>
      </c>
      <c r="S43" s="375">
        <f t="shared" ref="S43:U43" si="24">S41+S42</f>
        <v>10761.6</v>
      </c>
      <c r="T43" s="375">
        <f t="shared" si="24"/>
        <v>11033.5</v>
      </c>
      <c r="U43" s="286">
        <f t="shared" si="24"/>
        <v>11377.6</v>
      </c>
    </row>
    <row r="44" spans="1:21" s="12" customFormat="1" ht="20.100000000000001" customHeight="1">
      <c r="A44" s="85" t="s">
        <v>19</v>
      </c>
      <c r="B44" s="96">
        <f>932.068</f>
        <v>932.06799999999998</v>
      </c>
      <c r="C44" s="96">
        <f>(889155)*0.001</f>
        <v>889.15499999999997</v>
      </c>
      <c r="D44" s="96">
        <f>(680371)*0.001</f>
        <v>680.37099999999998</v>
      </c>
      <c r="E44" s="396">
        <f>(592003)*0.001</f>
        <v>592.00300000000004</v>
      </c>
      <c r="F44" s="96">
        <f>(572819)*0.001</f>
        <v>572.81899999999996</v>
      </c>
      <c r="G44" s="96">
        <f>(422858)*0.001</f>
        <v>422.858</v>
      </c>
      <c r="H44" s="96">
        <f>(329798)*0.001</f>
        <v>329.798</v>
      </c>
      <c r="I44" s="397">
        <f>(239889)*0.001</f>
        <v>239.88900000000001</v>
      </c>
      <c r="J44" s="398">
        <f>(236277)*0.001</f>
        <v>236.27700000000002</v>
      </c>
      <c r="K44" s="69">
        <v>8446.1</v>
      </c>
      <c r="L44" s="69">
        <v>7976.3</v>
      </c>
      <c r="M44" s="128">
        <v>7683.5</v>
      </c>
      <c r="N44" s="95">
        <v>7357.9</v>
      </c>
      <c r="O44" s="95">
        <v>7034.6</v>
      </c>
      <c r="P44" s="69">
        <v>5644.9</v>
      </c>
      <c r="Q44" s="287">
        <v>5379.8</v>
      </c>
      <c r="R44" s="380">
        <v>9982.1</v>
      </c>
      <c r="S44" s="380">
        <v>9752</v>
      </c>
      <c r="T44" s="380">
        <v>9530.2999999999993</v>
      </c>
      <c r="U44" s="287">
        <v>9302.7000000000007</v>
      </c>
    </row>
    <row r="45" spans="1:21" s="12" customFormat="1" ht="20.100000000000001" customHeight="1">
      <c r="A45" s="85" t="s">
        <v>92</v>
      </c>
      <c r="B45" s="69">
        <f>1360.637</f>
        <v>1360.6369999999999</v>
      </c>
      <c r="C45" s="69">
        <f>(1369593)*0.001</f>
        <v>1369.5930000000001</v>
      </c>
      <c r="D45" s="69">
        <f>(1347224)*0.001</f>
        <v>1347.2239999999999</v>
      </c>
      <c r="E45" s="117">
        <f>(1316479)*0.001</f>
        <v>1316.479</v>
      </c>
      <c r="F45" s="69">
        <f>(1370119)*0.001</f>
        <v>1370.1190000000001</v>
      </c>
      <c r="G45" s="69">
        <f>(1395972)*0.001</f>
        <v>1395.972</v>
      </c>
      <c r="H45" s="69">
        <f>(1385314)*0.001</f>
        <v>1385.3140000000001</v>
      </c>
      <c r="I45" s="117">
        <f>(1340010)*0.001</f>
        <v>1340.01</v>
      </c>
      <c r="J45" s="69">
        <f>(1396071)*0.001</f>
        <v>1396.0710000000001</v>
      </c>
      <c r="K45" s="69">
        <v>4286.8999999999996</v>
      </c>
      <c r="L45" s="69">
        <v>4302.1000000000004</v>
      </c>
      <c r="M45" s="128">
        <v>4550.2</v>
      </c>
      <c r="N45" s="95">
        <v>4470</v>
      </c>
      <c r="O45" s="95">
        <v>4582.5</v>
      </c>
      <c r="P45" s="69">
        <v>964.4</v>
      </c>
      <c r="Q45" s="287">
        <v>975.3</v>
      </c>
      <c r="R45" s="380">
        <v>2252.6</v>
      </c>
      <c r="S45" s="380">
        <v>1795.1</v>
      </c>
      <c r="T45" s="380">
        <v>1805.1</v>
      </c>
      <c r="U45" s="287">
        <v>1835.7</v>
      </c>
    </row>
    <row r="46" spans="1:21" s="12" customFormat="1" ht="20.100000000000001" customHeight="1">
      <c r="A46" s="85" t="s">
        <v>20</v>
      </c>
      <c r="B46" s="96">
        <f>0.81</f>
        <v>0.81</v>
      </c>
      <c r="C46" s="96">
        <f>(741)*0.001</f>
        <v>0.74099999999999999</v>
      </c>
      <c r="D46" s="96">
        <f>(638)*0.001</f>
        <v>0.63800000000000001</v>
      </c>
      <c r="E46" s="396">
        <f>(551)*0.001</f>
        <v>0.55100000000000005</v>
      </c>
      <c r="F46" s="96">
        <f>(474)*0.001</f>
        <v>0.47400000000000003</v>
      </c>
      <c r="G46" s="96">
        <f>(424)*0.001</f>
        <v>0.42399999999999999</v>
      </c>
      <c r="H46" s="96">
        <f>(306)*0.001</f>
        <v>0.30599999999999999</v>
      </c>
      <c r="I46" s="397">
        <f>(227)*0.001</f>
        <v>0.22700000000000001</v>
      </c>
      <c r="J46" s="398">
        <f>(166)*0.001</f>
        <v>0.16600000000000001</v>
      </c>
      <c r="K46" s="68">
        <v>4.5</v>
      </c>
      <c r="L46" s="68">
        <v>7.9</v>
      </c>
      <c r="M46" s="130">
        <v>11.7</v>
      </c>
      <c r="N46" s="97">
        <v>13.4</v>
      </c>
      <c r="O46" s="97">
        <v>15.7</v>
      </c>
      <c r="P46" s="68">
        <v>21.3</v>
      </c>
      <c r="Q46" s="287">
        <v>20.9</v>
      </c>
      <c r="R46" s="371">
        <v>21.2</v>
      </c>
      <c r="S46" s="371">
        <v>23.3</v>
      </c>
      <c r="T46" s="371">
        <v>22.1</v>
      </c>
      <c r="U46" s="287">
        <v>20.9</v>
      </c>
    </row>
    <row r="47" spans="1:21" s="12" customFormat="1" ht="20.100000000000001" customHeight="1">
      <c r="A47" s="85" t="s">
        <v>207</v>
      </c>
      <c r="B47" s="70">
        <f>0*($A$71)</f>
        <v>0</v>
      </c>
      <c r="C47" s="70">
        <f>0</f>
        <v>0</v>
      </c>
      <c r="D47" s="70">
        <f>0</f>
        <v>0</v>
      </c>
      <c r="E47" s="134">
        <v>0</v>
      </c>
      <c r="F47" s="70">
        <v>0</v>
      </c>
      <c r="G47" s="70">
        <f>0</f>
        <v>0</v>
      </c>
      <c r="H47" s="70">
        <v>0</v>
      </c>
      <c r="I47" s="109">
        <v>0</v>
      </c>
      <c r="J47" s="118">
        <v>0</v>
      </c>
      <c r="K47" s="68">
        <v>835.8</v>
      </c>
      <c r="L47" s="68">
        <v>730.2</v>
      </c>
      <c r="M47" s="130">
        <v>750.3</v>
      </c>
      <c r="N47" s="97">
        <v>724.4</v>
      </c>
      <c r="O47" s="97">
        <v>747.9</v>
      </c>
      <c r="P47" s="68">
        <v>645.1</v>
      </c>
      <c r="Q47" s="287">
        <v>652.79999999999995</v>
      </c>
      <c r="R47" s="371">
        <v>658</v>
      </c>
      <c r="S47" s="371">
        <v>686.7</v>
      </c>
      <c r="T47" s="371">
        <v>555.79999999999995</v>
      </c>
      <c r="U47" s="287">
        <v>574</v>
      </c>
    </row>
    <row r="48" spans="1:21" s="12" customFormat="1" ht="20.100000000000001" customHeight="1">
      <c r="A48" s="85" t="s">
        <v>21</v>
      </c>
      <c r="B48" s="402">
        <f>87.307</f>
        <v>87.307000000000002</v>
      </c>
      <c r="C48" s="402">
        <f>(88480)*0.001</f>
        <v>88.48</v>
      </c>
      <c r="D48" s="402">
        <f>(97271)*0.001</f>
        <v>97.271000000000001</v>
      </c>
      <c r="E48" s="403">
        <f>(94258)*0.001</f>
        <v>94.257999999999996</v>
      </c>
      <c r="F48" s="402">
        <f>(93487)*0.001</f>
        <v>93.487000000000009</v>
      </c>
      <c r="G48" s="402">
        <f>(93150)*0.001</f>
        <v>93.15</v>
      </c>
      <c r="H48" s="402">
        <f>(98799)*0.001</f>
        <v>98.799000000000007</v>
      </c>
      <c r="I48" s="404">
        <f>(108066)*0.001</f>
        <v>108.066</v>
      </c>
      <c r="J48" s="405">
        <f>(95950)*0.001</f>
        <v>95.95</v>
      </c>
      <c r="K48" s="69">
        <v>1010.7</v>
      </c>
      <c r="L48" s="69">
        <v>1038.8</v>
      </c>
      <c r="M48" s="130">
        <v>908.7</v>
      </c>
      <c r="N48" s="97">
        <v>888.6</v>
      </c>
      <c r="O48" s="97">
        <v>821.1</v>
      </c>
      <c r="P48" s="69">
        <v>770.4</v>
      </c>
      <c r="Q48" s="287">
        <v>615.79999999999995</v>
      </c>
      <c r="R48" s="371">
        <v>694.4</v>
      </c>
      <c r="S48" s="371">
        <v>889.1</v>
      </c>
      <c r="T48" s="371">
        <v>923.2</v>
      </c>
      <c r="U48" s="287">
        <v>786.9</v>
      </c>
    </row>
    <row r="49" spans="1:21" s="12" customFormat="1" ht="20.100000000000001" customHeight="1">
      <c r="A49" s="85" t="s">
        <v>208</v>
      </c>
      <c r="B49" s="78">
        <v>0</v>
      </c>
      <c r="C49" s="402">
        <f>(6285)*0.001</f>
        <v>6.2850000000000001</v>
      </c>
      <c r="D49" s="402">
        <f>(5716)*0.001</f>
        <v>5.7160000000000002</v>
      </c>
      <c r="E49" s="403">
        <f>(5181)*0.001</f>
        <v>5.181</v>
      </c>
      <c r="F49" s="402">
        <f>(4978)*0.001</f>
        <v>4.9779999999999998</v>
      </c>
      <c r="G49" s="402">
        <f>(4754)*0.001</f>
        <v>4.7540000000000004</v>
      </c>
      <c r="H49" s="402">
        <f>(4303)*0.001</f>
        <v>4.3029999999999999</v>
      </c>
      <c r="I49" s="404">
        <f>(4079)*0.001</f>
        <v>4.0789999999999997</v>
      </c>
      <c r="J49" s="405">
        <f>(3008)*0.001</f>
        <v>3.008</v>
      </c>
      <c r="K49" s="68">
        <v>2.8</v>
      </c>
      <c r="L49" s="68">
        <v>3.9</v>
      </c>
      <c r="M49" s="130">
        <v>4.7</v>
      </c>
      <c r="N49" s="97">
        <v>5.5</v>
      </c>
      <c r="O49" s="97">
        <v>5</v>
      </c>
      <c r="P49" s="68">
        <v>4.5</v>
      </c>
      <c r="Q49" s="287">
        <v>4.7</v>
      </c>
      <c r="R49" s="371">
        <v>22.1</v>
      </c>
      <c r="S49" s="371">
        <v>21</v>
      </c>
      <c r="T49" s="371">
        <v>20.100000000000001</v>
      </c>
      <c r="U49" s="287">
        <v>20.100000000000001</v>
      </c>
    </row>
    <row r="50" spans="1:21" s="12" customFormat="1" ht="20.100000000000001" customHeight="1">
      <c r="A50" s="85" t="s">
        <v>22</v>
      </c>
      <c r="B50" s="402">
        <f>13.779</f>
        <v>13.779</v>
      </c>
      <c r="C50" s="402">
        <f>(17835)*0.001</f>
        <v>17.835000000000001</v>
      </c>
      <c r="D50" s="402">
        <f>(19037)*0.001</f>
        <v>19.036999999999999</v>
      </c>
      <c r="E50" s="403">
        <f>(17690)*0.001</f>
        <v>17.690000000000001</v>
      </c>
      <c r="F50" s="402">
        <f>(17684)*0.001</f>
        <v>17.684000000000001</v>
      </c>
      <c r="G50" s="402">
        <f>(10154)*0.001</f>
        <v>10.154</v>
      </c>
      <c r="H50" s="402">
        <f>(8594)*0.001</f>
        <v>8.5939999999999994</v>
      </c>
      <c r="I50" s="404">
        <f>(7915)*0.001</f>
        <v>7.915</v>
      </c>
      <c r="J50" s="405">
        <f>(7828)*0.001</f>
        <v>7.8280000000000003</v>
      </c>
      <c r="K50" s="68">
        <v>158.19999999999999</v>
      </c>
      <c r="L50" s="68">
        <v>164.6</v>
      </c>
      <c r="M50" s="130">
        <v>184.2</v>
      </c>
      <c r="N50" s="97">
        <v>167.4</v>
      </c>
      <c r="O50" s="97">
        <v>132.4</v>
      </c>
      <c r="P50" s="68">
        <v>133.1</v>
      </c>
      <c r="Q50" s="287">
        <v>124.2</v>
      </c>
      <c r="R50" s="371">
        <v>157.30000000000001</v>
      </c>
      <c r="S50" s="371">
        <v>148.9</v>
      </c>
      <c r="T50" s="371">
        <v>148.19999999999999</v>
      </c>
      <c r="U50" s="287">
        <v>130.19999999999999</v>
      </c>
    </row>
    <row r="51" spans="1:21" s="65" customFormat="1" ht="20.100000000000001" customHeight="1" thickBot="1">
      <c r="A51" s="90" t="s">
        <v>102</v>
      </c>
      <c r="B51" s="70">
        <f>0*($A$71)</f>
        <v>0</v>
      </c>
      <c r="C51" s="70">
        <f>0</f>
        <v>0</v>
      </c>
      <c r="D51" s="70">
        <f>0</f>
        <v>0</v>
      </c>
      <c r="E51" s="134">
        <v>0</v>
      </c>
      <c r="F51" s="70">
        <v>0</v>
      </c>
      <c r="G51" s="70">
        <f>0</f>
        <v>0</v>
      </c>
      <c r="H51" s="70">
        <v>0</v>
      </c>
      <c r="I51" s="131">
        <v>0.1</v>
      </c>
      <c r="J51" s="118">
        <v>0</v>
      </c>
      <c r="K51" s="70">
        <f>0*($A$71)</f>
        <v>0</v>
      </c>
      <c r="L51" s="70">
        <f>0*($A$71)</f>
        <v>0</v>
      </c>
      <c r="M51" s="131">
        <v>40.1</v>
      </c>
      <c r="N51" s="98">
        <v>22.6</v>
      </c>
      <c r="O51" s="98">
        <v>2</v>
      </c>
      <c r="P51" s="79">
        <v>1.9</v>
      </c>
      <c r="Q51" s="287">
        <v>0</v>
      </c>
      <c r="R51" s="373">
        <v>1.1000000000000001</v>
      </c>
      <c r="S51" s="373">
        <v>0.9</v>
      </c>
      <c r="T51" s="373">
        <v>0</v>
      </c>
      <c r="U51" s="287">
        <v>0</v>
      </c>
    </row>
    <row r="52" spans="1:21" s="15" customFormat="1" ht="24.95" customHeight="1" thickBot="1">
      <c r="A52" s="13" t="s">
        <v>23</v>
      </c>
      <c r="B52" s="89">
        <f t="shared" ref="B52" si="25">SUM(B44:B50)</f>
        <v>2394.6009999999997</v>
      </c>
      <c r="C52" s="89">
        <f t="shared" ref="C52" si="26">SUM(C44:C50)</f>
        <v>2372.0889999999999</v>
      </c>
      <c r="D52" s="89">
        <f t="shared" ref="D52" si="27">SUM(D44:D50)</f>
        <v>2150.2569999999996</v>
      </c>
      <c r="E52" s="111">
        <f t="shared" ref="E52:H52" si="28">SUM(E44:E50)</f>
        <v>2026.162</v>
      </c>
      <c r="F52" s="89">
        <f t="shared" si="28"/>
        <v>2059.5610000000001</v>
      </c>
      <c r="G52" s="89">
        <f t="shared" si="28"/>
        <v>1927.3119999999999</v>
      </c>
      <c r="H52" s="89">
        <f t="shared" si="28"/>
        <v>1827.1140000000003</v>
      </c>
      <c r="I52" s="89">
        <f t="shared" ref="I52:J52" si="29">SUM(I44:I50)</f>
        <v>1700.1859999999999</v>
      </c>
      <c r="J52" s="399">
        <f t="shared" si="29"/>
        <v>1739.3000000000002</v>
      </c>
      <c r="K52" s="88">
        <f t="shared" ref="K52:L52" si="30">SUM(K44:K50)</f>
        <v>14745</v>
      </c>
      <c r="L52" s="88">
        <f t="shared" si="30"/>
        <v>14223.800000000001</v>
      </c>
      <c r="M52" s="111">
        <f t="shared" ref="M52:R52" si="31">SUM(M44:M51)-M51</f>
        <v>14093.300000000003</v>
      </c>
      <c r="N52" s="89">
        <f t="shared" si="31"/>
        <v>13627.199999999999</v>
      </c>
      <c r="O52" s="89">
        <f t="shared" si="31"/>
        <v>13339.2</v>
      </c>
      <c r="P52" s="89">
        <f t="shared" si="31"/>
        <v>8183.7</v>
      </c>
      <c r="Q52" s="286">
        <f t="shared" si="31"/>
        <v>7773.5</v>
      </c>
      <c r="R52" s="375">
        <f t="shared" si="31"/>
        <v>13787.7</v>
      </c>
      <c r="S52" s="375">
        <f t="shared" ref="S52:T52" si="32">SUM(S44:S51)-S51</f>
        <v>13316.1</v>
      </c>
      <c r="T52" s="375">
        <f t="shared" si="32"/>
        <v>13004.800000000001</v>
      </c>
      <c r="U52" s="286">
        <f t="shared" ref="U52" si="33">SUM(U44:U51)-U51</f>
        <v>12670.500000000002</v>
      </c>
    </row>
    <row r="53" spans="1:21" s="12" customFormat="1" ht="20.100000000000001" customHeight="1">
      <c r="A53" s="85" t="s">
        <v>19</v>
      </c>
      <c r="B53" s="402">
        <f>250.363</f>
        <v>250.363</v>
      </c>
      <c r="C53" s="402">
        <f>(265796)*0.001</f>
        <v>265.79599999999999</v>
      </c>
      <c r="D53" s="402">
        <f>(238676)*0.001</f>
        <v>238.67600000000002</v>
      </c>
      <c r="E53" s="403">
        <f>(275608)*0.001</f>
        <v>275.608</v>
      </c>
      <c r="F53" s="402">
        <f>(250329)*0.001</f>
        <v>250.32900000000001</v>
      </c>
      <c r="G53" s="402">
        <f>(263389)*0.001</f>
        <v>263.38900000000001</v>
      </c>
      <c r="H53" s="402">
        <f>(214673)*0.001</f>
        <v>214.673</v>
      </c>
      <c r="I53" s="404">
        <f>(245994)*0.001</f>
        <v>245.994</v>
      </c>
      <c r="J53" s="405">
        <f>(240921)*0.001</f>
        <v>240.92099999999999</v>
      </c>
      <c r="K53" s="69">
        <v>1094.3</v>
      </c>
      <c r="L53" s="69">
        <v>1365.1</v>
      </c>
      <c r="M53" s="128">
        <v>1322.6</v>
      </c>
      <c r="N53" s="95">
        <v>1543.9</v>
      </c>
      <c r="O53" s="95">
        <v>1169.9000000000001</v>
      </c>
      <c r="P53" s="69">
        <v>963.7</v>
      </c>
      <c r="Q53" s="287">
        <v>1230.9000000000001</v>
      </c>
      <c r="R53" s="380">
        <v>1593</v>
      </c>
      <c r="S53" s="380">
        <v>1251.3</v>
      </c>
      <c r="T53" s="380">
        <v>1269.4000000000001</v>
      </c>
      <c r="U53" s="287">
        <v>1270</v>
      </c>
    </row>
    <row r="54" spans="1:21" s="12" customFormat="1" ht="20.100000000000001" customHeight="1">
      <c r="A54" s="85" t="s">
        <v>92</v>
      </c>
      <c r="B54" s="402">
        <f>100.836</f>
        <v>100.836</v>
      </c>
      <c r="C54" s="402">
        <f>(101342)*0.001</f>
        <v>101.342</v>
      </c>
      <c r="D54" s="402">
        <f>(99687)*0.001</f>
        <v>99.686999999999998</v>
      </c>
      <c r="E54" s="403">
        <f>(97256)*0.001</f>
        <v>97.256</v>
      </c>
      <c r="F54" s="402">
        <f>(101219)*0.001</f>
        <v>101.21900000000001</v>
      </c>
      <c r="G54" s="402">
        <f>(102957)*0.001</f>
        <v>102.95700000000001</v>
      </c>
      <c r="H54" s="402">
        <f>(102171)*0.001</f>
        <v>102.17100000000001</v>
      </c>
      <c r="I54" s="404">
        <f>(98659)*0.001</f>
        <v>98.659000000000006</v>
      </c>
      <c r="J54" s="405">
        <f>(101071)*0.001</f>
        <v>101.071</v>
      </c>
      <c r="K54" s="68">
        <v>431.9</v>
      </c>
      <c r="L54" s="68">
        <v>439.1</v>
      </c>
      <c r="M54" s="130">
        <v>464.4</v>
      </c>
      <c r="N54" s="97">
        <v>462.5</v>
      </c>
      <c r="O54" s="97">
        <v>479.4</v>
      </c>
      <c r="P54" s="68">
        <v>4607.5</v>
      </c>
      <c r="Q54" s="287">
        <v>4776.7</v>
      </c>
      <c r="R54" s="371">
        <v>41.5</v>
      </c>
      <c r="S54" s="371">
        <v>42.3</v>
      </c>
      <c r="T54" s="371">
        <v>41.9</v>
      </c>
      <c r="U54" s="287">
        <v>42.4</v>
      </c>
    </row>
    <row r="55" spans="1:21" s="12" customFormat="1" ht="20.100000000000001" customHeight="1">
      <c r="A55" s="85" t="s">
        <v>20</v>
      </c>
      <c r="B55" s="402">
        <f>0.237</f>
        <v>0.23699999999999999</v>
      </c>
      <c r="C55" s="402">
        <f>(243)*0.001</f>
        <v>0.24299999999999999</v>
      </c>
      <c r="D55" s="402">
        <f>(234)*0.001</f>
        <v>0.23400000000000001</v>
      </c>
      <c r="E55" s="403">
        <f>(233)*0.001</f>
        <v>0.23300000000000001</v>
      </c>
      <c r="F55" s="402">
        <f>(238)*0.001</f>
        <v>0.23800000000000002</v>
      </c>
      <c r="G55" s="402">
        <f>(247)*0.001</f>
        <v>0.247</v>
      </c>
      <c r="H55" s="402">
        <f>(240)*0.001</f>
        <v>0.24</v>
      </c>
      <c r="I55" s="404">
        <f>(236)*0.001</f>
        <v>0.23600000000000002</v>
      </c>
      <c r="J55" s="405">
        <f>(237)*0.001</f>
        <v>0.23700000000000002</v>
      </c>
      <c r="K55" s="68">
        <v>5.3</v>
      </c>
      <c r="L55" s="68">
        <v>5.8</v>
      </c>
      <c r="M55" s="130">
        <v>6.8</v>
      </c>
      <c r="N55" s="97">
        <v>2.7</v>
      </c>
      <c r="O55" s="97">
        <v>3.7</v>
      </c>
      <c r="P55" s="68">
        <v>4.3</v>
      </c>
      <c r="Q55" s="287">
        <v>4.3</v>
      </c>
      <c r="R55" s="371">
        <v>4.5</v>
      </c>
      <c r="S55" s="371">
        <v>4.9000000000000004</v>
      </c>
      <c r="T55" s="371">
        <v>4.9000000000000004</v>
      </c>
      <c r="U55" s="287">
        <v>5</v>
      </c>
    </row>
    <row r="56" spans="1:21" s="12" customFormat="1" ht="20.100000000000001" customHeight="1">
      <c r="A56" s="85" t="s">
        <v>207</v>
      </c>
      <c r="B56" s="71">
        <v>0</v>
      </c>
      <c r="C56" s="71">
        <v>0</v>
      </c>
      <c r="D56" s="71">
        <v>0</v>
      </c>
      <c r="E56" s="123">
        <v>0</v>
      </c>
      <c r="F56" s="71">
        <v>0</v>
      </c>
      <c r="G56" s="71">
        <v>0</v>
      </c>
      <c r="H56" s="71">
        <v>0</v>
      </c>
      <c r="I56" s="107">
        <v>0</v>
      </c>
      <c r="J56" s="132">
        <v>0</v>
      </c>
      <c r="K56" s="68">
        <v>115.8</v>
      </c>
      <c r="L56" s="68">
        <v>113.9</v>
      </c>
      <c r="M56" s="130">
        <v>117.1</v>
      </c>
      <c r="N56" s="97">
        <v>113</v>
      </c>
      <c r="O56" s="97">
        <v>116.7</v>
      </c>
      <c r="P56" s="68">
        <v>115.6</v>
      </c>
      <c r="Q56" s="287">
        <v>117</v>
      </c>
      <c r="R56" s="371">
        <v>118</v>
      </c>
      <c r="S56" s="371">
        <v>123.1</v>
      </c>
      <c r="T56" s="371">
        <v>117.7</v>
      </c>
      <c r="U56" s="287">
        <v>121.5</v>
      </c>
    </row>
    <row r="57" spans="1:21" s="12" customFormat="1" ht="20.100000000000001" customHeight="1">
      <c r="A57" s="85" t="s">
        <v>25</v>
      </c>
      <c r="B57" s="402">
        <f>435.427</f>
        <v>435.42700000000002</v>
      </c>
      <c r="C57" s="402">
        <f>(436188)*0.001</f>
        <v>436.18799999999999</v>
      </c>
      <c r="D57" s="402">
        <f>(441676)*0.001</f>
        <v>441.67599999999999</v>
      </c>
      <c r="E57" s="403">
        <f>(472094)*0.001</f>
        <v>472.09399999999999</v>
      </c>
      <c r="F57" s="402">
        <f>(432897)*0.001</f>
        <v>432.89699999999999</v>
      </c>
      <c r="G57" s="402">
        <f>(428004)*0.001</f>
        <v>428.00400000000002</v>
      </c>
      <c r="H57" s="402">
        <f>(390829)*0.001</f>
        <v>390.82900000000001</v>
      </c>
      <c r="I57" s="404">
        <f>(413210)*0.001</f>
        <v>413.21000000000004</v>
      </c>
      <c r="J57" s="405">
        <f>(418100)*0.001</f>
        <v>418.1</v>
      </c>
      <c r="K57" s="69">
        <v>1618.8</v>
      </c>
      <c r="L57" s="69">
        <v>1505.3</v>
      </c>
      <c r="M57" s="128">
        <v>1523</v>
      </c>
      <c r="N57" s="95">
        <v>1333.5</v>
      </c>
      <c r="O57" s="95">
        <v>1670.4</v>
      </c>
      <c r="P57" s="69">
        <v>1431.5</v>
      </c>
      <c r="Q57" s="287">
        <v>1485.4</v>
      </c>
      <c r="R57" s="380">
        <v>1711.4</v>
      </c>
      <c r="S57" s="380">
        <v>1365.9</v>
      </c>
      <c r="T57" s="380">
        <v>1338.1</v>
      </c>
      <c r="U57" s="287">
        <v>1569.5</v>
      </c>
    </row>
    <row r="58" spans="1:21" s="65" customFormat="1" ht="20.100000000000001" customHeight="1">
      <c r="A58" s="90" t="s">
        <v>102</v>
      </c>
      <c r="B58" s="75">
        <v>0</v>
      </c>
      <c r="C58" s="75">
        <v>0</v>
      </c>
      <c r="D58" s="75">
        <v>0</v>
      </c>
      <c r="E58" s="133">
        <v>0</v>
      </c>
      <c r="F58" s="75">
        <v>0</v>
      </c>
      <c r="G58" s="75">
        <v>0</v>
      </c>
      <c r="H58" s="75">
        <v>0</v>
      </c>
      <c r="I58" s="131">
        <v>12</v>
      </c>
      <c r="J58" s="119">
        <v>0</v>
      </c>
      <c r="K58" s="75">
        <v>0</v>
      </c>
      <c r="L58" s="75">
        <v>0</v>
      </c>
      <c r="M58" s="131">
        <v>87</v>
      </c>
      <c r="N58" s="98">
        <v>99.7</v>
      </c>
      <c r="O58" s="98">
        <v>79</v>
      </c>
      <c r="P58" s="74">
        <v>57.1</v>
      </c>
      <c r="Q58" s="523">
        <v>72.900000000000006</v>
      </c>
      <c r="R58" s="373">
        <v>25.8</v>
      </c>
      <c r="S58" s="373">
        <v>3.5</v>
      </c>
      <c r="T58" s="373">
        <v>1.8</v>
      </c>
      <c r="U58" s="523">
        <v>0</v>
      </c>
    </row>
    <row r="59" spans="1:21" s="12" customFormat="1" ht="20.100000000000001" customHeight="1">
      <c r="A59" s="85" t="s">
        <v>24</v>
      </c>
      <c r="B59" s="402">
        <f>29.589</f>
        <v>29.588999999999999</v>
      </c>
      <c r="C59" s="402">
        <f>(7799)*0.001</f>
        <v>7.7990000000000004</v>
      </c>
      <c r="D59" s="402">
        <f>(6782)*0.001</f>
        <v>6.782</v>
      </c>
      <c r="E59" s="403">
        <f>(7092)*0.001</f>
        <v>7.0920000000000005</v>
      </c>
      <c r="F59" s="402">
        <f>(1990)*0.001</f>
        <v>1.99</v>
      </c>
      <c r="G59" s="402">
        <f>(6510)*0.001</f>
        <v>6.51</v>
      </c>
      <c r="H59" s="402">
        <f>(14152)*0.001</f>
        <v>14.152000000000001</v>
      </c>
      <c r="I59" s="404">
        <f>(4520)*0.001</f>
        <v>4.5200000000000005</v>
      </c>
      <c r="J59" s="405">
        <f>(12203)*0.001</f>
        <v>12.202999999999999</v>
      </c>
      <c r="K59" s="68">
        <v>43.7</v>
      </c>
      <c r="L59" s="68">
        <v>22.1</v>
      </c>
      <c r="M59" s="130">
        <v>48.028993427171699</v>
      </c>
      <c r="N59" s="97">
        <v>22.5</v>
      </c>
      <c r="O59" s="97">
        <v>132.69999999999999</v>
      </c>
      <c r="P59" s="68">
        <v>96.3</v>
      </c>
      <c r="Q59" s="287">
        <v>176.1</v>
      </c>
      <c r="R59" s="371">
        <v>29.2</v>
      </c>
      <c r="S59" s="371">
        <v>39.1</v>
      </c>
      <c r="T59" s="371">
        <v>21.967722325707697</v>
      </c>
      <c r="U59" s="287">
        <v>24.9</v>
      </c>
    </row>
    <row r="60" spans="1:21" s="12" customFormat="1" ht="20.100000000000001" customHeight="1">
      <c r="A60" s="85" t="s">
        <v>47</v>
      </c>
      <c r="B60" s="402">
        <f>12.532</f>
        <v>12.532</v>
      </c>
      <c r="C60" s="402">
        <f>(12125)*0.001</f>
        <v>12.125</v>
      </c>
      <c r="D60" s="402">
        <f>(12084)*0.001</f>
        <v>12.084</v>
      </c>
      <c r="E60" s="403">
        <f>(13259)*0.001</f>
        <v>13.259</v>
      </c>
      <c r="F60" s="402">
        <f>(13182)*0.001</f>
        <v>13.182</v>
      </c>
      <c r="G60" s="402">
        <f>(12551)*0.001</f>
        <v>12.551</v>
      </c>
      <c r="H60" s="402">
        <f>(12536)*0.001</f>
        <v>12.536</v>
      </c>
      <c r="I60" s="404">
        <f>(2727)*0.001</f>
        <v>2.7269999999999999</v>
      </c>
      <c r="J60" s="405">
        <f>(2843)*0.001</f>
        <v>2.843</v>
      </c>
      <c r="K60" s="68">
        <v>2.6</v>
      </c>
      <c r="L60" s="68">
        <v>2.7</v>
      </c>
      <c r="M60" s="130">
        <v>1.4</v>
      </c>
      <c r="N60" s="97">
        <v>1.4</v>
      </c>
      <c r="O60" s="83" t="s">
        <v>65</v>
      </c>
      <c r="P60" s="83" t="s">
        <v>65</v>
      </c>
      <c r="Q60" s="288" t="s">
        <v>65</v>
      </c>
      <c r="R60" s="382" t="s">
        <v>65</v>
      </c>
      <c r="S60" s="382" t="s">
        <v>65</v>
      </c>
      <c r="T60" s="382" t="s">
        <v>65</v>
      </c>
      <c r="U60" s="288" t="s">
        <v>65</v>
      </c>
    </row>
    <row r="61" spans="1:21" s="12" customFormat="1" ht="20.100000000000001" customHeight="1" thickBot="1">
      <c r="A61" s="85" t="s">
        <v>208</v>
      </c>
      <c r="B61" s="402">
        <f>188.402</f>
        <v>188.40199999999999</v>
      </c>
      <c r="C61" s="402">
        <f>(209950)*0.001</f>
        <v>209.95000000000002</v>
      </c>
      <c r="D61" s="402">
        <f>(210563)*0.001</f>
        <v>210.56300000000002</v>
      </c>
      <c r="E61" s="403">
        <f>(201238)*0.001</f>
        <v>201.238</v>
      </c>
      <c r="F61" s="402">
        <f>(207890)*0.001</f>
        <v>207.89000000000001</v>
      </c>
      <c r="G61" s="402">
        <f>(204442)*0.001</f>
        <v>204.44200000000001</v>
      </c>
      <c r="H61" s="402">
        <f>(210688)*0.001</f>
        <v>210.68800000000002</v>
      </c>
      <c r="I61" s="404">
        <f>(209485)*0.001</f>
        <v>209.48500000000001</v>
      </c>
      <c r="J61" s="405">
        <f>(228170)*0.001</f>
        <v>228.17000000000002</v>
      </c>
      <c r="K61" s="68">
        <v>678</v>
      </c>
      <c r="L61" s="68">
        <v>672.7</v>
      </c>
      <c r="M61" s="130">
        <v>683.9</v>
      </c>
      <c r="N61" s="97">
        <v>670.3</v>
      </c>
      <c r="O61" s="97">
        <v>672</v>
      </c>
      <c r="P61" s="68">
        <v>680.9</v>
      </c>
      <c r="Q61" s="287">
        <v>676.1</v>
      </c>
      <c r="R61" s="371">
        <v>665</v>
      </c>
      <c r="S61" s="371">
        <v>676.8</v>
      </c>
      <c r="T61" s="371">
        <v>660.84343092999995</v>
      </c>
      <c r="U61" s="287">
        <v>647.9</v>
      </c>
    </row>
    <row r="62" spans="1:21" s="15" customFormat="1" ht="24.95" customHeight="1" thickBot="1">
      <c r="A62" s="13" t="s">
        <v>26</v>
      </c>
      <c r="B62" s="89">
        <f t="shared" ref="B62:L62" si="34">SUM(B53:B61)</f>
        <v>1017.386</v>
      </c>
      <c r="C62" s="89">
        <f t="shared" si="34"/>
        <v>1033.443</v>
      </c>
      <c r="D62" s="89">
        <f t="shared" si="34"/>
        <v>1009.7019999999999</v>
      </c>
      <c r="E62" s="111">
        <f t="shared" si="34"/>
        <v>1066.78</v>
      </c>
      <c r="F62" s="89">
        <f t="shared" si="34"/>
        <v>1007.745</v>
      </c>
      <c r="G62" s="89">
        <f t="shared" si="34"/>
        <v>1018.1</v>
      </c>
      <c r="H62" s="89">
        <f t="shared" si="34"/>
        <v>945.28899999999999</v>
      </c>
      <c r="I62" s="89">
        <f t="shared" si="34"/>
        <v>986.83100000000002</v>
      </c>
      <c r="J62" s="399">
        <f t="shared" si="34"/>
        <v>1003.5449999999998</v>
      </c>
      <c r="K62" s="88">
        <f t="shared" si="34"/>
        <v>3990.3999999999992</v>
      </c>
      <c r="L62" s="88">
        <f t="shared" si="34"/>
        <v>4126.7</v>
      </c>
      <c r="M62" s="111">
        <f t="shared" ref="M62:T62" si="35">SUM(M53:M61)-M58</f>
        <v>4167.2289934271712</v>
      </c>
      <c r="N62" s="89">
        <f t="shared" si="35"/>
        <v>4149.8</v>
      </c>
      <c r="O62" s="89">
        <f t="shared" si="35"/>
        <v>4244.8</v>
      </c>
      <c r="P62" s="89">
        <f t="shared" si="35"/>
        <v>7899.8</v>
      </c>
      <c r="Q62" s="286">
        <f t="shared" si="35"/>
        <v>8466.5000000000018</v>
      </c>
      <c r="R62" s="375">
        <f t="shared" si="35"/>
        <v>4162.5999999999995</v>
      </c>
      <c r="S62" s="375">
        <f t="shared" si="35"/>
        <v>3503.3999999999996</v>
      </c>
      <c r="T62" s="375">
        <f t="shared" si="35"/>
        <v>3454.8111532557077</v>
      </c>
      <c r="U62" s="286">
        <f t="shared" ref="U62" si="36">SUM(U53:U61)-U58</f>
        <v>3681.2000000000003</v>
      </c>
    </row>
    <row r="63" spans="1:21" s="15" customFormat="1" ht="24.95" customHeight="1" thickBot="1">
      <c r="A63" s="13" t="s">
        <v>27</v>
      </c>
      <c r="B63" s="89">
        <f>B52+B62</f>
        <v>3411.9869999999996</v>
      </c>
      <c r="C63" s="89">
        <f>C52+C62</f>
        <v>3405.5320000000002</v>
      </c>
      <c r="D63" s="89">
        <f>D52+D62</f>
        <v>3159.9589999999994</v>
      </c>
      <c r="E63" s="111">
        <f t="shared" ref="E63:T63" si="37">E62+E52</f>
        <v>3092.942</v>
      </c>
      <c r="F63" s="89">
        <f t="shared" si="37"/>
        <v>3067.306</v>
      </c>
      <c r="G63" s="89">
        <f t="shared" si="37"/>
        <v>2945.4119999999998</v>
      </c>
      <c r="H63" s="89">
        <f t="shared" si="37"/>
        <v>2772.4030000000002</v>
      </c>
      <c r="I63" s="89">
        <f t="shared" si="37"/>
        <v>2687.0169999999998</v>
      </c>
      <c r="J63" s="399">
        <f t="shared" si="37"/>
        <v>2742.8450000000003</v>
      </c>
      <c r="K63" s="88">
        <f t="shared" si="37"/>
        <v>18735.399999999998</v>
      </c>
      <c r="L63" s="88">
        <f t="shared" si="37"/>
        <v>18350.5</v>
      </c>
      <c r="M63" s="111">
        <f t="shared" si="37"/>
        <v>18260.528993427175</v>
      </c>
      <c r="N63" s="89">
        <f t="shared" si="37"/>
        <v>17777</v>
      </c>
      <c r="O63" s="89">
        <f t="shared" si="37"/>
        <v>17584</v>
      </c>
      <c r="P63" s="89">
        <f t="shared" si="37"/>
        <v>16083.5</v>
      </c>
      <c r="Q63" s="286">
        <f t="shared" si="37"/>
        <v>16240.000000000002</v>
      </c>
      <c r="R63" s="375">
        <f t="shared" si="37"/>
        <v>17950.3</v>
      </c>
      <c r="S63" s="375">
        <f t="shared" si="37"/>
        <v>16819.5</v>
      </c>
      <c r="T63" s="375">
        <f t="shared" si="37"/>
        <v>16459.611153255708</v>
      </c>
      <c r="U63" s="286">
        <f t="shared" ref="U63" si="38">U62+U52</f>
        <v>16351.700000000003</v>
      </c>
    </row>
    <row r="64" spans="1:21" s="15" customFormat="1" ht="24.95" customHeight="1" thickBot="1">
      <c r="A64" s="92" t="s">
        <v>28</v>
      </c>
      <c r="B64" s="93">
        <f t="shared" ref="B64:T64" si="39">B63+B43</f>
        <v>5502.753999999999</v>
      </c>
      <c r="C64" s="93">
        <f t="shared" si="39"/>
        <v>5597.8010000000004</v>
      </c>
      <c r="D64" s="93">
        <f t="shared" si="39"/>
        <v>5514.8739999999998</v>
      </c>
      <c r="E64" s="124">
        <f t="shared" si="39"/>
        <v>5561.3450000000003</v>
      </c>
      <c r="F64" s="93">
        <f t="shared" si="39"/>
        <v>5629.4740000000002</v>
      </c>
      <c r="G64" s="93">
        <f t="shared" si="39"/>
        <v>5592.7070000000003</v>
      </c>
      <c r="H64" s="93">
        <f t="shared" si="39"/>
        <v>5597.9809999999998</v>
      </c>
      <c r="I64" s="400">
        <f t="shared" si="39"/>
        <v>5688.23</v>
      </c>
      <c r="J64" s="401">
        <f t="shared" si="39"/>
        <v>5851.1939999999995</v>
      </c>
      <c r="K64" s="93">
        <f t="shared" si="39"/>
        <v>27827.1</v>
      </c>
      <c r="L64" s="93">
        <f t="shared" si="39"/>
        <v>27481.200000000001</v>
      </c>
      <c r="M64" s="124">
        <f t="shared" si="39"/>
        <v>27338.728993427176</v>
      </c>
      <c r="N64" s="93">
        <f t="shared" si="39"/>
        <v>27088.9</v>
      </c>
      <c r="O64" s="93">
        <f t="shared" si="39"/>
        <v>27141.800000000003</v>
      </c>
      <c r="P64" s="93">
        <f t="shared" si="39"/>
        <v>26143.5</v>
      </c>
      <c r="Q64" s="289">
        <f t="shared" si="39"/>
        <v>26490.100000000002</v>
      </c>
      <c r="R64" s="377">
        <f t="shared" si="39"/>
        <v>28355.5</v>
      </c>
      <c r="S64" s="377">
        <f t="shared" si="39"/>
        <v>27581.1</v>
      </c>
      <c r="T64" s="377">
        <f t="shared" si="39"/>
        <v>27493.111153255708</v>
      </c>
      <c r="U64" s="289">
        <f t="shared" ref="U64" si="40">U63+U43</f>
        <v>27729.300000000003</v>
      </c>
    </row>
    <row r="65" spans="1:17" s="12" customFormat="1">
      <c r="A65" s="87"/>
      <c r="K65" s="14"/>
      <c r="L65" s="14"/>
      <c r="P65" s="14"/>
    </row>
    <row r="66" spans="1:17" s="12" customFormat="1">
      <c r="A66" s="87"/>
      <c r="K66" s="14"/>
      <c r="L66" s="14"/>
      <c r="P66" s="14"/>
    </row>
    <row r="67" spans="1:17" s="12" customFormat="1" ht="20.100000000000001" customHeight="1">
      <c r="A67" s="544" t="s">
        <v>216</v>
      </c>
      <c r="B67" s="544"/>
      <c r="C67" s="544"/>
      <c r="D67" s="544"/>
      <c r="E67" s="544"/>
      <c r="F67" s="544"/>
      <c r="G67" s="544"/>
      <c r="H67" s="544"/>
      <c r="I67" s="544"/>
      <c r="J67" s="544"/>
      <c r="K67" s="544"/>
      <c r="L67" s="544"/>
      <c r="M67" s="544"/>
      <c r="N67" s="544"/>
      <c r="O67" s="544"/>
      <c r="P67" s="544"/>
      <c r="Q67" s="544"/>
    </row>
    <row r="68" spans="1:17" s="12" customFormat="1" ht="20.100000000000001" customHeight="1">
      <c r="A68" s="544" t="s">
        <v>209</v>
      </c>
      <c r="B68" s="544"/>
      <c r="C68" s="544"/>
      <c r="D68" s="544"/>
      <c r="E68" s="544"/>
      <c r="F68" s="544"/>
      <c r="G68" s="544"/>
      <c r="H68" s="544"/>
      <c r="I68" s="544"/>
      <c r="J68" s="544"/>
      <c r="K68" s="544"/>
      <c r="L68" s="544"/>
      <c r="M68" s="544"/>
      <c r="N68" s="544"/>
      <c r="O68" s="544"/>
      <c r="P68" s="544"/>
      <c r="Q68" s="544"/>
    </row>
    <row r="69" spans="1:17" s="12" customFormat="1">
      <c r="A69" s="10"/>
      <c r="K69" s="14"/>
      <c r="L69" s="14"/>
      <c r="P69" s="14"/>
    </row>
    <row r="70" spans="1:17" s="12" customFormat="1">
      <c r="A70" s="94"/>
      <c r="K70" s="14"/>
      <c r="L70" s="14"/>
      <c r="P70" s="14"/>
    </row>
    <row r="71" spans="1:17" s="12" customFormat="1">
      <c r="A71" s="10"/>
      <c r="K71" s="14"/>
      <c r="L71" s="14"/>
      <c r="P71" s="14"/>
    </row>
    <row r="72" spans="1:17" s="12" customFormat="1">
      <c r="A72" s="10"/>
      <c r="K72" s="14"/>
      <c r="L72" s="14"/>
      <c r="P72" s="14"/>
    </row>
  </sheetData>
  <mergeCells count="7">
    <mergeCell ref="R2:U2"/>
    <mergeCell ref="A67:Q67"/>
    <mergeCell ref="A68:Q68"/>
    <mergeCell ref="B2:E2"/>
    <mergeCell ref="F2:I2"/>
    <mergeCell ref="J2:M2"/>
    <mergeCell ref="N2:Q2"/>
  </mergeCells>
  <phoneticPr fontId="10" type="noConversion"/>
  <pageMargins left="0.70866141732283472" right="0.70866141732283472" top="0.74803149606299213" bottom="0.74803149606299213" header="0.31496062992125984" footer="0.31496062992125984"/>
  <pageSetup paperSize="9" scale="31" orientation="landscape" r:id="rId1"/>
  <ignoredErrors>
    <ignoredError sqref="F28 H28 C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4"/>
  <sheetViews>
    <sheetView showGridLines="0" zoomScaleNormal="100" zoomScaleSheetLayoutView="110" workbookViewId="0">
      <pane xSplit="1" ySplit="3" topLeftCell="Q4" activePane="bottomRight" state="frozen"/>
      <selection pane="topRight" activeCell="B1" sqref="B1"/>
      <selection pane="bottomLeft" activeCell="A4" sqref="A4"/>
      <selection pane="bottomRight" activeCell="B4" sqref="B4"/>
    </sheetView>
  </sheetViews>
  <sheetFormatPr defaultRowHeight="12.75"/>
  <cols>
    <col min="1" max="1" width="62.25" style="6" customWidth="1"/>
    <col min="2" max="2" width="13.125" style="6" customWidth="1"/>
    <col min="3" max="4" width="13" style="6" bestFit="1" customWidth="1"/>
    <col min="5" max="5" width="12.5" style="6" bestFit="1" customWidth="1"/>
    <col min="6" max="6" width="13" style="6" bestFit="1" customWidth="1"/>
    <col min="7" max="8" width="12.875" style="6" customWidth="1"/>
    <col min="9" max="9" width="12.5" style="6" customWidth="1"/>
    <col min="10" max="11" width="13" style="6" bestFit="1" customWidth="1"/>
    <col min="12" max="12" width="12.875" style="6" customWidth="1"/>
    <col min="13" max="13" width="12.5" style="6" customWidth="1"/>
    <col min="14" max="16" width="13" style="6" bestFit="1" customWidth="1"/>
    <col min="17" max="17" width="13" style="6" customWidth="1"/>
    <col min="18" max="20" width="13" style="6" bestFit="1" customWidth="1"/>
    <col min="21" max="21" width="13" style="6" customWidth="1"/>
    <col min="22" max="61" width="9" style="10"/>
    <col min="62" max="16384" width="9" style="6"/>
  </cols>
  <sheetData>
    <row r="1" spans="1:494" s="24" customFormat="1" ht="50.25" customHeight="1" thickBot="1">
      <c r="A1" s="5" t="s">
        <v>183</v>
      </c>
      <c r="B1" s="5"/>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row>
    <row r="2" spans="1:494" s="24" customFormat="1" ht="24.95" customHeight="1">
      <c r="A2" s="8" t="s">
        <v>134</v>
      </c>
      <c r="B2" s="542">
        <v>2012</v>
      </c>
      <c r="C2" s="542"/>
      <c r="D2" s="542"/>
      <c r="E2" s="543"/>
      <c r="F2" s="541">
        <v>2013</v>
      </c>
      <c r="G2" s="542"/>
      <c r="H2" s="542"/>
      <c r="I2" s="543"/>
      <c r="J2" s="542">
        <v>2014</v>
      </c>
      <c r="K2" s="542"/>
      <c r="L2" s="542"/>
      <c r="M2" s="542"/>
      <c r="N2" s="547">
        <v>2015</v>
      </c>
      <c r="O2" s="545"/>
      <c r="P2" s="545"/>
      <c r="Q2" s="546"/>
      <c r="R2" s="541">
        <v>2016</v>
      </c>
      <c r="S2" s="542"/>
      <c r="T2" s="542"/>
      <c r="U2" s="54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row>
    <row r="3" spans="1:494" ht="34.5" customHeight="1" thickBot="1">
      <c r="A3" s="9" t="s">
        <v>107</v>
      </c>
      <c r="B3" s="135" t="s">
        <v>129</v>
      </c>
      <c r="C3" s="135" t="s">
        <v>130</v>
      </c>
      <c r="D3" s="135" t="s">
        <v>131</v>
      </c>
      <c r="E3" s="137" t="s">
        <v>132</v>
      </c>
      <c r="F3" s="136" t="s">
        <v>129</v>
      </c>
      <c r="G3" s="135" t="s">
        <v>130</v>
      </c>
      <c r="H3" s="135" t="s">
        <v>131</v>
      </c>
      <c r="I3" s="137" t="s">
        <v>132</v>
      </c>
      <c r="J3" s="135" t="s">
        <v>129</v>
      </c>
      <c r="K3" s="135" t="s">
        <v>130</v>
      </c>
      <c r="L3" s="135" t="s">
        <v>131</v>
      </c>
      <c r="M3" s="138" t="s">
        <v>132</v>
      </c>
      <c r="N3" s="136" t="s">
        <v>129</v>
      </c>
      <c r="O3" s="135" t="s">
        <v>130</v>
      </c>
      <c r="P3" s="135" t="s">
        <v>131</v>
      </c>
      <c r="Q3" s="279" t="s">
        <v>132</v>
      </c>
      <c r="R3" s="136" t="s">
        <v>129</v>
      </c>
      <c r="S3" s="135" t="s">
        <v>130</v>
      </c>
      <c r="T3" s="135" t="s">
        <v>131</v>
      </c>
      <c r="U3" s="279" t="s">
        <v>132</v>
      </c>
    </row>
    <row r="4" spans="1:494" s="10" customFormat="1" ht="20.100000000000001" customHeight="1" thickBot="1">
      <c r="A4" s="272" t="s">
        <v>133</v>
      </c>
      <c r="B4" s="291">
        <v>205.10900000000001</v>
      </c>
      <c r="C4" s="291">
        <v>304.61200000000002</v>
      </c>
      <c r="D4" s="291">
        <v>476.67400000000004</v>
      </c>
      <c r="E4" s="416">
        <v>598.298</v>
      </c>
      <c r="F4" s="290">
        <v>95.105000000000004</v>
      </c>
      <c r="G4" s="291">
        <v>175.85</v>
      </c>
      <c r="H4" s="291">
        <v>352.30099999999999</v>
      </c>
      <c r="I4" s="416">
        <v>525.44500000000005</v>
      </c>
      <c r="J4" s="291">
        <v>98.171999999999997</v>
      </c>
      <c r="K4" s="291">
        <f>'Skonsolidowany P&amp;L'!L25+'Skonsolidowany P&amp;L'!M25</f>
        <v>230.2999999999999</v>
      </c>
      <c r="L4" s="291">
        <v>278.5</v>
      </c>
      <c r="M4" s="302">
        <v>292.5</v>
      </c>
      <c r="N4" s="290">
        <v>170.8</v>
      </c>
      <c r="O4" s="291">
        <v>475.29999999999984</v>
      </c>
      <c r="P4" s="291">
        <f>SUM('Skonsolidowany P&amp;L'!Q25:S25)</f>
        <v>977.79999999999973</v>
      </c>
      <c r="Q4" s="292">
        <f>SUM('Skonsolidowany P&amp;L'!U25)</f>
        <v>1163.3999999999994</v>
      </c>
      <c r="R4" s="290">
        <f>'Skonsolidowany P&amp;L'!V25</f>
        <v>178.50000000000006</v>
      </c>
      <c r="S4" s="291">
        <f>'Skonsolidowany P&amp;L'!V25+'Skonsolidowany P&amp;L'!W25</f>
        <v>409.40000000000043</v>
      </c>
      <c r="T4" s="291">
        <f>S4+'Skonsolidowany P&amp;L'!X25</f>
        <v>679.20000000000061</v>
      </c>
      <c r="U4" s="292">
        <f>'Skonsolidowany P&amp;L'!Z25</f>
        <v>1021.0000000000001</v>
      </c>
    </row>
    <row r="5" spans="1:494" s="10" customFormat="1" ht="20.100000000000001" customHeight="1" thickBot="1">
      <c r="A5" s="272" t="s">
        <v>29</v>
      </c>
      <c r="B5" s="417">
        <f t="shared" ref="B5:U5" si="0">SUM(B6:B23)</f>
        <v>28.31799999999998</v>
      </c>
      <c r="C5" s="417">
        <f t="shared" si="0"/>
        <v>110.99899999999997</v>
      </c>
      <c r="D5" s="417">
        <f t="shared" si="0"/>
        <v>152.09600000000003</v>
      </c>
      <c r="E5" s="416">
        <f t="shared" si="0"/>
        <v>244.9200000000001</v>
      </c>
      <c r="F5" s="290">
        <f t="shared" si="0"/>
        <v>70.556999999999988</v>
      </c>
      <c r="G5" s="291">
        <f t="shared" si="0"/>
        <v>176.07799999999997</v>
      </c>
      <c r="H5" s="291">
        <f t="shared" si="0"/>
        <v>195.94299999999996</v>
      </c>
      <c r="I5" s="416">
        <f t="shared" si="0"/>
        <v>334.28999999999991</v>
      </c>
      <c r="J5" s="291">
        <f t="shared" si="0"/>
        <v>86.532000000000011</v>
      </c>
      <c r="K5" s="291">
        <f t="shared" si="0"/>
        <v>505.40000000000015</v>
      </c>
      <c r="L5" s="291">
        <f t="shared" si="0"/>
        <v>1145.4000000000003</v>
      </c>
      <c r="M5" s="302">
        <f t="shared" si="0"/>
        <v>1825.2999999999997</v>
      </c>
      <c r="N5" s="290">
        <f t="shared" si="0"/>
        <v>282.2000000000001</v>
      </c>
      <c r="O5" s="291">
        <f t="shared" si="0"/>
        <v>852.69999999999982</v>
      </c>
      <c r="P5" s="291">
        <f t="shared" si="0"/>
        <v>1195.6999999999994</v>
      </c>
      <c r="Q5" s="292">
        <f t="shared" si="0"/>
        <v>1821.6999999999998</v>
      </c>
      <c r="R5" s="290">
        <f t="shared" si="0"/>
        <v>405.9</v>
      </c>
      <c r="S5" s="291">
        <f t="shared" si="0"/>
        <v>1140</v>
      </c>
      <c r="T5" s="291">
        <f t="shared" si="0"/>
        <v>1678.3000000000002</v>
      </c>
      <c r="U5" s="292">
        <f t="shared" si="0"/>
        <v>2130.5</v>
      </c>
    </row>
    <row r="6" spans="1:494" s="10" customFormat="1" ht="20.100000000000001" customHeight="1">
      <c r="A6" s="273" t="s">
        <v>79</v>
      </c>
      <c r="B6" s="294">
        <v>54.433</v>
      </c>
      <c r="C6" s="294">
        <v>111.117</v>
      </c>
      <c r="D6" s="294">
        <v>171.35499999999999</v>
      </c>
      <c r="E6" s="418">
        <v>243.066</v>
      </c>
      <c r="F6" s="293">
        <v>60.698</v>
      </c>
      <c r="G6" s="294">
        <v>122.961</v>
      </c>
      <c r="H6" s="294">
        <v>187.82599999999999</v>
      </c>
      <c r="I6" s="418">
        <v>256.416</v>
      </c>
      <c r="J6" s="303">
        <v>62.434000000000005</v>
      </c>
      <c r="K6" s="303">
        <v>373.8</v>
      </c>
      <c r="L6" s="303">
        <v>852.1</v>
      </c>
      <c r="M6" s="304">
        <v>1295.9000000000001</v>
      </c>
      <c r="N6" s="293">
        <v>467.9</v>
      </c>
      <c r="O6" s="294">
        <v>861.4</v>
      </c>
      <c r="P6" s="294">
        <v>1262.5999999999999</v>
      </c>
      <c r="Q6" s="295">
        <v>1699.3</v>
      </c>
      <c r="R6" s="293">
        <v>423.7</v>
      </c>
      <c r="S6" s="294">
        <v>951.2</v>
      </c>
      <c r="T6" s="294">
        <v>1459.1</v>
      </c>
      <c r="U6" s="295">
        <v>1971.5</v>
      </c>
    </row>
    <row r="7" spans="1:494" s="10" customFormat="1" ht="20.100000000000001" customHeight="1">
      <c r="A7" s="273" t="s">
        <v>52</v>
      </c>
      <c r="B7" s="294">
        <v>-29.711000000000002</v>
      </c>
      <c r="C7" s="294">
        <v>-88.683000000000007</v>
      </c>
      <c r="D7" s="294">
        <v>-140.589</v>
      </c>
      <c r="E7" s="418">
        <v>-177.86799999999999</v>
      </c>
      <c r="F7" s="293">
        <v>-44.32</v>
      </c>
      <c r="G7" s="294">
        <v>-122.45100000000001</v>
      </c>
      <c r="H7" s="294">
        <v>-189.477</v>
      </c>
      <c r="I7" s="418">
        <v>-222.45600000000002</v>
      </c>
      <c r="J7" s="303">
        <v>-109.42100000000001</v>
      </c>
      <c r="K7" s="303">
        <v>-148.9</v>
      </c>
      <c r="L7" s="303">
        <v>-224.7</v>
      </c>
      <c r="M7" s="304">
        <v>-306.8</v>
      </c>
      <c r="N7" s="293">
        <v>-41.5</v>
      </c>
      <c r="O7" s="294">
        <v>-115.2</v>
      </c>
      <c r="P7" s="294">
        <v>-195.4</v>
      </c>
      <c r="Q7" s="295">
        <v>-238.1</v>
      </c>
      <c r="R7" s="293">
        <v>-58.1</v>
      </c>
      <c r="S7" s="294">
        <v>-119</v>
      </c>
      <c r="T7" s="294">
        <v>-189.6</v>
      </c>
      <c r="U7" s="295">
        <v>-246.5</v>
      </c>
    </row>
    <row r="8" spans="1:494" s="10" customFormat="1" ht="20.100000000000001" customHeight="1">
      <c r="A8" s="273" t="s">
        <v>53</v>
      </c>
      <c r="B8" s="294">
        <v>46.908999999999999</v>
      </c>
      <c r="C8" s="294">
        <v>99.832000000000008</v>
      </c>
      <c r="D8" s="294">
        <v>145.40600000000001</v>
      </c>
      <c r="E8" s="418">
        <v>194.52100000000002</v>
      </c>
      <c r="F8" s="293">
        <v>46.048999999999999</v>
      </c>
      <c r="G8" s="294">
        <v>102.423</v>
      </c>
      <c r="H8" s="294">
        <v>162.63200000000001</v>
      </c>
      <c r="I8" s="418">
        <v>220.37100000000001</v>
      </c>
      <c r="J8" s="303">
        <v>40.084000000000003</v>
      </c>
      <c r="K8" s="303">
        <v>85.1</v>
      </c>
      <c r="L8" s="303">
        <v>162.19999999999999</v>
      </c>
      <c r="M8" s="304">
        <v>224.4</v>
      </c>
      <c r="N8" s="293">
        <v>43.7</v>
      </c>
      <c r="O8" s="294">
        <v>90.5</v>
      </c>
      <c r="P8" s="294">
        <v>149.9</v>
      </c>
      <c r="Q8" s="295">
        <v>212.6</v>
      </c>
      <c r="R8" s="293">
        <v>49.1</v>
      </c>
      <c r="S8" s="294">
        <v>125.3</v>
      </c>
      <c r="T8" s="294">
        <v>173.5</v>
      </c>
      <c r="U8" s="295">
        <v>230.7</v>
      </c>
    </row>
    <row r="9" spans="1:494" s="10" customFormat="1" ht="20.100000000000001" customHeight="1">
      <c r="A9" s="273" t="s">
        <v>94</v>
      </c>
      <c r="B9" s="294">
        <v>-1.0999999999999999E-2</v>
      </c>
      <c r="C9" s="294">
        <v>-0.25700000000000001</v>
      </c>
      <c r="D9" s="294">
        <v>-0.48299999999999998</v>
      </c>
      <c r="E9" s="418">
        <v>-0.111</v>
      </c>
      <c r="F9" s="293">
        <v>5.8000000000000003E-2</v>
      </c>
      <c r="G9" s="294">
        <v>7.2999999999999995E-2</v>
      </c>
      <c r="H9" s="294">
        <v>-38.896000000000001</v>
      </c>
      <c r="I9" s="418">
        <v>-35.765000000000001</v>
      </c>
      <c r="J9" s="303">
        <v>-5.2999999999999999E-2</v>
      </c>
      <c r="K9" s="303">
        <v>-0.7</v>
      </c>
      <c r="L9" s="303">
        <v>-2.4</v>
      </c>
      <c r="M9" s="304">
        <v>-2.9</v>
      </c>
      <c r="N9" s="293">
        <v>-0.4</v>
      </c>
      <c r="O9" s="294">
        <v>-4.8</v>
      </c>
      <c r="P9" s="294">
        <v>-5.7</v>
      </c>
      <c r="Q9" s="295">
        <v>-6.9</v>
      </c>
      <c r="R9" s="431" t="s">
        <v>65</v>
      </c>
      <c r="S9" s="432" t="s">
        <v>65</v>
      </c>
      <c r="T9" s="432" t="s">
        <v>65</v>
      </c>
      <c r="U9" s="512" t="s">
        <v>65</v>
      </c>
    </row>
    <row r="10" spans="1:494" s="10" customFormat="1" ht="20.100000000000001" customHeight="1">
      <c r="A10" s="273" t="s">
        <v>54</v>
      </c>
      <c r="B10" s="294">
        <v>2.3109999999999999</v>
      </c>
      <c r="C10" s="294">
        <v>4.6020000000000003</v>
      </c>
      <c r="D10" s="294">
        <v>6.1379999999999999</v>
      </c>
      <c r="E10" s="418">
        <v>9.2439999999999998</v>
      </c>
      <c r="F10" s="293">
        <v>3.504</v>
      </c>
      <c r="G10" s="294">
        <v>5.843</v>
      </c>
      <c r="H10" s="294">
        <v>6.3049999999999997</v>
      </c>
      <c r="I10" s="418">
        <v>6.407</v>
      </c>
      <c r="J10" s="303">
        <v>4.1000000000000002E-2</v>
      </c>
      <c r="K10" s="303">
        <v>0.1</v>
      </c>
      <c r="L10" s="303">
        <v>30.4</v>
      </c>
      <c r="M10" s="304">
        <v>30.5</v>
      </c>
      <c r="N10" s="293">
        <v>0.1</v>
      </c>
      <c r="O10" s="294">
        <v>0.5</v>
      </c>
      <c r="P10" s="294">
        <v>0.5</v>
      </c>
      <c r="Q10" s="295">
        <v>1.4</v>
      </c>
      <c r="R10" s="431" t="s">
        <v>65</v>
      </c>
      <c r="S10" s="432" t="s">
        <v>65</v>
      </c>
      <c r="T10" s="432" t="s">
        <v>65</v>
      </c>
      <c r="U10" s="512" t="s">
        <v>65</v>
      </c>
    </row>
    <row r="11" spans="1:494" s="10" customFormat="1" ht="20.100000000000001" customHeight="1">
      <c r="A11" s="273" t="s">
        <v>30</v>
      </c>
      <c r="B11" s="294">
        <v>52.017000000000003</v>
      </c>
      <c r="C11" s="294">
        <v>105.822</v>
      </c>
      <c r="D11" s="294">
        <v>156.893</v>
      </c>
      <c r="E11" s="418">
        <v>205.185</v>
      </c>
      <c r="F11" s="293">
        <v>46.368000000000002</v>
      </c>
      <c r="G11" s="294">
        <v>93.388999999999996</v>
      </c>
      <c r="H11" s="294">
        <v>140.42699999999999</v>
      </c>
      <c r="I11" s="418">
        <v>183.81100000000001</v>
      </c>
      <c r="J11" s="303">
        <v>90.381</v>
      </c>
      <c r="K11" s="303">
        <v>248.5</v>
      </c>
      <c r="L11" s="303">
        <v>421.4</v>
      </c>
      <c r="M11" s="304">
        <v>603.70000000000005</v>
      </c>
      <c r="N11" s="293">
        <v>177.4</v>
      </c>
      <c r="O11" s="294">
        <v>348.5</v>
      </c>
      <c r="P11" s="294">
        <v>581.29999999999995</v>
      </c>
      <c r="Q11" s="295">
        <v>763.6</v>
      </c>
      <c r="R11" s="293">
        <v>144.69999999999999</v>
      </c>
      <c r="S11" s="294">
        <v>285.89999999999998</v>
      </c>
      <c r="T11" s="294">
        <v>417.4</v>
      </c>
      <c r="U11" s="295">
        <v>541.9</v>
      </c>
    </row>
    <row r="12" spans="1:494" s="10" customFormat="1" ht="20.100000000000001" customHeight="1">
      <c r="A12" s="273" t="s">
        <v>31</v>
      </c>
      <c r="B12" s="294">
        <v>-7.2490000000000006</v>
      </c>
      <c r="C12" s="294">
        <v>-7.3810000000000002</v>
      </c>
      <c r="D12" s="294">
        <v>1.093</v>
      </c>
      <c r="E12" s="418">
        <v>16.173000000000002</v>
      </c>
      <c r="F12" s="293">
        <v>11.273</v>
      </c>
      <c r="G12" s="294">
        <v>4.4740000000000002</v>
      </c>
      <c r="H12" s="294">
        <v>5.9119999999999999</v>
      </c>
      <c r="I12" s="418">
        <v>14.839</v>
      </c>
      <c r="J12" s="303">
        <v>-16.302</v>
      </c>
      <c r="K12" s="303">
        <v>-41.8</v>
      </c>
      <c r="L12" s="303">
        <v>-14.7</v>
      </c>
      <c r="M12" s="304">
        <v>0.5</v>
      </c>
      <c r="N12" s="293">
        <v>48.6</v>
      </c>
      <c r="O12" s="294">
        <v>45.6</v>
      </c>
      <c r="P12" s="294">
        <v>43.3</v>
      </c>
      <c r="Q12" s="295">
        <v>26.4</v>
      </c>
      <c r="R12" s="293">
        <v>21.5</v>
      </c>
      <c r="S12" s="294">
        <v>11.7</v>
      </c>
      <c r="T12" s="294">
        <v>0.7</v>
      </c>
      <c r="U12" s="295">
        <v>3</v>
      </c>
    </row>
    <row r="13" spans="1:494" s="10" customFormat="1" ht="20.100000000000001" customHeight="1">
      <c r="A13" s="273" t="s">
        <v>32</v>
      </c>
      <c r="B13" s="294">
        <v>-48.496000000000002</v>
      </c>
      <c r="C13" s="294">
        <v>-85.073000000000008</v>
      </c>
      <c r="D13" s="294">
        <v>-90.59</v>
      </c>
      <c r="E13" s="418">
        <v>-106.816</v>
      </c>
      <c r="F13" s="293">
        <v>-18.654</v>
      </c>
      <c r="G13" s="294">
        <v>-16.358000000000001</v>
      </c>
      <c r="H13" s="294">
        <v>16.681000000000001</v>
      </c>
      <c r="I13" s="418">
        <v>60.908000000000001</v>
      </c>
      <c r="J13" s="303">
        <v>-5.1610000000000005</v>
      </c>
      <c r="K13" s="303">
        <v>-29.2</v>
      </c>
      <c r="L13" s="303">
        <v>-87.6</v>
      </c>
      <c r="M13" s="304">
        <v>-191.9</v>
      </c>
      <c r="N13" s="293">
        <v>-211.8</v>
      </c>
      <c r="O13" s="294">
        <v>-581.20000000000005</v>
      </c>
      <c r="P13" s="294">
        <v>-349.3</v>
      </c>
      <c r="Q13" s="295">
        <v>-478.2</v>
      </c>
      <c r="R13" s="293">
        <v>-33.9</v>
      </c>
      <c r="S13" s="294">
        <v>-105.3</v>
      </c>
      <c r="T13" s="294">
        <v>-164.6</v>
      </c>
      <c r="U13" s="295">
        <v>-329.9</v>
      </c>
    </row>
    <row r="14" spans="1:494" s="10" customFormat="1" ht="20.100000000000001" customHeight="1">
      <c r="A14" s="273" t="s">
        <v>66</v>
      </c>
      <c r="B14" s="294">
        <v>53.564</v>
      </c>
      <c r="C14" s="294">
        <v>51.881</v>
      </c>
      <c r="D14" s="294">
        <v>66.406999999999996</v>
      </c>
      <c r="E14" s="418">
        <v>67.872</v>
      </c>
      <c r="F14" s="293">
        <v>-36.840000000000003</v>
      </c>
      <c r="G14" s="294">
        <v>-56.231999999999999</v>
      </c>
      <c r="H14" s="294">
        <v>-85.896000000000001</v>
      </c>
      <c r="I14" s="418">
        <v>-104.93900000000001</v>
      </c>
      <c r="J14" s="303">
        <v>31.469000000000001</v>
      </c>
      <c r="K14" s="303">
        <v>-73.8</v>
      </c>
      <c r="L14" s="303">
        <v>-175.9</v>
      </c>
      <c r="M14" s="304">
        <v>-277.7</v>
      </c>
      <c r="N14" s="293">
        <v>-216.1</v>
      </c>
      <c r="O14" s="294">
        <v>69.3</v>
      </c>
      <c r="P14" s="294">
        <v>-184.3</v>
      </c>
      <c r="Q14" s="295">
        <v>-118</v>
      </c>
      <c r="R14" s="293">
        <v>-205.9</v>
      </c>
      <c r="S14" s="294">
        <v>-106.7</v>
      </c>
      <c r="T14" s="294">
        <v>-141.30000000000001</v>
      </c>
      <c r="U14" s="295">
        <v>-33.299999999999997</v>
      </c>
    </row>
    <row r="15" spans="1:494" s="10" customFormat="1" ht="20.100000000000001" customHeight="1">
      <c r="A15" s="273" t="s">
        <v>55</v>
      </c>
      <c r="B15" s="294">
        <v>-0.186</v>
      </c>
      <c r="C15" s="294">
        <v>4.0730000000000004</v>
      </c>
      <c r="D15" s="294">
        <v>0.502</v>
      </c>
      <c r="E15" s="418">
        <v>2.093</v>
      </c>
      <c r="F15" s="293">
        <v>-1.048</v>
      </c>
      <c r="G15" s="294">
        <v>2.4170000000000003</v>
      </c>
      <c r="H15" s="294">
        <v>-3.5390000000000001</v>
      </c>
      <c r="I15" s="418">
        <v>6.4770000000000003</v>
      </c>
      <c r="J15" s="303">
        <v>-13.309000000000001</v>
      </c>
      <c r="K15" s="303">
        <v>-1.5</v>
      </c>
      <c r="L15" s="303">
        <v>-17.399999999999999</v>
      </c>
      <c r="M15" s="304">
        <v>-4.9000000000000004</v>
      </c>
      <c r="N15" s="293">
        <v>-11.7</v>
      </c>
      <c r="O15" s="294">
        <v>-7.6</v>
      </c>
      <c r="P15" s="294">
        <v>-17.7</v>
      </c>
      <c r="Q15" s="295">
        <v>-3.9</v>
      </c>
      <c r="R15" s="293">
        <v>-11.1</v>
      </c>
      <c r="S15" s="294">
        <v>1</v>
      </c>
      <c r="T15" s="294">
        <v>-5.6</v>
      </c>
      <c r="U15" s="295">
        <v>-6.1</v>
      </c>
    </row>
    <row r="16" spans="1:494" s="10" customFormat="1" ht="20.100000000000001" customHeight="1">
      <c r="A16" s="273" t="s">
        <v>56</v>
      </c>
      <c r="B16" s="294">
        <v>-9.7880000000000003</v>
      </c>
      <c r="C16" s="294">
        <v>-10.354000000000001</v>
      </c>
      <c r="D16" s="294">
        <v>-21.978000000000002</v>
      </c>
      <c r="E16" s="418">
        <v>-31.345000000000002</v>
      </c>
      <c r="F16" s="293">
        <v>3.66</v>
      </c>
      <c r="G16" s="294">
        <v>9.0690000000000008</v>
      </c>
      <c r="H16" s="294">
        <v>11.329000000000001</v>
      </c>
      <c r="I16" s="418">
        <v>14.404</v>
      </c>
      <c r="J16" s="303">
        <v>11.066000000000001</v>
      </c>
      <c r="K16" s="303">
        <v>11.1</v>
      </c>
      <c r="L16" s="303">
        <v>-0.2</v>
      </c>
      <c r="M16" s="304">
        <v>-3.9</v>
      </c>
      <c r="N16" s="293">
        <v>-0.6</v>
      </c>
      <c r="O16" s="294">
        <v>5.3</v>
      </c>
      <c r="P16" s="294">
        <v>4.8</v>
      </c>
      <c r="Q16" s="295">
        <v>6.6</v>
      </c>
      <c r="R16" s="293">
        <v>2.5</v>
      </c>
      <c r="S16" s="294">
        <v>4.7</v>
      </c>
      <c r="T16" s="294">
        <v>7.3</v>
      </c>
      <c r="U16" s="295">
        <v>9.8000000000000007</v>
      </c>
    </row>
    <row r="17" spans="1:21" s="10" customFormat="1" ht="20.100000000000001" customHeight="1">
      <c r="A17" s="273" t="s">
        <v>100</v>
      </c>
      <c r="B17" s="294">
        <v>-0.73</v>
      </c>
      <c r="C17" s="294">
        <v>-1.5010000000000001</v>
      </c>
      <c r="D17" s="294">
        <v>-2.044</v>
      </c>
      <c r="E17" s="418">
        <v>-2.8970000000000002</v>
      </c>
      <c r="F17" s="293">
        <v>-0.76200000000000001</v>
      </c>
      <c r="G17" s="294">
        <v>-1.58</v>
      </c>
      <c r="H17" s="294">
        <v>-2.3290000000000002</v>
      </c>
      <c r="I17" s="418">
        <v>-2.9239999999999999</v>
      </c>
      <c r="J17" s="303">
        <v>-0.63300000000000001</v>
      </c>
      <c r="K17" s="303">
        <v>-1.3</v>
      </c>
      <c r="L17" s="303">
        <v>-2</v>
      </c>
      <c r="M17" s="304">
        <v>-2.6</v>
      </c>
      <c r="N17" s="293">
        <v>-0.5</v>
      </c>
      <c r="O17" s="294">
        <v>-1.4</v>
      </c>
      <c r="P17" s="294">
        <v>-1.9</v>
      </c>
      <c r="Q17" s="295">
        <v>-2.6</v>
      </c>
      <c r="R17" s="293">
        <v>-0.8</v>
      </c>
      <c r="S17" s="294">
        <v>0</v>
      </c>
      <c r="T17" s="294">
        <v>0</v>
      </c>
      <c r="U17" s="295">
        <v>0</v>
      </c>
    </row>
    <row r="18" spans="1:21" s="10" customFormat="1" ht="20.100000000000001" customHeight="1">
      <c r="A18" s="273" t="s">
        <v>63</v>
      </c>
      <c r="B18" s="294">
        <v>-87.786000000000001</v>
      </c>
      <c r="C18" s="294">
        <v>-51.798000000000002</v>
      </c>
      <c r="D18" s="294">
        <v>-102.06700000000001</v>
      </c>
      <c r="E18" s="418">
        <v>-111.07600000000001</v>
      </c>
      <c r="F18" s="293">
        <v>25.975999999999999</v>
      </c>
      <c r="G18" s="294">
        <v>77.412999999999997</v>
      </c>
      <c r="H18" s="294">
        <v>39.252000000000002</v>
      </c>
      <c r="I18" s="418">
        <v>16.294</v>
      </c>
      <c r="J18" s="303">
        <v>10.337</v>
      </c>
      <c r="K18" s="303">
        <v>8.8000000000000007</v>
      </c>
      <c r="L18" s="303">
        <v>164.9</v>
      </c>
      <c r="M18" s="304">
        <v>369.9</v>
      </c>
      <c r="N18" s="293">
        <v>37.1</v>
      </c>
      <c r="O18" s="294">
        <v>99.2</v>
      </c>
      <c r="P18" s="294">
        <v>135.80000000000001</v>
      </c>
      <c r="Q18" s="295">
        <v>222</v>
      </c>
      <c r="R18" s="293">
        <v>250.2</v>
      </c>
      <c r="S18" s="294">
        <v>276.10000000000002</v>
      </c>
      <c r="T18" s="294">
        <v>258.3</v>
      </c>
      <c r="U18" s="295">
        <v>270.89999999999998</v>
      </c>
    </row>
    <row r="19" spans="1:21" s="10" customFormat="1" ht="20.100000000000001" customHeight="1">
      <c r="A19" s="273" t="s">
        <v>33</v>
      </c>
      <c r="B19" s="294">
        <v>41.158999999999999</v>
      </c>
      <c r="C19" s="294">
        <v>54.56</v>
      </c>
      <c r="D19" s="294">
        <v>80.768000000000001</v>
      </c>
      <c r="E19" s="418">
        <v>97.349000000000004</v>
      </c>
      <c r="F19" s="293">
        <v>14.031000000000001</v>
      </c>
      <c r="G19" s="294">
        <v>27.457000000000001</v>
      </c>
      <c r="H19" s="294">
        <v>51.835000000000001</v>
      </c>
      <c r="I19" s="418">
        <v>67.376000000000005</v>
      </c>
      <c r="J19" s="303">
        <v>14.384</v>
      </c>
      <c r="K19" s="303">
        <v>31.1</v>
      </c>
      <c r="L19" s="303">
        <v>32.200000000000003</v>
      </c>
      <c r="M19" s="304">
        <v>21.7</v>
      </c>
      <c r="N19" s="293">
        <v>26</v>
      </c>
      <c r="O19" s="294">
        <v>71.900000000000006</v>
      </c>
      <c r="P19" s="294">
        <v>182.7</v>
      </c>
      <c r="Q19" s="295">
        <v>169</v>
      </c>
      <c r="R19" s="293">
        <v>27.2</v>
      </c>
      <c r="S19" s="294">
        <v>48.4</v>
      </c>
      <c r="T19" s="294">
        <v>113.5</v>
      </c>
      <c r="U19" s="295">
        <v>12.4</v>
      </c>
    </row>
    <row r="20" spans="1:21" s="10" customFormat="1" ht="20.100000000000001" customHeight="1">
      <c r="A20" s="273" t="s">
        <v>67</v>
      </c>
      <c r="B20" s="294">
        <v>-38.363</v>
      </c>
      <c r="C20" s="294">
        <v>-76.626000000000005</v>
      </c>
      <c r="D20" s="294">
        <v>-120.02500000000001</v>
      </c>
      <c r="E20" s="418">
        <v>-164.00800000000001</v>
      </c>
      <c r="F20" s="293">
        <v>-40.92</v>
      </c>
      <c r="G20" s="294">
        <v>-81.858999999999995</v>
      </c>
      <c r="H20" s="294">
        <v>-116.813</v>
      </c>
      <c r="I20" s="418">
        <v>-158.85900000000001</v>
      </c>
      <c r="J20" s="303">
        <v>-30.564</v>
      </c>
      <c r="K20" s="303">
        <v>-65.3</v>
      </c>
      <c r="L20" s="303">
        <v>-142.1</v>
      </c>
      <c r="M20" s="304">
        <v>-193.1</v>
      </c>
      <c r="N20" s="293">
        <v>-43.6</v>
      </c>
      <c r="O20" s="294">
        <v>-72.2</v>
      </c>
      <c r="P20" s="294">
        <v>-96.7</v>
      </c>
      <c r="Q20" s="295">
        <v>-134.69999999999999</v>
      </c>
      <c r="R20" s="293">
        <v>-31.1</v>
      </c>
      <c r="S20" s="294">
        <v>-71.2</v>
      </c>
      <c r="T20" s="294">
        <v>-111</v>
      </c>
      <c r="U20" s="295">
        <v>-153</v>
      </c>
    </row>
    <row r="21" spans="1:21" s="10" customFormat="1" ht="25.5">
      <c r="A21" s="522" t="s">
        <v>243</v>
      </c>
      <c r="B21" s="308">
        <v>0</v>
      </c>
      <c r="C21" s="308">
        <v>0</v>
      </c>
      <c r="D21" s="308">
        <v>0</v>
      </c>
      <c r="E21" s="309">
        <v>0</v>
      </c>
      <c r="F21" s="310">
        <v>0</v>
      </c>
      <c r="G21" s="308">
        <v>0</v>
      </c>
      <c r="H21" s="308">
        <v>0</v>
      </c>
      <c r="I21" s="309">
        <v>0</v>
      </c>
      <c r="J21" s="311">
        <v>0</v>
      </c>
      <c r="K21" s="303">
        <v>82.1</v>
      </c>
      <c r="L21" s="303">
        <v>82.1</v>
      </c>
      <c r="M21" s="304">
        <v>82.1</v>
      </c>
      <c r="N21" s="293">
        <v>0</v>
      </c>
      <c r="O21" s="294">
        <v>0</v>
      </c>
      <c r="P21" s="313">
        <v>-371.4</v>
      </c>
      <c r="Q21" s="295">
        <v>-371.4</v>
      </c>
      <c r="R21" s="293">
        <v>0</v>
      </c>
      <c r="S21" s="294">
        <v>0</v>
      </c>
      <c r="T21" s="294">
        <v>0</v>
      </c>
      <c r="U21" s="295">
        <v>0</v>
      </c>
    </row>
    <row r="22" spans="1:21" s="10" customFormat="1" ht="20.100000000000001" customHeight="1">
      <c r="A22" s="273" t="s">
        <v>242</v>
      </c>
      <c r="B22" s="308">
        <v>0</v>
      </c>
      <c r="C22" s="308">
        <v>0</v>
      </c>
      <c r="D22" s="308">
        <v>0</v>
      </c>
      <c r="E22" s="309">
        <v>0</v>
      </c>
      <c r="F22" s="310">
        <v>0</v>
      </c>
      <c r="G22" s="308">
        <v>0</v>
      </c>
      <c r="H22" s="308">
        <v>0</v>
      </c>
      <c r="I22" s="309">
        <v>0</v>
      </c>
      <c r="J22" s="311">
        <v>0</v>
      </c>
      <c r="K22" s="303">
        <v>16.5</v>
      </c>
      <c r="L22" s="303">
        <v>55.4</v>
      </c>
      <c r="M22" s="304">
        <v>84.3</v>
      </c>
      <c r="N22" s="293">
        <v>10.6</v>
      </c>
      <c r="O22" s="294">
        <v>33.9</v>
      </c>
      <c r="P22" s="294">
        <v>37.6</v>
      </c>
      <c r="Q22" s="295">
        <v>53</v>
      </c>
      <c r="R22" s="293">
        <v>-174.6</v>
      </c>
      <c r="S22" s="294">
        <v>-160.19999999999999</v>
      </c>
      <c r="T22" s="294">
        <v>-161.9</v>
      </c>
      <c r="U22" s="295">
        <v>-164.9</v>
      </c>
    </row>
    <row r="23" spans="1:21" s="10" customFormat="1" ht="20.100000000000001" customHeight="1" thickBot="1">
      <c r="A23" s="273" t="s">
        <v>34</v>
      </c>
      <c r="B23" s="294">
        <v>0.245</v>
      </c>
      <c r="C23" s="294">
        <v>0.78500000000000003</v>
      </c>
      <c r="D23" s="294">
        <v>1.31</v>
      </c>
      <c r="E23" s="418">
        <v>3.5380000000000003</v>
      </c>
      <c r="F23" s="293">
        <v>1.484</v>
      </c>
      <c r="G23" s="313">
        <f>4.197+4.842</f>
        <v>9.0389999999999997</v>
      </c>
      <c r="H23" s="313">
        <f>5.852+4.842</f>
        <v>10.693999999999999</v>
      </c>
      <c r="I23" s="418">
        <v>11.93</v>
      </c>
      <c r="J23" s="303">
        <v>1.7790000000000001</v>
      </c>
      <c r="K23" s="303">
        <v>10.8</v>
      </c>
      <c r="L23" s="303">
        <v>11.7</v>
      </c>
      <c r="M23" s="304">
        <v>96.1</v>
      </c>
      <c r="N23" s="293">
        <v>-3</v>
      </c>
      <c r="O23" s="294">
        <v>9</v>
      </c>
      <c r="P23" s="294">
        <v>19.600000000000001</v>
      </c>
      <c r="Q23" s="295">
        <v>21.6</v>
      </c>
      <c r="R23" s="293">
        <v>2.5</v>
      </c>
      <c r="S23" s="294">
        <v>-1.9</v>
      </c>
      <c r="T23" s="294">
        <v>22.5</v>
      </c>
      <c r="U23" s="295">
        <v>24</v>
      </c>
    </row>
    <row r="24" spans="1:21" s="10" customFormat="1" ht="20.100000000000001" customHeight="1" thickBot="1">
      <c r="A24" s="272" t="s">
        <v>37</v>
      </c>
      <c r="B24" s="291">
        <f t="shared" ref="B24:U24" si="1">B4+B5</f>
        <v>233.42699999999999</v>
      </c>
      <c r="C24" s="291">
        <f t="shared" si="1"/>
        <v>415.61099999999999</v>
      </c>
      <c r="D24" s="291">
        <f t="shared" si="1"/>
        <v>628.7700000000001</v>
      </c>
      <c r="E24" s="416">
        <f t="shared" si="1"/>
        <v>843.21800000000007</v>
      </c>
      <c r="F24" s="290">
        <f t="shared" si="1"/>
        <v>165.66199999999998</v>
      </c>
      <c r="G24" s="291">
        <f t="shared" si="1"/>
        <v>351.928</v>
      </c>
      <c r="H24" s="291">
        <f t="shared" si="1"/>
        <v>548.24399999999991</v>
      </c>
      <c r="I24" s="416">
        <f t="shared" si="1"/>
        <v>859.7349999999999</v>
      </c>
      <c r="J24" s="291">
        <f t="shared" si="1"/>
        <v>184.70400000000001</v>
      </c>
      <c r="K24" s="291">
        <f t="shared" si="1"/>
        <v>735.7</v>
      </c>
      <c r="L24" s="291">
        <f t="shared" si="1"/>
        <v>1423.9000000000003</v>
      </c>
      <c r="M24" s="302">
        <f t="shared" si="1"/>
        <v>2117.7999999999997</v>
      </c>
      <c r="N24" s="290">
        <f t="shared" si="1"/>
        <v>453.00000000000011</v>
      </c>
      <c r="O24" s="291">
        <f t="shared" si="1"/>
        <v>1327.9999999999995</v>
      </c>
      <c r="P24" s="291">
        <f t="shared" si="1"/>
        <v>2173.4999999999991</v>
      </c>
      <c r="Q24" s="292">
        <f t="shared" si="1"/>
        <v>2985.0999999999995</v>
      </c>
      <c r="R24" s="290">
        <f t="shared" si="1"/>
        <v>584.40000000000009</v>
      </c>
      <c r="S24" s="291">
        <f t="shared" si="1"/>
        <v>1549.4000000000005</v>
      </c>
      <c r="T24" s="291">
        <f t="shared" si="1"/>
        <v>2357.5000000000009</v>
      </c>
      <c r="U24" s="292">
        <f t="shared" si="1"/>
        <v>3151.5</v>
      </c>
    </row>
    <row r="25" spans="1:21" s="10" customFormat="1" ht="20.100000000000001" customHeight="1">
      <c r="A25" s="273" t="s">
        <v>35</v>
      </c>
      <c r="B25" s="294">
        <v>-12.561</v>
      </c>
      <c r="C25" s="294">
        <v>-47.188000000000002</v>
      </c>
      <c r="D25" s="294">
        <v>-59.765999999999998</v>
      </c>
      <c r="E25" s="418">
        <v>-78.733000000000004</v>
      </c>
      <c r="F25" s="293">
        <v>-13.763</v>
      </c>
      <c r="G25" s="294">
        <v>-26.318999999999999</v>
      </c>
      <c r="H25" s="294">
        <v>-37.451999999999998</v>
      </c>
      <c r="I25" s="418">
        <v>-67.486000000000004</v>
      </c>
      <c r="J25" s="303">
        <v>-17.809000000000001</v>
      </c>
      <c r="K25" s="303">
        <v>-99.5</v>
      </c>
      <c r="L25" s="303">
        <v>-135.19999999999999</v>
      </c>
      <c r="M25" s="304">
        <v>-189.1</v>
      </c>
      <c r="N25" s="293">
        <v>-48.5</v>
      </c>
      <c r="O25" s="294">
        <v>-44.2</v>
      </c>
      <c r="P25" s="294">
        <v>-94.2</v>
      </c>
      <c r="Q25" s="295">
        <v>-136.19999999999999</v>
      </c>
      <c r="R25" s="293">
        <v>-145.69999999999999</v>
      </c>
      <c r="S25" s="294">
        <v>-186.5</v>
      </c>
      <c r="T25" s="294">
        <v>-236.1</v>
      </c>
      <c r="U25" s="295">
        <v>-292.7</v>
      </c>
    </row>
    <row r="26" spans="1:21" s="10" customFormat="1" ht="20.100000000000001" customHeight="1" thickBot="1">
      <c r="A26" s="273" t="s">
        <v>36</v>
      </c>
      <c r="B26" s="294">
        <v>3.843</v>
      </c>
      <c r="C26" s="294">
        <v>8.1440000000000001</v>
      </c>
      <c r="D26" s="294">
        <v>12.96</v>
      </c>
      <c r="E26" s="418">
        <v>16.882000000000001</v>
      </c>
      <c r="F26" s="293">
        <v>3.544</v>
      </c>
      <c r="G26" s="294">
        <v>6.1040000000000001</v>
      </c>
      <c r="H26" s="294">
        <v>8.5630000000000006</v>
      </c>
      <c r="I26" s="418">
        <v>10.41</v>
      </c>
      <c r="J26" s="303">
        <v>2.165</v>
      </c>
      <c r="K26" s="303">
        <v>13.4</v>
      </c>
      <c r="L26" s="303">
        <v>33.1</v>
      </c>
      <c r="M26" s="304">
        <v>45.2</v>
      </c>
      <c r="N26" s="293">
        <v>13.2</v>
      </c>
      <c r="O26" s="294">
        <v>20.5</v>
      </c>
      <c r="P26" s="294">
        <v>30.5</v>
      </c>
      <c r="Q26" s="295">
        <v>38.799999999999997</v>
      </c>
      <c r="R26" s="293">
        <v>8.1</v>
      </c>
      <c r="S26" s="294">
        <v>13.1</v>
      </c>
      <c r="T26" s="294">
        <v>19.5</v>
      </c>
      <c r="U26" s="295">
        <v>25.9</v>
      </c>
    </row>
    <row r="27" spans="1:21" s="10" customFormat="1" ht="24.95" customHeight="1" thickBot="1">
      <c r="A27" s="13" t="s">
        <v>68</v>
      </c>
      <c r="B27" s="297">
        <f t="shared" ref="B27:Q27" si="2">SUM(B24:B26)</f>
        <v>224.70899999999997</v>
      </c>
      <c r="C27" s="297">
        <f t="shared" si="2"/>
        <v>376.56700000000001</v>
      </c>
      <c r="D27" s="297">
        <f t="shared" si="2"/>
        <v>581.96400000000017</v>
      </c>
      <c r="E27" s="286">
        <f t="shared" si="2"/>
        <v>781.36700000000008</v>
      </c>
      <c r="F27" s="296">
        <f t="shared" si="2"/>
        <v>155.44299999999998</v>
      </c>
      <c r="G27" s="297">
        <f t="shared" si="2"/>
        <v>331.71299999999997</v>
      </c>
      <c r="H27" s="297">
        <f t="shared" si="2"/>
        <v>519.3549999999999</v>
      </c>
      <c r="I27" s="286">
        <f t="shared" si="2"/>
        <v>802.65899999999988</v>
      </c>
      <c r="J27" s="297">
        <f t="shared" si="2"/>
        <v>169.06</v>
      </c>
      <c r="K27" s="297">
        <f t="shared" si="2"/>
        <v>649.6</v>
      </c>
      <c r="L27" s="297">
        <f t="shared" si="2"/>
        <v>1321.8000000000002</v>
      </c>
      <c r="M27" s="305">
        <f t="shared" si="2"/>
        <v>1973.8999999999999</v>
      </c>
      <c r="N27" s="296">
        <f t="shared" si="2"/>
        <v>417.7000000000001</v>
      </c>
      <c r="O27" s="297">
        <f t="shared" si="2"/>
        <v>1304.2999999999995</v>
      </c>
      <c r="P27" s="297">
        <f t="shared" si="2"/>
        <v>2109.7999999999993</v>
      </c>
      <c r="Q27" s="298">
        <f t="shared" si="2"/>
        <v>2887.7</v>
      </c>
      <c r="R27" s="296">
        <f t="shared" ref="R27" si="3">SUM(R24:R26)</f>
        <v>446.80000000000013</v>
      </c>
      <c r="S27" s="297">
        <f t="shared" ref="S27:T27" si="4">SUM(S24:S26)</f>
        <v>1376.0000000000005</v>
      </c>
      <c r="T27" s="297">
        <f t="shared" si="4"/>
        <v>2140.900000000001</v>
      </c>
      <c r="U27" s="298">
        <f t="shared" ref="U27" si="5">SUM(U24:U26)</f>
        <v>2884.7000000000003</v>
      </c>
    </row>
    <row r="28" spans="1:21" s="10" customFormat="1" ht="20.100000000000001" customHeight="1">
      <c r="A28" s="273" t="s">
        <v>39</v>
      </c>
      <c r="B28" s="294">
        <v>-13.759</v>
      </c>
      <c r="C28" s="294">
        <v>-28.18</v>
      </c>
      <c r="D28" s="294">
        <v>-40.478000000000002</v>
      </c>
      <c r="E28" s="418">
        <v>-54.936999999999998</v>
      </c>
      <c r="F28" s="293">
        <v>-21.702999999999999</v>
      </c>
      <c r="G28" s="294">
        <v>-40.633000000000003</v>
      </c>
      <c r="H28" s="294">
        <v>-53.000999999999998</v>
      </c>
      <c r="I28" s="418">
        <v>-60.844999999999999</v>
      </c>
      <c r="J28" s="303">
        <v>-19.433</v>
      </c>
      <c r="K28" s="303">
        <v>-93</v>
      </c>
      <c r="L28" s="303">
        <v>-180</v>
      </c>
      <c r="M28" s="304">
        <v>-263.60000000000002</v>
      </c>
      <c r="N28" s="293">
        <v>-137.6</v>
      </c>
      <c r="O28" s="294">
        <v>-187</v>
      </c>
      <c r="P28" s="294">
        <v>-323.2</v>
      </c>
      <c r="Q28" s="295">
        <v>-417.8</v>
      </c>
      <c r="R28" s="293">
        <v>-98.4</v>
      </c>
      <c r="S28" s="294">
        <v>-179.5</v>
      </c>
      <c r="T28" s="294">
        <v>-301.2</v>
      </c>
      <c r="U28" s="295">
        <v>-436.2</v>
      </c>
    </row>
    <row r="29" spans="1:21" s="10" customFormat="1" ht="20.100000000000001" customHeight="1">
      <c r="A29" s="273" t="s">
        <v>38</v>
      </c>
      <c r="B29" s="294">
        <v>-7.0449999999999999</v>
      </c>
      <c r="C29" s="294">
        <v>-11.33</v>
      </c>
      <c r="D29" s="294">
        <v>-23.225000000000001</v>
      </c>
      <c r="E29" s="418">
        <v>-36.24</v>
      </c>
      <c r="F29" s="293">
        <v>-13.377000000000001</v>
      </c>
      <c r="G29" s="294">
        <v>-20.378</v>
      </c>
      <c r="H29" s="294">
        <v>-45.453000000000003</v>
      </c>
      <c r="I29" s="418">
        <v>-62.041000000000004</v>
      </c>
      <c r="J29" s="303">
        <v>-19.987000000000002</v>
      </c>
      <c r="K29" s="303">
        <v>-46.6</v>
      </c>
      <c r="L29" s="303">
        <v>-57.4</v>
      </c>
      <c r="M29" s="304">
        <v>-71.8</v>
      </c>
      <c r="N29" s="293">
        <v>-19.100000000000001</v>
      </c>
      <c r="O29" s="294">
        <v>-90.7</v>
      </c>
      <c r="P29" s="294">
        <v>-111.1</v>
      </c>
      <c r="Q29" s="295">
        <v>-165.3</v>
      </c>
      <c r="R29" s="293">
        <v>-20.3</v>
      </c>
      <c r="S29" s="294">
        <v>-61.3</v>
      </c>
      <c r="T29" s="294">
        <v>-94.6</v>
      </c>
      <c r="U29" s="295">
        <v>-154.19999999999999</v>
      </c>
    </row>
    <row r="30" spans="1:21" s="10" customFormat="1" ht="20.100000000000001" customHeight="1">
      <c r="A30" s="273" t="s">
        <v>99</v>
      </c>
      <c r="B30" s="308">
        <v>0</v>
      </c>
      <c r="C30" s="308">
        <v>0</v>
      </c>
      <c r="D30" s="308">
        <v>0</v>
      </c>
      <c r="E30" s="309">
        <v>0</v>
      </c>
      <c r="F30" s="310">
        <v>0</v>
      </c>
      <c r="G30" s="308">
        <v>0</v>
      </c>
      <c r="H30" s="308">
        <v>0</v>
      </c>
      <c r="I30" s="309">
        <v>0</v>
      </c>
      <c r="J30" s="310">
        <v>0</v>
      </c>
      <c r="K30" s="294">
        <v>0</v>
      </c>
      <c r="L30" s="294">
        <v>-482.3</v>
      </c>
      <c r="M30" s="304">
        <v>-482.3</v>
      </c>
      <c r="N30" s="293">
        <v>0</v>
      </c>
      <c r="O30" s="294">
        <v>0</v>
      </c>
      <c r="P30" s="294">
        <v>-118.7</v>
      </c>
      <c r="Q30" s="295">
        <v>-118.7</v>
      </c>
      <c r="R30" s="293">
        <v>-147.69999999999999</v>
      </c>
      <c r="S30" s="294">
        <v>-147.69999999999999</v>
      </c>
      <c r="T30" s="294">
        <v>-268.5</v>
      </c>
      <c r="U30" s="295">
        <v>-268.5</v>
      </c>
    </row>
    <row r="31" spans="1:21" s="10" customFormat="1" ht="20.100000000000001" customHeight="1">
      <c r="A31" s="273" t="s">
        <v>71</v>
      </c>
      <c r="B31" s="294">
        <v>-2.3290000000000002</v>
      </c>
      <c r="C31" s="294">
        <v>-45.099000000000004</v>
      </c>
      <c r="D31" s="294">
        <v>-45.329000000000001</v>
      </c>
      <c r="E31" s="418">
        <v>-45.710999999999999</v>
      </c>
      <c r="F31" s="293">
        <v>-0.153</v>
      </c>
      <c r="G31" s="294">
        <v>-0.26800000000000002</v>
      </c>
      <c r="H31" s="294">
        <v>-64.186999999999998</v>
      </c>
      <c r="I31" s="418">
        <v>-64.266000000000005</v>
      </c>
      <c r="J31" s="311">
        <v>0</v>
      </c>
      <c r="K31" s="303">
        <v>1800.4</v>
      </c>
      <c r="L31" s="303">
        <v>1800.4</v>
      </c>
      <c r="M31" s="304">
        <v>1800.4</v>
      </c>
      <c r="N31" s="293">
        <v>-4.2</v>
      </c>
      <c r="O31" s="294">
        <v>-29.5</v>
      </c>
      <c r="P31" s="294">
        <v>-29.5</v>
      </c>
      <c r="Q31" s="295">
        <v>-29.5</v>
      </c>
      <c r="R31" s="293">
        <v>262.2</v>
      </c>
      <c r="S31" s="294">
        <v>-145.30000000000001</v>
      </c>
      <c r="T31" s="294">
        <v>-144.4</v>
      </c>
      <c r="U31" s="295">
        <v>-144.4</v>
      </c>
    </row>
    <row r="32" spans="1:21" s="10" customFormat="1" ht="20.100000000000001" customHeight="1">
      <c r="A32" s="273" t="s">
        <v>212</v>
      </c>
      <c r="B32" s="308">
        <v>0</v>
      </c>
      <c r="C32" s="308">
        <v>0</v>
      </c>
      <c r="D32" s="308">
        <v>0</v>
      </c>
      <c r="E32" s="309">
        <v>0</v>
      </c>
      <c r="F32" s="310">
        <v>0</v>
      </c>
      <c r="G32" s="308">
        <v>0</v>
      </c>
      <c r="H32" s="294">
        <v>48.219000000000001</v>
      </c>
      <c r="I32" s="418">
        <v>48.736000000000004</v>
      </c>
      <c r="J32" s="311">
        <v>0</v>
      </c>
      <c r="K32" s="303">
        <v>0</v>
      </c>
      <c r="L32" s="303">
        <v>0</v>
      </c>
      <c r="M32" s="304">
        <v>0</v>
      </c>
      <c r="N32" s="293">
        <v>0</v>
      </c>
      <c r="O32" s="294">
        <v>0</v>
      </c>
      <c r="P32" s="294">
        <v>0</v>
      </c>
      <c r="Q32" s="295">
        <v>0</v>
      </c>
      <c r="R32" s="293">
        <v>0</v>
      </c>
      <c r="S32" s="313">
        <v>0.2</v>
      </c>
      <c r="T32" s="313">
        <v>0.2</v>
      </c>
      <c r="U32" s="295">
        <v>0</v>
      </c>
    </row>
    <row r="33" spans="1:21" s="10" customFormat="1" ht="20.100000000000001" customHeight="1">
      <c r="A33" s="273" t="s">
        <v>49</v>
      </c>
      <c r="B33" s="294">
        <v>0.09</v>
      </c>
      <c r="C33" s="294">
        <v>0.121</v>
      </c>
      <c r="D33" s="294">
        <v>0.69000000000000006</v>
      </c>
      <c r="E33" s="418">
        <v>0.751</v>
      </c>
      <c r="F33" s="293">
        <v>0.35000000000000003</v>
      </c>
      <c r="G33" s="294">
        <v>0.41000000000000003</v>
      </c>
      <c r="H33" s="294">
        <v>1.756</v>
      </c>
      <c r="I33" s="418">
        <v>2.0640000000000001</v>
      </c>
      <c r="J33" s="311">
        <v>0.33700000000000002</v>
      </c>
      <c r="K33" s="303">
        <v>1.6</v>
      </c>
      <c r="L33" s="303">
        <v>4</v>
      </c>
      <c r="M33" s="304">
        <v>4.0999999999999996</v>
      </c>
      <c r="N33" s="293">
        <v>0.2</v>
      </c>
      <c r="O33" s="294">
        <v>13.3</v>
      </c>
      <c r="P33" s="294">
        <v>15.1</v>
      </c>
      <c r="Q33" s="295">
        <v>16.899999999999999</v>
      </c>
      <c r="R33" s="293">
        <v>3.5</v>
      </c>
      <c r="S33" s="294">
        <v>5</v>
      </c>
      <c r="T33" s="294">
        <v>6.3</v>
      </c>
      <c r="U33" s="295">
        <v>9.5</v>
      </c>
    </row>
    <row r="34" spans="1:21" s="10" customFormat="1" ht="20.100000000000001" customHeight="1">
      <c r="A34" s="273" t="s">
        <v>96</v>
      </c>
      <c r="B34" s="308">
        <v>0</v>
      </c>
      <c r="C34" s="308">
        <v>0</v>
      </c>
      <c r="D34" s="308">
        <v>0</v>
      </c>
      <c r="E34" s="309">
        <v>0</v>
      </c>
      <c r="F34" s="310">
        <v>0</v>
      </c>
      <c r="G34" s="308">
        <v>0</v>
      </c>
      <c r="H34" s="308">
        <v>0</v>
      </c>
      <c r="I34" s="309">
        <v>0</v>
      </c>
      <c r="J34" s="311">
        <v>0</v>
      </c>
      <c r="K34" s="303">
        <v>-270</v>
      </c>
      <c r="L34" s="303">
        <v>-30</v>
      </c>
      <c r="M34" s="304">
        <v>0</v>
      </c>
      <c r="N34" s="293">
        <v>-42.7</v>
      </c>
      <c r="O34" s="294">
        <v>-42.7</v>
      </c>
      <c r="P34" s="294">
        <v>0</v>
      </c>
      <c r="Q34" s="295">
        <v>0</v>
      </c>
      <c r="R34" s="293">
        <v>-12.4</v>
      </c>
      <c r="S34" s="294">
        <v>0</v>
      </c>
      <c r="T34" s="294">
        <v>0</v>
      </c>
      <c r="U34" s="295">
        <v>0</v>
      </c>
    </row>
    <row r="35" spans="1:21" s="10" customFormat="1" ht="20.100000000000001" customHeight="1">
      <c r="A35" s="273" t="s">
        <v>48</v>
      </c>
      <c r="B35" s="294">
        <v>-1.1000000000000001</v>
      </c>
      <c r="C35" s="294">
        <v>-1.1000000000000001</v>
      </c>
      <c r="D35" s="294">
        <v>-1.1000000000000001</v>
      </c>
      <c r="E35" s="418">
        <v>-1.1000000000000001</v>
      </c>
      <c r="F35" s="310">
        <v>0</v>
      </c>
      <c r="G35" s="308">
        <v>0</v>
      </c>
      <c r="H35" s="308">
        <v>0</v>
      </c>
      <c r="I35" s="309">
        <v>0</v>
      </c>
      <c r="J35" s="311">
        <v>0</v>
      </c>
      <c r="K35" s="303">
        <v>-5.8</v>
      </c>
      <c r="L35" s="303">
        <v>-20.399999999999999</v>
      </c>
      <c r="M35" s="304">
        <v>-23.1</v>
      </c>
      <c r="N35" s="293">
        <v>-6</v>
      </c>
      <c r="O35" s="294">
        <v>-8.9</v>
      </c>
      <c r="P35" s="294">
        <v>-12.1</v>
      </c>
      <c r="Q35" s="295">
        <v>-16.100000000000001</v>
      </c>
      <c r="R35" s="293">
        <v>-6.8</v>
      </c>
      <c r="S35" s="294">
        <v>-9.5</v>
      </c>
      <c r="T35" s="294">
        <v>-10.5</v>
      </c>
      <c r="U35" s="295">
        <v>-11.6</v>
      </c>
    </row>
    <row r="36" spans="1:21" s="10" customFormat="1" ht="20.100000000000001" customHeight="1">
      <c r="A36" s="273" t="s">
        <v>50</v>
      </c>
      <c r="B36" s="294">
        <v>0</v>
      </c>
      <c r="C36" s="294">
        <v>1.1000000000000001</v>
      </c>
      <c r="D36" s="294">
        <v>1.1000000000000001</v>
      </c>
      <c r="E36" s="418">
        <v>1.1000000000000001</v>
      </c>
      <c r="F36" s="310">
        <v>0</v>
      </c>
      <c r="G36" s="308">
        <v>0</v>
      </c>
      <c r="H36" s="308">
        <v>0</v>
      </c>
      <c r="I36" s="309">
        <v>0</v>
      </c>
      <c r="J36" s="311">
        <v>0</v>
      </c>
      <c r="K36" s="303">
        <v>0</v>
      </c>
      <c r="L36" s="303">
        <v>0</v>
      </c>
      <c r="M36" s="304">
        <v>0</v>
      </c>
      <c r="N36" s="293">
        <v>0</v>
      </c>
      <c r="O36" s="294">
        <v>0</v>
      </c>
      <c r="P36" s="294">
        <v>0</v>
      </c>
      <c r="Q36" s="295">
        <v>0</v>
      </c>
      <c r="R36" s="293">
        <v>0</v>
      </c>
      <c r="S36" s="294">
        <v>0</v>
      </c>
      <c r="T36" s="294">
        <v>0</v>
      </c>
      <c r="U36" s="295">
        <v>0.1</v>
      </c>
    </row>
    <row r="37" spans="1:21" s="10" customFormat="1" ht="20.100000000000001" customHeight="1">
      <c r="A37" s="273" t="s">
        <v>95</v>
      </c>
      <c r="B37" s="308">
        <v>0</v>
      </c>
      <c r="C37" s="308">
        <v>0</v>
      </c>
      <c r="D37" s="308">
        <v>0</v>
      </c>
      <c r="E37" s="309">
        <v>0</v>
      </c>
      <c r="F37" s="310">
        <v>0</v>
      </c>
      <c r="G37" s="308">
        <v>0</v>
      </c>
      <c r="H37" s="308">
        <v>0</v>
      </c>
      <c r="I37" s="309">
        <v>0</v>
      </c>
      <c r="J37" s="311">
        <v>0</v>
      </c>
      <c r="K37" s="303">
        <v>5</v>
      </c>
      <c r="L37" s="303">
        <v>5.5</v>
      </c>
      <c r="M37" s="304">
        <v>6.6</v>
      </c>
      <c r="N37" s="293">
        <v>1.2</v>
      </c>
      <c r="O37" s="294">
        <v>-2.1</v>
      </c>
      <c r="P37" s="294">
        <v>3.2</v>
      </c>
      <c r="Q37" s="295">
        <v>3.9</v>
      </c>
      <c r="R37" s="293">
        <v>-5</v>
      </c>
      <c r="S37" s="294">
        <v>-4</v>
      </c>
      <c r="T37" s="294">
        <v>-3.5</v>
      </c>
      <c r="U37" s="295">
        <v>-1.6</v>
      </c>
    </row>
    <row r="38" spans="1:21" s="10" customFormat="1" ht="20.100000000000001" customHeight="1">
      <c r="A38" s="273" t="s">
        <v>80</v>
      </c>
      <c r="B38" s="308">
        <v>0</v>
      </c>
      <c r="C38" s="294">
        <v>1.258</v>
      </c>
      <c r="D38" s="294">
        <v>1.258</v>
      </c>
      <c r="E38" s="418">
        <v>2.706</v>
      </c>
      <c r="F38" s="293">
        <v>0</v>
      </c>
      <c r="G38" s="294">
        <v>2.5150000000000001</v>
      </c>
      <c r="H38" s="294">
        <v>2.5150000000000001</v>
      </c>
      <c r="I38" s="418">
        <v>2.5150000000000001</v>
      </c>
      <c r="J38" s="303">
        <v>2.5300000000000002</v>
      </c>
      <c r="K38" s="303">
        <v>2.5</v>
      </c>
      <c r="L38" s="303">
        <v>2.5</v>
      </c>
      <c r="M38" s="304">
        <v>2.5</v>
      </c>
      <c r="N38" s="293">
        <v>0</v>
      </c>
      <c r="O38" s="294">
        <v>0</v>
      </c>
      <c r="P38" s="294">
        <v>0</v>
      </c>
      <c r="Q38" s="295">
        <v>0</v>
      </c>
      <c r="R38" s="293">
        <v>0</v>
      </c>
      <c r="S38" s="294">
        <v>0</v>
      </c>
      <c r="T38" s="294">
        <v>0</v>
      </c>
      <c r="U38" s="295">
        <v>0</v>
      </c>
    </row>
    <row r="39" spans="1:21" s="10" customFormat="1" ht="20.100000000000001" customHeight="1" thickBot="1">
      <c r="A39" s="273" t="s">
        <v>72</v>
      </c>
      <c r="B39" s="308">
        <v>0</v>
      </c>
      <c r="C39" s="308">
        <v>0</v>
      </c>
      <c r="D39" s="308">
        <v>0</v>
      </c>
      <c r="E39" s="309">
        <v>0</v>
      </c>
      <c r="F39" s="310">
        <v>0</v>
      </c>
      <c r="G39" s="308">
        <v>0</v>
      </c>
      <c r="H39" s="308">
        <v>0</v>
      </c>
      <c r="I39" s="309">
        <v>0</v>
      </c>
      <c r="J39" s="311">
        <v>0</v>
      </c>
      <c r="K39" s="303">
        <v>0</v>
      </c>
      <c r="L39" s="303">
        <v>0</v>
      </c>
      <c r="M39" s="304">
        <v>0</v>
      </c>
      <c r="N39" s="293">
        <v>0</v>
      </c>
      <c r="O39" s="294">
        <v>0</v>
      </c>
      <c r="P39" s="294">
        <v>0</v>
      </c>
      <c r="Q39" s="295">
        <v>0</v>
      </c>
      <c r="R39" s="293">
        <v>0</v>
      </c>
      <c r="S39" s="294">
        <v>1</v>
      </c>
      <c r="T39" s="294">
        <v>1</v>
      </c>
      <c r="U39" s="295">
        <v>3.5</v>
      </c>
    </row>
    <row r="40" spans="1:21" s="10" customFormat="1" ht="24.95" customHeight="1" thickBot="1">
      <c r="A40" s="13" t="s">
        <v>69</v>
      </c>
      <c r="B40" s="297">
        <f t="shared" ref="B40:U40" si="6">SUM(B28:B39)</f>
        <v>-24.143000000000004</v>
      </c>
      <c r="C40" s="297">
        <f t="shared" si="6"/>
        <v>-83.230000000000018</v>
      </c>
      <c r="D40" s="297">
        <f t="shared" si="6"/>
        <v>-107.08400000000002</v>
      </c>
      <c r="E40" s="286">
        <f t="shared" si="6"/>
        <v>-133.43099999999998</v>
      </c>
      <c r="F40" s="296">
        <f t="shared" si="6"/>
        <v>-34.882999999999996</v>
      </c>
      <c r="G40" s="297">
        <f t="shared" si="6"/>
        <v>-58.354000000000006</v>
      </c>
      <c r="H40" s="297">
        <f t="shared" si="6"/>
        <v>-110.15100000000002</v>
      </c>
      <c r="I40" s="286">
        <f t="shared" si="6"/>
        <v>-133.83700000000002</v>
      </c>
      <c r="J40" s="296">
        <f t="shared" si="6"/>
        <v>-36.552999999999997</v>
      </c>
      <c r="K40" s="297">
        <f t="shared" si="6"/>
        <v>1394.1000000000001</v>
      </c>
      <c r="L40" s="297">
        <f t="shared" si="6"/>
        <v>1042.3</v>
      </c>
      <c r="M40" s="305">
        <f t="shared" si="6"/>
        <v>972.80000000000007</v>
      </c>
      <c r="N40" s="296">
        <f t="shared" si="6"/>
        <v>-208.2</v>
      </c>
      <c r="O40" s="297">
        <f t="shared" si="6"/>
        <v>-347.59999999999997</v>
      </c>
      <c r="P40" s="297">
        <f t="shared" si="6"/>
        <v>-576.29999999999995</v>
      </c>
      <c r="Q40" s="298">
        <f t="shared" si="6"/>
        <v>-726.60000000000014</v>
      </c>
      <c r="R40" s="296">
        <f t="shared" si="6"/>
        <v>-24.899999999999988</v>
      </c>
      <c r="S40" s="297">
        <f t="shared" si="6"/>
        <v>-541.09999999999991</v>
      </c>
      <c r="T40" s="297">
        <f t="shared" si="6"/>
        <v>-815.19999999999993</v>
      </c>
      <c r="U40" s="298">
        <f t="shared" si="6"/>
        <v>-1003.4</v>
      </c>
    </row>
    <row r="41" spans="1:21" s="10" customFormat="1" ht="20.100000000000001" customHeight="1">
      <c r="A41" s="273" t="s">
        <v>45</v>
      </c>
      <c r="B41" s="294">
        <v>-26.754999999999999</v>
      </c>
      <c r="C41" s="294">
        <v>-155.76300000000001</v>
      </c>
      <c r="D41" s="294">
        <v>-397.57499999999999</v>
      </c>
      <c r="E41" s="418">
        <v>-453.32400000000001</v>
      </c>
      <c r="F41" s="293">
        <v>-49.813000000000002</v>
      </c>
      <c r="G41" s="294">
        <v>-192.59</v>
      </c>
      <c r="H41" s="294">
        <v>-366.16200000000003</v>
      </c>
      <c r="I41" s="418">
        <v>-431.11700000000002</v>
      </c>
      <c r="J41" s="303">
        <v>-37.393999999999998</v>
      </c>
      <c r="K41" s="303">
        <v>-547.1</v>
      </c>
      <c r="L41" s="303">
        <v>-747.1</v>
      </c>
      <c r="M41" s="304">
        <v>-1087.0999999999999</v>
      </c>
      <c r="N41" s="293">
        <v>-157</v>
      </c>
      <c r="O41" s="294">
        <v>-954.2</v>
      </c>
      <c r="P41" s="294">
        <v>-9222.2000000000007</v>
      </c>
      <c r="Q41" s="295">
        <v>-9222.2000000000007</v>
      </c>
      <c r="R41" s="293">
        <v>-916.1</v>
      </c>
      <c r="S41" s="294">
        <v>-1498.9</v>
      </c>
      <c r="T41" s="294">
        <v>-1706.9</v>
      </c>
      <c r="U41" s="295">
        <v>-1940.9</v>
      </c>
    </row>
    <row r="42" spans="1:21" s="10" customFormat="1" ht="20.100000000000001" customHeight="1">
      <c r="A42" s="273" t="s">
        <v>104</v>
      </c>
      <c r="B42" s="308">
        <v>0</v>
      </c>
      <c r="C42" s="308">
        <v>0</v>
      </c>
      <c r="D42" s="308">
        <v>0</v>
      </c>
      <c r="E42" s="309">
        <v>0</v>
      </c>
      <c r="F42" s="310">
        <v>0</v>
      </c>
      <c r="G42" s="308">
        <v>0</v>
      </c>
      <c r="H42" s="308">
        <v>0</v>
      </c>
      <c r="I42" s="309">
        <v>0</v>
      </c>
      <c r="J42" s="311">
        <v>0</v>
      </c>
      <c r="K42" s="303">
        <v>2800</v>
      </c>
      <c r="L42" s="303">
        <v>2800</v>
      </c>
      <c r="M42" s="304">
        <v>2800</v>
      </c>
      <c r="N42" s="293">
        <v>50</v>
      </c>
      <c r="O42" s="294">
        <v>120</v>
      </c>
      <c r="P42" s="294">
        <v>6820</v>
      </c>
      <c r="Q42" s="295">
        <v>6820</v>
      </c>
      <c r="R42" s="293">
        <v>5500</v>
      </c>
      <c r="S42" s="294">
        <v>5500</v>
      </c>
      <c r="T42" s="294">
        <v>5500</v>
      </c>
      <c r="U42" s="295">
        <v>5500</v>
      </c>
    </row>
    <row r="43" spans="1:21" s="10" customFormat="1" ht="20.100000000000001" customHeight="1">
      <c r="A43" s="273" t="s">
        <v>213</v>
      </c>
      <c r="B43" s="308">
        <v>0</v>
      </c>
      <c r="C43" s="308">
        <v>0</v>
      </c>
      <c r="D43" s="308">
        <v>0</v>
      </c>
      <c r="E43" s="309">
        <v>0</v>
      </c>
      <c r="F43" s="310">
        <v>0</v>
      </c>
      <c r="G43" s="308">
        <v>0</v>
      </c>
      <c r="H43" s="308">
        <v>0</v>
      </c>
      <c r="I43" s="309">
        <v>0</v>
      </c>
      <c r="J43" s="311">
        <v>0</v>
      </c>
      <c r="K43" s="303">
        <v>-2275.9</v>
      </c>
      <c r="L43" s="303">
        <v>-2275.9</v>
      </c>
      <c r="M43" s="304">
        <v>-2275.9</v>
      </c>
      <c r="N43" s="293">
        <v>0</v>
      </c>
      <c r="O43" s="294">
        <v>0</v>
      </c>
      <c r="P43" s="294">
        <v>1000</v>
      </c>
      <c r="Q43" s="295">
        <v>1000</v>
      </c>
      <c r="R43" s="293">
        <v>-4483.8</v>
      </c>
      <c r="S43" s="294">
        <v>-4483.8</v>
      </c>
      <c r="T43" s="294">
        <v>-4483.8</v>
      </c>
      <c r="U43" s="295">
        <v>-4484</v>
      </c>
    </row>
    <row r="44" spans="1:21" s="10" customFormat="1" ht="20.100000000000001" customHeight="1">
      <c r="A44" s="273" t="s">
        <v>186</v>
      </c>
      <c r="B44" s="308"/>
      <c r="C44" s="308"/>
      <c r="D44" s="308"/>
      <c r="E44" s="309"/>
      <c r="F44" s="310"/>
      <c r="G44" s="308"/>
      <c r="H44" s="308"/>
      <c r="I44" s="309"/>
      <c r="J44" s="311"/>
      <c r="K44" s="303"/>
      <c r="L44" s="303"/>
      <c r="M44" s="304"/>
      <c r="N44" s="293"/>
      <c r="O44" s="294"/>
      <c r="P44" s="294"/>
      <c r="Q44" s="295"/>
      <c r="R44" s="293">
        <v>-262.10000000000002</v>
      </c>
      <c r="S44" s="294">
        <v>-262.10000000000002</v>
      </c>
      <c r="T44" s="294">
        <v>-262.10000000000002</v>
      </c>
      <c r="U44" s="295">
        <v>-262.10000000000002</v>
      </c>
    </row>
    <row r="45" spans="1:21" s="10" customFormat="1" ht="20.100000000000001" customHeight="1">
      <c r="A45" s="273" t="s">
        <v>187</v>
      </c>
      <c r="B45" s="308"/>
      <c r="C45" s="308"/>
      <c r="D45" s="308"/>
      <c r="E45" s="309"/>
      <c r="F45" s="310"/>
      <c r="G45" s="308"/>
      <c r="H45" s="308"/>
      <c r="I45" s="309"/>
      <c r="J45" s="311"/>
      <c r="K45" s="303"/>
      <c r="L45" s="303"/>
      <c r="M45" s="304"/>
      <c r="N45" s="293"/>
      <c r="O45" s="294"/>
      <c r="P45" s="294"/>
      <c r="Q45" s="295"/>
      <c r="R45" s="293">
        <v>175.4</v>
      </c>
      <c r="S45" s="294">
        <v>175.4</v>
      </c>
      <c r="T45" s="294">
        <v>175.4</v>
      </c>
      <c r="U45" s="295">
        <v>175.4</v>
      </c>
    </row>
    <row r="46" spans="1:21" s="10" customFormat="1" ht="27.75">
      <c r="A46" s="274" t="s">
        <v>214</v>
      </c>
      <c r="B46" s="294">
        <v>-26.132999999999999</v>
      </c>
      <c r="C46" s="294">
        <f>(-103258-821)*0.001</f>
        <v>-104.07900000000001</v>
      </c>
      <c r="D46" s="294">
        <f>(-125824-2250)*0.001</f>
        <v>-128.07400000000001</v>
      </c>
      <c r="E46" s="418">
        <f>(-195934-3683)*0.001</f>
        <v>-199.61699999999999</v>
      </c>
      <c r="F46" s="293">
        <f>(-15811-1035)*0.001</f>
        <v>-16.846</v>
      </c>
      <c r="G46" s="294">
        <f>(-84439-1241)*0.001</f>
        <v>-85.68</v>
      </c>
      <c r="H46" s="294">
        <f>(-96215-1689)*0.001</f>
        <v>-97.903999999999996</v>
      </c>
      <c r="I46" s="418">
        <v>-165.017</v>
      </c>
      <c r="J46" s="303">
        <v>-9.0950000000000006</v>
      </c>
      <c r="K46" s="303">
        <v>-348.3</v>
      </c>
      <c r="L46" s="303">
        <v>-733.5</v>
      </c>
      <c r="M46" s="304">
        <v>-872.2</v>
      </c>
      <c r="N46" s="293">
        <v>-357.9</v>
      </c>
      <c r="O46" s="294">
        <v>-472.3</v>
      </c>
      <c r="P46" s="294">
        <v>-804.1</v>
      </c>
      <c r="Q46" s="295">
        <v>-978.9</v>
      </c>
      <c r="R46" s="293">
        <v>-383.2</v>
      </c>
      <c r="S46" s="294">
        <v>-507.9</v>
      </c>
      <c r="T46" s="294">
        <v>-631.70000000000005</v>
      </c>
      <c r="U46" s="295">
        <v>-729.6</v>
      </c>
    </row>
    <row r="47" spans="1:21" s="10" customFormat="1" ht="20.100000000000001" customHeight="1">
      <c r="A47" s="273" t="s">
        <v>215</v>
      </c>
      <c r="B47" s="294"/>
      <c r="C47" s="294"/>
      <c r="D47" s="294"/>
      <c r="E47" s="418"/>
      <c r="F47" s="293"/>
      <c r="G47" s="294"/>
      <c r="H47" s="294"/>
      <c r="I47" s="418"/>
      <c r="J47" s="303"/>
      <c r="K47" s="303"/>
      <c r="L47" s="303"/>
      <c r="M47" s="304"/>
      <c r="N47" s="293"/>
      <c r="O47" s="294"/>
      <c r="P47" s="294"/>
      <c r="Q47" s="295"/>
      <c r="R47" s="293"/>
      <c r="S47" s="294">
        <v>-323.60000000000002</v>
      </c>
      <c r="T47" s="294">
        <v>-323.60000000000002</v>
      </c>
      <c r="U47" s="295">
        <v>-323.60000000000002</v>
      </c>
    </row>
    <row r="48" spans="1:21" s="10" customFormat="1" ht="20.100000000000001" customHeight="1">
      <c r="A48" s="273" t="s">
        <v>44</v>
      </c>
      <c r="B48" s="308">
        <v>0</v>
      </c>
      <c r="C48" s="308">
        <v>0</v>
      </c>
      <c r="D48" s="308">
        <v>0</v>
      </c>
      <c r="E48" s="309">
        <v>0</v>
      </c>
      <c r="F48" s="310">
        <v>0</v>
      </c>
      <c r="G48" s="308">
        <v>0</v>
      </c>
      <c r="H48" s="308">
        <v>0</v>
      </c>
      <c r="I48" s="309">
        <v>0</v>
      </c>
      <c r="J48" s="311">
        <v>0</v>
      </c>
      <c r="K48" s="303">
        <v>-102.9</v>
      </c>
      <c r="L48" s="303">
        <v>-102.9</v>
      </c>
      <c r="M48" s="304">
        <v>-102.9</v>
      </c>
      <c r="N48" s="293">
        <v>0</v>
      </c>
      <c r="O48" s="294">
        <v>0</v>
      </c>
      <c r="P48" s="294">
        <v>0</v>
      </c>
      <c r="Q48" s="295">
        <v>0</v>
      </c>
      <c r="R48" s="293">
        <v>0</v>
      </c>
      <c r="S48" s="294">
        <v>0</v>
      </c>
      <c r="T48" s="294">
        <v>0</v>
      </c>
      <c r="U48" s="295">
        <v>0</v>
      </c>
    </row>
    <row r="49" spans="1:21" s="10" customFormat="1" ht="20.100000000000001" customHeight="1">
      <c r="A49" s="273" t="s">
        <v>40</v>
      </c>
      <c r="B49" s="294">
        <v>-8.4000000000000005E-2</v>
      </c>
      <c r="C49" s="294">
        <v>-0.23899999999999999</v>
      </c>
      <c r="D49" s="294">
        <v>-0.315</v>
      </c>
      <c r="E49" s="418">
        <v>-0.40600000000000003</v>
      </c>
      <c r="F49" s="293">
        <v>-7.8E-2</v>
      </c>
      <c r="G49" s="294">
        <v>-0.16800000000000001</v>
      </c>
      <c r="H49" s="294">
        <v>-0.25600000000000001</v>
      </c>
      <c r="I49" s="418">
        <v>-0.33</v>
      </c>
      <c r="J49" s="303">
        <v>-6.2E-2</v>
      </c>
      <c r="K49" s="303">
        <v>-0.3</v>
      </c>
      <c r="L49" s="303">
        <v>-0.7</v>
      </c>
      <c r="M49" s="304">
        <v>-0.9</v>
      </c>
      <c r="N49" s="293">
        <v>-2.5</v>
      </c>
      <c r="O49" s="294">
        <v>-3.5</v>
      </c>
      <c r="P49" s="294">
        <v>-4.5</v>
      </c>
      <c r="Q49" s="295">
        <v>-5.6</v>
      </c>
      <c r="R49" s="293">
        <v>-2.1</v>
      </c>
      <c r="S49" s="294">
        <v>-2.7</v>
      </c>
      <c r="T49" s="294">
        <v>-4.4000000000000004</v>
      </c>
      <c r="U49" s="295">
        <v>-6</v>
      </c>
    </row>
    <row r="50" spans="1:21" s="10" customFormat="1" ht="20.100000000000001" customHeight="1" thickBot="1">
      <c r="A50" s="273" t="s">
        <v>97</v>
      </c>
      <c r="B50" s="312">
        <v>0</v>
      </c>
      <c r="C50" s="312">
        <v>0</v>
      </c>
      <c r="D50" s="312">
        <v>0</v>
      </c>
      <c r="E50" s="309">
        <v>0</v>
      </c>
      <c r="F50" s="310">
        <v>0</v>
      </c>
      <c r="G50" s="308">
        <v>0</v>
      </c>
      <c r="H50" s="308">
        <v>0</v>
      </c>
      <c r="I50" s="309">
        <v>0</v>
      </c>
      <c r="J50" s="311">
        <v>0</v>
      </c>
      <c r="K50" s="303">
        <v>-3.8</v>
      </c>
      <c r="L50" s="303">
        <v>-3.9</v>
      </c>
      <c r="M50" s="304">
        <v>-3.9</v>
      </c>
      <c r="N50" s="293">
        <v>0</v>
      </c>
      <c r="O50" s="294">
        <v>0</v>
      </c>
      <c r="P50" s="294">
        <v>0</v>
      </c>
      <c r="Q50" s="295">
        <v>0</v>
      </c>
      <c r="R50" s="293">
        <v>0</v>
      </c>
      <c r="S50" s="294">
        <v>0</v>
      </c>
      <c r="T50" s="294">
        <v>0</v>
      </c>
      <c r="U50" s="295">
        <v>0</v>
      </c>
    </row>
    <row r="51" spans="1:21" s="10" customFormat="1" ht="20.100000000000001" customHeight="1" thickBot="1">
      <c r="A51" s="13" t="s">
        <v>70</v>
      </c>
      <c r="B51" s="297">
        <f t="shared" ref="B51:U51" si="7">SUM(B41:B50)</f>
        <v>-52.972000000000001</v>
      </c>
      <c r="C51" s="297">
        <f t="shared" si="7"/>
        <v>-260.08099999999996</v>
      </c>
      <c r="D51" s="297">
        <f t="shared" si="7"/>
        <v>-525.96400000000006</v>
      </c>
      <c r="E51" s="286">
        <f t="shared" si="7"/>
        <v>-653.34699999999998</v>
      </c>
      <c r="F51" s="296">
        <f t="shared" si="7"/>
        <v>-66.737000000000009</v>
      </c>
      <c r="G51" s="297">
        <f t="shared" si="7"/>
        <v>-278.43799999999999</v>
      </c>
      <c r="H51" s="297">
        <f t="shared" si="7"/>
        <v>-464.322</v>
      </c>
      <c r="I51" s="286">
        <f t="shared" si="7"/>
        <v>-596.46400000000006</v>
      </c>
      <c r="J51" s="296">
        <f t="shared" si="7"/>
        <v>-46.550999999999995</v>
      </c>
      <c r="K51" s="297">
        <f t="shared" si="7"/>
        <v>-478.30000000000007</v>
      </c>
      <c r="L51" s="297">
        <f t="shared" si="7"/>
        <v>-1064.0000000000002</v>
      </c>
      <c r="M51" s="305">
        <f t="shared" si="7"/>
        <v>-1542.9000000000003</v>
      </c>
      <c r="N51" s="296">
        <f t="shared" si="7"/>
        <v>-467.4</v>
      </c>
      <c r="O51" s="297">
        <f t="shared" si="7"/>
        <v>-1310</v>
      </c>
      <c r="P51" s="297">
        <f t="shared" si="7"/>
        <v>-2210.8000000000006</v>
      </c>
      <c r="Q51" s="298">
        <f t="shared" si="7"/>
        <v>-2386.7000000000007</v>
      </c>
      <c r="R51" s="296">
        <f t="shared" si="7"/>
        <v>-371.90000000000055</v>
      </c>
      <c r="S51" s="297">
        <f t="shared" si="7"/>
        <v>-1403.6000000000001</v>
      </c>
      <c r="T51" s="297">
        <f t="shared" si="7"/>
        <v>-1737.1000000000004</v>
      </c>
      <c r="U51" s="298">
        <f t="shared" si="7"/>
        <v>-2070.8000000000002</v>
      </c>
    </row>
    <row r="52" spans="1:21" s="11" customFormat="1" ht="20.100000000000001" customHeight="1" thickBot="1">
      <c r="A52" s="13" t="s">
        <v>41</v>
      </c>
      <c r="B52" s="297">
        <f>B27+B40+B51</f>
        <v>147.59399999999997</v>
      </c>
      <c r="C52" s="297">
        <f t="shared" ref="C52:U52" si="8">C51+C40+C27</f>
        <v>33.256000000000029</v>
      </c>
      <c r="D52" s="297">
        <f t="shared" si="8"/>
        <v>-51.083999999999946</v>
      </c>
      <c r="E52" s="286">
        <f t="shared" si="8"/>
        <v>-5.4109999999999445</v>
      </c>
      <c r="F52" s="296">
        <f t="shared" si="8"/>
        <v>53.822999999999979</v>
      </c>
      <c r="G52" s="297">
        <f t="shared" si="8"/>
        <v>-5.0790000000000077</v>
      </c>
      <c r="H52" s="297">
        <f t="shared" si="8"/>
        <v>-55.118000000000166</v>
      </c>
      <c r="I52" s="286">
        <f t="shared" si="8"/>
        <v>72.357999999999834</v>
      </c>
      <c r="J52" s="297">
        <f t="shared" si="8"/>
        <v>85.956000000000017</v>
      </c>
      <c r="K52" s="297">
        <f t="shared" si="8"/>
        <v>1565.4</v>
      </c>
      <c r="L52" s="297">
        <f t="shared" si="8"/>
        <v>1300.0999999999999</v>
      </c>
      <c r="M52" s="305">
        <f t="shared" si="8"/>
        <v>1403.7999999999997</v>
      </c>
      <c r="N52" s="296">
        <f t="shared" si="8"/>
        <v>-257.89999999999981</v>
      </c>
      <c r="O52" s="297">
        <f t="shared" si="8"/>
        <v>-353.30000000000041</v>
      </c>
      <c r="P52" s="297">
        <f t="shared" si="8"/>
        <v>-677.30000000000109</v>
      </c>
      <c r="Q52" s="298">
        <f t="shared" si="8"/>
        <v>-225.60000000000127</v>
      </c>
      <c r="R52" s="296">
        <f t="shared" si="8"/>
        <v>49.999999999999602</v>
      </c>
      <c r="S52" s="297">
        <f t="shared" si="8"/>
        <v>-568.69999999999959</v>
      </c>
      <c r="T52" s="297">
        <f t="shared" si="8"/>
        <v>-411.39999999999918</v>
      </c>
      <c r="U52" s="298">
        <f t="shared" si="8"/>
        <v>-189.5</v>
      </c>
    </row>
    <row r="53" spans="1:21" s="11" customFormat="1" ht="20.100000000000001" customHeight="1">
      <c r="A53" s="275" t="s">
        <v>42</v>
      </c>
      <c r="B53" s="300">
        <v>277.53399999999999</v>
      </c>
      <c r="C53" s="300">
        <v>277.53399999999999</v>
      </c>
      <c r="D53" s="300">
        <v>277.53399999999999</v>
      </c>
      <c r="E53" s="419">
        <v>277.53399999999999</v>
      </c>
      <c r="F53" s="299">
        <v>270.35399999999998</v>
      </c>
      <c r="G53" s="300">
        <v>270.35399999999998</v>
      </c>
      <c r="H53" s="300">
        <v>270.35399999999998</v>
      </c>
      <c r="I53" s="419">
        <v>270.35399999999998</v>
      </c>
      <c r="J53" s="300">
        <v>342.25100000000003</v>
      </c>
      <c r="K53" s="300">
        <v>342.2</v>
      </c>
      <c r="L53" s="300">
        <v>342.2</v>
      </c>
      <c r="M53" s="306">
        <v>342.2</v>
      </c>
      <c r="N53" s="299">
        <v>1747.9</v>
      </c>
      <c r="O53" s="300">
        <v>1747.9</v>
      </c>
      <c r="P53" s="300">
        <v>1747.9</v>
      </c>
      <c r="Q53" s="301">
        <v>1747.9</v>
      </c>
      <c r="R53" s="299">
        <f>$Q$55</f>
        <v>1523.6999999999989</v>
      </c>
      <c r="S53" s="300">
        <f t="shared" ref="S53:U53" si="9">$Q$55</f>
        <v>1523.6999999999989</v>
      </c>
      <c r="T53" s="300">
        <f t="shared" si="9"/>
        <v>1523.6999999999989</v>
      </c>
      <c r="U53" s="301">
        <f t="shared" si="9"/>
        <v>1523.6999999999989</v>
      </c>
    </row>
    <row r="54" spans="1:21" s="10" customFormat="1" ht="20.100000000000001" customHeight="1" thickBot="1">
      <c r="A54" s="273" t="s">
        <v>43</v>
      </c>
      <c r="B54" s="294">
        <v>-2.5009999999999999</v>
      </c>
      <c r="C54" s="294">
        <v>-1.2710000000000001</v>
      </c>
      <c r="D54" s="294">
        <v>-1.339</v>
      </c>
      <c r="E54" s="418">
        <v>-1.7690000000000001</v>
      </c>
      <c r="F54" s="293">
        <v>0.161</v>
      </c>
      <c r="G54" s="294">
        <v>0.52800000000000002</v>
      </c>
      <c r="H54" s="294">
        <v>0.16</v>
      </c>
      <c r="I54" s="418">
        <v>-0.46100000000000002</v>
      </c>
      <c r="J54" s="303">
        <v>-1.7000000000000001E-2</v>
      </c>
      <c r="K54" s="303">
        <v>-0.7</v>
      </c>
      <c r="L54" s="303">
        <v>0.9</v>
      </c>
      <c r="M54" s="307">
        <v>1.9</v>
      </c>
      <c r="N54" s="293">
        <v>1.6</v>
      </c>
      <c r="O54" s="294">
        <v>2</v>
      </c>
      <c r="P54" s="294">
        <v>1.4</v>
      </c>
      <c r="Q54" s="295">
        <v>1.4</v>
      </c>
      <c r="R54" s="293">
        <v>-3.7</v>
      </c>
      <c r="S54" s="294">
        <v>0.4</v>
      </c>
      <c r="T54" s="294">
        <v>-2.1</v>
      </c>
      <c r="U54" s="295">
        <v>2.5</v>
      </c>
    </row>
    <row r="55" spans="1:21" s="10" customFormat="1" ht="13.5" thickBot="1">
      <c r="A55" s="13" t="s">
        <v>103</v>
      </c>
      <c r="B55" s="297">
        <f>B52+B53+B54</f>
        <v>422.62699999999995</v>
      </c>
      <c r="C55" s="297">
        <f t="shared" ref="C55:Q55" si="10">C53+C52+C54</f>
        <v>309.51900000000001</v>
      </c>
      <c r="D55" s="297">
        <f t="shared" si="10"/>
        <v>225.11100000000005</v>
      </c>
      <c r="E55" s="286">
        <f t="shared" si="10"/>
        <v>270.35400000000004</v>
      </c>
      <c r="F55" s="296">
        <f t="shared" si="10"/>
        <v>324.33799999999997</v>
      </c>
      <c r="G55" s="297">
        <f t="shared" si="10"/>
        <v>265.803</v>
      </c>
      <c r="H55" s="297">
        <f t="shared" si="10"/>
        <v>215.39599999999982</v>
      </c>
      <c r="I55" s="286">
        <f t="shared" si="10"/>
        <v>342.25099999999981</v>
      </c>
      <c r="J55" s="297">
        <f t="shared" si="10"/>
        <v>428.19000000000005</v>
      </c>
      <c r="K55" s="297">
        <f t="shared" si="10"/>
        <v>1906.9</v>
      </c>
      <c r="L55" s="297">
        <f t="shared" si="10"/>
        <v>1643.2</v>
      </c>
      <c r="M55" s="305">
        <f t="shared" si="10"/>
        <v>1747.8999999999999</v>
      </c>
      <c r="N55" s="296">
        <f t="shared" si="10"/>
        <v>1491.6000000000001</v>
      </c>
      <c r="O55" s="297">
        <f t="shared" si="10"/>
        <v>1396.5999999999997</v>
      </c>
      <c r="P55" s="297">
        <f t="shared" si="10"/>
        <v>1071.9999999999991</v>
      </c>
      <c r="Q55" s="286">
        <f t="shared" si="10"/>
        <v>1523.6999999999989</v>
      </c>
      <c r="R55" s="296">
        <f t="shared" ref="R55:U55" si="11">R53+R52+R54</f>
        <v>1569.9999999999984</v>
      </c>
      <c r="S55" s="297">
        <f t="shared" si="11"/>
        <v>955.3999999999993</v>
      </c>
      <c r="T55" s="297">
        <f t="shared" si="11"/>
        <v>1110.1999999999998</v>
      </c>
      <c r="U55" s="286">
        <f t="shared" si="11"/>
        <v>1336.6999999999989</v>
      </c>
    </row>
    <row r="56" spans="1:21" s="10" customFormat="1">
      <c r="M56" s="81"/>
    </row>
    <row r="57" spans="1:21" s="10" customFormat="1">
      <c r="A57" s="10" t="s">
        <v>182</v>
      </c>
      <c r="M57" s="81"/>
    </row>
    <row r="58" spans="1:21" s="10" customFormat="1">
      <c r="A58" s="10" t="s">
        <v>211</v>
      </c>
      <c r="M58" s="81"/>
    </row>
    <row r="59" spans="1:21" s="10" customFormat="1">
      <c r="M59" s="81"/>
    </row>
    <row r="60" spans="1:21" s="10" customFormat="1">
      <c r="M60" s="81"/>
    </row>
    <row r="61" spans="1:21" s="10" customFormat="1">
      <c r="M61" s="81"/>
    </row>
    <row r="62" spans="1:21" s="10" customFormat="1">
      <c r="M62" s="81"/>
    </row>
    <row r="63" spans="1:21" s="10" customFormat="1">
      <c r="M63" s="81"/>
    </row>
    <row r="64" spans="1:21" s="10" customFormat="1">
      <c r="M64" s="81"/>
    </row>
    <row r="65" spans="13:13" s="10" customFormat="1">
      <c r="M65" s="81"/>
    </row>
    <row r="66" spans="13:13" s="10" customFormat="1">
      <c r="M66" s="81"/>
    </row>
    <row r="67" spans="13:13" s="10" customFormat="1">
      <c r="M67" s="81"/>
    </row>
    <row r="68" spans="13:13" s="10" customFormat="1">
      <c r="M68" s="81"/>
    </row>
    <row r="69" spans="13:13" s="10" customFormat="1">
      <c r="M69" s="81"/>
    </row>
    <row r="70" spans="13:13" s="10" customFormat="1">
      <c r="M70" s="81"/>
    </row>
    <row r="71" spans="13:13" s="10" customFormat="1">
      <c r="M71" s="81"/>
    </row>
    <row r="72" spans="13:13" s="10" customFormat="1">
      <c r="M72" s="81"/>
    </row>
    <row r="73" spans="13:13" s="10" customFormat="1">
      <c r="M73" s="81"/>
    </row>
    <row r="74" spans="13:13" s="10" customFormat="1">
      <c r="M74" s="81"/>
    </row>
    <row r="75" spans="13:13" s="10" customFormat="1">
      <c r="M75" s="81"/>
    </row>
    <row r="76" spans="13:13" s="10" customFormat="1">
      <c r="M76" s="81"/>
    </row>
    <row r="77" spans="13:13" s="10" customFormat="1">
      <c r="M77" s="81"/>
    </row>
    <row r="78" spans="13:13" s="10" customFormat="1">
      <c r="M78" s="81"/>
    </row>
    <row r="79" spans="13:13" s="10" customFormat="1">
      <c r="M79" s="81"/>
    </row>
    <row r="80" spans="13:13" s="10" customFormat="1">
      <c r="M80" s="81"/>
    </row>
    <row r="81" spans="13:13" s="10" customFormat="1">
      <c r="M81" s="81"/>
    </row>
    <row r="82" spans="13:13" s="10" customFormat="1">
      <c r="M82" s="81"/>
    </row>
    <row r="83" spans="13:13" s="10" customFormat="1">
      <c r="M83" s="81"/>
    </row>
    <row r="84" spans="13:13" s="10" customFormat="1">
      <c r="M84" s="81"/>
    </row>
    <row r="85" spans="13:13" s="10" customFormat="1">
      <c r="M85" s="81"/>
    </row>
    <row r="86" spans="13:13" s="10" customFormat="1">
      <c r="M86" s="81"/>
    </row>
    <row r="87" spans="13:13" s="10" customFormat="1">
      <c r="M87" s="81"/>
    </row>
    <row r="88" spans="13:13" s="10" customFormat="1">
      <c r="M88" s="81"/>
    </row>
    <row r="89" spans="13:13" s="10" customFormat="1">
      <c r="M89" s="81"/>
    </row>
    <row r="90" spans="13:13" s="10" customFormat="1">
      <c r="M90" s="81"/>
    </row>
    <row r="91" spans="13:13" s="10" customFormat="1">
      <c r="M91" s="81"/>
    </row>
    <row r="92" spans="13:13" s="10" customFormat="1">
      <c r="M92" s="81"/>
    </row>
    <row r="93" spans="13:13" s="10" customFormat="1">
      <c r="M93" s="81"/>
    </row>
    <row r="94" spans="13:13" s="10" customFormat="1">
      <c r="M94" s="81"/>
    </row>
    <row r="95" spans="13:13" s="10" customFormat="1"/>
    <row r="96" spans="13:13"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pans="1:21" s="10" customFormat="1"/>
    <row r="130" spans="1:21" s="10" customFormat="1"/>
    <row r="131" spans="1:21" s="10" customFormat="1"/>
    <row r="132" spans="1:21" s="10" customFormat="1"/>
    <row r="133" spans="1:21" s="10" customFormat="1"/>
    <row r="134" spans="1:21">
      <c r="A134" s="10"/>
      <c r="B134" s="10"/>
      <c r="C134" s="10"/>
      <c r="D134" s="10"/>
      <c r="E134" s="10"/>
      <c r="F134" s="10"/>
      <c r="G134" s="10"/>
      <c r="H134" s="10"/>
      <c r="I134" s="10"/>
      <c r="J134" s="10"/>
      <c r="K134" s="10"/>
      <c r="L134" s="10"/>
      <c r="M134" s="10"/>
      <c r="N134" s="10"/>
      <c r="O134" s="10"/>
      <c r="P134" s="10"/>
      <c r="Q134" s="10"/>
      <c r="R134" s="10"/>
      <c r="S134" s="10"/>
      <c r="T134" s="10"/>
      <c r="U134" s="10"/>
    </row>
  </sheetData>
  <mergeCells count="5">
    <mergeCell ref="B2:E2"/>
    <mergeCell ref="F2:I2"/>
    <mergeCell ref="J2:M2"/>
    <mergeCell ref="N2:Q2"/>
    <mergeCell ref="R2:U2"/>
  </mergeCells>
  <pageMargins left="0.70866141732283505" right="0.70866141732283505" top="0.74803149606299202" bottom="0.74803149606299202" header="0.31496062992126" footer="0.31496062992126"/>
  <pageSetup paperSize="9" scale="4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5"/>
  <sheetViews>
    <sheetView showGridLines="0" zoomScaleNormal="100" zoomScaleSheetLayoutView="85" workbookViewId="0">
      <pane xSplit="1" ySplit="4" topLeftCell="Q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7" width="9" style="2"/>
    <col min="18" max="19" width="9" style="4"/>
    <col min="20" max="21" width="10.625" style="2" customWidth="1"/>
    <col min="22" max="24" width="9" style="2"/>
    <col min="25" max="26" width="10.625" style="2" customWidth="1"/>
    <col min="27" max="36" width="9" style="239"/>
    <col min="37" max="16384" width="9" style="2"/>
  </cols>
  <sheetData>
    <row r="1" spans="1:26" s="23" customFormat="1" ht="26.25" customHeight="1">
      <c r="A1" s="5" t="s">
        <v>183</v>
      </c>
      <c r="B1" s="5"/>
    </row>
    <row r="2" spans="1:26" s="239" customFormat="1" ht="127.5" customHeight="1" thickBot="1">
      <c r="A2" s="554" t="s">
        <v>237</v>
      </c>
      <c r="B2" s="554"/>
      <c r="C2" s="554"/>
      <c r="D2" s="554"/>
      <c r="E2" s="554"/>
      <c r="F2" s="554"/>
      <c r="G2" s="554"/>
      <c r="H2" s="554"/>
      <c r="I2" s="554"/>
      <c r="J2" s="554"/>
      <c r="K2" s="554"/>
      <c r="L2" s="554"/>
      <c r="M2" s="554"/>
      <c r="N2" s="554"/>
      <c r="R2" s="240"/>
      <c r="S2" s="240"/>
    </row>
    <row r="3" spans="1:26" ht="20.100000000000001" customHeight="1" thickBot="1">
      <c r="A3" s="555" t="s">
        <v>135</v>
      </c>
      <c r="B3" s="550">
        <v>2012</v>
      </c>
      <c r="C3" s="551"/>
      <c r="D3" s="551"/>
      <c r="E3" s="551"/>
      <c r="F3" s="548">
        <v>2012</v>
      </c>
      <c r="G3" s="550">
        <v>2013</v>
      </c>
      <c r="H3" s="551"/>
      <c r="I3" s="551"/>
      <c r="J3" s="551"/>
      <c r="K3" s="548">
        <v>2013</v>
      </c>
      <c r="L3" s="550">
        <v>2014</v>
      </c>
      <c r="M3" s="551"/>
      <c r="N3" s="551"/>
      <c r="O3" s="551"/>
      <c r="P3" s="548">
        <v>2014</v>
      </c>
      <c r="Q3" s="550">
        <v>2015</v>
      </c>
      <c r="R3" s="551"/>
      <c r="S3" s="551"/>
      <c r="T3" s="551"/>
      <c r="U3" s="548">
        <v>2015</v>
      </c>
      <c r="V3" s="550">
        <v>2016</v>
      </c>
      <c r="W3" s="551"/>
      <c r="X3" s="551"/>
      <c r="Y3" s="551"/>
      <c r="Z3" s="548">
        <v>2016</v>
      </c>
    </row>
    <row r="4" spans="1:26" ht="20.100000000000001" customHeight="1" thickBot="1">
      <c r="A4" s="556"/>
      <c r="B4" s="139" t="s">
        <v>136</v>
      </c>
      <c r="C4" s="140" t="s">
        <v>137</v>
      </c>
      <c r="D4" s="140" t="s">
        <v>138</v>
      </c>
      <c r="E4" s="140" t="s">
        <v>139</v>
      </c>
      <c r="F4" s="549"/>
      <c r="G4" s="139" t="s">
        <v>136</v>
      </c>
      <c r="H4" s="140" t="s">
        <v>137</v>
      </c>
      <c r="I4" s="140" t="s">
        <v>138</v>
      </c>
      <c r="J4" s="140" t="s">
        <v>139</v>
      </c>
      <c r="K4" s="549"/>
      <c r="L4" s="141" t="s">
        <v>136</v>
      </c>
      <c r="M4" s="140" t="s">
        <v>137</v>
      </c>
      <c r="N4" s="140" t="s">
        <v>138</v>
      </c>
      <c r="O4" s="142" t="s">
        <v>139</v>
      </c>
      <c r="P4" s="549"/>
      <c r="Q4" s="141" t="s">
        <v>136</v>
      </c>
      <c r="R4" s="140" t="s">
        <v>137</v>
      </c>
      <c r="S4" s="140" t="s">
        <v>138</v>
      </c>
      <c r="T4" s="142" t="s">
        <v>139</v>
      </c>
      <c r="U4" s="549"/>
      <c r="V4" s="141" t="s">
        <v>136</v>
      </c>
      <c r="W4" s="424" t="s">
        <v>137</v>
      </c>
      <c r="X4" s="424" t="s">
        <v>138</v>
      </c>
      <c r="Y4" s="142" t="s">
        <v>139</v>
      </c>
      <c r="Z4" s="549"/>
    </row>
    <row r="5" spans="1:26" ht="20.100000000000001" customHeight="1" thickBot="1">
      <c r="A5" s="143" t="s">
        <v>140</v>
      </c>
      <c r="B5" s="144" t="s">
        <v>141</v>
      </c>
      <c r="C5" s="145" t="s">
        <v>141</v>
      </c>
      <c r="D5" s="145" t="s">
        <v>141</v>
      </c>
      <c r="E5" s="145" t="s">
        <v>141</v>
      </c>
      <c r="F5" s="146" t="s">
        <v>141</v>
      </c>
      <c r="G5" s="147">
        <f t="shared" ref="G5:N5" si="0">G7+G23</f>
        <v>16348336</v>
      </c>
      <c r="H5" s="148">
        <f t="shared" si="0"/>
        <v>16434266</v>
      </c>
      <c r="I5" s="148">
        <f t="shared" si="0"/>
        <v>16627551</v>
      </c>
      <c r="J5" s="148">
        <f t="shared" si="0"/>
        <v>16447334</v>
      </c>
      <c r="K5" s="146">
        <f t="shared" si="0"/>
        <v>16447334</v>
      </c>
      <c r="L5" s="147">
        <f t="shared" si="0"/>
        <v>16333003</v>
      </c>
      <c r="M5" s="148">
        <f t="shared" si="0"/>
        <v>16250497</v>
      </c>
      <c r="N5" s="148">
        <f t="shared" si="0"/>
        <v>16449992</v>
      </c>
      <c r="O5" s="148">
        <f>O7+O23</f>
        <v>16482031</v>
      </c>
      <c r="P5" s="146">
        <f>P7+P23</f>
        <v>16482031</v>
      </c>
      <c r="Q5" s="147">
        <f t="shared" ref="Q5:U5" si="1">Q7+Q23</f>
        <v>16429469</v>
      </c>
      <c r="R5" s="148">
        <f t="shared" si="1"/>
        <v>16349090</v>
      </c>
      <c r="S5" s="148">
        <f t="shared" si="1"/>
        <v>16395514</v>
      </c>
      <c r="T5" s="148">
        <f t="shared" si="1"/>
        <v>16469696</v>
      </c>
      <c r="U5" s="445">
        <f t="shared" si="1"/>
        <v>16469696</v>
      </c>
      <c r="V5" s="147">
        <f t="shared" ref="V5" si="2">V7+V23</f>
        <v>16531833</v>
      </c>
      <c r="W5" s="148">
        <f>W7+W23</f>
        <v>16711541</v>
      </c>
      <c r="X5" s="148">
        <f>X7+X23</f>
        <v>16545653</v>
      </c>
      <c r="Y5" s="148">
        <f t="shared" ref="Y5:Z5" si="3">Y7+Y23</f>
        <v>16524936</v>
      </c>
      <c r="Z5" s="445">
        <f t="shared" si="3"/>
        <v>16524936</v>
      </c>
    </row>
    <row r="6" spans="1:26" ht="20.100000000000001" customHeight="1">
      <c r="A6" s="149" t="s">
        <v>142</v>
      </c>
      <c r="B6" s="150"/>
      <c r="C6" s="151"/>
      <c r="D6" s="151"/>
      <c r="E6" s="151"/>
      <c r="F6" s="152"/>
      <c r="G6" s="153"/>
      <c r="H6" s="151"/>
      <c r="I6" s="151"/>
      <c r="J6" s="151"/>
      <c r="K6" s="152"/>
      <c r="L6" s="154"/>
      <c r="M6" s="151"/>
      <c r="N6" s="151"/>
      <c r="O6" s="151"/>
      <c r="P6" s="155"/>
      <c r="Q6" s="154"/>
      <c r="R6" s="151"/>
      <c r="S6" s="151"/>
      <c r="T6" s="151"/>
      <c r="U6" s="155"/>
      <c r="V6" s="154"/>
      <c r="W6" s="421"/>
      <c r="X6" s="421"/>
      <c r="Y6" s="151"/>
      <c r="Z6" s="155"/>
    </row>
    <row r="7" spans="1:26" ht="20.100000000000001" customHeight="1">
      <c r="A7" s="156" t="s">
        <v>143</v>
      </c>
      <c r="B7" s="157">
        <f>B8+B10+B11</f>
        <v>11532547</v>
      </c>
      <c r="C7" s="158">
        <f t="shared" ref="C7:M7" si="4">C8+C10+C11</f>
        <v>11516833</v>
      </c>
      <c r="D7" s="158">
        <f t="shared" si="4"/>
        <v>11605099</v>
      </c>
      <c r="E7" s="158">
        <f t="shared" si="4"/>
        <v>11735100</v>
      </c>
      <c r="F7" s="159">
        <f>SUM(F8,F10:F11)</f>
        <v>11735100</v>
      </c>
      <c r="G7" s="157">
        <f t="shared" si="4"/>
        <v>11799951</v>
      </c>
      <c r="H7" s="158">
        <f t="shared" si="4"/>
        <v>11868947</v>
      </c>
      <c r="I7" s="158">
        <f t="shared" si="4"/>
        <v>11908422</v>
      </c>
      <c r="J7" s="158">
        <f t="shared" si="4"/>
        <v>11978807</v>
      </c>
      <c r="K7" s="159">
        <f>SUM(K8,K10:K11)</f>
        <v>11978807</v>
      </c>
      <c r="L7" s="157">
        <f t="shared" si="4"/>
        <v>11982678</v>
      </c>
      <c r="M7" s="158">
        <f t="shared" si="4"/>
        <v>12023369</v>
      </c>
      <c r="N7" s="158">
        <f>N8+N10+N11</f>
        <v>12230798</v>
      </c>
      <c r="O7" s="158">
        <f>O8+O10+O11</f>
        <v>12347828</v>
      </c>
      <c r="P7" s="160">
        <f>P8+P10+P11</f>
        <v>12347828</v>
      </c>
      <c r="Q7" s="157">
        <f t="shared" ref="Q7:U7" si="5">Q8+Q10+Q11</f>
        <v>12394712</v>
      </c>
      <c r="R7" s="158">
        <f t="shared" si="5"/>
        <v>12377021</v>
      </c>
      <c r="S7" s="158">
        <f t="shared" si="5"/>
        <v>12418707</v>
      </c>
      <c r="T7" s="158">
        <f t="shared" si="5"/>
        <v>12614703</v>
      </c>
      <c r="U7" s="160">
        <f t="shared" si="5"/>
        <v>12614703</v>
      </c>
      <c r="V7" s="157">
        <f t="shared" ref="V7:Z7" si="6">V8+V10+V11</f>
        <v>12744166</v>
      </c>
      <c r="W7" s="158">
        <f t="shared" si="6"/>
        <v>12880725</v>
      </c>
      <c r="X7" s="158">
        <f t="shared" si="6"/>
        <v>13017749</v>
      </c>
      <c r="Y7" s="158">
        <f t="shared" si="6"/>
        <v>13254598</v>
      </c>
      <c r="Z7" s="160">
        <f t="shared" si="6"/>
        <v>13254598</v>
      </c>
    </row>
    <row r="8" spans="1:26" ht="20.100000000000001" customHeight="1">
      <c r="A8" s="161" t="s">
        <v>144</v>
      </c>
      <c r="B8" s="162">
        <v>3885022</v>
      </c>
      <c r="C8" s="163">
        <v>3868733</v>
      </c>
      <c r="D8" s="163">
        <v>3921673</v>
      </c>
      <c r="E8" s="163">
        <v>3994875</v>
      </c>
      <c r="F8" s="164">
        <f>E8</f>
        <v>3994875</v>
      </c>
      <c r="G8" s="162">
        <v>4047592</v>
      </c>
      <c r="H8" s="163">
        <v>4127560</v>
      </c>
      <c r="I8" s="163">
        <v>4160343</v>
      </c>
      <c r="J8" s="163">
        <v>4212323</v>
      </c>
      <c r="K8" s="164">
        <f>J8</f>
        <v>4212323</v>
      </c>
      <c r="L8" s="162">
        <v>4236986</v>
      </c>
      <c r="M8" s="163">
        <v>4255544</v>
      </c>
      <c r="N8" s="165">
        <v>4344773</v>
      </c>
      <c r="O8" s="163">
        <v>4391702</v>
      </c>
      <c r="P8" s="166">
        <v>4391702</v>
      </c>
      <c r="Q8" s="162">
        <v>4405464</v>
      </c>
      <c r="R8" s="163">
        <v>4374517</v>
      </c>
      <c r="S8" s="163">
        <v>4396361</v>
      </c>
      <c r="T8" s="163">
        <v>4503320</v>
      </c>
      <c r="U8" s="166">
        <f t="shared" ref="U8:U12" si="7">T8</f>
        <v>4503320</v>
      </c>
      <c r="V8" s="162">
        <v>4560267</v>
      </c>
      <c r="W8" s="163">
        <v>4632246</v>
      </c>
      <c r="X8" s="163">
        <v>4679114</v>
      </c>
      <c r="Y8" s="163">
        <v>4766429</v>
      </c>
      <c r="Z8" s="166">
        <f t="shared" ref="Z8:Z12" si="8">Y8</f>
        <v>4766429</v>
      </c>
    </row>
    <row r="9" spans="1:26" ht="20.100000000000001" customHeight="1">
      <c r="A9" s="167" t="s">
        <v>145</v>
      </c>
      <c r="B9" s="168">
        <v>394001</v>
      </c>
      <c r="C9" s="169">
        <v>416027</v>
      </c>
      <c r="D9" s="169">
        <v>470578</v>
      </c>
      <c r="E9" s="169">
        <v>510617</v>
      </c>
      <c r="F9" s="170">
        <f t="shared" ref="F9:F11" si="9">E9</f>
        <v>510617</v>
      </c>
      <c r="G9" s="168">
        <v>559997</v>
      </c>
      <c r="H9" s="169">
        <v>633475</v>
      </c>
      <c r="I9" s="169">
        <v>680316</v>
      </c>
      <c r="J9" s="169">
        <v>719935</v>
      </c>
      <c r="K9" s="170">
        <f>J9</f>
        <v>719935</v>
      </c>
      <c r="L9" s="168">
        <v>749319</v>
      </c>
      <c r="M9" s="169">
        <v>771481</v>
      </c>
      <c r="N9" s="171">
        <v>806064</v>
      </c>
      <c r="O9" s="169">
        <v>844809</v>
      </c>
      <c r="P9" s="172">
        <v>844809</v>
      </c>
      <c r="Q9" s="168">
        <v>872628</v>
      </c>
      <c r="R9" s="169">
        <v>886305</v>
      </c>
      <c r="S9" s="169">
        <v>901271</v>
      </c>
      <c r="T9" s="169">
        <v>936307</v>
      </c>
      <c r="U9" s="172">
        <f t="shared" si="7"/>
        <v>936307</v>
      </c>
      <c r="V9" s="168">
        <v>957952</v>
      </c>
      <c r="W9" s="169">
        <v>972771</v>
      </c>
      <c r="X9" s="169">
        <v>982068</v>
      </c>
      <c r="Y9" s="169">
        <v>1021720</v>
      </c>
      <c r="Z9" s="172">
        <f t="shared" si="8"/>
        <v>1021720</v>
      </c>
    </row>
    <row r="10" spans="1:26" ht="20.100000000000001" customHeight="1">
      <c r="A10" s="161" t="s">
        <v>146</v>
      </c>
      <c r="B10" s="162">
        <v>6985015</v>
      </c>
      <c r="C10" s="163">
        <v>6978192</v>
      </c>
      <c r="D10" s="163">
        <v>6976594</v>
      </c>
      <c r="E10" s="163">
        <v>6979590</v>
      </c>
      <c r="F10" s="164">
        <f t="shared" si="9"/>
        <v>6979590</v>
      </c>
      <c r="G10" s="162">
        <v>6941638</v>
      </c>
      <c r="H10" s="163">
        <v>6891314</v>
      </c>
      <c r="I10" s="163">
        <v>6834719</v>
      </c>
      <c r="J10" s="163">
        <v>6778675</v>
      </c>
      <c r="K10" s="164">
        <f t="shared" ref="K10:K11" si="10">J10</f>
        <v>6778675</v>
      </c>
      <c r="L10" s="162">
        <v>6713629</v>
      </c>
      <c r="M10" s="163">
        <v>6644687</v>
      </c>
      <c r="N10" s="165">
        <v>6617382</v>
      </c>
      <c r="O10" s="163">
        <v>6587915</v>
      </c>
      <c r="P10" s="166">
        <v>6587915</v>
      </c>
      <c r="Q10" s="162">
        <v>6552365</v>
      </c>
      <c r="R10" s="163">
        <v>6519311</v>
      </c>
      <c r="S10" s="163">
        <v>6505016</v>
      </c>
      <c r="T10" s="163">
        <v>6516643</v>
      </c>
      <c r="U10" s="166">
        <f t="shared" si="7"/>
        <v>6516643</v>
      </c>
      <c r="V10" s="162">
        <v>6536366</v>
      </c>
      <c r="W10" s="163">
        <v>6559223</v>
      </c>
      <c r="X10" s="163">
        <v>6616579</v>
      </c>
      <c r="Y10" s="163">
        <v>6730427</v>
      </c>
      <c r="Z10" s="166">
        <f t="shared" si="8"/>
        <v>6730427</v>
      </c>
    </row>
    <row r="11" spans="1:26" ht="20.100000000000001" customHeight="1">
      <c r="A11" s="161" t="s">
        <v>147</v>
      </c>
      <c r="B11" s="162">
        <v>662510</v>
      </c>
      <c r="C11" s="163">
        <v>669908</v>
      </c>
      <c r="D11" s="163">
        <v>706832</v>
      </c>
      <c r="E11" s="163">
        <v>760635</v>
      </c>
      <c r="F11" s="164">
        <f t="shared" si="9"/>
        <v>760635</v>
      </c>
      <c r="G11" s="162">
        <v>810721</v>
      </c>
      <c r="H11" s="163">
        <v>850073</v>
      </c>
      <c r="I11" s="163">
        <v>913360</v>
      </c>
      <c r="J11" s="163">
        <v>987809</v>
      </c>
      <c r="K11" s="164">
        <f t="shared" si="10"/>
        <v>987809</v>
      </c>
      <c r="L11" s="174">
        <v>1032063</v>
      </c>
      <c r="M11" s="175">
        <v>1123138</v>
      </c>
      <c r="N11" s="165">
        <v>1268643</v>
      </c>
      <c r="O11" s="2">
        <v>1368211</v>
      </c>
      <c r="P11" s="166">
        <v>1368211</v>
      </c>
      <c r="Q11" s="174">
        <v>1436883</v>
      </c>
      <c r="R11" s="175">
        <v>1483193</v>
      </c>
      <c r="S11" s="175">
        <v>1517330</v>
      </c>
      <c r="T11" s="163">
        <v>1594740</v>
      </c>
      <c r="U11" s="166">
        <f t="shared" si="7"/>
        <v>1594740</v>
      </c>
      <c r="V11" s="174">
        <v>1647533</v>
      </c>
      <c r="W11" s="175">
        <v>1689256</v>
      </c>
      <c r="X11" s="175">
        <v>1722056</v>
      </c>
      <c r="Y11" s="163">
        <v>1757742</v>
      </c>
      <c r="Z11" s="166">
        <f t="shared" si="8"/>
        <v>1757742</v>
      </c>
    </row>
    <row r="12" spans="1:26" ht="20.100000000000001" customHeight="1" thickBot="1">
      <c r="A12" s="176" t="s">
        <v>148</v>
      </c>
      <c r="B12" s="177">
        <v>6282300</v>
      </c>
      <c r="C12" s="178">
        <v>6264412</v>
      </c>
      <c r="D12" s="178">
        <v>6281184</v>
      </c>
      <c r="E12" s="178">
        <v>6313423</v>
      </c>
      <c r="F12" s="179">
        <f>E12</f>
        <v>6313423</v>
      </c>
      <c r="G12" s="177">
        <v>6318321</v>
      </c>
      <c r="H12" s="178">
        <v>6306877</v>
      </c>
      <c r="I12" s="178">
        <v>6285607</v>
      </c>
      <c r="J12" s="178">
        <v>6287658</v>
      </c>
      <c r="K12" s="179">
        <f>J12</f>
        <v>6287658</v>
      </c>
      <c r="L12" s="177">
        <v>6260662</v>
      </c>
      <c r="M12" s="178">
        <v>6221111</v>
      </c>
      <c r="N12" s="180">
        <v>6184775</v>
      </c>
      <c r="O12" s="178">
        <v>6137531</v>
      </c>
      <c r="P12" s="181">
        <v>6137531</v>
      </c>
      <c r="Q12" s="177">
        <v>6068839</v>
      </c>
      <c r="R12" s="178">
        <v>5990051</v>
      </c>
      <c r="S12" s="178">
        <v>5937768</v>
      </c>
      <c r="T12" s="178">
        <v>5916103</v>
      </c>
      <c r="U12" s="181">
        <f t="shared" si="7"/>
        <v>5916103</v>
      </c>
      <c r="V12" s="177">
        <v>5893225</v>
      </c>
      <c r="W12" s="178">
        <v>5862310</v>
      </c>
      <c r="X12" s="178">
        <v>5860884</v>
      </c>
      <c r="Y12" s="178">
        <v>5882804</v>
      </c>
      <c r="Z12" s="181">
        <f t="shared" si="8"/>
        <v>5882804</v>
      </c>
    </row>
    <row r="13" spans="1:26" ht="20.100000000000001" customHeight="1">
      <c r="A13" s="182" t="s">
        <v>149</v>
      </c>
      <c r="B13" s="183">
        <v>92.5</v>
      </c>
      <c r="C13" s="184">
        <v>94.4</v>
      </c>
      <c r="D13" s="184">
        <v>93.8</v>
      </c>
      <c r="E13" s="184">
        <v>93.8</v>
      </c>
      <c r="F13" s="185">
        <v>93.6</v>
      </c>
      <c r="G13" s="183">
        <v>89.1</v>
      </c>
      <c r="H13" s="184">
        <v>90.3</v>
      </c>
      <c r="I13" s="184">
        <v>87.6</v>
      </c>
      <c r="J13" s="184">
        <v>87.1</v>
      </c>
      <c r="K13" s="185">
        <v>88.5</v>
      </c>
      <c r="L13" s="183">
        <v>84.8</v>
      </c>
      <c r="M13" s="184">
        <v>85.3</v>
      </c>
      <c r="N13" s="186">
        <v>86.5</v>
      </c>
      <c r="O13" s="184">
        <v>87.2</v>
      </c>
      <c r="P13" s="187">
        <v>85.9</v>
      </c>
      <c r="Q13" s="183">
        <v>85.8</v>
      </c>
      <c r="R13" s="184">
        <v>87</v>
      </c>
      <c r="S13" s="184">
        <v>88.1</v>
      </c>
      <c r="T13" s="184">
        <v>88.3</v>
      </c>
      <c r="U13" s="187">
        <v>87.3</v>
      </c>
      <c r="V13" s="183">
        <v>87</v>
      </c>
      <c r="W13" s="184">
        <v>88.4</v>
      </c>
      <c r="X13" s="184">
        <v>88.6</v>
      </c>
      <c r="Y13" s="184">
        <v>90.7</v>
      </c>
      <c r="Z13" s="187">
        <v>88.7</v>
      </c>
    </row>
    <row r="14" spans="1:26" ht="20.100000000000001" customHeight="1">
      <c r="A14" s="188" t="s">
        <v>150</v>
      </c>
      <c r="B14" s="189" t="s">
        <v>141</v>
      </c>
      <c r="C14" s="190" t="s">
        <v>141</v>
      </c>
      <c r="D14" s="190" t="s">
        <v>141</v>
      </c>
      <c r="E14" s="191">
        <v>8.4252884188563901E-2</v>
      </c>
      <c r="F14" s="192">
        <f>E14</f>
        <v>8.4252884188563901E-2</v>
      </c>
      <c r="G14" s="193">
        <v>8.6500864834109098E-2</v>
      </c>
      <c r="H14" s="191">
        <v>8.7995678097648605E-2</v>
      </c>
      <c r="I14" s="191">
        <v>8.95665783401738E-2</v>
      </c>
      <c r="J14" s="191">
        <v>9.1612274770678806E-2</v>
      </c>
      <c r="K14" s="192">
        <f>J14</f>
        <v>9.1612274770678806E-2</v>
      </c>
      <c r="L14" s="193">
        <v>9.0641340484564806E-2</v>
      </c>
      <c r="M14" s="191">
        <v>8.7627794752018207E-2</v>
      </c>
      <c r="N14" s="194">
        <f>8.8%</f>
        <v>8.8000000000000009E-2</v>
      </c>
      <c r="O14" s="191">
        <v>9.0976359886998898E-2</v>
      </c>
      <c r="P14" s="195">
        <v>9.0999999999999998E-2</v>
      </c>
      <c r="Q14" s="193">
        <v>9.5000000000000001E-2</v>
      </c>
      <c r="R14" s="191">
        <v>0.10100000000000001</v>
      </c>
      <c r="S14" s="191">
        <v>0.10199999999999999</v>
      </c>
      <c r="T14" s="191">
        <v>0.1</v>
      </c>
      <c r="U14" s="195">
        <v>0.1</v>
      </c>
      <c r="V14" s="193">
        <v>9.8000000000000004E-2</v>
      </c>
      <c r="W14" s="191">
        <v>0.09</v>
      </c>
      <c r="X14" s="191">
        <v>8.5000000000000006E-2</v>
      </c>
      <c r="Y14" s="191">
        <v>8.3000000000000004E-2</v>
      </c>
      <c r="Z14" s="195">
        <v>8.3000000000000004E-2</v>
      </c>
    </row>
    <row r="15" spans="1:26" ht="20.100000000000001" customHeight="1" thickBot="1">
      <c r="A15" s="188" t="s">
        <v>151</v>
      </c>
      <c r="B15" s="196">
        <f t="shared" ref="B15:M15" si="11">B7/B12</f>
        <v>1.8357205163713926</v>
      </c>
      <c r="C15" s="197">
        <f t="shared" si="11"/>
        <v>1.838453952262399</v>
      </c>
      <c r="D15" s="197">
        <f t="shared" si="11"/>
        <v>1.8475973638091163</v>
      </c>
      <c r="E15" s="197">
        <f t="shared" si="11"/>
        <v>1.858753959619053</v>
      </c>
      <c r="F15" s="198">
        <f t="shared" si="11"/>
        <v>1.858753959619053</v>
      </c>
      <c r="G15" s="196">
        <f t="shared" si="11"/>
        <v>1.8675770034475931</v>
      </c>
      <c r="H15" s="197">
        <f t="shared" si="11"/>
        <v>1.8819055770391591</v>
      </c>
      <c r="I15" s="197">
        <f t="shared" si="11"/>
        <v>1.8945540184106324</v>
      </c>
      <c r="J15" s="197">
        <f t="shared" si="11"/>
        <v>1.9051301772456453</v>
      </c>
      <c r="K15" s="198">
        <f t="shared" si="11"/>
        <v>1.9051301772456453</v>
      </c>
      <c r="L15" s="196">
        <f t="shared" si="11"/>
        <v>1.9139634115369908</v>
      </c>
      <c r="M15" s="197">
        <f t="shared" si="11"/>
        <v>1.9326723152825918</v>
      </c>
      <c r="N15" s="199">
        <v>1.98</v>
      </c>
      <c r="O15" s="197">
        <v>2.0099999999999998</v>
      </c>
      <c r="P15" s="198">
        <v>2.0099999999999998</v>
      </c>
      <c r="Q15" s="196">
        <f t="shared" ref="Q15" si="12">Q7/Q12</f>
        <v>2.0423530760990696</v>
      </c>
      <c r="R15" s="197">
        <v>2.0699999999999998</v>
      </c>
      <c r="S15" s="197">
        <v>2.09</v>
      </c>
      <c r="T15" s="197">
        <v>2.13</v>
      </c>
      <c r="U15" s="198">
        <v>2.13</v>
      </c>
      <c r="V15" s="196">
        <v>2.16</v>
      </c>
      <c r="W15" s="197">
        <v>2.2000000000000002</v>
      </c>
      <c r="X15" s="197">
        <v>2.2200000000000002</v>
      </c>
      <c r="Y15" s="197">
        <v>2.25</v>
      </c>
      <c r="Z15" s="198">
        <f>Y15</f>
        <v>2.25</v>
      </c>
    </row>
    <row r="16" spans="1:26" ht="20.100000000000001" customHeight="1">
      <c r="A16" s="200" t="s">
        <v>152</v>
      </c>
      <c r="B16" s="201">
        <f>B17+B19+B20</f>
        <v>11497022</v>
      </c>
      <c r="C16" s="202">
        <f t="shared" ref="C16:M16" si="13">C17+C19+C20</f>
        <v>11521707</v>
      </c>
      <c r="D16" s="202">
        <f t="shared" si="13"/>
        <v>11558288</v>
      </c>
      <c r="E16" s="202">
        <f t="shared" si="13"/>
        <v>11659474</v>
      </c>
      <c r="F16" s="159">
        <f t="shared" si="13"/>
        <v>11559122.75</v>
      </c>
      <c r="G16" s="201">
        <f t="shared" si="13"/>
        <v>11772318</v>
      </c>
      <c r="H16" s="202">
        <f t="shared" si="13"/>
        <v>11846507</v>
      </c>
      <c r="I16" s="202">
        <f t="shared" si="13"/>
        <v>11884574</v>
      </c>
      <c r="J16" s="202">
        <f t="shared" si="13"/>
        <v>11924710</v>
      </c>
      <c r="K16" s="159">
        <f t="shared" si="13"/>
        <v>11857027.25</v>
      </c>
      <c r="L16" s="201">
        <f t="shared" si="13"/>
        <v>11986199</v>
      </c>
      <c r="M16" s="202">
        <f t="shared" si="13"/>
        <v>11981389</v>
      </c>
      <c r="N16" s="202">
        <f>N17+N19+N20</f>
        <v>12125363</v>
      </c>
      <c r="O16" s="202">
        <f>O17+O19+O20</f>
        <v>12272311</v>
      </c>
      <c r="P16" s="160">
        <f>P17+P19+P20</f>
        <v>12091316</v>
      </c>
      <c r="Q16" s="201">
        <f t="shared" ref="Q16:U16" si="14">Q17+Q19+Q20</f>
        <v>12376603</v>
      </c>
      <c r="R16" s="202">
        <f t="shared" si="14"/>
        <v>12391326</v>
      </c>
      <c r="S16" s="202">
        <f t="shared" si="14"/>
        <v>12378586</v>
      </c>
      <c r="T16" s="202">
        <f t="shared" si="14"/>
        <v>12496080</v>
      </c>
      <c r="U16" s="160">
        <f t="shared" si="14"/>
        <v>12410649</v>
      </c>
      <c r="V16" s="201">
        <f t="shared" ref="V16:Z16" si="15">V17+V19+V20</f>
        <v>12675864</v>
      </c>
      <c r="W16" s="202">
        <f t="shared" si="15"/>
        <v>12809438</v>
      </c>
      <c r="X16" s="202">
        <f t="shared" si="15"/>
        <v>12940680</v>
      </c>
      <c r="Y16" s="202">
        <f t="shared" si="15"/>
        <v>13119033</v>
      </c>
      <c r="Z16" s="160">
        <f t="shared" si="15"/>
        <v>12886254</v>
      </c>
    </row>
    <row r="17" spans="1:26" ht="20.100000000000001" customHeight="1">
      <c r="A17" s="161" t="s">
        <v>144</v>
      </c>
      <c r="B17" s="162">
        <v>3858338</v>
      </c>
      <c r="C17" s="163">
        <v>3879834</v>
      </c>
      <c r="D17" s="163">
        <v>3894623</v>
      </c>
      <c r="E17" s="163">
        <v>3955082</v>
      </c>
      <c r="F17" s="164">
        <f>AVERAGE(B17:E17)</f>
        <v>3896969.25</v>
      </c>
      <c r="G17" s="162">
        <v>4018307</v>
      </c>
      <c r="H17" s="163">
        <v>4098051</v>
      </c>
      <c r="I17" s="163">
        <v>4144131</v>
      </c>
      <c r="J17" s="163">
        <v>4175145</v>
      </c>
      <c r="K17" s="164">
        <f>AVERAGE(G17:J17)</f>
        <v>4108908.5</v>
      </c>
      <c r="L17" s="162">
        <v>4227450</v>
      </c>
      <c r="M17" s="163">
        <v>4243880</v>
      </c>
      <c r="N17" s="165">
        <v>4301558</v>
      </c>
      <c r="O17" s="163">
        <v>4361890</v>
      </c>
      <c r="P17" s="166">
        <v>4283695</v>
      </c>
      <c r="Q17" s="162">
        <v>4403541</v>
      </c>
      <c r="R17" s="163">
        <v>4397999</v>
      </c>
      <c r="S17" s="163">
        <v>4376405</v>
      </c>
      <c r="T17" s="163">
        <v>4441918</v>
      </c>
      <c r="U17" s="166">
        <v>4404966</v>
      </c>
      <c r="V17" s="162">
        <v>4532806</v>
      </c>
      <c r="W17" s="163">
        <v>4595313</v>
      </c>
      <c r="X17" s="163">
        <v>4654591</v>
      </c>
      <c r="Y17" s="163">
        <v>4712813</v>
      </c>
      <c r="Z17" s="166">
        <v>4623881</v>
      </c>
    </row>
    <row r="18" spans="1:26" ht="20.100000000000001" customHeight="1">
      <c r="A18" s="167" t="s">
        <v>145</v>
      </c>
      <c r="B18" s="168">
        <v>358652</v>
      </c>
      <c r="C18" s="169">
        <v>406943</v>
      </c>
      <c r="D18" s="173">
        <v>443743.5</v>
      </c>
      <c r="E18" s="169">
        <v>494506</v>
      </c>
      <c r="F18" s="170">
        <f>AVERAGE(B18:E18)</f>
        <v>425961.125</v>
      </c>
      <c r="G18" s="168">
        <v>535271</v>
      </c>
      <c r="H18" s="169">
        <v>600411</v>
      </c>
      <c r="I18" s="169">
        <v>658475</v>
      </c>
      <c r="J18" s="169">
        <v>697978</v>
      </c>
      <c r="K18" s="170">
        <f t="shared" ref="K18:K20" si="16">AVERAGE(G18:J18)</f>
        <v>623033.75</v>
      </c>
      <c r="L18" s="203">
        <v>736315</v>
      </c>
      <c r="M18" s="169">
        <v>759922</v>
      </c>
      <c r="N18" s="171">
        <v>787736</v>
      </c>
      <c r="O18" s="169">
        <v>822568</v>
      </c>
      <c r="P18" s="172">
        <v>776635</v>
      </c>
      <c r="Q18" s="203">
        <v>860827</v>
      </c>
      <c r="R18" s="169">
        <v>881296</v>
      </c>
      <c r="S18" s="169">
        <v>893001</v>
      </c>
      <c r="T18" s="169">
        <v>915940</v>
      </c>
      <c r="U18" s="172">
        <v>887766</v>
      </c>
      <c r="V18" s="203">
        <v>948366</v>
      </c>
      <c r="W18" s="422">
        <v>964197</v>
      </c>
      <c r="X18" s="422">
        <v>977142</v>
      </c>
      <c r="Y18" s="169">
        <v>995820</v>
      </c>
      <c r="Z18" s="172">
        <v>971381</v>
      </c>
    </row>
    <row r="19" spans="1:26" ht="20.100000000000001" customHeight="1">
      <c r="A19" s="161" t="s">
        <v>146</v>
      </c>
      <c r="B19" s="162">
        <v>6986951</v>
      </c>
      <c r="C19" s="163">
        <v>6977393</v>
      </c>
      <c r="D19" s="163">
        <v>6978772</v>
      </c>
      <c r="E19" s="163">
        <v>6974525</v>
      </c>
      <c r="F19" s="164">
        <f t="shared" ref="F19:F20" si="17">AVERAGE(B19:E19)</f>
        <v>6979410.25</v>
      </c>
      <c r="G19" s="162">
        <v>6965606</v>
      </c>
      <c r="H19" s="163">
        <v>6917102</v>
      </c>
      <c r="I19" s="163">
        <v>6862047</v>
      </c>
      <c r="J19" s="163">
        <v>6801845</v>
      </c>
      <c r="K19" s="164">
        <f t="shared" si="16"/>
        <v>6886650</v>
      </c>
      <c r="L19" s="204">
        <v>6749396</v>
      </c>
      <c r="M19" s="163">
        <v>6670820</v>
      </c>
      <c r="N19" s="165">
        <v>6628199</v>
      </c>
      <c r="O19" s="163">
        <v>6597742</v>
      </c>
      <c r="P19" s="166">
        <v>6661539</v>
      </c>
      <c r="Q19" s="204">
        <v>6570344</v>
      </c>
      <c r="R19" s="163">
        <v>6532488</v>
      </c>
      <c r="S19" s="163">
        <v>6508391</v>
      </c>
      <c r="T19" s="163">
        <v>6502872</v>
      </c>
      <c r="U19" s="166">
        <v>6528524</v>
      </c>
      <c r="V19" s="204">
        <v>6523316</v>
      </c>
      <c r="W19" s="423">
        <v>6546774</v>
      </c>
      <c r="X19" s="423">
        <v>6579908</v>
      </c>
      <c r="Y19" s="163">
        <v>6667869</v>
      </c>
      <c r="Z19" s="166">
        <v>6579467</v>
      </c>
    </row>
    <row r="20" spans="1:26" ht="20.100000000000001" customHeight="1">
      <c r="A20" s="161" t="s">
        <v>147</v>
      </c>
      <c r="B20" s="162">
        <v>651733</v>
      </c>
      <c r="C20" s="163">
        <v>664480</v>
      </c>
      <c r="D20" s="163">
        <v>684893</v>
      </c>
      <c r="E20" s="163">
        <v>729867</v>
      </c>
      <c r="F20" s="164">
        <f t="shared" si="17"/>
        <v>682743.25</v>
      </c>
      <c r="G20" s="162">
        <v>788405</v>
      </c>
      <c r="H20" s="163">
        <v>831354</v>
      </c>
      <c r="I20" s="163">
        <v>878396</v>
      </c>
      <c r="J20" s="163">
        <v>947720</v>
      </c>
      <c r="K20" s="164">
        <f t="shared" si="16"/>
        <v>861468.75</v>
      </c>
      <c r="L20" s="204">
        <v>1009353</v>
      </c>
      <c r="M20" s="163">
        <v>1066689</v>
      </c>
      <c r="N20" s="165">
        <v>1195606</v>
      </c>
      <c r="O20" s="163">
        <v>1312679</v>
      </c>
      <c r="P20" s="166">
        <v>1146082</v>
      </c>
      <c r="Q20" s="204">
        <v>1402718</v>
      </c>
      <c r="R20" s="163">
        <v>1460839</v>
      </c>
      <c r="S20" s="163">
        <v>1493790</v>
      </c>
      <c r="T20" s="163">
        <v>1551290</v>
      </c>
      <c r="U20" s="166">
        <v>1477159</v>
      </c>
      <c r="V20" s="204">
        <v>1619742</v>
      </c>
      <c r="W20" s="423">
        <v>1667351</v>
      </c>
      <c r="X20" s="423">
        <v>1706181</v>
      </c>
      <c r="Y20" s="163">
        <v>1738351</v>
      </c>
      <c r="Z20" s="166">
        <v>1682906</v>
      </c>
    </row>
    <row r="21" spans="1:26" ht="20.100000000000001" customHeight="1" thickBot="1">
      <c r="A21" s="205" t="s">
        <v>153</v>
      </c>
      <c r="B21" s="206">
        <v>6288609</v>
      </c>
      <c r="C21" s="207">
        <v>6272029</v>
      </c>
      <c r="D21" s="207">
        <v>6271838</v>
      </c>
      <c r="E21" s="207">
        <v>6291791</v>
      </c>
      <c r="F21" s="208">
        <f>AVERAGE(B21:E21)</f>
        <v>6281066.75</v>
      </c>
      <c r="G21" s="209">
        <v>6316275</v>
      </c>
      <c r="H21" s="207">
        <v>6317333</v>
      </c>
      <c r="I21" s="207">
        <v>6293472</v>
      </c>
      <c r="J21" s="207">
        <v>6279979</v>
      </c>
      <c r="K21" s="208">
        <f>AVERAGE(G21:J21)</f>
        <v>6301764.75</v>
      </c>
      <c r="L21" s="209">
        <v>6274951</v>
      </c>
      <c r="M21" s="207">
        <v>6242450</v>
      </c>
      <c r="N21" s="180">
        <v>6201335</v>
      </c>
      <c r="O21" s="207">
        <v>6159902.666666667</v>
      </c>
      <c r="P21" s="210">
        <v>6219660</v>
      </c>
      <c r="Q21" s="209">
        <v>6105250</v>
      </c>
      <c r="R21" s="207">
        <v>6031638</v>
      </c>
      <c r="S21" s="207">
        <v>5960463</v>
      </c>
      <c r="T21" s="207">
        <v>5922397</v>
      </c>
      <c r="U21" s="210">
        <v>6004937</v>
      </c>
      <c r="V21" s="209">
        <v>5902526</v>
      </c>
      <c r="W21" s="207">
        <v>5876458</v>
      </c>
      <c r="X21" s="207">
        <v>5858477</v>
      </c>
      <c r="Y21" s="207">
        <v>5868541</v>
      </c>
      <c r="Z21" s="210">
        <v>5876500</v>
      </c>
    </row>
    <row r="22" spans="1:26" ht="20.100000000000001" customHeight="1">
      <c r="A22" s="211" t="s">
        <v>154</v>
      </c>
      <c r="B22" s="212"/>
      <c r="C22" s="213"/>
      <c r="D22" s="213"/>
      <c r="E22" s="213"/>
      <c r="F22" s="214"/>
      <c r="G22" s="215"/>
      <c r="H22" s="216"/>
      <c r="I22" s="216"/>
      <c r="J22" s="216"/>
      <c r="K22" s="214"/>
      <c r="L22" s="215"/>
      <c r="M22" s="217"/>
      <c r="N22" s="217"/>
      <c r="O22" s="216"/>
      <c r="P22" s="214"/>
      <c r="Q22" s="215"/>
      <c r="R22" s="217"/>
      <c r="S22" s="217"/>
      <c r="T22" s="216"/>
      <c r="U22" s="214"/>
      <c r="V22" s="215"/>
      <c r="W22" s="216"/>
      <c r="X22" s="216"/>
      <c r="Y22" s="216"/>
      <c r="Z22" s="214"/>
    </row>
    <row r="23" spans="1:26" ht="20.100000000000001" customHeight="1">
      <c r="A23" s="156" t="s">
        <v>143</v>
      </c>
      <c r="B23" s="218" t="s">
        <v>141</v>
      </c>
      <c r="C23" s="219" t="s">
        <v>141</v>
      </c>
      <c r="D23" s="219" t="s">
        <v>141</v>
      </c>
      <c r="E23" s="219" t="s">
        <v>141</v>
      </c>
      <c r="F23" s="160" t="s">
        <v>141</v>
      </c>
      <c r="G23" s="157">
        <f>SUM(G24:G26)</f>
        <v>4548385</v>
      </c>
      <c r="H23" s="158">
        <f t="shared" ref="H23:M23" si="18">SUM(H24:H26)</f>
        <v>4565319</v>
      </c>
      <c r="I23" s="158">
        <f t="shared" si="18"/>
        <v>4719129</v>
      </c>
      <c r="J23" s="158">
        <f t="shared" si="18"/>
        <v>4468527</v>
      </c>
      <c r="K23" s="159">
        <f t="shared" si="18"/>
        <v>4468527</v>
      </c>
      <c r="L23" s="157">
        <f t="shared" si="18"/>
        <v>4350325</v>
      </c>
      <c r="M23" s="158">
        <f t="shared" si="18"/>
        <v>4227128</v>
      </c>
      <c r="N23" s="158">
        <f>SUM(N24:N26)</f>
        <v>4219194</v>
      </c>
      <c r="O23" s="158">
        <f>SUM(O24:O26)</f>
        <v>4134203</v>
      </c>
      <c r="P23" s="160">
        <f>SUM(P24:P26)</f>
        <v>4134203</v>
      </c>
      <c r="Q23" s="157">
        <f t="shared" ref="Q23:U23" si="19">SUM(Q24:Q26)</f>
        <v>4034757</v>
      </c>
      <c r="R23" s="158">
        <f t="shared" si="19"/>
        <v>3972069</v>
      </c>
      <c r="S23" s="158">
        <f t="shared" si="19"/>
        <v>3976807</v>
      </c>
      <c r="T23" s="158">
        <f t="shared" si="19"/>
        <v>3854993</v>
      </c>
      <c r="U23" s="160">
        <f t="shared" si="19"/>
        <v>3854993</v>
      </c>
      <c r="V23" s="157">
        <f t="shared" ref="V23:Z23" si="20">SUM(V24:V26)</f>
        <v>3787667</v>
      </c>
      <c r="W23" s="158">
        <f t="shared" si="20"/>
        <v>3830816</v>
      </c>
      <c r="X23" s="158">
        <f t="shared" si="20"/>
        <v>3527904</v>
      </c>
      <c r="Y23" s="158">
        <f t="shared" si="20"/>
        <v>3270338</v>
      </c>
      <c r="Z23" s="160">
        <f t="shared" si="20"/>
        <v>3270338</v>
      </c>
    </row>
    <row r="24" spans="1:26" ht="20.100000000000001" customHeight="1">
      <c r="A24" s="161" t="s">
        <v>155</v>
      </c>
      <c r="B24" s="189" t="s">
        <v>141</v>
      </c>
      <c r="C24" s="190" t="s">
        <v>141</v>
      </c>
      <c r="D24" s="190" t="s">
        <v>141</v>
      </c>
      <c r="E24" s="190" t="s">
        <v>141</v>
      </c>
      <c r="F24" s="166" t="s">
        <v>141</v>
      </c>
      <c r="G24" s="162">
        <v>85574</v>
      </c>
      <c r="H24" s="163">
        <v>81441</v>
      </c>
      <c r="I24" s="163">
        <v>84538</v>
      </c>
      <c r="J24" s="163">
        <v>77771</v>
      </c>
      <c r="K24" s="166">
        <f>J24</f>
        <v>77771</v>
      </c>
      <c r="L24" s="162">
        <v>81619</v>
      </c>
      <c r="M24" s="163">
        <v>66578</v>
      </c>
      <c r="N24" s="165">
        <v>98136</v>
      </c>
      <c r="O24" s="163">
        <v>122787</v>
      </c>
      <c r="P24" s="166">
        <v>122787</v>
      </c>
      <c r="Q24" s="162">
        <v>66163</v>
      </c>
      <c r="R24" s="163">
        <v>41517</v>
      </c>
      <c r="S24" s="163">
        <v>60471</v>
      </c>
      <c r="T24" s="163">
        <v>31972</v>
      </c>
      <c r="U24" s="166">
        <f>T24</f>
        <v>31972</v>
      </c>
      <c r="V24" s="162">
        <v>35754</v>
      </c>
      <c r="W24" s="163">
        <v>73544</v>
      </c>
      <c r="X24" s="163">
        <v>44913</v>
      </c>
      <c r="Y24" s="163">
        <v>79306</v>
      </c>
      <c r="Z24" s="166">
        <f>Y24</f>
        <v>79306</v>
      </c>
    </row>
    <row r="25" spans="1:26" ht="20.100000000000001" customHeight="1">
      <c r="A25" s="161" t="s">
        <v>146</v>
      </c>
      <c r="B25" s="189" t="s">
        <v>141</v>
      </c>
      <c r="C25" s="190" t="s">
        <v>141</v>
      </c>
      <c r="D25" s="190" t="s">
        <v>141</v>
      </c>
      <c r="E25" s="190" t="s">
        <v>141</v>
      </c>
      <c r="F25" s="166" t="s">
        <v>141</v>
      </c>
      <c r="G25" s="162">
        <v>4385742</v>
      </c>
      <c r="H25" s="163">
        <v>4379630</v>
      </c>
      <c r="I25" s="163">
        <v>4475541</v>
      </c>
      <c r="J25" s="163">
        <v>4171810</v>
      </c>
      <c r="K25" s="166">
        <f>J25</f>
        <v>4171810</v>
      </c>
      <c r="L25" s="162">
        <v>4042605</v>
      </c>
      <c r="M25" s="163">
        <v>3923778</v>
      </c>
      <c r="N25" s="165">
        <v>3855669</v>
      </c>
      <c r="O25" s="163">
        <v>3792978</v>
      </c>
      <c r="P25" s="166">
        <v>3792978</v>
      </c>
      <c r="Q25" s="162">
        <v>3775976</v>
      </c>
      <c r="R25" s="163">
        <v>3737282</v>
      </c>
      <c r="S25" s="163">
        <v>3685092</v>
      </c>
      <c r="T25" s="163">
        <v>3591736</v>
      </c>
      <c r="U25" s="166">
        <f t="shared" ref="U25:U26" si="21">T25</f>
        <v>3591736</v>
      </c>
      <c r="V25" s="162">
        <v>3495733</v>
      </c>
      <c r="W25" s="163">
        <v>3473228</v>
      </c>
      <c r="X25" s="163">
        <v>3223224</v>
      </c>
      <c r="Y25" s="163">
        <v>2972443</v>
      </c>
      <c r="Z25" s="166">
        <f t="shared" ref="Z25:Z26" si="22">Y25</f>
        <v>2972443</v>
      </c>
    </row>
    <row r="26" spans="1:26" ht="20.100000000000001" customHeight="1" thickBot="1">
      <c r="A26" s="161" t="s">
        <v>156</v>
      </c>
      <c r="B26" s="220" t="s">
        <v>141</v>
      </c>
      <c r="C26" s="221" t="s">
        <v>141</v>
      </c>
      <c r="D26" s="221" t="s">
        <v>141</v>
      </c>
      <c r="E26" s="221" t="s">
        <v>141</v>
      </c>
      <c r="F26" s="166" t="s">
        <v>141</v>
      </c>
      <c r="G26" s="162">
        <v>77069</v>
      </c>
      <c r="H26" s="163">
        <v>104248</v>
      </c>
      <c r="I26" s="163">
        <v>159050</v>
      </c>
      <c r="J26" s="163">
        <v>218946</v>
      </c>
      <c r="K26" s="166">
        <f>J26</f>
        <v>218946</v>
      </c>
      <c r="L26" s="162">
        <v>226101</v>
      </c>
      <c r="M26" s="163">
        <v>236772</v>
      </c>
      <c r="N26" s="165">
        <v>265389</v>
      </c>
      <c r="O26" s="163">
        <v>218438</v>
      </c>
      <c r="P26" s="166">
        <v>218438</v>
      </c>
      <c r="Q26" s="162">
        <v>192618</v>
      </c>
      <c r="R26" s="163">
        <v>193270</v>
      </c>
      <c r="S26" s="163">
        <v>231244</v>
      </c>
      <c r="T26" s="163">
        <v>231285</v>
      </c>
      <c r="U26" s="166">
        <f t="shared" si="21"/>
        <v>231285</v>
      </c>
      <c r="V26" s="162">
        <v>256180</v>
      </c>
      <c r="W26" s="163">
        <v>284044</v>
      </c>
      <c r="X26" s="163">
        <v>259767</v>
      </c>
      <c r="Y26" s="163">
        <v>218589</v>
      </c>
      <c r="Z26" s="166">
        <f t="shared" si="22"/>
        <v>218589</v>
      </c>
    </row>
    <row r="27" spans="1:26" ht="20.100000000000001" customHeight="1" thickBot="1">
      <c r="A27" s="222" t="s">
        <v>157</v>
      </c>
      <c r="B27" s="223" t="s">
        <v>141</v>
      </c>
      <c r="C27" s="224" t="s">
        <v>141</v>
      </c>
      <c r="D27" s="224" t="s">
        <v>141</v>
      </c>
      <c r="E27" s="224" t="s">
        <v>141</v>
      </c>
      <c r="F27" s="225" t="s">
        <v>141</v>
      </c>
      <c r="G27" s="226">
        <v>18</v>
      </c>
      <c r="H27" s="227">
        <v>19.2</v>
      </c>
      <c r="I27" s="227">
        <v>18.2</v>
      </c>
      <c r="J27" s="227">
        <v>17.5</v>
      </c>
      <c r="K27" s="228">
        <v>18.2</v>
      </c>
      <c r="L27" s="226">
        <v>16.5</v>
      </c>
      <c r="M27" s="227">
        <v>17.899999999999999</v>
      </c>
      <c r="N27" s="229">
        <v>18.3</v>
      </c>
      <c r="O27" s="227">
        <v>18.2</v>
      </c>
      <c r="P27" s="228">
        <v>17.7</v>
      </c>
      <c r="Q27" s="226">
        <v>17.3</v>
      </c>
      <c r="R27" s="227">
        <v>18.3</v>
      </c>
      <c r="S27" s="227">
        <v>19</v>
      </c>
      <c r="T27" s="227">
        <v>18.5</v>
      </c>
      <c r="U27" s="228">
        <v>18.3</v>
      </c>
      <c r="V27" s="226">
        <v>17.7</v>
      </c>
      <c r="W27" s="227">
        <v>18.899999999999999</v>
      </c>
      <c r="X27" s="227">
        <v>18.7</v>
      </c>
      <c r="Y27" s="227">
        <v>19.2</v>
      </c>
      <c r="Z27" s="228">
        <v>18.600000000000001</v>
      </c>
    </row>
    <row r="28" spans="1:26" ht="20.100000000000001" customHeight="1">
      <c r="A28" s="230" t="s">
        <v>152</v>
      </c>
      <c r="B28" s="231" t="s">
        <v>141</v>
      </c>
      <c r="C28" s="232" t="s">
        <v>141</v>
      </c>
      <c r="D28" s="232" t="s">
        <v>141</v>
      </c>
      <c r="E28" s="232" t="s">
        <v>141</v>
      </c>
      <c r="F28" s="233" t="s">
        <v>141</v>
      </c>
      <c r="G28" s="201">
        <f>SUM(G29:G31)</f>
        <v>4549031</v>
      </c>
      <c r="H28" s="202">
        <f t="shared" ref="H28:M28" si="23">SUM(H29:H31)</f>
        <v>4532090</v>
      </c>
      <c r="I28" s="202">
        <f t="shared" si="23"/>
        <v>4635182</v>
      </c>
      <c r="J28" s="202">
        <f t="shared" si="23"/>
        <v>4599374</v>
      </c>
      <c r="K28" s="233">
        <f t="shared" si="23"/>
        <v>4578919.25</v>
      </c>
      <c r="L28" s="201">
        <f t="shared" si="23"/>
        <v>4398038</v>
      </c>
      <c r="M28" s="202">
        <f t="shared" si="23"/>
        <v>4285747</v>
      </c>
      <c r="N28" s="202">
        <f>SUM(N29:N31)</f>
        <v>4212274</v>
      </c>
      <c r="O28" s="202">
        <f>SUM(O29:O31)</f>
        <v>4172129</v>
      </c>
      <c r="P28" s="233">
        <f>SUM(P29:P31)</f>
        <v>4267047</v>
      </c>
      <c r="Q28" s="201">
        <f t="shared" ref="Q28:U28" si="24">SUM(Q29:Q31)</f>
        <v>4068646</v>
      </c>
      <c r="R28" s="202">
        <f t="shared" si="24"/>
        <v>4006108</v>
      </c>
      <c r="S28" s="202">
        <f t="shared" si="24"/>
        <v>3970091</v>
      </c>
      <c r="T28" s="202">
        <f t="shared" si="24"/>
        <v>3917979</v>
      </c>
      <c r="U28" s="233">
        <f t="shared" si="24"/>
        <v>3990706</v>
      </c>
      <c r="V28" s="201">
        <f t="shared" ref="V28:Z28" si="25">SUM(V29:V31)</f>
        <v>3801870</v>
      </c>
      <c r="W28" s="202">
        <f t="shared" si="25"/>
        <v>3794613</v>
      </c>
      <c r="X28" s="202">
        <f t="shared" si="25"/>
        <v>3713417</v>
      </c>
      <c r="Y28" s="202">
        <f t="shared" si="25"/>
        <v>3341220</v>
      </c>
      <c r="Z28" s="233">
        <f t="shared" si="25"/>
        <v>3662780</v>
      </c>
    </row>
    <row r="29" spans="1:26" ht="20.100000000000001" customHeight="1">
      <c r="A29" s="161" t="s">
        <v>155</v>
      </c>
      <c r="B29" s="189" t="s">
        <v>141</v>
      </c>
      <c r="C29" s="190" t="s">
        <v>141</v>
      </c>
      <c r="D29" s="190" t="s">
        <v>141</v>
      </c>
      <c r="E29" s="190" t="s">
        <v>141</v>
      </c>
      <c r="F29" s="166" t="s">
        <v>141</v>
      </c>
      <c r="G29" s="162">
        <v>78707</v>
      </c>
      <c r="H29" s="163">
        <v>73828</v>
      </c>
      <c r="I29" s="163">
        <v>68740</v>
      </c>
      <c r="J29" s="163">
        <v>77953</v>
      </c>
      <c r="K29" s="166">
        <f>AVERAGE(G29:J29)</f>
        <v>74807</v>
      </c>
      <c r="L29" s="162">
        <v>77779</v>
      </c>
      <c r="M29" s="163">
        <v>79253</v>
      </c>
      <c r="N29" s="165">
        <v>69522</v>
      </c>
      <c r="O29" s="163">
        <v>129021</v>
      </c>
      <c r="P29" s="166">
        <v>88894</v>
      </c>
      <c r="Q29" s="162">
        <v>67972</v>
      </c>
      <c r="R29" s="163">
        <v>61165</v>
      </c>
      <c r="S29" s="163">
        <v>41313</v>
      </c>
      <c r="T29" s="163">
        <v>56743</v>
      </c>
      <c r="U29" s="166">
        <v>56798</v>
      </c>
      <c r="V29" s="162">
        <v>36255</v>
      </c>
      <c r="W29" s="163">
        <v>52114</v>
      </c>
      <c r="X29" s="163">
        <v>42971</v>
      </c>
      <c r="Y29" s="163">
        <v>54083</v>
      </c>
      <c r="Z29" s="166">
        <v>46356</v>
      </c>
    </row>
    <row r="30" spans="1:26" ht="20.100000000000001" customHeight="1">
      <c r="A30" s="161" t="s">
        <v>146</v>
      </c>
      <c r="B30" s="189" t="s">
        <v>141</v>
      </c>
      <c r="C30" s="190" t="s">
        <v>141</v>
      </c>
      <c r="D30" s="190" t="s">
        <v>141</v>
      </c>
      <c r="E30" s="190" t="s">
        <v>141</v>
      </c>
      <c r="F30" s="166" t="s">
        <v>141</v>
      </c>
      <c r="G30" s="162">
        <v>4397976</v>
      </c>
      <c r="H30" s="163">
        <v>4370181</v>
      </c>
      <c r="I30" s="163">
        <v>4431149</v>
      </c>
      <c r="J30" s="163">
        <v>4338987</v>
      </c>
      <c r="K30" s="166">
        <f t="shared" ref="K30:K31" si="26">AVERAGE(G30:J30)</f>
        <v>4384573.25</v>
      </c>
      <c r="L30" s="162">
        <v>4091609</v>
      </c>
      <c r="M30" s="163">
        <v>3975410</v>
      </c>
      <c r="N30" s="165">
        <v>3893375</v>
      </c>
      <c r="O30" s="163">
        <v>3798701</v>
      </c>
      <c r="P30" s="166">
        <v>3939774</v>
      </c>
      <c r="Q30" s="162">
        <v>3797423</v>
      </c>
      <c r="R30" s="163">
        <v>3755130</v>
      </c>
      <c r="S30" s="163">
        <v>3713656</v>
      </c>
      <c r="T30" s="163">
        <v>3630863</v>
      </c>
      <c r="U30" s="166">
        <v>3724268</v>
      </c>
      <c r="V30" s="162">
        <v>3529840</v>
      </c>
      <c r="W30" s="163">
        <v>3473104</v>
      </c>
      <c r="X30" s="163">
        <v>3386794</v>
      </c>
      <c r="Y30" s="163">
        <v>3058691</v>
      </c>
      <c r="Z30" s="166">
        <v>3362107</v>
      </c>
    </row>
    <row r="31" spans="1:26" ht="20.100000000000001" customHeight="1" thickBot="1">
      <c r="A31" s="234" t="s">
        <v>156</v>
      </c>
      <c r="B31" s="220" t="s">
        <v>141</v>
      </c>
      <c r="C31" s="221" t="s">
        <v>141</v>
      </c>
      <c r="D31" s="221" t="s">
        <v>141</v>
      </c>
      <c r="E31" s="221" t="s">
        <v>141</v>
      </c>
      <c r="F31" s="235" t="s">
        <v>141</v>
      </c>
      <c r="G31" s="236">
        <v>72348</v>
      </c>
      <c r="H31" s="237">
        <v>88081</v>
      </c>
      <c r="I31" s="237">
        <v>135293</v>
      </c>
      <c r="J31" s="237">
        <v>182434</v>
      </c>
      <c r="K31" s="235">
        <f t="shared" si="26"/>
        <v>119539</v>
      </c>
      <c r="L31" s="236">
        <v>228650</v>
      </c>
      <c r="M31" s="237">
        <v>231084</v>
      </c>
      <c r="N31" s="238">
        <v>249377</v>
      </c>
      <c r="O31" s="237">
        <v>244407</v>
      </c>
      <c r="P31" s="235">
        <v>238379</v>
      </c>
      <c r="Q31" s="236">
        <v>203251</v>
      </c>
      <c r="R31" s="237">
        <v>189813</v>
      </c>
      <c r="S31" s="237">
        <v>215122</v>
      </c>
      <c r="T31" s="237">
        <v>230373</v>
      </c>
      <c r="U31" s="235">
        <v>209640</v>
      </c>
      <c r="V31" s="236">
        <v>235775</v>
      </c>
      <c r="W31" s="237">
        <v>269395</v>
      </c>
      <c r="X31" s="237">
        <v>283652</v>
      </c>
      <c r="Y31" s="237">
        <v>228446</v>
      </c>
      <c r="Z31" s="235">
        <v>254317</v>
      </c>
    </row>
    <row r="32" spans="1:26" s="239" customFormat="1" ht="20.100000000000001" customHeight="1">
      <c r="A32" s="240"/>
      <c r="R32" s="240"/>
      <c r="S32" s="240"/>
    </row>
    <row r="33" spans="1:26" s="239" customFormat="1" ht="20.100000000000001" customHeight="1">
      <c r="A33" s="241" t="s">
        <v>158</v>
      </c>
      <c r="B33" s="242"/>
      <c r="C33" s="242"/>
      <c r="D33" s="242"/>
      <c r="E33" s="242"/>
      <c r="F33" s="242"/>
      <c r="G33" s="242"/>
      <c r="H33" s="242"/>
      <c r="I33" s="242"/>
      <c r="J33" s="242"/>
      <c r="K33" s="242"/>
      <c r="L33" s="242"/>
      <c r="M33" s="242"/>
      <c r="N33" s="242"/>
      <c r="O33" s="242"/>
      <c r="P33" s="242"/>
      <c r="Q33" s="242"/>
      <c r="R33" s="241"/>
      <c r="S33" s="241"/>
      <c r="T33" s="242"/>
      <c r="U33" s="242"/>
      <c r="V33" s="242"/>
      <c r="W33" s="242"/>
      <c r="X33" s="242"/>
      <c r="Y33" s="242"/>
      <c r="Z33" s="242"/>
    </row>
    <row r="34" spans="1:26" s="239" customFormat="1" ht="20.100000000000001" customHeight="1">
      <c r="A34" s="241" t="s">
        <v>159</v>
      </c>
      <c r="B34" s="242"/>
      <c r="C34" s="242"/>
      <c r="D34" s="242"/>
      <c r="E34" s="242"/>
      <c r="F34" s="242"/>
      <c r="G34" s="242"/>
      <c r="H34" s="242"/>
      <c r="I34" s="242"/>
      <c r="J34" s="242"/>
      <c r="K34" s="242"/>
      <c r="L34" s="242"/>
      <c r="M34" s="242"/>
      <c r="N34" s="242"/>
      <c r="O34" s="242"/>
      <c r="P34" s="242"/>
      <c r="Q34" s="242"/>
      <c r="R34" s="241"/>
      <c r="S34" s="241"/>
      <c r="T34" s="242"/>
      <c r="U34" s="242"/>
      <c r="V34" s="242"/>
      <c r="W34" s="242"/>
      <c r="X34" s="242"/>
      <c r="Y34" s="242"/>
      <c r="Z34" s="242"/>
    </row>
    <row r="35" spans="1:26" s="239" customFormat="1" ht="20.100000000000001" customHeight="1">
      <c r="A35" s="553" t="s">
        <v>160</v>
      </c>
      <c r="B35" s="552"/>
      <c r="C35" s="552"/>
      <c r="D35" s="552"/>
      <c r="E35" s="552"/>
      <c r="F35" s="552"/>
      <c r="G35" s="552"/>
      <c r="H35" s="552"/>
      <c r="I35" s="552"/>
      <c r="J35" s="242"/>
      <c r="K35" s="242"/>
      <c r="L35" s="242"/>
      <c r="M35" s="242"/>
      <c r="N35" s="242"/>
      <c r="O35" s="242"/>
      <c r="P35" s="242"/>
      <c r="Q35" s="242"/>
      <c r="R35" s="241"/>
      <c r="S35" s="241"/>
      <c r="T35" s="242"/>
      <c r="U35" s="242"/>
      <c r="V35" s="242"/>
      <c r="W35" s="242"/>
      <c r="X35" s="242"/>
      <c r="Y35" s="242"/>
      <c r="Z35" s="242"/>
    </row>
    <row r="36" spans="1:26" s="239" customFormat="1" ht="30" customHeight="1">
      <c r="A36" s="553" t="s">
        <v>161</v>
      </c>
      <c r="B36" s="553"/>
      <c r="C36" s="553"/>
      <c r="D36" s="553"/>
      <c r="E36" s="553"/>
      <c r="F36" s="553"/>
      <c r="G36" s="553"/>
      <c r="H36" s="553"/>
      <c r="I36" s="553"/>
      <c r="J36" s="553"/>
      <c r="K36" s="553"/>
      <c r="L36" s="553"/>
      <c r="M36" s="553"/>
      <c r="N36" s="553"/>
      <c r="O36" s="553"/>
      <c r="P36" s="553"/>
      <c r="Q36" s="553"/>
      <c r="R36" s="553"/>
      <c r="S36" s="553"/>
      <c r="T36" s="240"/>
      <c r="Y36" s="240"/>
    </row>
    <row r="37" spans="1:26" s="239" customFormat="1" ht="20.100000000000001" customHeight="1">
      <c r="A37" s="552" t="s">
        <v>162</v>
      </c>
      <c r="B37" s="552"/>
      <c r="C37" s="552"/>
      <c r="D37" s="552"/>
      <c r="E37" s="552"/>
      <c r="F37" s="552"/>
      <c r="G37" s="552"/>
      <c r="H37" s="552"/>
      <c r="I37" s="552"/>
      <c r="J37" s="552"/>
      <c r="K37" s="552"/>
      <c r="L37" s="552"/>
      <c r="M37" s="552"/>
      <c r="N37" s="242"/>
      <c r="O37" s="242"/>
      <c r="P37" s="242"/>
      <c r="Q37" s="242"/>
      <c r="R37" s="241"/>
      <c r="S37" s="241"/>
      <c r="T37" s="242"/>
      <c r="U37" s="242"/>
      <c r="V37" s="242"/>
      <c r="W37" s="242"/>
      <c r="X37" s="242"/>
      <c r="Y37" s="242"/>
      <c r="Z37" s="242"/>
    </row>
    <row r="38" spans="1:26" s="239" customFormat="1" ht="20.100000000000001" customHeight="1">
      <c r="A38" s="240"/>
      <c r="R38" s="240"/>
      <c r="S38" s="240"/>
    </row>
    <row r="39" spans="1:26" ht="20.100000000000001" customHeight="1"/>
    <row r="40" spans="1:26" ht="20.100000000000001" customHeight="1"/>
    <row r="41" spans="1:26" ht="20.100000000000001" customHeight="1"/>
    <row r="42" spans="1:26" ht="20.100000000000001" customHeight="1"/>
    <row r="43" spans="1:26" ht="20.100000000000001" customHeight="1"/>
    <row r="44" spans="1:26" ht="20.100000000000001" customHeight="1"/>
    <row r="45" spans="1:26" ht="20.100000000000001" customHeight="1"/>
    <row r="46" spans="1:26" ht="20.100000000000001" customHeight="1"/>
    <row r="47" spans="1:26" ht="20.100000000000001" customHeight="1"/>
    <row r="48" spans="1:26" ht="20.100000000000001" customHeight="1"/>
    <row r="49" spans="2:36" ht="20.100000000000001" customHeight="1"/>
    <row r="50" spans="2:36" s="1" customFormat="1" ht="20.100000000000001" customHeight="1">
      <c r="B50" s="2"/>
      <c r="C50" s="2"/>
      <c r="D50" s="2"/>
      <c r="E50" s="2"/>
      <c r="F50" s="2"/>
      <c r="G50" s="2"/>
      <c r="H50" s="2"/>
      <c r="I50" s="2"/>
      <c r="J50" s="2"/>
      <c r="K50" s="2"/>
      <c r="L50" s="2"/>
      <c r="M50" s="2"/>
      <c r="N50" s="2"/>
      <c r="O50" s="2"/>
      <c r="P50" s="2"/>
      <c r="Q50" s="2"/>
      <c r="R50" s="4"/>
      <c r="S50" s="4"/>
      <c r="T50" s="2"/>
      <c r="U50" s="2"/>
      <c r="V50" s="2"/>
      <c r="W50" s="2"/>
      <c r="X50" s="2"/>
      <c r="Y50" s="2"/>
      <c r="Z50" s="2"/>
      <c r="AA50" s="240"/>
      <c r="AB50" s="240"/>
      <c r="AC50" s="240"/>
      <c r="AD50" s="240"/>
      <c r="AE50" s="240"/>
      <c r="AF50" s="240"/>
      <c r="AG50" s="240"/>
      <c r="AH50" s="240"/>
      <c r="AI50" s="240"/>
      <c r="AJ50" s="240"/>
    </row>
    <row r="51" spans="2:36" s="1" customFormat="1" ht="20.100000000000001" customHeight="1">
      <c r="B51" s="2"/>
      <c r="C51" s="2"/>
      <c r="D51" s="2"/>
      <c r="E51" s="2"/>
      <c r="F51" s="2"/>
      <c r="G51" s="2"/>
      <c r="H51" s="2"/>
      <c r="I51" s="2"/>
      <c r="J51" s="2"/>
      <c r="K51" s="2"/>
      <c r="L51" s="2"/>
      <c r="M51" s="2"/>
      <c r="N51" s="2"/>
      <c r="O51" s="2"/>
      <c r="P51" s="2"/>
      <c r="Q51" s="2"/>
      <c r="R51" s="4"/>
      <c r="S51" s="4"/>
      <c r="T51" s="2"/>
      <c r="U51" s="2"/>
      <c r="V51" s="2"/>
      <c r="W51" s="2"/>
      <c r="X51" s="2"/>
      <c r="Y51" s="2"/>
      <c r="Z51" s="2"/>
      <c r="AA51" s="240"/>
      <c r="AB51" s="240"/>
      <c r="AC51" s="240"/>
      <c r="AD51" s="240"/>
      <c r="AE51" s="240"/>
      <c r="AF51" s="240"/>
      <c r="AG51" s="240"/>
      <c r="AH51" s="240"/>
      <c r="AI51" s="240"/>
      <c r="AJ51" s="240"/>
    </row>
    <row r="52" spans="2:36" s="1" customFormat="1" ht="20.100000000000001" customHeight="1">
      <c r="B52" s="2"/>
      <c r="C52" s="2"/>
      <c r="D52" s="2"/>
      <c r="E52" s="2"/>
      <c r="F52" s="2"/>
      <c r="G52" s="2"/>
      <c r="H52" s="2"/>
      <c r="I52" s="2"/>
      <c r="J52" s="2"/>
      <c r="K52" s="2"/>
      <c r="L52" s="2"/>
      <c r="M52" s="2"/>
      <c r="N52" s="2"/>
      <c r="O52" s="2"/>
      <c r="P52" s="2"/>
      <c r="Q52" s="2"/>
      <c r="R52" s="4"/>
      <c r="S52" s="4"/>
      <c r="T52" s="2"/>
      <c r="U52" s="2"/>
      <c r="V52" s="2"/>
      <c r="W52" s="2"/>
      <c r="X52" s="2"/>
      <c r="Y52" s="2"/>
      <c r="Z52" s="2"/>
      <c r="AA52" s="240"/>
      <c r="AB52" s="240"/>
      <c r="AC52" s="240"/>
      <c r="AD52" s="240"/>
      <c r="AE52" s="240"/>
      <c r="AF52" s="240"/>
      <c r="AG52" s="240"/>
      <c r="AH52" s="240"/>
      <c r="AI52" s="240"/>
      <c r="AJ52" s="240"/>
    </row>
    <row r="53" spans="2:36" s="1" customFormat="1" ht="20.100000000000001" customHeight="1">
      <c r="B53" s="2"/>
      <c r="C53" s="2"/>
      <c r="D53" s="2"/>
      <c r="E53" s="2"/>
      <c r="F53" s="2"/>
      <c r="G53" s="2"/>
      <c r="H53" s="2"/>
      <c r="I53" s="2"/>
      <c r="J53" s="2"/>
      <c r="K53" s="2"/>
      <c r="L53" s="2"/>
      <c r="M53" s="2"/>
      <c r="N53" s="2"/>
      <c r="O53" s="2"/>
      <c r="P53" s="2"/>
      <c r="Q53" s="2"/>
      <c r="R53" s="4"/>
      <c r="S53" s="4"/>
      <c r="T53" s="2"/>
      <c r="U53" s="2"/>
      <c r="V53" s="2"/>
      <c r="W53" s="2"/>
      <c r="X53" s="2"/>
      <c r="Y53" s="2"/>
      <c r="Z53" s="2"/>
      <c r="AA53" s="240"/>
      <c r="AB53" s="240"/>
      <c r="AC53" s="240"/>
      <c r="AD53" s="240"/>
      <c r="AE53" s="240"/>
      <c r="AF53" s="240"/>
      <c r="AG53" s="240"/>
      <c r="AH53" s="240"/>
      <c r="AI53" s="240"/>
      <c r="AJ53" s="240"/>
    </row>
    <row r="54" spans="2:36" s="1" customFormat="1" ht="20.100000000000001" customHeight="1">
      <c r="B54" s="2"/>
      <c r="C54" s="2"/>
      <c r="D54" s="2"/>
      <c r="E54" s="2"/>
      <c r="F54" s="2"/>
      <c r="G54" s="2"/>
      <c r="H54" s="2"/>
      <c r="I54" s="2"/>
      <c r="J54" s="2"/>
      <c r="K54" s="2"/>
      <c r="L54" s="2"/>
      <c r="M54" s="2"/>
      <c r="N54" s="2"/>
      <c r="O54" s="2"/>
      <c r="P54" s="2"/>
      <c r="Q54" s="2"/>
      <c r="R54" s="4"/>
      <c r="S54" s="4"/>
      <c r="T54" s="2"/>
      <c r="U54" s="2"/>
      <c r="V54" s="2"/>
      <c r="W54" s="2"/>
      <c r="X54" s="2"/>
      <c r="Y54" s="2"/>
      <c r="Z54" s="2"/>
      <c r="AA54" s="240"/>
      <c r="AB54" s="240"/>
      <c r="AC54" s="240"/>
      <c r="AD54" s="240"/>
      <c r="AE54" s="240"/>
      <c r="AF54" s="240"/>
      <c r="AG54" s="240"/>
      <c r="AH54" s="240"/>
      <c r="AI54" s="240"/>
      <c r="AJ54" s="240"/>
    </row>
    <row r="55" spans="2:36" s="1" customFormat="1" ht="20.100000000000001" customHeight="1">
      <c r="B55" s="2"/>
      <c r="C55" s="2"/>
      <c r="D55" s="2"/>
      <c r="E55" s="2"/>
      <c r="F55" s="2"/>
      <c r="G55" s="2"/>
      <c r="H55" s="2"/>
      <c r="I55" s="2"/>
      <c r="J55" s="2"/>
      <c r="K55" s="2"/>
      <c r="L55" s="2"/>
      <c r="M55" s="2"/>
      <c r="N55" s="2"/>
      <c r="O55" s="2"/>
      <c r="P55" s="2"/>
      <c r="Q55" s="2"/>
      <c r="R55" s="4"/>
      <c r="S55" s="4"/>
      <c r="T55" s="2"/>
      <c r="U55" s="2"/>
      <c r="V55" s="2"/>
      <c r="W55" s="2"/>
      <c r="X55" s="2"/>
      <c r="Y55" s="2"/>
      <c r="Z55" s="2"/>
      <c r="AA55" s="240"/>
      <c r="AB55" s="240"/>
      <c r="AC55" s="240"/>
      <c r="AD55" s="240"/>
      <c r="AE55" s="240"/>
      <c r="AF55" s="240"/>
      <c r="AG55" s="240"/>
      <c r="AH55" s="240"/>
      <c r="AI55" s="240"/>
      <c r="AJ55" s="240"/>
    </row>
  </sheetData>
  <mergeCells count="15">
    <mergeCell ref="Z3:Z4"/>
    <mergeCell ref="V3:Y3"/>
    <mergeCell ref="A37:M37"/>
    <mergeCell ref="A36:S36"/>
    <mergeCell ref="A2:N2"/>
    <mergeCell ref="A3:A4"/>
    <mergeCell ref="B3:E3"/>
    <mergeCell ref="F3:F4"/>
    <mergeCell ref="G3:J3"/>
    <mergeCell ref="K3:K4"/>
    <mergeCell ref="L3:O3"/>
    <mergeCell ref="U3:U4"/>
    <mergeCell ref="Q3:T3"/>
    <mergeCell ref="P3:P4"/>
    <mergeCell ref="A35:I35"/>
  </mergeCells>
  <pageMargins left="0.7" right="0.7" top="0.75" bottom="0.75" header="0.3" footer="0.3"/>
  <pageSetup paperSize="9" scale="53" orientation="landscape" horizontalDpi="4294967294" r:id="rId1"/>
  <ignoredErrors>
    <ignoredError sqref="F7 K7" formula="1"/>
    <ignoredError sqref="L23:T23 G23:J23 V23:Y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showGridLines="0" zoomScale="85" zoomScaleNormal="85" workbookViewId="0">
      <selection activeCell="B60" sqref="B60:I60"/>
    </sheetView>
  </sheetViews>
  <sheetFormatPr defaultRowHeight="14.25"/>
  <cols>
    <col min="1" max="1" width="1.625" style="16" customWidth="1"/>
    <col min="2" max="2" width="30.75" customWidth="1"/>
    <col min="3" max="8" width="12.625" customWidth="1"/>
    <col min="9" max="30" width="9" style="16"/>
  </cols>
  <sheetData>
    <row r="1" spans="2:12" s="16" customFormat="1" ht="50.25" customHeight="1" thickBot="1">
      <c r="B1" s="3" t="s">
        <v>105</v>
      </c>
    </row>
    <row r="2" spans="2:12" ht="20.25" customHeight="1" thickBot="1">
      <c r="B2" s="557" t="s">
        <v>113</v>
      </c>
      <c r="C2" s="534" t="s">
        <v>226</v>
      </c>
      <c r="D2" s="535"/>
      <c r="E2" s="536"/>
      <c r="F2" s="534" t="s">
        <v>227</v>
      </c>
      <c r="G2" s="535"/>
      <c r="H2" s="536"/>
    </row>
    <row r="3" spans="2:12" ht="20.25" customHeight="1" thickBot="1">
      <c r="B3" s="558"/>
      <c r="C3" s="276">
        <v>2016</v>
      </c>
      <c r="D3" s="277">
        <v>2015</v>
      </c>
      <c r="E3" s="278" t="s">
        <v>163</v>
      </c>
      <c r="F3" s="276">
        <v>2016</v>
      </c>
      <c r="G3" s="277">
        <v>2015</v>
      </c>
      <c r="H3" s="278" t="s">
        <v>163</v>
      </c>
      <c r="I3" s="243"/>
      <c r="J3" s="243"/>
      <c r="K3" s="243"/>
      <c r="L3" s="243"/>
    </row>
    <row r="4" spans="2:12" ht="25.5" customHeight="1">
      <c r="B4" s="244" t="s">
        <v>164</v>
      </c>
      <c r="C4" s="245">
        <f>C5+C6</f>
        <v>0.25070000000000003</v>
      </c>
      <c r="D4" s="250">
        <f>D5+D6</f>
        <v>0.24780000000000002</v>
      </c>
      <c r="E4" s="246">
        <f>IFERROR((C4-D4)/D4,"n/d")</f>
        <v>1.170298627925752E-2</v>
      </c>
      <c r="F4" s="245">
        <v>0.2487</v>
      </c>
      <c r="G4" s="250">
        <v>0.24640000000000001</v>
      </c>
      <c r="H4" s="246">
        <f>IFERROR((F4-G4)/G4,"n/d")</f>
        <v>9.3344155844155702E-3</v>
      </c>
      <c r="I4" s="247"/>
      <c r="J4" s="243"/>
      <c r="K4" s="243"/>
      <c r="L4" s="243"/>
    </row>
    <row r="5" spans="2:12" ht="25.5" customHeight="1">
      <c r="B5" s="248" t="s">
        <v>165</v>
      </c>
      <c r="C5" s="249">
        <v>0.13500000000000001</v>
      </c>
      <c r="D5" s="250">
        <v>0.13200000000000001</v>
      </c>
      <c r="E5" s="251">
        <f t="shared" ref="E5:E28" si="0">IFERROR((C5-D5)/D5,"n/d")</f>
        <v>2.2727272727272745E-2</v>
      </c>
      <c r="F5" s="249">
        <v>0.1323</v>
      </c>
      <c r="G5" s="250">
        <v>0.1321</v>
      </c>
      <c r="H5" s="251">
        <f t="shared" ref="H5:H28" si="1">IFERROR((F5-G5)/G5,"n/d")</f>
        <v>1.5140045420136694E-3</v>
      </c>
      <c r="I5" s="247"/>
      <c r="J5" s="243"/>
      <c r="K5" s="243"/>
      <c r="L5" s="243"/>
    </row>
    <row r="6" spans="2:12" ht="25.5" customHeight="1">
      <c r="B6" s="248" t="s">
        <v>166</v>
      </c>
      <c r="C6" s="249">
        <v>0.1157</v>
      </c>
      <c r="D6" s="250">
        <v>0.1158</v>
      </c>
      <c r="E6" s="251">
        <f t="shared" si="0"/>
        <v>-8.6355785837653601E-4</v>
      </c>
      <c r="F6" s="249">
        <v>0.1163</v>
      </c>
      <c r="G6" s="250">
        <v>0.1143</v>
      </c>
      <c r="H6" s="251">
        <f t="shared" si="1"/>
        <v>1.7497812773403339E-2</v>
      </c>
      <c r="I6" s="247"/>
      <c r="J6" s="243"/>
      <c r="K6" s="243"/>
      <c r="L6" s="243"/>
    </row>
    <row r="7" spans="2:12" ht="18" customHeight="1">
      <c r="B7" s="444" t="s">
        <v>188</v>
      </c>
      <c r="C7" s="252">
        <v>3.9399999999999998E-2</v>
      </c>
      <c r="D7" s="253">
        <v>3.9E-2</v>
      </c>
      <c r="E7" s="254">
        <f t="shared" ref="E7:E26" si="2">IFERROR((C7-D7)/D7,"n/d")</f>
        <v>1.0256410256410194E-2</v>
      </c>
      <c r="F7" s="252">
        <v>3.6499999999999998E-2</v>
      </c>
      <c r="G7" s="253">
        <v>3.6700000000000003E-2</v>
      </c>
      <c r="H7" s="254">
        <f t="shared" ref="H7:H26" si="3">IFERROR((F7-G7)/G7,"n/d")</f>
        <v>-5.4495912806541069E-3</v>
      </c>
      <c r="I7" s="255"/>
      <c r="J7" s="243"/>
      <c r="K7" s="243"/>
      <c r="L7" s="243"/>
    </row>
    <row r="8" spans="2:12" ht="18" customHeight="1">
      <c r="B8" s="444" t="s">
        <v>189</v>
      </c>
      <c r="C8" s="252">
        <v>1.5800000000000002E-2</v>
      </c>
      <c r="D8" s="253">
        <v>1.6500000000000001E-2</v>
      </c>
      <c r="E8" s="254">
        <f t="shared" si="2"/>
        <v>-4.2424242424242378E-2</v>
      </c>
      <c r="F8" s="252">
        <v>1.72E-2</v>
      </c>
      <c r="G8" s="253">
        <v>1.5100000000000001E-2</v>
      </c>
      <c r="H8" s="254">
        <f t="shared" si="3"/>
        <v>0.13907284768211917</v>
      </c>
      <c r="I8" s="255"/>
      <c r="J8" s="243"/>
      <c r="K8" s="243"/>
      <c r="L8" s="243"/>
    </row>
    <row r="9" spans="2:12" ht="18" customHeight="1">
      <c r="B9" s="444" t="s">
        <v>190</v>
      </c>
      <c r="C9" s="252">
        <v>1.41E-2</v>
      </c>
      <c r="D9" s="253">
        <v>1.3100000000000001E-2</v>
      </c>
      <c r="E9" s="254">
        <f t="shared" si="2"/>
        <v>7.6335877862595353E-2</v>
      </c>
      <c r="F9" s="252">
        <v>1.44E-2</v>
      </c>
      <c r="G9" s="253">
        <v>1.4200000000000001E-2</v>
      </c>
      <c r="H9" s="254">
        <f t="shared" si="3"/>
        <v>1.4084507042253435E-2</v>
      </c>
      <c r="I9" s="255"/>
      <c r="J9" s="243"/>
      <c r="K9" s="243"/>
      <c r="L9" s="243"/>
    </row>
    <row r="10" spans="2:12" ht="18" customHeight="1">
      <c r="B10" s="444" t="s">
        <v>170</v>
      </c>
      <c r="C10" s="252">
        <v>7.9000000000000008E-3</v>
      </c>
      <c r="D10" s="253">
        <v>7.4000000000000003E-3</v>
      </c>
      <c r="E10" s="254">
        <f t="shared" si="2"/>
        <v>6.7567567567567627E-2</v>
      </c>
      <c r="F10" s="252">
        <v>8.0000000000000002E-3</v>
      </c>
      <c r="G10" s="253">
        <v>8.3000000000000001E-3</v>
      </c>
      <c r="H10" s="254">
        <f t="shared" si="3"/>
        <v>-3.6144578313253004E-2</v>
      </c>
      <c r="I10" s="255"/>
      <c r="J10" s="243"/>
      <c r="K10" s="243"/>
      <c r="L10" s="243"/>
    </row>
    <row r="11" spans="2:12" ht="18" customHeight="1">
      <c r="B11" s="444" t="s">
        <v>167</v>
      </c>
      <c r="C11" s="252">
        <v>7.7999999999999996E-3</v>
      </c>
      <c r="D11" s="253">
        <v>8.6E-3</v>
      </c>
      <c r="E11" s="254">
        <f t="shared" si="2"/>
        <v>-9.3023255813953529E-2</v>
      </c>
      <c r="F11" s="252">
        <v>7.9000000000000008E-3</v>
      </c>
      <c r="G11" s="253">
        <v>7.4000000000000003E-3</v>
      </c>
      <c r="H11" s="254">
        <f t="shared" si="3"/>
        <v>6.7567567567567627E-2</v>
      </c>
      <c r="I11" s="255"/>
      <c r="J11" s="243"/>
      <c r="K11" s="243"/>
      <c r="L11" s="243"/>
    </row>
    <row r="12" spans="2:12" ht="18" customHeight="1">
      <c r="B12" s="444" t="s">
        <v>172</v>
      </c>
      <c r="C12" s="252">
        <v>6.6E-3</v>
      </c>
      <c r="D12" s="253">
        <v>6.4999999999999997E-3</v>
      </c>
      <c r="E12" s="254">
        <f t="shared" si="2"/>
        <v>1.5384615384615425E-2</v>
      </c>
      <c r="F12" s="252">
        <v>6.7999999999999996E-3</v>
      </c>
      <c r="G12" s="253">
        <v>6.7000000000000002E-3</v>
      </c>
      <c r="H12" s="254">
        <f t="shared" si="3"/>
        <v>1.4925373134328268E-2</v>
      </c>
      <c r="I12" s="255"/>
      <c r="J12" s="243"/>
      <c r="K12" s="243"/>
      <c r="L12" s="243"/>
    </row>
    <row r="13" spans="2:12" ht="18" customHeight="1">
      <c r="B13" s="517" t="s">
        <v>234</v>
      </c>
      <c r="C13" s="252">
        <v>3.0000000000000001E-3</v>
      </c>
      <c r="D13" s="253">
        <v>4.0000000000000001E-3</v>
      </c>
      <c r="E13" s="254">
        <f t="shared" si="2"/>
        <v>-0.25</v>
      </c>
      <c r="F13" s="252">
        <v>4.4000000000000003E-3</v>
      </c>
      <c r="G13" s="253">
        <v>5.1999999999999998E-3</v>
      </c>
      <c r="H13" s="254">
        <f t="shared" si="3"/>
        <v>-0.15384615384615374</v>
      </c>
      <c r="I13" s="255"/>
      <c r="J13" s="243"/>
      <c r="K13" s="243"/>
      <c r="L13" s="243"/>
    </row>
    <row r="14" spans="2:12" ht="18" customHeight="1">
      <c r="B14" s="444" t="s">
        <v>171</v>
      </c>
      <c r="C14" s="252">
        <v>4.0000000000000001E-3</v>
      </c>
      <c r="D14" s="435">
        <v>3.2000000000000002E-3</v>
      </c>
      <c r="E14" s="254">
        <f t="shared" si="2"/>
        <v>0.24999999999999997</v>
      </c>
      <c r="F14" s="252">
        <v>3.8999999999999998E-3</v>
      </c>
      <c r="G14" s="253">
        <v>3.8999999999999998E-3</v>
      </c>
      <c r="H14" s="254">
        <f t="shared" si="3"/>
        <v>0</v>
      </c>
      <c r="I14" s="255"/>
      <c r="J14" s="243"/>
      <c r="K14" s="243"/>
      <c r="L14" s="243"/>
    </row>
    <row r="15" spans="2:12" ht="18" customHeight="1">
      <c r="B15" s="444" t="s">
        <v>192</v>
      </c>
      <c r="C15" s="252">
        <v>2.5999999999999999E-3</v>
      </c>
      <c r="D15" s="253">
        <v>2.5000000000000001E-3</v>
      </c>
      <c r="E15" s="254">
        <f t="shared" si="2"/>
        <v>3.9999999999999931E-2</v>
      </c>
      <c r="F15" s="252">
        <v>3.5000000000000001E-3</v>
      </c>
      <c r="G15" s="253">
        <v>4.4000000000000003E-3</v>
      </c>
      <c r="H15" s="254">
        <f t="shared" si="3"/>
        <v>-0.20454545454545459</v>
      </c>
      <c r="I15" s="255"/>
      <c r="J15" s="243"/>
      <c r="K15" s="243"/>
      <c r="L15" s="243"/>
    </row>
    <row r="16" spans="2:12" ht="18" customHeight="1">
      <c r="B16" s="444" t="s">
        <v>168</v>
      </c>
      <c r="C16" s="252">
        <v>2.8E-3</v>
      </c>
      <c r="D16" s="253">
        <v>4.4999999999999997E-3</v>
      </c>
      <c r="E16" s="254">
        <f t="shared" si="2"/>
        <v>-0.37777777777777771</v>
      </c>
      <c r="F16" s="252">
        <v>2.7000000000000001E-3</v>
      </c>
      <c r="G16" s="253">
        <v>2.5999999999999999E-3</v>
      </c>
      <c r="H16" s="254">
        <f t="shared" si="3"/>
        <v>3.8461538461538561E-2</v>
      </c>
      <c r="I16" s="255"/>
      <c r="J16" s="243"/>
      <c r="K16" s="243"/>
      <c r="L16" s="243"/>
    </row>
    <row r="17" spans="2:12" ht="18" customHeight="1">
      <c r="B17" s="444" t="s">
        <v>191</v>
      </c>
      <c r="C17" s="252">
        <v>2.5999999999999999E-3</v>
      </c>
      <c r="D17" s="253">
        <v>2.2000000000000001E-3</v>
      </c>
      <c r="E17" s="254">
        <f t="shared" si="2"/>
        <v>0.18181818181818168</v>
      </c>
      <c r="F17" s="252">
        <v>2.3999999999999998E-3</v>
      </c>
      <c r="G17" s="253">
        <v>1.6000000000000001E-3</v>
      </c>
      <c r="H17" s="254">
        <f t="shared" si="3"/>
        <v>0.49999999999999978</v>
      </c>
      <c r="I17" s="255"/>
      <c r="J17" s="243"/>
      <c r="K17" s="243"/>
      <c r="L17" s="243"/>
    </row>
    <row r="18" spans="2:12" ht="18" customHeight="1">
      <c r="B18" s="444" t="s">
        <v>176</v>
      </c>
      <c r="C18" s="252">
        <v>1.6000000000000001E-3</v>
      </c>
      <c r="D18" s="253">
        <v>1.5E-3</v>
      </c>
      <c r="E18" s="254">
        <f t="shared" si="2"/>
        <v>6.6666666666666693E-2</v>
      </c>
      <c r="F18" s="252">
        <v>1.6000000000000001E-3</v>
      </c>
      <c r="G18" s="253">
        <v>1.4E-3</v>
      </c>
      <c r="H18" s="254">
        <f t="shared" si="3"/>
        <v>0.14285714285714293</v>
      </c>
      <c r="I18" s="255"/>
      <c r="J18" s="243"/>
      <c r="K18" s="243"/>
      <c r="L18" s="243"/>
    </row>
    <row r="19" spans="2:12" ht="18" customHeight="1">
      <c r="B19" s="444" t="s">
        <v>173</v>
      </c>
      <c r="C19" s="252">
        <v>1.2999999999999999E-3</v>
      </c>
      <c r="D19" s="253">
        <v>1.1999999999999999E-3</v>
      </c>
      <c r="E19" s="254">
        <f t="shared" si="2"/>
        <v>8.3333333333333384E-2</v>
      </c>
      <c r="F19" s="252">
        <v>1.4E-3</v>
      </c>
      <c r="G19" s="253">
        <v>1.1000000000000001E-3</v>
      </c>
      <c r="H19" s="254">
        <f t="shared" si="3"/>
        <v>0.27272727272727265</v>
      </c>
      <c r="I19" s="255"/>
      <c r="J19" s="243"/>
      <c r="K19" s="243"/>
      <c r="L19" s="243"/>
    </row>
    <row r="20" spans="2:12" ht="18" customHeight="1">
      <c r="B20" s="444" t="s">
        <v>174</v>
      </c>
      <c r="C20" s="252">
        <v>1.6000000000000001E-3</v>
      </c>
      <c r="D20" s="253">
        <v>1.1999999999999999E-3</v>
      </c>
      <c r="E20" s="254">
        <f t="shared" si="2"/>
        <v>0.33333333333333354</v>
      </c>
      <c r="F20" s="252">
        <v>1.4E-3</v>
      </c>
      <c r="G20" s="253">
        <v>1.1999999999999999E-3</v>
      </c>
      <c r="H20" s="254">
        <f t="shared" si="3"/>
        <v>0.16666666666666677</v>
      </c>
      <c r="I20" s="255"/>
      <c r="J20" s="243"/>
      <c r="K20" s="243"/>
      <c r="L20" s="243"/>
    </row>
    <row r="21" spans="2:12" ht="18" customHeight="1">
      <c r="B21" s="444" t="s">
        <v>193</v>
      </c>
      <c r="C21" s="252">
        <v>1.2999999999999999E-3</v>
      </c>
      <c r="D21" s="253">
        <v>8.0000000000000004E-4</v>
      </c>
      <c r="E21" s="254">
        <f t="shared" si="2"/>
        <v>0.62499999999999989</v>
      </c>
      <c r="F21" s="252">
        <v>1.1000000000000001E-3</v>
      </c>
      <c r="G21" s="253">
        <v>5.9999999999999995E-4</v>
      </c>
      <c r="H21" s="254">
        <f t="shared" si="3"/>
        <v>0.83333333333333359</v>
      </c>
      <c r="I21" s="255"/>
      <c r="J21" s="243"/>
      <c r="K21" s="243"/>
      <c r="L21" s="243"/>
    </row>
    <row r="22" spans="2:12" ht="18" customHeight="1">
      <c r="B22" s="444" t="s">
        <v>184</v>
      </c>
      <c r="C22" s="252">
        <v>8.9999999999999998E-4</v>
      </c>
      <c r="D22" s="253">
        <v>1.1000000000000001E-3</v>
      </c>
      <c r="E22" s="254">
        <f t="shared" si="2"/>
        <v>-0.18181818181818188</v>
      </c>
      <c r="F22" s="252">
        <v>1E-3</v>
      </c>
      <c r="G22" s="253">
        <v>1E-3</v>
      </c>
      <c r="H22" s="254">
        <f t="shared" si="3"/>
        <v>0</v>
      </c>
      <c r="I22" s="255"/>
      <c r="J22" s="243"/>
      <c r="K22" s="243"/>
      <c r="L22" s="243"/>
    </row>
    <row r="23" spans="2:12" ht="18" customHeight="1">
      <c r="B23" s="444" t="s">
        <v>194</v>
      </c>
      <c r="C23" s="252">
        <v>8.0000000000000004E-4</v>
      </c>
      <c r="D23" s="253">
        <v>1E-3</v>
      </c>
      <c r="E23" s="254">
        <f t="shared" si="2"/>
        <v>-0.19999999999999998</v>
      </c>
      <c r="F23" s="252">
        <v>8.9999999999999998E-4</v>
      </c>
      <c r="G23" s="253">
        <v>1.1999999999999999E-3</v>
      </c>
      <c r="H23" s="254">
        <f t="shared" si="3"/>
        <v>-0.24999999999999994</v>
      </c>
      <c r="I23" s="255"/>
      <c r="J23" s="243"/>
      <c r="K23" s="243"/>
      <c r="L23" s="243"/>
    </row>
    <row r="24" spans="2:12" ht="18" customHeight="1">
      <c r="B24" s="444" t="s">
        <v>169</v>
      </c>
      <c r="C24" s="252">
        <v>8.9999999999999998E-4</v>
      </c>
      <c r="D24" s="253">
        <v>1.1999999999999999E-3</v>
      </c>
      <c r="E24" s="254">
        <f t="shared" si="2"/>
        <v>-0.24999999999999994</v>
      </c>
      <c r="F24" s="252">
        <v>8.0000000000000004E-4</v>
      </c>
      <c r="G24" s="253">
        <v>8.9999999999999998E-4</v>
      </c>
      <c r="H24" s="254">
        <f t="shared" si="3"/>
        <v>-0.11111111111111105</v>
      </c>
      <c r="I24" s="255"/>
      <c r="J24" s="243"/>
      <c r="K24" s="243"/>
      <c r="L24" s="243"/>
    </row>
    <row r="25" spans="2:12" ht="18" customHeight="1">
      <c r="B25" s="444" t="s">
        <v>175</v>
      </c>
      <c r="C25" s="252">
        <v>2.9999999999999997E-4</v>
      </c>
      <c r="D25" s="253">
        <v>2.9999999999999997E-4</v>
      </c>
      <c r="E25" s="254">
        <f t="shared" si="2"/>
        <v>0</v>
      </c>
      <c r="F25" s="252">
        <v>2.9999999999999997E-4</v>
      </c>
      <c r="G25" s="253">
        <v>2.0000000000000001E-4</v>
      </c>
      <c r="H25" s="254">
        <f t="shared" si="3"/>
        <v>0.49999999999999978</v>
      </c>
      <c r="I25" s="255"/>
      <c r="J25" s="243"/>
      <c r="K25" s="243"/>
      <c r="L25" s="243"/>
    </row>
    <row r="26" spans="2:12" ht="18" customHeight="1">
      <c r="B26" s="444" t="s">
        <v>195</v>
      </c>
      <c r="C26" s="252">
        <v>5.0000000000000001E-4</v>
      </c>
      <c r="D26" s="253">
        <v>2.0000000000000001E-4</v>
      </c>
      <c r="E26" s="254">
        <f t="shared" si="2"/>
        <v>1.5</v>
      </c>
      <c r="F26" s="252">
        <v>2.9999999999999997E-4</v>
      </c>
      <c r="G26" s="253">
        <v>2.9999999999999997E-4</v>
      </c>
      <c r="H26" s="254">
        <f t="shared" si="3"/>
        <v>0</v>
      </c>
      <c r="I26" s="255"/>
      <c r="J26" s="243"/>
      <c r="K26" s="243"/>
      <c r="L26" s="243"/>
    </row>
    <row r="27" spans="2:12" ht="18" customHeight="1">
      <c r="B27" s="517" t="s">
        <v>232</v>
      </c>
      <c r="C27" s="513" t="s">
        <v>141</v>
      </c>
      <c r="D27" s="514" t="s">
        <v>141</v>
      </c>
      <c r="E27" s="254" t="str">
        <f t="shared" ref="E27" si="4">IFERROR((C27-D27)/D27,"n/d")</f>
        <v>n/d</v>
      </c>
      <c r="F27" s="434" t="s">
        <v>141</v>
      </c>
      <c r="G27" s="435" t="s">
        <v>141</v>
      </c>
      <c r="H27" s="254" t="str">
        <f t="shared" ref="H27" si="5">IFERROR((F27-G27)/G27,"n/d")</f>
        <v>n/d</v>
      </c>
      <c r="I27" s="255"/>
      <c r="J27" s="243"/>
      <c r="K27" s="243"/>
      <c r="L27" s="243"/>
    </row>
    <row r="28" spans="2:12" ht="18" customHeight="1" thickBot="1">
      <c r="B28" s="517" t="s">
        <v>235</v>
      </c>
      <c r="C28" s="513" t="s">
        <v>141</v>
      </c>
      <c r="D28" s="514" t="s">
        <v>141</v>
      </c>
      <c r="E28" s="254" t="str">
        <f t="shared" si="0"/>
        <v>n/d</v>
      </c>
      <c r="F28" s="434" t="s">
        <v>141</v>
      </c>
      <c r="G28" s="435" t="s">
        <v>141</v>
      </c>
      <c r="H28" s="254" t="str">
        <f t="shared" si="1"/>
        <v>n/d</v>
      </c>
      <c r="I28" s="255"/>
      <c r="J28" s="243"/>
      <c r="K28" s="243"/>
      <c r="L28" s="243"/>
    </row>
    <row r="29" spans="2:12" ht="30" customHeight="1" thickBot="1">
      <c r="B29" s="257" t="s">
        <v>236</v>
      </c>
      <c r="C29" s="425">
        <v>0.27200000000000002</v>
      </c>
      <c r="D29" s="426">
        <v>0.25900000000000001</v>
      </c>
      <c r="E29" s="427">
        <f>IFERROR((C29-D29)/D29,"n/d")</f>
        <v>5.0193050193050238E-2</v>
      </c>
      <c r="F29" s="425">
        <v>0.26900000000000002</v>
      </c>
      <c r="G29" s="426">
        <v>0.25800000000000001</v>
      </c>
      <c r="H29" s="427">
        <f>IFERROR((F29-G29)/G29,"n/d")</f>
        <v>4.2635658914728716E-2</v>
      </c>
      <c r="I29" s="258"/>
      <c r="J29" s="243"/>
      <c r="K29" s="243"/>
      <c r="L29" s="243"/>
    </row>
    <row r="30" spans="2:12" s="16" customFormat="1" ht="10.5" customHeight="1">
      <c r="I30" s="243"/>
      <c r="J30" s="243"/>
      <c r="K30" s="243"/>
      <c r="L30" s="243"/>
    </row>
    <row r="31" spans="2:12" s="16" customFormat="1" ht="88.5" customHeight="1">
      <c r="B31" s="559" t="s">
        <v>238</v>
      </c>
      <c r="C31" s="559"/>
      <c r="D31" s="559"/>
      <c r="E31" s="559"/>
      <c r="F31" s="559"/>
      <c r="G31" s="256"/>
      <c r="H31" s="243"/>
      <c r="I31" s="243"/>
      <c r="J31" s="243"/>
      <c r="K31" s="243"/>
      <c r="L31" s="243"/>
    </row>
    <row r="32" spans="2:12" s="16" customFormat="1" ht="14.25" customHeight="1">
      <c r="B32" s="259"/>
    </row>
    <row r="33" spans="2:8" s="16" customFormat="1" ht="15" thickBot="1"/>
    <row r="34" spans="2:8" ht="20.25" customHeight="1" thickBot="1">
      <c r="B34" s="560" t="s">
        <v>177</v>
      </c>
      <c r="C34" s="534" t="s">
        <v>226</v>
      </c>
      <c r="D34" s="535"/>
      <c r="E34" s="536"/>
      <c r="F34" s="534" t="s">
        <v>227</v>
      </c>
      <c r="G34" s="535"/>
      <c r="H34" s="536"/>
    </row>
    <row r="35" spans="2:8" ht="20.25" customHeight="1" thickBot="1">
      <c r="B35" s="561"/>
      <c r="C35" s="276">
        <v>2016</v>
      </c>
      <c r="D35" s="277">
        <v>2015</v>
      </c>
      <c r="E35" s="278" t="s">
        <v>163</v>
      </c>
      <c r="F35" s="276">
        <v>2016</v>
      </c>
      <c r="G35" s="277">
        <v>2015</v>
      </c>
      <c r="H35" s="278" t="s">
        <v>163</v>
      </c>
    </row>
    <row r="36" spans="2:8" ht="18" customHeight="1">
      <c r="B36" s="383" t="s">
        <v>178</v>
      </c>
      <c r="C36" s="385">
        <v>0.999</v>
      </c>
      <c r="D36" s="280">
        <v>0.998</v>
      </c>
      <c r="E36" s="440">
        <f>IFERROR((C36-D36)/D36,"n/d")</f>
        <v>1.0020040080160328E-3</v>
      </c>
      <c r="F36" s="385">
        <v>0.999</v>
      </c>
      <c r="G36" s="280">
        <v>0.998</v>
      </c>
      <c r="H36" s="440">
        <f>IFERROR((F36-G36)/G36,"n/d")</f>
        <v>1.0020040080160328E-3</v>
      </c>
    </row>
    <row r="37" spans="2:8" ht="18" customHeight="1">
      <c r="B37" s="384" t="s">
        <v>188</v>
      </c>
      <c r="C37" s="385">
        <v>0.998</v>
      </c>
      <c r="D37" s="280">
        <v>0.997</v>
      </c>
      <c r="E37" s="440">
        <f t="shared" ref="E37:E57" si="6">IFERROR((C37-D37)/D37,"n/d")</f>
        <v>1.0030090270812446E-3</v>
      </c>
      <c r="F37" s="385">
        <v>0.998</v>
      </c>
      <c r="G37" s="280">
        <v>0.998</v>
      </c>
      <c r="H37" s="440">
        <f t="shared" ref="H37:H58" si="7">IFERROR((F37-G37)/G37,"n/d")</f>
        <v>0</v>
      </c>
    </row>
    <row r="38" spans="2:8" ht="18" customHeight="1">
      <c r="B38" s="515" t="s">
        <v>233</v>
      </c>
      <c r="C38" s="385">
        <v>0.95499999999999996</v>
      </c>
      <c r="D38" s="280">
        <v>0.93700000000000006</v>
      </c>
      <c r="E38" s="440">
        <f t="shared" si="6"/>
        <v>1.9210245464247495E-2</v>
      </c>
      <c r="F38" s="385">
        <v>0.94799999999999995</v>
      </c>
      <c r="G38" s="280">
        <v>0.93799999999999994</v>
      </c>
      <c r="H38" s="440">
        <f t="shared" si="7"/>
        <v>1.0660980810234552E-2</v>
      </c>
    </row>
    <row r="39" spans="2:8" ht="18" customHeight="1">
      <c r="B39" s="384" t="s">
        <v>189</v>
      </c>
      <c r="C39" s="385">
        <v>0.95199999999999996</v>
      </c>
      <c r="D39" s="280">
        <v>0.93100000000000005</v>
      </c>
      <c r="E39" s="440">
        <f t="shared" si="6"/>
        <v>2.2556390977443507E-2</v>
      </c>
      <c r="F39" s="385">
        <v>0.94599999999999995</v>
      </c>
      <c r="G39" s="280">
        <v>0.93200000000000005</v>
      </c>
      <c r="H39" s="440">
        <f t="shared" si="7"/>
        <v>1.5021459227467705E-2</v>
      </c>
    </row>
    <row r="40" spans="2:8" ht="18" customHeight="1">
      <c r="B40" s="384" t="s">
        <v>190</v>
      </c>
      <c r="C40" s="385">
        <v>0.63</v>
      </c>
      <c r="D40" s="280">
        <v>0.625</v>
      </c>
      <c r="E40" s="440">
        <f t="shared" si="6"/>
        <v>8.0000000000000071E-3</v>
      </c>
      <c r="F40" s="385">
        <v>0.63100000000000001</v>
      </c>
      <c r="G40" s="280">
        <v>0.61899999999999999</v>
      </c>
      <c r="H40" s="440">
        <f t="shared" si="7"/>
        <v>1.9386106623586447E-2</v>
      </c>
    </row>
    <row r="41" spans="2:8" ht="18" customHeight="1">
      <c r="B41" s="384" t="s">
        <v>194</v>
      </c>
      <c r="C41" s="385">
        <v>0.56799999999999995</v>
      </c>
      <c r="D41" s="280">
        <v>0.54200000000000004</v>
      </c>
      <c r="E41" s="440">
        <f>IFERROR((C41-D41)/D41,"n/d")</f>
        <v>4.7970479704796884E-2</v>
      </c>
      <c r="F41" s="385">
        <v>0.56000000000000005</v>
      </c>
      <c r="G41" s="280">
        <v>0.54</v>
      </c>
      <c r="H41" s="440">
        <f>IFERROR((F41-G41)/G41,"n/d")</f>
        <v>3.703703703703707E-2</v>
      </c>
    </row>
    <row r="42" spans="2:8" ht="18" customHeight="1">
      <c r="B42" s="384" t="s">
        <v>167</v>
      </c>
      <c r="C42" s="385">
        <v>0.55700000000000005</v>
      </c>
      <c r="D42" s="280">
        <v>0.56000000000000005</v>
      </c>
      <c r="E42" s="440">
        <f t="shared" si="6"/>
        <v>-5.3571428571428615E-3</v>
      </c>
      <c r="F42" s="385">
        <v>0.55800000000000005</v>
      </c>
      <c r="G42" s="280">
        <v>0.55600000000000005</v>
      </c>
      <c r="H42" s="440">
        <f t="shared" si="7"/>
        <v>3.5971223021582762E-3</v>
      </c>
    </row>
    <row r="43" spans="2:8" ht="18" customHeight="1">
      <c r="B43" s="384" t="s">
        <v>171</v>
      </c>
      <c r="C43" s="385">
        <v>0.55400000000000005</v>
      </c>
      <c r="D43" s="280">
        <v>0.54500000000000004</v>
      </c>
      <c r="E43" s="440">
        <f t="shared" si="6"/>
        <v>1.6513761467889923E-2</v>
      </c>
      <c r="F43" s="385">
        <v>0.55100000000000005</v>
      </c>
      <c r="G43" s="280">
        <v>0.54100000000000004</v>
      </c>
      <c r="H43" s="440">
        <f t="shared" si="7"/>
        <v>1.8484288354898352E-2</v>
      </c>
    </row>
    <row r="44" spans="2:8" ht="18" customHeight="1">
      <c r="B44" s="384" t="s">
        <v>170</v>
      </c>
      <c r="C44" s="385">
        <v>0.51900000000000002</v>
      </c>
      <c r="D44" s="280">
        <v>0.504</v>
      </c>
      <c r="E44" s="440">
        <f t="shared" si="6"/>
        <v>2.9761904761904788E-2</v>
      </c>
      <c r="F44" s="385">
        <v>0.51400000000000001</v>
      </c>
      <c r="G44" s="280">
        <v>0.498</v>
      </c>
      <c r="H44" s="440">
        <f t="shared" si="7"/>
        <v>3.2128514056224931E-2</v>
      </c>
    </row>
    <row r="45" spans="2:8" ht="18" customHeight="1">
      <c r="B45" s="384" t="s">
        <v>172</v>
      </c>
      <c r="C45" s="385">
        <v>0.497</v>
      </c>
      <c r="D45" s="280">
        <v>0.47699999999999998</v>
      </c>
      <c r="E45" s="440">
        <f>IFERROR((C45-D45)/D45,"n/d")</f>
        <v>4.192872117400423E-2</v>
      </c>
      <c r="F45" s="385">
        <v>0.49</v>
      </c>
      <c r="G45" s="280">
        <v>0.47099999999999997</v>
      </c>
      <c r="H45" s="440">
        <f>IFERROR((F45-G45)/G45,"n/d")</f>
        <v>4.0339702760084965E-2</v>
      </c>
    </row>
    <row r="46" spans="2:8" ht="18" customHeight="1">
      <c r="B46" s="384" t="s">
        <v>174</v>
      </c>
      <c r="C46" s="385">
        <v>0.48499999999999999</v>
      </c>
      <c r="D46" s="280">
        <v>0.38600000000000001</v>
      </c>
      <c r="E46" s="440">
        <f>IFERROR((C46-D46)/D46,"n/d")</f>
        <v>0.25647668393782375</v>
      </c>
      <c r="F46" s="385">
        <v>0.436</v>
      </c>
      <c r="G46" s="280">
        <v>0.34799999999999998</v>
      </c>
      <c r="H46" s="440">
        <f>IFERROR((F46-G46)/G46,"n/d")</f>
        <v>0.25287356321839088</v>
      </c>
    </row>
    <row r="47" spans="2:8" ht="18" customHeight="1">
      <c r="B47" s="384" t="s">
        <v>168</v>
      </c>
      <c r="C47" s="385">
        <v>0.47699999999999998</v>
      </c>
      <c r="D47" s="280">
        <v>0.48399999999999999</v>
      </c>
      <c r="E47" s="440">
        <f t="shared" si="6"/>
        <v>-1.4462809917355384E-2</v>
      </c>
      <c r="F47" s="385">
        <v>0.48199999999999998</v>
      </c>
      <c r="G47" s="280">
        <v>0.48199999999999998</v>
      </c>
      <c r="H47" s="440">
        <f t="shared" si="7"/>
        <v>0</v>
      </c>
    </row>
    <row r="48" spans="2:8" ht="18" customHeight="1">
      <c r="B48" s="384" t="s">
        <v>192</v>
      </c>
      <c r="C48" s="385">
        <v>0.46700000000000003</v>
      </c>
      <c r="D48" s="280">
        <v>0.45700000000000002</v>
      </c>
      <c r="E48" s="440">
        <f>IFERROR((C48-D48)/D48,"n/d")</f>
        <v>2.1881838074398269E-2</v>
      </c>
      <c r="F48" s="385">
        <v>0.46200000000000002</v>
      </c>
      <c r="G48" s="280">
        <v>0.44900000000000001</v>
      </c>
      <c r="H48" s="440">
        <f>IFERROR((F48-G48)/G48,"n/d")</f>
        <v>2.8953229398663721E-2</v>
      </c>
    </row>
    <row r="49" spans="2:9" ht="18" customHeight="1">
      <c r="B49" s="384" t="s">
        <v>176</v>
      </c>
      <c r="C49" s="385">
        <v>0.48</v>
      </c>
      <c r="D49" s="280">
        <v>0.46300000000000002</v>
      </c>
      <c r="E49" s="440">
        <f t="shared" si="6"/>
        <v>3.6717062634989112E-2</v>
      </c>
      <c r="F49" s="385">
        <v>0.46400000000000002</v>
      </c>
      <c r="G49" s="280">
        <v>0.45</v>
      </c>
      <c r="H49" s="440">
        <f t="shared" si="7"/>
        <v>3.1111111111111138E-2</v>
      </c>
    </row>
    <row r="50" spans="2:9" ht="18" customHeight="1">
      <c r="B50" s="384" t="s">
        <v>191</v>
      </c>
      <c r="C50" s="385">
        <v>0.45300000000000001</v>
      </c>
      <c r="D50" s="280">
        <v>0.436</v>
      </c>
      <c r="E50" s="440">
        <f t="shared" si="6"/>
        <v>3.8990825688073431E-2</v>
      </c>
      <c r="F50" s="385">
        <v>0.44500000000000001</v>
      </c>
      <c r="G50" s="280">
        <v>0.433</v>
      </c>
      <c r="H50" s="440">
        <f t="shared" si="7"/>
        <v>2.7713625866050834E-2</v>
      </c>
    </row>
    <row r="51" spans="2:9" ht="18" customHeight="1">
      <c r="B51" s="384" t="s">
        <v>193</v>
      </c>
      <c r="C51" s="385">
        <v>0.443</v>
      </c>
      <c r="D51" s="280">
        <v>0.28100000000000003</v>
      </c>
      <c r="E51" s="440">
        <f>IFERROR((C51-D51)/D51,"n/d")</f>
        <v>0.57651245551601404</v>
      </c>
      <c r="F51" s="385">
        <v>0.39</v>
      </c>
      <c r="G51" s="280">
        <v>0.27200000000000002</v>
      </c>
      <c r="H51" s="440">
        <f>IFERROR((F51-G51)/G51,"n/d")</f>
        <v>0.43382352941176466</v>
      </c>
    </row>
    <row r="52" spans="2:9" ht="18" customHeight="1">
      <c r="B52" s="384" t="s">
        <v>175</v>
      </c>
      <c r="C52" s="385">
        <v>0.42499999999999999</v>
      </c>
      <c r="D52" s="280">
        <v>0.27</v>
      </c>
      <c r="E52" s="440">
        <f>IFERROR((C52-D52)/D52,"n/d")</f>
        <v>0.57407407407407396</v>
      </c>
      <c r="F52" s="385">
        <v>0.36499999999999999</v>
      </c>
      <c r="G52" s="280">
        <v>0.26300000000000001</v>
      </c>
      <c r="H52" s="440">
        <f>IFERROR((F52-G52)/G52,"n/d")</f>
        <v>0.38783269961977179</v>
      </c>
    </row>
    <row r="53" spans="2:9" ht="18" customHeight="1">
      <c r="B53" s="384" t="s">
        <v>195</v>
      </c>
      <c r="C53" s="385">
        <v>0.41699999999999998</v>
      </c>
      <c r="D53" s="280">
        <v>0.39300000000000002</v>
      </c>
      <c r="E53" s="440">
        <f t="shared" si="6"/>
        <v>6.1068702290076243E-2</v>
      </c>
      <c r="F53" s="385">
        <v>0.40799999999999997</v>
      </c>
      <c r="G53" s="280">
        <v>0.38600000000000001</v>
      </c>
      <c r="H53" s="440">
        <f t="shared" si="7"/>
        <v>5.6994818652849645E-2</v>
      </c>
    </row>
    <row r="54" spans="2:9" ht="18" customHeight="1">
      <c r="B54" s="384" t="s">
        <v>173</v>
      </c>
      <c r="C54" s="385">
        <v>0.39900000000000002</v>
      </c>
      <c r="D54" s="280">
        <v>0.38700000000000001</v>
      </c>
      <c r="E54" s="440">
        <f t="shared" si="6"/>
        <v>3.1007751937984523E-2</v>
      </c>
      <c r="F54" s="385">
        <v>0.39300000000000002</v>
      </c>
      <c r="G54" s="280">
        <v>0.379</v>
      </c>
      <c r="H54" s="440">
        <f t="shared" si="7"/>
        <v>3.6939313984168901E-2</v>
      </c>
    </row>
    <row r="55" spans="2:9" ht="18" customHeight="1">
      <c r="B55" s="384" t="s">
        <v>169</v>
      </c>
      <c r="C55" s="385">
        <v>0.36199999999999999</v>
      </c>
      <c r="D55" s="280">
        <v>0.35599999999999998</v>
      </c>
      <c r="E55" s="440">
        <f t="shared" si="6"/>
        <v>1.685393258426968E-2</v>
      </c>
      <c r="F55" s="385">
        <v>0.35899999999999999</v>
      </c>
      <c r="G55" s="280">
        <v>0.35099999999999998</v>
      </c>
      <c r="H55" s="440">
        <f t="shared" si="7"/>
        <v>2.2792022792022814E-2</v>
      </c>
    </row>
    <row r="56" spans="2:9" ht="18" customHeight="1">
      <c r="B56" s="384" t="s">
        <v>184</v>
      </c>
      <c r="C56" s="385">
        <v>0.25800000000000001</v>
      </c>
      <c r="D56" s="280">
        <v>0.245</v>
      </c>
      <c r="E56" s="440">
        <f t="shared" si="6"/>
        <v>5.3061224489795965E-2</v>
      </c>
      <c r="F56" s="385">
        <v>0.254</v>
      </c>
      <c r="G56" s="280">
        <v>0.223</v>
      </c>
      <c r="H56" s="440">
        <f t="shared" si="7"/>
        <v>0.13901345291479819</v>
      </c>
    </row>
    <row r="57" spans="2:9" ht="18" customHeight="1">
      <c r="B57" s="515" t="s">
        <v>196</v>
      </c>
      <c r="C57" s="436" t="s">
        <v>141</v>
      </c>
      <c r="D57" s="438" t="s">
        <v>141</v>
      </c>
      <c r="E57" s="440" t="str">
        <f t="shared" si="6"/>
        <v>n/d</v>
      </c>
      <c r="F57" s="436" t="s">
        <v>141</v>
      </c>
      <c r="G57" s="438" t="s">
        <v>141</v>
      </c>
      <c r="H57" s="440" t="str">
        <f t="shared" ref="H57" si="8">IFERROR((F57-G57)/G57,"n/d")</f>
        <v>n/d</v>
      </c>
    </row>
    <row r="58" spans="2:9" ht="18" customHeight="1" thickBot="1">
      <c r="B58" s="516" t="s">
        <v>217</v>
      </c>
      <c r="C58" s="437">
        <v>0.10199999999999999</v>
      </c>
      <c r="D58" s="439" t="s">
        <v>141</v>
      </c>
      <c r="E58" s="441" t="str">
        <f t="shared" ref="E58" si="9">IFERROR((C58-D58)/D58,"n/d")</f>
        <v>n/d</v>
      </c>
      <c r="F58" s="437">
        <v>0.10199999999999999</v>
      </c>
      <c r="G58" s="439" t="s">
        <v>141</v>
      </c>
      <c r="H58" s="441" t="str">
        <f t="shared" si="7"/>
        <v>n/d</v>
      </c>
    </row>
    <row r="59" spans="2:9" s="16" customFormat="1" ht="10.5" customHeight="1"/>
    <row r="60" spans="2:9" s="16" customFormat="1" ht="63" customHeight="1">
      <c r="B60" s="559" t="s">
        <v>239</v>
      </c>
      <c r="C60" s="559"/>
      <c r="D60" s="559"/>
      <c r="E60" s="559"/>
      <c r="F60" s="559"/>
      <c r="G60" s="559"/>
      <c r="H60" s="559"/>
      <c r="I60" s="559"/>
    </row>
    <row r="61" spans="2:9" s="16" customFormat="1">
      <c r="B61" s="563"/>
      <c r="C61" s="563"/>
      <c r="D61" s="563"/>
      <c r="E61" s="563"/>
      <c r="F61" s="260"/>
      <c r="G61" s="260"/>
    </row>
    <row r="62" spans="2:9" s="261" customFormat="1" ht="27.75" customHeight="1">
      <c r="B62" s="559"/>
      <c r="C62" s="559"/>
      <c r="D62" s="559"/>
      <c r="E62" s="559"/>
      <c r="F62" s="262"/>
      <c r="G62" s="262"/>
    </row>
    <row r="63" spans="2:9" s="16" customFormat="1">
      <c r="B63" s="563"/>
      <c r="C63" s="563"/>
      <c r="D63" s="563"/>
      <c r="E63" s="563"/>
      <c r="F63" s="260"/>
      <c r="G63" s="260"/>
    </row>
    <row r="64" spans="2:9" s="16" customFormat="1" ht="14.25" customHeight="1">
      <c r="B64" s="559"/>
      <c r="C64" s="559"/>
      <c r="D64" s="559"/>
      <c r="E64" s="559"/>
      <c r="F64" s="260"/>
      <c r="G64" s="260"/>
    </row>
    <row r="65" spans="2:8" s="16" customFormat="1" ht="14.25" customHeight="1">
      <c r="B65" s="559"/>
      <c r="C65" s="559"/>
      <c r="D65" s="559"/>
      <c r="E65" s="559"/>
      <c r="F65" s="260"/>
      <c r="G65" s="260"/>
    </row>
    <row r="66" spans="2:8" s="16" customFormat="1">
      <c r="B66" s="263"/>
      <c r="C66" s="263"/>
      <c r="D66" s="263"/>
      <c r="E66" s="263"/>
      <c r="F66" s="420"/>
      <c r="G66" s="420"/>
      <c r="H66" s="420"/>
    </row>
    <row r="67" spans="2:8" s="16" customFormat="1">
      <c r="B67" s="263"/>
      <c r="C67" s="264"/>
      <c r="D67" s="264"/>
      <c r="E67" s="264"/>
      <c r="F67" s="264"/>
      <c r="G67" s="264"/>
      <c r="H67" s="264"/>
    </row>
    <row r="68" spans="2:8" s="16" customFormat="1">
      <c r="B68" s="562"/>
      <c r="C68" s="562"/>
      <c r="D68" s="562"/>
    </row>
    <row r="69" spans="2:8" s="16" customFormat="1" ht="18" customHeight="1">
      <c r="B69" s="562"/>
      <c r="C69" s="562"/>
      <c r="D69" s="562"/>
    </row>
    <row r="70" spans="2:8" s="16" customFormat="1"/>
    <row r="71" spans="2:8" s="16" customFormat="1"/>
    <row r="72" spans="2:8" s="16" customFormat="1"/>
    <row r="73" spans="2:8" s="16" customFormat="1"/>
    <row r="74" spans="2:8" s="16" customFormat="1"/>
    <row r="75" spans="2:8" s="16" customFormat="1"/>
    <row r="76" spans="2:8" s="16" customFormat="1"/>
    <row r="77" spans="2:8" s="16" customFormat="1"/>
    <row r="78" spans="2:8" s="16" customFormat="1"/>
    <row r="79" spans="2:8" s="16" customFormat="1"/>
    <row r="80" spans="2:8" s="16" customFormat="1"/>
    <row r="81" s="16" customFormat="1"/>
    <row r="82" s="16" customFormat="1"/>
    <row r="83" s="16" customFormat="1"/>
    <row r="84" s="16" customFormat="1"/>
    <row r="85" s="16" customFormat="1"/>
    <row r="86" s="16" customFormat="1"/>
    <row r="87" s="16" customFormat="1"/>
    <row r="88" s="16" customFormat="1"/>
    <row r="89" s="16" customFormat="1"/>
    <row r="90" s="16" customFormat="1"/>
    <row r="91" s="16" customFormat="1"/>
    <row r="92" s="16" customFormat="1"/>
    <row r="93" s="16" customFormat="1"/>
    <row r="94" s="16" customFormat="1"/>
    <row r="95" s="16" customFormat="1"/>
    <row r="96" s="16" customFormat="1"/>
  </sheetData>
  <sortState ref="B7:H26">
    <sortCondition descending="1" ref="F7:F26"/>
  </sortState>
  <mergeCells count="15">
    <mergeCell ref="B68:D68"/>
    <mergeCell ref="B69:D69"/>
    <mergeCell ref="B60:I60"/>
    <mergeCell ref="B61:E61"/>
    <mergeCell ref="B62:E62"/>
    <mergeCell ref="B63:E63"/>
    <mergeCell ref="B64:E64"/>
    <mergeCell ref="B65:E65"/>
    <mergeCell ref="B2:B3"/>
    <mergeCell ref="C2:E2"/>
    <mergeCell ref="B31:F31"/>
    <mergeCell ref="B34:B35"/>
    <mergeCell ref="C34:E34"/>
    <mergeCell ref="F2:H2"/>
    <mergeCell ref="F34:H34"/>
  </mergeCells>
  <pageMargins left="0.7" right="0.7" top="0.75" bottom="0.75" header="0.3" footer="0.3"/>
  <pageSetup paperSize="9" scale="56" orientation="portrait" horizontalDpi="4294967294" r:id="rId1"/>
  <ignoredErrors>
    <ignoredError sqref="E4 E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8</vt:i4>
      </vt:variant>
    </vt:vector>
  </HeadingPairs>
  <TitlesOfParts>
    <vt:vector size="14" baseType="lpstr">
      <vt:lpstr>Skonsolidowany P&amp;L</vt:lpstr>
      <vt:lpstr>Segmenty</vt:lpstr>
      <vt:lpstr>Skonsolidowant bilans</vt:lpstr>
      <vt:lpstr>Skonsolidowany CF</vt:lpstr>
      <vt:lpstr>KPI_segment B2B&amp;B2C</vt:lpstr>
      <vt:lpstr>KPI - segment TV</vt:lpstr>
      <vt:lpstr>'KPI - segment TV'!_Toc377043859</vt:lpstr>
      <vt:lpstr>'KPI - segment TV'!_Toc377043860</vt:lpstr>
      <vt:lpstr>'KPI - segment TV'!Obszar_wydruku</vt:lpstr>
      <vt:lpstr>'KPI_segment B2B&amp;B2C'!Obszar_wydruku</vt:lpstr>
      <vt:lpstr>'Skonsolidowant bilans'!Obszar_wydruku</vt:lpstr>
      <vt:lpstr>'Skonsolidowany CF'!Obszar_wydruku</vt:lpstr>
      <vt:lpstr>'Skonsolidowany P&amp;L'!Obszar_wydruku</vt:lpstr>
      <vt:lpstr>'Skonsolidowany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2015-11-10T12:34:56Z</cp:lastPrinted>
  <dcterms:created xsi:type="dcterms:W3CDTF">2008-08-25T12:12:22Z</dcterms:created>
  <dcterms:modified xsi:type="dcterms:W3CDTF">2017-03-15T15:28:25Z</dcterms:modified>
</cp:coreProperties>
</file>