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500" yWindow="-135" windowWidth="15330" windowHeight="12780" firstSheet="3" activeTab="5"/>
  </bookViews>
  <sheets>
    <sheet name="Skonsolidowany P&amp;L" sheetId="16" r:id="rId1"/>
    <sheet name="Segmenty" sheetId="13" r:id="rId2"/>
    <sheet name="Skonsolidowany bilans" sheetId="4" r:id="rId3"/>
    <sheet name="Skonsolidowany CF" sheetId="6" r:id="rId4"/>
    <sheet name="KPI_segment B2B&amp;B2C" sheetId="14" r:id="rId5"/>
    <sheet name="KPI - segment TV" sheetId="15" r:id="rId6"/>
  </sheets>
  <definedNames>
    <definedName name="_Toc377043859" localSheetId="5">'KPI - segment TV'!$C$57</definedName>
    <definedName name="_Toc377043860" localSheetId="5">'KPI - segment TV'!$D$57</definedName>
    <definedName name="_Toc377043862" localSheetId="5">'KPI - segment TV'!#REF!</definedName>
    <definedName name="_Toc377043863" localSheetId="5">'KPI - segment TV'!#REF!</definedName>
    <definedName name="_xlnm.Print_Area" localSheetId="5">'KPI - segment TV'!$A$1:$E$106</definedName>
    <definedName name="_xlnm.Print_Area" localSheetId="4">'KPI_segment B2B&amp;B2C'!$A$1:$S$38</definedName>
    <definedName name="_xlnm.Print_Area" localSheetId="2">'Skonsolidowany bilans'!$A$1:$Q$73</definedName>
    <definedName name="_xlnm.Print_Area" localSheetId="3">'Skonsolidowany CF'!$A$1:$Q$71</definedName>
    <definedName name="_xlnm.Print_Area" localSheetId="0">'Skonsolidowany P&amp;L'!$A$3:$S$39</definedName>
    <definedName name="OLE_LINK3" localSheetId="3">'Skonsolidowany CF'!$A$21</definedName>
  </definedNames>
  <calcPr calcId="145621"/>
</workbook>
</file>

<file path=xl/calcChain.xml><?xml version="1.0" encoding="utf-8"?>
<calcChain xmlns="http://schemas.openxmlformats.org/spreadsheetml/2006/main">
  <c r="E41" i="15" l="1"/>
  <c r="H41" i="15"/>
  <c r="E32" i="15"/>
  <c r="E89" i="15" l="1"/>
  <c r="E31" i="15"/>
  <c r="AK64" i="6"/>
  <c r="AJ64" i="6"/>
  <c r="AF64" i="6" l="1"/>
  <c r="AE64" i="6"/>
  <c r="AF41" i="6"/>
  <c r="R5" i="13"/>
  <c r="T5" i="13"/>
  <c r="R6" i="13"/>
  <c r="T6" i="13"/>
  <c r="AY30" i="16"/>
  <c r="AY31" i="16"/>
  <c r="AY24" i="16"/>
  <c r="AY26" i="16" s="1"/>
  <c r="AY19" i="16"/>
  <c r="AY9" i="16"/>
  <c r="AY4" i="16"/>
  <c r="AS30" i="16"/>
  <c r="AS31" i="16"/>
  <c r="AS26" i="16"/>
  <c r="AS24" i="16"/>
  <c r="AS19" i="16"/>
  <c r="AS9" i="16"/>
  <c r="AS4" i="16"/>
  <c r="AJ62" i="6" l="1"/>
  <c r="AJ49" i="6"/>
  <c r="AJ5" i="6"/>
  <c r="AJ28" i="6" s="1"/>
  <c r="AJ31" i="6" s="1"/>
  <c r="AE62" i="6"/>
  <c r="AE49" i="6"/>
  <c r="AE5" i="6"/>
  <c r="AE28" i="6" s="1"/>
  <c r="AE31" i="6" s="1"/>
  <c r="AJ63" i="6" l="1"/>
  <c r="AE63" i="6"/>
  <c r="H88" i="15" l="1"/>
  <c r="E88" i="15"/>
  <c r="H40" i="15" l="1"/>
  <c r="H99" i="15"/>
  <c r="H98" i="15"/>
  <c r="H97" i="15"/>
  <c r="H96" i="15"/>
  <c r="H95" i="15"/>
  <c r="H94" i="15"/>
  <c r="H93" i="15"/>
  <c r="H89" i="15"/>
  <c r="H87" i="15"/>
  <c r="H86" i="15"/>
  <c r="H85" i="15"/>
  <c r="H84" i="15"/>
  <c r="H83" i="15"/>
  <c r="H82" i="15"/>
  <c r="H81" i="15"/>
  <c r="H80" i="15"/>
  <c r="H79" i="15"/>
  <c r="H78" i="15"/>
  <c r="H77" i="15"/>
  <c r="H76" i="15"/>
  <c r="H75" i="15"/>
  <c r="H74" i="15"/>
  <c r="H73" i="15"/>
  <c r="H72" i="15"/>
  <c r="H71" i="15"/>
  <c r="H70" i="15"/>
  <c r="H69" i="15"/>
  <c r="H68" i="15"/>
  <c r="H67" i="15"/>
  <c r="H66" i="15"/>
  <c r="H65" i="15"/>
  <c r="H64" i="15"/>
  <c r="H63" i="15"/>
  <c r="H62" i="15"/>
  <c r="H61" i="15"/>
  <c r="H60" i="15"/>
  <c r="H59" i="15"/>
  <c r="H58" i="15"/>
  <c r="H57" i="15"/>
  <c r="H56" i="15"/>
  <c r="H50" i="15"/>
  <c r="H49" i="15"/>
  <c r="H48" i="15"/>
  <c r="H47" i="15"/>
  <c r="H46" i="15"/>
  <c r="H45" i="15"/>
  <c r="H44" i="15"/>
  <c r="H39" i="15"/>
  <c r="H38" i="15"/>
  <c r="H37" i="15"/>
  <c r="H36" i="15"/>
  <c r="H35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H7" i="15"/>
  <c r="H6" i="15"/>
  <c r="H5" i="15"/>
  <c r="H4" i="15" l="1"/>
  <c r="O10" i="13" l="1"/>
  <c r="M10" i="13"/>
  <c r="O7" i="13"/>
  <c r="M7" i="13"/>
  <c r="J10" i="13"/>
  <c r="H10" i="13"/>
  <c r="J7" i="13"/>
  <c r="H7" i="13"/>
  <c r="E10" i="13"/>
  <c r="C10" i="13"/>
  <c r="E7" i="13"/>
  <c r="C7" i="13"/>
  <c r="AX9" i="16"/>
  <c r="AX4" i="16"/>
  <c r="AX19" i="16" s="1"/>
  <c r="AX30" i="16" l="1"/>
  <c r="AX31" i="16" s="1"/>
  <c r="AX24" i="16"/>
  <c r="AX26" i="16" s="1"/>
  <c r="AR9" i="16"/>
  <c r="AR4" i="16"/>
  <c r="AR19" i="16" l="1"/>
  <c r="AR24" i="16" s="1"/>
  <c r="AR26" i="16" s="1"/>
  <c r="AL62" i="6"/>
  <c r="AK62" i="6"/>
  <c r="AK63" i="6" s="1"/>
  <c r="AI62" i="6"/>
  <c r="AL49" i="6"/>
  <c r="AK49" i="6"/>
  <c r="AI49" i="6"/>
  <c r="AL5" i="6"/>
  <c r="AL28" i="6" s="1"/>
  <c r="AL31" i="6" s="1"/>
  <c r="AK5" i="6"/>
  <c r="AK28" i="6" s="1"/>
  <c r="AK31" i="6" s="1"/>
  <c r="AI5" i="6"/>
  <c r="AI28" i="6" s="1"/>
  <c r="AI31" i="6" s="1"/>
  <c r="AR30" i="16" l="1"/>
  <c r="AR31" i="16" s="1"/>
  <c r="AI63" i="6"/>
  <c r="AI66" i="6" s="1"/>
  <c r="AK66" i="6" s="1"/>
  <c r="AL66" i="6" s="1"/>
  <c r="AW9" i="16"/>
  <c r="AD20" i="4" l="1"/>
  <c r="AB20" i="4"/>
  <c r="Y20" i="4"/>
  <c r="Z20" i="4"/>
  <c r="AQ9" i="16" l="1"/>
  <c r="AP25" i="16"/>
  <c r="AL7" i="14"/>
  <c r="AM7" i="14"/>
  <c r="AN7" i="14"/>
  <c r="AO7" i="14"/>
  <c r="AK7" i="14"/>
  <c r="AL29" i="14"/>
  <c r="AM29" i="14"/>
  <c r="AN29" i="14"/>
  <c r="AO29" i="14"/>
  <c r="AL24" i="14"/>
  <c r="AM24" i="14"/>
  <c r="AN24" i="14"/>
  <c r="AO24" i="14"/>
  <c r="AL17" i="14"/>
  <c r="AM17" i="14"/>
  <c r="AN17" i="14"/>
  <c r="AO17" i="14"/>
  <c r="AN5" i="14"/>
  <c r="AK24" i="14"/>
  <c r="Q13" i="13"/>
  <c r="AD55" i="4"/>
  <c r="AD44" i="4"/>
  <c r="AC44" i="4"/>
  <c r="AD33" i="4"/>
  <c r="AB33" i="4"/>
  <c r="AC33" i="4"/>
  <c r="AC20" i="4"/>
  <c r="AM5" i="14" l="1"/>
  <c r="AL5" i="14"/>
  <c r="AD49" i="6"/>
  <c r="AF62" i="6"/>
  <c r="AD5" i="6"/>
  <c r="AF49" i="6"/>
  <c r="AG49" i="6"/>
  <c r="AD62" i="6"/>
  <c r="AG62" i="6"/>
  <c r="AF5" i="6"/>
  <c r="AF28" i="6" s="1"/>
  <c r="AF31" i="6" s="1"/>
  <c r="AG5" i="6"/>
  <c r="AG28" i="6" s="1"/>
  <c r="AG31" i="6" s="1"/>
  <c r="AC5" i="6"/>
  <c r="AF63" i="6" l="1"/>
  <c r="AD28" i="6"/>
  <c r="AO5" i="14"/>
  <c r="AD31" i="6" l="1"/>
  <c r="AK17" i="14"/>
  <c r="AJ17" i="14"/>
  <c r="AJ7" i="14"/>
  <c r="AK5" i="14"/>
  <c r="AD63" i="6" l="1"/>
  <c r="AK29" i="14"/>
  <c r="AD66" i="6" l="1"/>
  <c r="E49" i="15"/>
  <c r="E45" i="15"/>
  <c r="E46" i="15"/>
  <c r="E47" i="15"/>
  <c r="E48" i="15"/>
  <c r="E50" i="15"/>
  <c r="E4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3" i="15"/>
  <c r="E35" i="15"/>
  <c r="E36" i="15"/>
  <c r="E37" i="15"/>
  <c r="E38" i="15"/>
  <c r="E39" i="15"/>
  <c r="AF66" i="6" l="1"/>
  <c r="AG66" i="6" s="1"/>
  <c r="E4" i="15"/>
  <c r="AG66" i="4" l="1"/>
  <c r="AF66" i="4"/>
  <c r="AE66" i="4"/>
  <c r="AD66" i="4"/>
  <c r="AG55" i="4"/>
  <c r="AF55" i="4"/>
  <c r="AE55" i="4"/>
  <c r="AG44" i="4"/>
  <c r="AG46" i="4" s="1"/>
  <c r="AF44" i="4"/>
  <c r="AF46" i="4" s="1"/>
  <c r="AE44" i="4"/>
  <c r="AE46" i="4" s="1"/>
  <c r="AD46" i="4"/>
  <c r="AG33" i="4"/>
  <c r="AF33" i="4"/>
  <c r="AE33" i="4"/>
  <c r="AG20" i="4"/>
  <c r="AF20" i="4"/>
  <c r="AE20" i="4"/>
  <c r="BA28" i="16"/>
  <c r="BA27" i="16"/>
  <c r="BA25" i="16"/>
  <c r="BA23" i="16"/>
  <c r="BA22" i="16"/>
  <c r="BA21" i="16"/>
  <c r="BA20" i="16"/>
  <c r="BA18" i="16"/>
  <c r="BA17" i="16"/>
  <c r="BA16" i="16"/>
  <c r="BA15" i="16"/>
  <c r="BA14" i="16"/>
  <c r="BA13" i="16"/>
  <c r="BA12" i="16"/>
  <c r="BA11" i="16"/>
  <c r="BA10" i="16"/>
  <c r="BA8" i="16"/>
  <c r="BA7" i="16"/>
  <c r="BA6" i="16"/>
  <c r="BA5" i="16"/>
  <c r="AW4" i="16"/>
  <c r="AW19" i="16" s="1"/>
  <c r="AW24" i="16" s="1"/>
  <c r="AU25" i="16"/>
  <c r="AU23" i="16"/>
  <c r="AU22" i="16"/>
  <c r="AU21" i="16"/>
  <c r="AU20" i="16"/>
  <c r="AU18" i="16"/>
  <c r="AU17" i="16"/>
  <c r="AU16" i="16"/>
  <c r="AU15" i="16"/>
  <c r="AU14" i="16"/>
  <c r="AU13" i="16"/>
  <c r="AU12" i="16"/>
  <c r="AU11" i="16"/>
  <c r="AU10" i="16"/>
  <c r="AU8" i="16"/>
  <c r="AU7" i="16"/>
  <c r="AU6" i="16"/>
  <c r="AU5" i="16"/>
  <c r="AQ4" i="16"/>
  <c r="AQ19" i="16" s="1"/>
  <c r="AQ24" i="16" s="1"/>
  <c r="AQ26" i="16" l="1"/>
  <c r="BA9" i="16"/>
  <c r="AW26" i="16"/>
  <c r="AW29" i="16" s="1"/>
  <c r="BA4" i="16"/>
  <c r="AD67" i="4"/>
  <c r="AD68" i="4" s="1"/>
  <c r="AE67" i="4"/>
  <c r="AE68" i="4" s="1"/>
  <c r="AF67" i="4"/>
  <c r="AF68" i="4" s="1"/>
  <c r="AG67" i="4"/>
  <c r="AG68" i="4" s="1"/>
  <c r="AD34" i="4"/>
  <c r="AE34" i="4"/>
  <c r="AF34" i="4"/>
  <c r="AG34" i="4"/>
  <c r="AU4" i="16"/>
  <c r="AU9" i="16"/>
  <c r="Q14" i="13"/>
  <c r="Q11" i="13"/>
  <c r="Q10" i="13"/>
  <c r="Q9" i="13"/>
  <c r="Q8" i="13"/>
  <c r="Q7" i="13"/>
  <c r="Q6" i="13"/>
  <c r="Q5" i="13"/>
  <c r="L14" i="13"/>
  <c r="L13" i="13"/>
  <c r="L11" i="13"/>
  <c r="L10" i="13"/>
  <c r="L9" i="13"/>
  <c r="L8" i="13"/>
  <c r="L7" i="13"/>
  <c r="L6" i="13"/>
  <c r="L5" i="13"/>
  <c r="G14" i="13"/>
  <c r="G13" i="13"/>
  <c r="G11" i="13"/>
  <c r="G10" i="13"/>
  <c r="G9" i="13"/>
  <c r="G8" i="13"/>
  <c r="G7" i="13"/>
  <c r="G6" i="13"/>
  <c r="G5" i="13"/>
  <c r="BA19" i="16" l="1"/>
  <c r="AW30" i="16"/>
  <c r="AW31" i="16" s="1"/>
  <c r="AU19" i="16"/>
  <c r="AU24" i="16" s="1"/>
  <c r="AU26" i="16" s="1"/>
  <c r="AQ30" i="16"/>
  <c r="AC66" i="4"/>
  <c r="BA24" i="16" l="1"/>
  <c r="BA26" i="16" s="1"/>
  <c r="BA29" i="16" s="1"/>
  <c r="BA30" i="16"/>
  <c r="BA31" i="16" s="1"/>
  <c r="AU30" i="16"/>
  <c r="AU31" i="16" s="1"/>
  <c r="AQ31" i="16"/>
  <c r="AC41" i="6"/>
  <c r="AB41" i="6" l="1"/>
  <c r="AB31" i="6" l="1"/>
  <c r="AB49" i="6"/>
  <c r="AB62" i="6"/>
  <c r="E85" i="15"/>
  <c r="E86" i="15"/>
  <c r="E87" i="15"/>
  <c r="AH17" i="14"/>
  <c r="AH24" i="14"/>
  <c r="AH5" i="14" s="1"/>
  <c r="AH29" i="14"/>
  <c r="AB66" i="4"/>
  <c r="AN9" i="16"/>
  <c r="AN4" i="16"/>
  <c r="AH9" i="16"/>
  <c r="AH4" i="16"/>
  <c r="AH19" i="16" l="1"/>
  <c r="AH30" i="16" s="1"/>
  <c r="AH31" i="16" s="1"/>
  <c r="AN19" i="16"/>
  <c r="AH24" i="16"/>
  <c r="AH26" i="16" s="1"/>
  <c r="AH29" i="16" s="1"/>
  <c r="AB63" i="6"/>
  <c r="AN30" i="16" l="1"/>
  <c r="AN24" i="16"/>
  <c r="AG8" i="16"/>
  <c r="AN26" i="16" l="1"/>
  <c r="AN31" i="16"/>
  <c r="AJ22" i="16"/>
  <c r="E82" i="15" l="1"/>
  <c r="E84" i="15"/>
  <c r="E83" i="15"/>
  <c r="E80" i="15"/>
  <c r="E81" i="15"/>
  <c r="E97" i="15"/>
  <c r="E98" i="15"/>
  <c r="E65" i="15"/>
  <c r="E79" i="15"/>
  <c r="AA41" i="6" l="1"/>
  <c r="AA66" i="4"/>
  <c r="AA33" i="4"/>
  <c r="AA20" i="4"/>
  <c r="AP22" i="16" l="1"/>
  <c r="E96" i="15" l="1"/>
  <c r="E99" i="15"/>
  <c r="Z33" i="4" l="1"/>
  <c r="E95" i="15" l="1"/>
  <c r="E94" i="15"/>
  <c r="E93" i="15"/>
  <c r="AJ29" i="14"/>
  <c r="AI29" i="14"/>
  <c r="AG29" i="14"/>
  <c r="AF29" i="14"/>
  <c r="AJ24" i="14"/>
  <c r="AJ5" i="14" s="1"/>
  <c r="AI24" i="14"/>
  <c r="AG24" i="14"/>
  <c r="AF24" i="14"/>
  <c r="AI17" i="14"/>
  <c r="AG17" i="14"/>
  <c r="AF17" i="14"/>
  <c r="AI7" i="14"/>
  <c r="AF7" i="14"/>
  <c r="AF5" i="14" s="1"/>
  <c r="AC62" i="6"/>
  <c r="AA62" i="6"/>
  <c r="Z62" i="6"/>
  <c r="AC49" i="6"/>
  <c r="AA49" i="6"/>
  <c r="Z49" i="6"/>
  <c r="AA5" i="6"/>
  <c r="Z5" i="6"/>
  <c r="Z28" i="6" s="1"/>
  <c r="Z31" i="6" s="1"/>
  <c r="Z66" i="4"/>
  <c r="AC55" i="4"/>
  <c r="AB55" i="4"/>
  <c r="AA55" i="4"/>
  <c r="Z55" i="4"/>
  <c r="AC46" i="4"/>
  <c r="AB44" i="4"/>
  <c r="AA44" i="4"/>
  <c r="AA46" i="4" s="1"/>
  <c r="Z44" i="4"/>
  <c r="Z46" i="4" s="1"/>
  <c r="AA34" i="4"/>
  <c r="AB46" i="4" l="1"/>
  <c r="AB34" i="4"/>
  <c r="AI5" i="14"/>
  <c r="AG5" i="14"/>
  <c r="Z63" i="6"/>
  <c r="Z34" i="4"/>
  <c r="AC67" i="4"/>
  <c r="AC68" i="4" s="1"/>
  <c r="AC34" i="4"/>
  <c r="Z67" i="4"/>
  <c r="Z68" i="4" s="1"/>
  <c r="AA67" i="4"/>
  <c r="AA68" i="4" s="1"/>
  <c r="AB67" i="4"/>
  <c r="AB68" i="4" l="1"/>
  <c r="AJ28" i="16"/>
  <c r="AJ27" i="16"/>
  <c r="AJ23" i="16"/>
  <c r="AJ21" i="16"/>
  <c r="AJ20" i="16"/>
  <c r="AJ18" i="16"/>
  <c r="AJ17" i="16"/>
  <c r="AJ16" i="16"/>
  <c r="AJ15" i="16"/>
  <c r="AJ14" i="16"/>
  <c r="AJ13" i="16"/>
  <c r="AJ12" i="16"/>
  <c r="AJ11" i="16"/>
  <c r="AJ10" i="16"/>
  <c r="AI9" i="16"/>
  <c r="AG9" i="16"/>
  <c r="AF9" i="16"/>
  <c r="AJ8" i="16"/>
  <c r="AJ7" i="16"/>
  <c r="AJ6" i="16"/>
  <c r="AJ5" i="16"/>
  <c r="AI4" i="16"/>
  <c r="AG4" i="16"/>
  <c r="AF4" i="16"/>
  <c r="AP28" i="16"/>
  <c r="AP27" i="16"/>
  <c r="AP23" i="16"/>
  <c r="AP21" i="16"/>
  <c r="AP20" i="16"/>
  <c r="AP18" i="16"/>
  <c r="AP17" i="16"/>
  <c r="AP16" i="16"/>
  <c r="AP15" i="16"/>
  <c r="AP14" i="16"/>
  <c r="AP13" i="16"/>
  <c r="AP12" i="16"/>
  <c r="AP11" i="16"/>
  <c r="AP10" i="16"/>
  <c r="AO9" i="16"/>
  <c r="AM9" i="16"/>
  <c r="AL9" i="16"/>
  <c r="AP8" i="16"/>
  <c r="AP7" i="16"/>
  <c r="AP6" i="16"/>
  <c r="AP5" i="16"/>
  <c r="AO4" i="16"/>
  <c r="AM4" i="16"/>
  <c r="AL4" i="16"/>
  <c r="AF19" i="16" l="1"/>
  <c r="AO19" i="16"/>
  <c r="AI19" i="16"/>
  <c r="AI24" i="16" s="1"/>
  <c r="AM19" i="16"/>
  <c r="AP9" i="16"/>
  <c r="AG19" i="16"/>
  <c r="AG30" i="16" s="1"/>
  <c r="AG31" i="16" s="1"/>
  <c r="AJ9" i="16"/>
  <c r="AJ4" i="16"/>
  <c r="AF30" i="16"/>
  <c r="AF24" i="16"/>
  <c r="AP4" i="16"/>
  <c r="AL19" i="16"/>
  <c r="AM30" i="16" l="1"/>
  <c r="AM31" i="16" s="1"/>
  <c r="AM24" i="16"/>
  <c r="AM26" i="16" s="1"/>
  <c r="AM29" i="16" s="1"/>
  <c r="AO30" i="16"/>
  <c r="AO31" i="16" s="1"/>
  <c r="AO24" i="16"/>
  <c r="AF31" i="16"/>
  <c r="AF26" i="16"/>
  <c r="AF29" i="16" s="1"/>
  <c r="AO26" i="16"/>
  <c r="AI30" i="16"/>
  <c r="AI31" i="16" s="1"/>
  <c r="AP19" i="16"/>
  <c r="AP24" i="16" s="1"/>
  <c r="AP26" i="16" s="1"/>
  <c r="AG24" i="16"/>
  <c r="AG26" i="16" s="1"/>
  <c r="AG29" i="16" s="1"/>
  <c r="AJ19" i="16"/>
  <c r="AJ30" i="16" s="1"/>
  <c r="AJ31" i="16" s="1"/>
  <c r="AL30" i="16"/>
  <c r="AL24" i="16"/>
  <c r="AL26" i="16" l="1"/>
  <c r="AL31" i="16"/>
  <c r="AP29" i="16"/>
  <c r="AA28" i="6"/>
  <c r="AA31" i="6" s="1"/>
  <c r="AA63" i="6" s="1"/>
  <c r="AP30" i="16"/>
  <c r="AJ24" i="16"/>
  <c r="AE23" i="16"/>
  <c r="AL29" i="16" l="1"/>
  <c r="AP31" i="16"/>
  <c r="AE22" i="16"/>
  <c r="Z22" i="16"/>
  <c r="P22" i="16"/>
  <c r="K22" i="16"/>
  <c r="F22" i="16"/>
  <c r="E70" i="15" l="1"/>
  <c r="E73" i="15"/>
  <c r="E64" i="15"/>
  <c r="E58" i="15"/>
  <c r="E59" i="15"/>
  <c r="AC9" i="16" l="1"/>
  <c r="AE26" i="14" l="1"/>
  <c r="AE27" i="14"/>
  <c r="AE25" i="14"/>
  <c r="AE29" i="14"/>
  <c r="AD29" i="14"/>
  <c r="AD24" i="14"/>
  <c r="AE17" i="14"/>
  <c r="AD17" i="14"/>
  <c r="AD7" i="14"/>
  <c r="AE8" i="14"/>
  <c r="AE9" i="14"/>
  <c r="AE10" i="14"/>
  <c r="AE11" i="14"/>
  <c r="AE12" i="14"/>
  <c r="Y5" i="6"/>
  <c r="Y28" i="6" s="1"/>
  <c r="Y31" i="6" s="1"/>
  <c r="Y62" i="6"/>
  <c r="Y49" i="6"/>
  <c r="Y33" i="4"/>
  <c r="Y66" i="4"/>
  <c r="Y55" i="4"/>
  <c r="Y44" i="4"/>
  <c r="Y46" i="4" s="1"/>
  <c r="AE28" i="16"/>
  <c r="AE27" i="16"/>
  <c r="AE25" i="16"/>
  <c r="AE21" i="16"/>
  <c r="AE20" i="16"/>
  <c r="AE18" i="16"/>
  <c r="AE17" i="16"/>
  <c r="AE16" i="16"/>
  <c r="AE15" i="16"/>
  <c r="AE14" i="16"/>
  <c r="AE13" i="16"/>
  <c r="AE12" i="16"/>
  <c r="AE11" i="16"/>
  <c r="AE10" i="16"/>
  <c r="AE6" i="16"/>
  <c r="AE7" i="16"/>
  <c r="AE8" i="16"/>
  <c r="AE5" i="16"/>
  <c r="AD4" i="16"/>
  <c r="AD9" i="16"/>
  <c r="AE24" i="14" l="1"/>
  <c r="AD5" i="14"/>
  <c r="AE7" i="14"/>
  <c r="Y63" i="6"/>
  <c r="Y67" i="4"/>
  <c r="Y68" i="4" s="1"/>
  <c r="Y34" i="4"/>
  <c r="AE9" i="16"/>
  <c r="AD19" i="16"/>
  <c r="AD24" i="16" s="1"/>
  <c r="AE4" i="16"/>
  <c r="AC29" i="14"/>
  <c r="AC24" i="14"/>
  <c r="AC17" i="14"/>
  <c r="AC7" i="14"/>
  <c r="X62" i="6"/>
  <c r="X49" i="6"/>
  <c r="X5" i="6"/>
  <c r="X28" i="6" s="1"/>
  <c r="X31" i="6" s="1"/>
  <c r="X66" i="4"/>
  <c r="X55" i="4"/>
  <c r="X44" i="4"/>
  <c r="X46" i="4" s="1"/>
  <c r="X33" i="4"/>
  <c r="X20" i="4"/>
  <c r="AC4" i="16"/>
  <c r="X34" i="4" l="1"/>
  <c r="AE5" i="14"/>
  <c r="AC5" i="14"/>
  <c r="AD30" i="16"/>
  <c r="AD31" i="16" s="1"/>
  <c r="AD26" i="16"/>
  <c r="AD29" i="16" s="1"/>
  <c r="X63" i="6"/>
  <c r="X67" i="4"/>
  <c r="X68" i="4" s="1"/>
  <c r="AE19" i="16"/>
  <c r="AE24" i="16" s="1"/>
  <c r="AC19" i="16"/>
  <c r="AC24" i="16" s="1"/>
  <c r="AE26" i="16" l="1"/>
  <c r="AC26" i="16"/>
  <c r="AC29" i="16" s="1"/>
  <c r="AC30" i="16"/>
  <c r="AC31" i="16" s="1"/>
  <c r="AE30" i="16"/>
  <c r="AE31" i="16" s="1"/>
  <c r="AE29" i="16" l="1"/>
  <c r="E78" i="15"/>
  <c r="E75" i="15"/>
  <c r="E77" i="15"/>
  <c r="E76" i="15"/>
  <c r="E74" i="15"/>
  <c r="E71" i="15"/>
  <c r="E72" i="15"/>
  <c r="E69" i="15"/>
  <c r="E68" i="15"/>
  <c r="E67" i="15"/>
  <c r="E66" i="15"/>
  <c r="E63" i="15"/>
  <c r="E62" i="15"/>
  <c r="E61" i="15"/>
  <c r="E60" i="15"/>
  <c r="E57" i="15"/>
  <c r="E56" i="15"/>
  <c r="AB29" i="14"/>
  <c r="AB24" i="14"/>
  <c r="AB17" i="14"/>
  <c r="AB7" i="14"/>
  <c r="W62" i="6"/>
  <c r="W49" i="6"/>
  <c r="W5" i="6"/>
  <c r="W66" i="4"/>
  <c r="W55" i="4"/>
  <c r="W44" i="4"/>
  <c r="W46" i="4" s="1"/>
  <c r="W33" i="4"/>
  <c r="W20" i="4"/>
  <c r="AB9" i="16"/>
  <c r="AB4" i="16"/>
  <c r="AB19" i="16" l="1"/>
  <c r="AB24" i="16" s="1"/>
  <c r="W34" i="4"/>
  <c r="AB30" i="16"/>
  <c r="AB31" i="16" s="1"/>
  <c r="AB26" i="16"/>
  <c r="AB29" i="16" s="1"/>
  <c r="W67" i="4"/>
  <c r="W68" i="4" s="1"/>
  <c r="AB5" i="14"/>
  <c r="V60" i="6" l="1"/>
  <c r="Y9" i="16" l="1"/>
  <c r="X9" i="16"/>
  <c r="W9" i="16"/>
  <c r="V9" i="16"/>
  <c r="U9" i="16"/>
  <c r="T9" i="16"/>
  <c r="S9" i="16"/>
  <c r="R9" i="16"/>
  <c r="Q9" i="16"/>
  <c r="O9" i="16"/>
  <c r="N9" i="16"/>
  <c r="M9" i="16"/>
  <c r="L9" i="16"/>
  <c r="J9" i="16"/>
  <c r="I9" i="16"/>
  <c r="H9" i="16"/>
  <c r="G9" i="16"/>
  <c r="E9" i="16"/>
  <c r="D9" i="16"/>
  <c r="C9" i="16"/>
  <c r="B9" i="16"/>
  <c r="AA9" i="16"/>
  <c r="Z10" i="16"/>
  <c r="AA29" i="14"/>
  <c r="AA24" i="14"/>
  <c r="AA17" i="14"/>
  <c r="AA7" i="14"/>
  <c r="V62" i="6"/>
  <c r="V49" i="6"/>
  <c r="V5" i="6"/>
  <c r="V66" i="4"/>
  <c r="V55" i="4"/>
  <c r="V44" i="4"/>
  <c r="V46" i="4" s="1"/>
  <c r="V33" i="4"/>
  <c r="V20" i="4"/>
  <c r="AA4" i="16"/>
  <c r="AA5" i="14" l="1"/>
  <c r="V67" i="4"/>
  <c r="V68" i="4" s="1"/>
  <c r="V34" i="4"/>
  <c r="AA19" i="16"/>
  <c r="AA24" i="16" s="1"/>
  <c r="AA26" i="16" l="1"/>
  <c r="AA30" i="16"/>
  <c r="AA31" i="16" s="1"/>
  <c r="Z16" i="14"/>
  <c r="W28" i="6" l="1"/>
  <c r="W31" i="6" s="1"/>
  <c r="W63" i="6" s="1"/>
  <c r="AA29" i="16"/>
  <c r="V28" i="6"/>
  <c r="V31" i="6" s="1"/>
  <c r="V63" i="6" s="1"/>
  <c r="T9" i="13"/>
  <c r="R9" i="13"/>
  <c r="Z28" i="16"/>
  <c r="Z27" i="16"/>
  <c r="Z25" i="16"/>
  <c r="P25" i="16"/>
  <c r="K25" i="16"/>
  <c r="F25" i="16"/>
  <c r="Z21" i="16"/>
  <c r="P21" i="16"/>
  <c r="K21" i="16"/>
  <c r="F21" i="16"/>
  <c r="Z20" i="16"/>
  <c r="P20" i="16"/>
  <c r="K20" i="16"/>
  <c r="F20" i="16"/>
  <c r="Z18" i="16"/>
  <c r="P18" i="16"/>
  <c r="K18" i="16"/>
  <c r="F18" i="16"/>
  <c r="Z17" i="16"/>
  <c r="P17" i="16"/>
  <c r="K17" i="16"/>
  <c r="F17" i="16"/>
  <c r="Z16" i="16"/>
  <c r="P16" i="16"/>
  <c r="K16" i="16"/>
  <c r="F16" i="16"/>
  <c r="Z12" i="16"/>
  <c r="P12" i="16"/>
  <c r="K12" i="16"/>
  <c r="F12" i="16"/>
  <c r="Z15" i="16"/>
  <c r="P15" i="16"/>
  <c r="K15" i="16"/>
  <c r="F15" i="16"/>
  <c r="P10" i="16"/>
  <c r="K10" i="16"/>
  <c r="F10" i="16"/>
  <c r="Z11" i="16"/>
  <c r="P11" i="16"/>
  <c r="K11" i="16"/>
  <c r="F11" i="16"/>
  <c r="Z14" i="16"/>
  <c r="P14" i="16"/>
  <c r="K14" i="16"/>
  <c r="F14" i="16"/>
  <c r="Z13" i="16"/>
  <c r="P13" i="16"/>
  <c r="K13" i="16"/>
  <c r="F13" i="16"/>
  <c r="Z8" i="16"/>
  <c r="P8" i="16"/>
  <c r="K8" i="16"/>
  <c r="F8" i="16"/>
  <c r="Z7" i="16"/>
  <c r="P7" i="16"/>
  <c r="K7" i="16"/>
  <c r="F7" i="16"/>
  <c r="Z6" i="16"/>
  <c r="P6" i="16"/>
  <c r="K6" i="16"/>
  <c r="F6" i="16"/>
  <c r="Z5" i="16"/>
  <c r="Z4" i="16" s="1"/>
  <c r="P5" i="16"/>
  <c r="P4" i="16" s="1"/>
  <c r="K5" i="16"/>
  <c r="K4" i="16" s="1"/>
  <c r="F5" i="16"/>
  <c r="F4" i="16" s="1"/>
  <c r="Y4" i="16"/>
  <c r="X4" i="16"/>
  <c r="W4" i="16"/>
  <c r="V4" i="16"/>
  <c r="U4" i="16"/>
  <c r="T4" i="16"/>
  <c r="S4" i="16"/>
  <c r="R4" i="16"/>
  <c r="Q4" i="16"/>
  <c r="O4" i="16"/>
  <c r="N4" i="16"/>
  <c r="M4" i="16"/>
  <c r="L4" i="16"/>
  <c r="J4" i="16"/>
  <c r="I4" i="16"/>
  <c r="H4" i="16"/>
  <c r="G4" i="16"/>
  <c r="E4" i="16"/>
  <c r="D4" i="16"/>
  <c r="C4" i="16"/>
  <c r="B4" i="16"/>
  <c r="K9" i="16" l="1"/>
  <c r="K19" i="16" s="1"/>
  <c r="K24" i="16" s="1"/>
  <c r="Z9" i="16"/>
  <c r="P9" i="16"/>
  <c r="P19" i="16" s="1"/>
  <c r="P24" i="16" s="1"/>
  <c r="F9" i="16"/>
  <c r="F19" i="16" s="1"/>
  <c r="F24" i="16" s="1"/>
  <c r="V9" i="13"/>
  <c r="B19" i="16"/>
  <c r="B24" i="16" s="1"/>
  <c r="L19" i="16"/>
  <c r="L24" i="16" s="1"/>
  <c r="T19" i="16"/>
  <c r="T24" i="16" s="1"/>
  <c r="Y19" i="16"/>
  <c r="Y24" i="16" s="1"/>
  <c r="C19" i="16"/>
  <c r="C24" i="16" s="1"/>
  <c r="D19" i="16"/>
  <c r="D24" i="16" s="1"/>
  <c r="N19" i="16"/>
  <c r="N24" i="16" s="1"/>
  <c r="E19" i="16"/>
  <c r="E24" i="16" s="1"/>
  <c r="O19" i="16"/>
  <c r="O24" i="16" s="1"/>
  <c r="M19" i="16"/>
  <c r="M24" i="16" s="1"/>
  <c r="H19" i="16"/>
  <c r="H24" i="16" s="1"/>
  <c r="Q19" i="16"/>
  <c r="Q24" i="16" s="1"/>
  <c r="U19" i="16"/>
  <c r="U24" i="16" s="1"/>
  <c r="R19" i="16"/>
  <c r="R24" i="16" s="1"/>
  <c r="V19" i="16"/>
  <c r="V24" i="16" s="1"/>
  <c r="Z19" i="16"/>
  <c r="Z24" i="16" s="1"/>
  <c r="J19" i="16"/>
  <c r="J24" i="16" s="1"/>
  <c r="S19" i="16"/>
  <c r="S24" i="16" s="1"/>
  <c r="W19" i="16"/>
  <c r="W24" i="16" s="1"/>
  <c r="X19" i="16"/>
  <c r="X24" i="16" s="1"/>
  <c r="I19" i="16"/>
  <c r="I24" i="16" s="1"/>
  <c r="G19" i="16"/>
  <c r="G24" i="16" s="1"/>
  <c r="O30" i="16" l="1"/>
  <c r="O31" i="16" s="1"/>
  <c r="R30" i="16"/>
  <c r="R31" i="16" s="1"/>
  <c r="R26" i="16"/>
  <c r="R29" i="16" s="1"/>
  <c r="N30" i="16"/>
  <c r="N31" i="16" s="1"/>
  <c r="T26" i="16"/>
  <c r="J26" i="16"/>
  <c r="J29" i="16" s="1"/>
  <c r="U26" i="16"/>
  <c r="D30" i="16"/>
  <c r="D31" i="16" s="1"/>
  <c r="L30" i="16"/>
  <c r="L31" i="16" s="1"/>
  <c r="P26" i="16"/>
  <c r="X30" i="16"/>
  <c r="X31" i="16" s="1"/>
  <c r="X26" i="16"/>
  <c r="X29" i="16" s="1"/>
  <c r="Z30" i="16"/>
  <c r="Z31" i="16" s="1"/>
  <c r="Q26" i="16"/>
  <c r="O26" i="16"/>
  <c r="O29" i="16" s="1"/>
  <c r="C30" i="16"/>
  <c r="C31" i="16" s="1"/>
  <c r="C26" i="16"/>
  <c r="B26" i="16"/>
  <c r="B27" i="16" s="1"/>
  <c r="S26" i="16"/>
  <c r="F26" i="16"/>
  <c r="F27" i="16" s="1"/>
  <c r="M30" i="16"/>
  <c r="M31" i="16" s="1"/>
  <c r="W30" i="16"/>
  <c r="W31" i="16" s="1"/>
  <c r="V30" i="16"/>
  <c r="V31" i="16" s="1"/>
  <c r="H30" i="16"/>
  <c r="H31" i="16" s="1"/>
  <c r="E26" i="16"/>
  <c r="Y30" i="16"/>
  <c r="Y31" i="16" s="1"/>
  <c r="Y26" i="16"/>
  <c r="Y29" i="16" s="1"/>
  <c r="U30" i="16"/>
  <c r="U31" i="16" s="1"/>
  <c r="M26" i="16"/>
  <c r="M27" i="16" s="1"/>
  <c r="B30" i="16"/>
  <c r="B31" i="16" s="1"/>
  <c r="D26" i="16"/>
  <c r="D27" i="16" s="1"/>
  <c r="P30" i="16"/>
  <c r="P31" i="16" s="1"/>
  <c r="L26" i="16"/>
  <c r="L27" i="16" s="1"/>
  <c r="N26" i="16"/>
  <c r="N27" i="16" s="1"/>
  <c r="T30" i="16"/>
  <c r="T31" i="16" s="1"/>
  <c r="E30" i="16"/>
  <c r="E31" i="16" s="1"/>
  <c r="S30" i="16"/>
  <c r="S31" i="16" s="1"/>
  <c r="W26" i="16"/>
  <c r="W29" i="16" s="1"/>
  <c r="Q30" i="16"/>
  <c r="Q31" i="16" s="1"/>
  <c r="Z26" i="16"/>
  <c r="Z29" i="16" s="1"/>
  <c r="F30" i="16"/>
  <c r="F31" i="16" s="1"/>
  <c r="J30" i="16"/>
  <c r="J31" i="16" s="1"/>
  <c r="H26" i="16"/>
  <c r="H29" i="16" s="1"/>
  <c r="V26" i="16"/>
  <c r="K30" i="16"/>
  <c r="K31" i="16" s="1"/>
  <c r="K26" i="16"/>
  <c r="I30" i="16"/>
  <c r="I31" i="16" s="1"/>
  <c r="I26" i="16"/>
  <c r="G30" i="16"/>
  <c r="G31" i="16" s="1"/>
  <c r="G26" i="16"/>
  <c r="O27" i="16"/>
  <c r="J27" i="16" l="1"/>
  <c r="P27" i="16"/>
  <c r="P29" i="16"/>
  <c r="C27" i="16"/>
  <c r="C29" i="16"/>
  <c r="Q4" i="6"/>
  <c r="U27" i="16"/>
  <c r="U29" i="16"/>
  <c r="Q27" i="16"/>
  <c r="Q29" i="16"/>
  <c r="S27" i="16"/>
  <c r="S29" i="16"/>
  <c r="E29" i="16"/>
  <c r="E27" i="16"/>
  <c r="T29" i="16"/>
  <c r="T27" i="16"/>
  <c r="B29" i="16"/>
  <c r="F29" i="16"/>
  <c r="D29" i="16"/>
  <c r="M29" i="16"/>
  <c r="L29" i="16"/>
  <c r="K4" i="6"/>
  <c r="N29" i="16"/>
  <c r="U4" i="6"/>
  <c r="R27" i="16"/>
  <c r="V29" i="16"/>
  <c r="S4" i="6"/>
  <c r="T4" i="6" s="1"/>
  <c r="R4" i="6"/>
  <c r="H27" i="16"/>
  <c r="P4" i="6"/>
  <c r="G29" i="16"/>
  <c r="G27" i="16"/>
  <c r="I27" i="16"/>
  <c r="I29" i="16"/>
  <c r="K29" i="16"/>
  <c r="K27" i="16"/>
  <c r="Z29" i="14" l="1"/>
  <c r="Y29" i="14"/>
  <c r="Z27" i="14"/>
  <c r="Z26" i="14"/>
  <c r="Z25" i="14"/>
  <c r="Y24" i="14"/>
  <c r="Z17" i="14"/>
  <c r="Y17" i="14"/>
  <c r="Z12" i="14"/>
  <c r="Z11" i="14"/>
  <c r="Z10" i="14"/>
  <c r="Z9" i="14"/>
  <c r="Z8" i="14"/>
  <c r="Y7" i="14"/>
  <c r="U62" i="6"/>
  <c r="U49" i="6"/>
  <c r="U5" i="6"/>
  <c r="U66" i="4"/>
  <c r="U55" i="4"/>
  <c r="U44" i="4"/>
  <c r="U46" i="4" s="1"/>
  <c r="U33" i="4"/>
  <c r="U20" i="4"/>
  <c r="Z24" i="14" l="1"/>
  <c r="Z7" i="14"/>
  <c r="Y5" i="14"/>
  <c r="U28" i="6"/>
  <c r="U31" i="6" s="1"/>
  <c r="U63" i="6" s="1"/>
  <c r="U67" i="4"/>
  <c r="U68" i="4" s="1"/>
  <c r="U34" i="4"/>
  <c r="Z5" i="14" l="1"/>
  <c r="X29" i="14" l="1"/>
  <c r="X24" i="14"/>
  <c r="X17" i="14"/>
  <c r="X7" i="14"/>
  <c r="T62" i="6"/>
  <c r="T49" i="6"/>
  <c r="T5" i="6"/>
  <c r="T66" i="4"/>
  <c r="T55" i="4"/>
  <c r="T44" i="4"/>
  <c r="T46" i="4" s="1"/>
  <c r="T33" i="4"/>
  <c r="T20" i="4"/>
  <c r="X5" i="14" l="1"/>
  <c r="T67" i="4"/>
  <c r="T68" i="4" s="1"/>
  <c r="T34" i="4"/>
  <c r="T28" i="6"/>
  <c r="T31" i="6" s="1"/>
  <c r="T63" i="6" s="1"/>
  <c r="W29" i="14" l="1"/>
  <c r="W24" i="14"/>
  <c r="W17" i="14"/>
  <c r="W7" i="14"/>
  <c r="S62" i="6"/>
  <c r="S49" i="6"/>
  <c r="S5" i="6"/>
  <c r="S66" i="4"/>
  <c r="S55" i="4"/>
  <c r="S44" i="4"/>
  <c r="S46" i="4" s="1"/>
  <c r="S33" i="4"/>
  <c r="S20" i="4"/>
  <c r="W5" i="14" l="1"/>
  <c r="S67" i="4"/>
  <c r="S68" i="4" s="1"/>
  <c r="S34" i="4"/>
  <c r="B5" i="4"/>
  <c r="V29" i="14" l="1"/>
  <c r="V24" i="14"/>
  <c r="V17" i="14"/>
  <c r="V7" i="14"/>
  <c r="R62" i="6"/>
  <c r="R49" i="6"/>
  <c r="R5" i="6"/>
  <c r="R66" i="4"/>
  <c r="R55" i="4"/>
  <c r="R44" i="4"/>
  <c r="R46" i="4" s="1"/>
  <c r="R33" i="4"/>
  <c r="R20" i="4"/>
  <c r="T10" i="13" l="1"/>
  <c r="V5" i="14"/>
  <c r="R67" i="4"/>
  <c r="R68" i="4" s="1"/>
  <c r="R34" i="4"/>
  <c r="U26" i="14" l="1"/>
  <c r="U27" i="14"/>
  <c r="U25" i="14"/>
  <c r="U12" i="14"/>
  <c r="U11" i="14"/>
  <c r="U10" i="14"/>
  <c r="U9" i="14"/>
  <c r="U8" i="14"/>
  <c r="T7" i="14"/>
  <c r="U29" i="14"/>
  <c r="T29" i="14"/>
  <c r="T24" i="14"/>
  <c r="U17" i="14"/>
  <c r="T17" i="14"/>
  <c r="Q62" i="6"/>
  <c r="Q49" i="6"/>
  <c r="Q5" i="6"/>
  <c r="Q66" i="4"/>
  <c r="Q55" i="4"/>
  <c r="Q44" i="4"/>
  <c r="Q46" i="4" s="1"/>
  <c r="Q33" i="4"/>
  <c r="Q20" i="4"/>
  <c r="U24" i="14" l="1"/>
  <c r="U7" i="14"/>
  <c r="S28" i="6"/>
  <c r="S31" i="6" s="1"/>
  <c r="S63" i="6" s="1"/>
  <c r="R28" i="6"/>
  <c r="R31" i="6" s="1"/>
  <c r="R63" i="6" s="1"/>
  <c r="T5" i="14"/>
  <c r="Q67" i="4"/>
  <c r="Q68" i="4" s="1"/>
  <c r="Q34" i="4"/>
  <c r="U5" i="14" l="1"/>
  <c r="Q28" i="6"/>
  <c r="Q31" i="6" s="1"/>
  <c r="Q63" i="6" s="1"/>
  <c r="Q66" i="6" s="1"/>
  <c r="U64" i="6" l="1"/>
  <c r="U66" i="6" s="1"/>
  <c r="X64" i="6" s="1"/>
  <c r="Y64" i="6" s="1"/>
  <c r="T64" i="6"/>
  <c r="T66" i="6" s="1"/>
  <c r="S64" i="6"/>
  <c r="S66" i="6" s="1"/>
  <c r="R64" i="6"/>
  <c r="R66" i="6" s="1"/>
  <c r="G27" i="6"/>
  <c r="H27" i="6"/>
  <c r="Y66" i="6" l="1"/>
  <c r="X66" i="6"/>
  <c r="V64" i="6"/>
  <c r="V66" i="6" s="1"/>
  <c r="W64" i="6"/>
  <c r="W66" i="6" s="1"/>
  <c r="K32" i="14"/>
  <c r="K31" i="14"/>
  <c r="K30" i="14"/>
  <c r="S29" i="14"/>
  <c r="R29" i="14"/>
  <c r="Q29" i="14"/>
  <c r="P29" i="14"/>
  <c r="O29" i="14"/>
  <c r="N29" i="14"/>
  <c r="M29" i="14"/>
  <c r="L29" i="14"/>
  <c r="J29" i="14"/>
  <c r="I29" i="14"/>
  <c r="H29" i="14"/>
  <c r="G29" i="14"/>
  <c r="K27" i="14"/>
  <c r="K26" i="14"/>
  <c r="K25" i="14"/>
  <c r="S24" i="14"/>
  <c r="R24" i="14"/>
  <c r="Q24" i="14"/>
  <c r="P24" i="14"/>
  <c r="O24" i="14"/>
  <c r="N24" i="14"/>
  <c r="M24" i="14"/>
  <c r="L24" i="14"/>
  <c r="J24" i="14"/>
  <c r="I24" i="14"/>
  <c r="H24" i="14"/>
  <c r="G24" i="14"/>
  <c r="K22" i="14"/>
  <c r="F22" i="14"/>
  <c r="K21" i="14"/>
  <c r="F21" i="14"/>
  <c r="K20" i="14"/>
  <c r="F20" i="14"/>
  <c r="K19" i="14"/>
  <c r="F19" i="14"/>
  <c r="K18" i="14"/>
  <c r="F18" i="14"/>
  <c r="S17" i="14"/>
  <c r="R17" i="14"/>
  <c r="Q17" i="14"/>
  <c r="P17" i="14"/>
  <c r="O17" i="14"/>
  <c r="N17" i="14"/>
  <c r="M17" i="14"/>
  <c r="L17" i="14"/>
  <c r="J17" i="14"/>
  <c r="I17" i="14"/>
  <c r="H17" i="14"/>
  <c r="G17" i="14"/>
  <c r="E17" i="14"/>
  <c r="D17" i="14"/>
  <c r="C17" i="14"/>
  <c r="B17" i="14"/>
  <c r="N15" i="14"/>
  <c r="K15" i="14"/>
  <c r="F15" i="14"/>
  <c r="K12" i="14"/>
  <c r="F12" i="14"/>
  <c r="K11" i="14"/>
  <c r="F11" i="14"/>
  <c r="K10" i="14"/>
  <c r="F10" i="14"/>
  <c r="K9" i="14"/>
  <c r="F9" i="14"/>
  <c r="K8" i="14"/>
  <c r="F8" i="14"/>
  <c r="S7" i="14"/>
  <c r="R7" i="14"/>
  <c r="Q7" i="14"/>
  <c r="Q16" i="14" s="1"/>
  <c r="P7" i="14"/>
  <c r="O7" i="14"/>
  <c r="N7" i="14"/>
  <c r="M7" i="14"/>
  <c r="M16" i="14" s="1"/>
  <c r="L7" i="14"/>
  <c r="L16" i="14" s="1"/>
  <c r="J7" i="14"/>
  <c r="J16" i="14" s="1"/>
  <c r="I7" i="14"/>
  <c r="I16" i="14" s="1"/>
  <c r="H7" i="14"/>
  <c r="H16" i="14" s="1"/>
  <c r="G7" i="14"/>
  <c r="E7" i="14"/>
  <c r="E16" i="14" s="1"/>
  <c r="D7" i="14"/>
  <c r="D16" i="14" s="1"/>
  <c r="C7" i="14"/>
  <c r="C16" i="14" s="1"/>
  <c r="B7" i="14"/>
  <c r="B16" i="14" s="1"/>
  <c r="Z64" i="6" l="1"/>
  <c r="Z66" i="6" s="1"/>
  <c r="AB64" i="6"/>
  <c r="AC64" i="6" s="1"/>
  <c r="AA64" i="6"/>
  <c r="I5" i="14"/>
  <c r="G5" i="14"/>
  <c r="P5" i="14"/>
  <c r="L5" i="14"/>
  <c r="F7" i="14"/>
  <c r="F16" i="14" s="1"/>
  <c r="K17" i="14"/>
  <c r="R5" i="14"/>
  <c r="N5" i="14"/>
  <c r="K29" i="14"/>
  <c r="K7" i="14"/>
  <c r="K16" i="14" s="1"/>
  <c r="K24" i="14"/>
  <c r="H5" i="14"/>
  <c r="Q5" i="14"/>
  <c r="F17" i="14"/>
  <c r="M5" i="14"/>
  <c r="G16" i="14"/>
  <c r="O5" i="14"/>
  <c r="S5" i="14"/>
  <c r="J5" i="14"/>
  <c r="AB66" i="6" l="1"/>
  <c r="AA66" i="6"/>
  <c r="K5" i="14"/>
  <c r="B62" i="6"/>
  <c r="I62" i="6"/>
  <c r="J62" i="6"/>
  <c r="K62" i="6"/>
  <c r="L62" i="6"/>
  <c r="M62" i="6"/>
  <c r="N62" i="6"/>
  <c r="O62" i="6"/>
  <c r="P62" i="6"/>
  <c r="J65" i="4"/>
  <c r="I65" i="4"/>
  <c r="H65" i="4"/>
  <c r="G65" i="4"/>
  <c r="F65" i="4"/>
  <c r="E65" i="4"/>
  <c r="D65" i="4"/>
  <c r="C65" i="4"/>
  <c r="J64" i="4"/>
  <c r="I64" i="4"/>
  <c r="H64" i="4"/>
  <c r="G64" i="4"/>
  <c r="F64" i="4"/>
  <c r="E64" i="4"/>
  <c r="D64" i="4"/>
  <c r="C64" i="4"/>
  <c r="J63" i="4"/>
  <c r="I63" i="4"/>
  <c r="H63" i="4"/>
  <c r="G63" i="4"/>
  <c r="F63" i="4"/>
  <c r="E63" i="4"/>
  <c r="D63" i="4"/>
  <c r="C63" i="4"/>
  <c r="J61" i="4"/>
  <c r="I61" i="4"/>
  <c r="H61" i="4"/>
  <c r="G61" i="4"/>
  <c r="F61" i="4"/>
  <c r="E61" i="4"/>
  <c r="D61" i="4"/>
  <c r="C61" i="4"/>
  <c r="J58" i="4"/>
  <c r="I58" i="4"/>
  <c r="H58" i="4"/>
  <c r="G58" i="4"/>
  <c r="F58" i="4"/>
  <c r="E58" i="4"/>
  <c r="D58" i="4"/>
  <c r="C58" i="4"/>
  <c r="J57" i="4"/>
  <c r="I57" i="4"/>
  <c r="H57" i="4"/>
  <c r="G57" i="4"/>
  <c r="F57" i="4"/>
  <c r="E57" i="4"/>
  <c r="D57" i="4"/>
  <c r="C57" i="4"/>
  <c r="J56" i="4"/>
  <c r="I56" i="4"/>
  <c r="H56" i="4"/>
  <c r="G56" i="4"/>
  <c r="F56" i="4"/>
  <c r="E56" i="4"/>
  <c r="D56" i="4"/>
  <c r="C56" i="4"/>
  <c r="J53" i="4"/>
  <c r="I53" i="4"/>
  <c r="H53" i="4"/>
  <c r="G53" i="4"/>
  <c r="F53" i="4"/>
  <c r="E53" i="4"/>
  <c r="D53" i="4"/>
  <c r="C53" i="4"/>
  <c r="J52" i="4"/>
  <c r="I52" i="4"/>
  <c r="H52" i="4"/>
  <c r="G52" i="4"/>
  <c r="F52" i="4"/>
  <c r="E52" i="4"/>
  <c r="D52" i="4"/>
  <c r="C52" i="4"/>
  <c r="J51" i="4"/>
  <c r="I51" i="4"/>
  <c r="H51" i="4"/>
  <c r="G51" i="4"/>
  <c r="F51" i="4"/>
  <c r="E51" i="4"/>
  <c r="D51" i="4"/>
  <c r="C51" i="4"/>
  <c r="J49" i="4"/>
  <c r="I49" i="4"/>
  <c r="H49" i="4"/>
  <c r="G49" i="4"/>
  <c r="F49" i="4"/>
  <c r="E49" i="4"/>
  <c r="D49" i="4"/>
  <c r="C49" i="4"/>
  <c r="J48" i="4"/>
  <c r="I48" i="4"/>
  <c r="H48" i="4"/>
  <c r="G48" i="4"/>
  <c r="F48" i="4"/>
  <c r="E48" i="4"/>
  <c r="D48" i="4"/>
  <c r="C48" i="4"/>
  <c r="J47" i="4"/>
  <c r="I47" i="4"/>
  <c r="H47" i="4"/>
  <c r="G47" i="4"/>
  <c r="F47" i="4"/>
  <c r="E47" i="4"/>
  <c r="D47" i="4"/>
  <c r="C47" i="4"/>
  <c r="J43" i="4"/>
  <c r="I43" i="4"/>
  <c r="H43" i="4"/>
  <c r="G43" i="4"/>
  <c r="F43" i="4"/>
  <c r="E43" i="4"/>
  <c r="D43" i="4"/>
  <c r="C43" i="4"/>
  <c r="I42" i="4"/>
  <c r="H42" i="4"/>
  <c r="G42" i="4"/>
  <c r="F42" i="4"/>
  <c r="E42" i="4"/>
  <c r="D42" i="4"/>
  <c r="C42" i="4"/>
  <c r="J39" i="4"/>
  <c r="I39" i="4"/>
  <c r="H39" i="4"/>
  <c r="G39" i="4"/>
  <c r="F39" i="4"/>
  <c r="E39" i="4"/>
  <c r="D39" i="4"/>
  <c r="C39" i="4"/>
  <c r="J36" i="4"/>
  <c r="I36" i="4"/>
  <c r="H36" i="4"/>
  <c r="G36" i="4"/>
  <c r="F36" i="4"/>
  <c r="E36" i="4"/>
  <c r="D36" i="4"/>
  <c r="C36" i="4"/>
  <c r="J31" i="4"/>
  <c r="I31" i="4"/>
  <c r="H31" i="4"/>
  <c r="G31" i="4"/>
  <c r="F31" i="4"/>
  <c r="E31" i="4"/>
  <c r="D31" i="4"/>
  <c r="C31" i="4"/>
  <c r="J28" i="4"/>
  <c r="I28" i="4"/>
  <c r="H28" i="4"/>
  <c r="G28" i="4"/>
  <c r="F28" i="4"/>
  <c r="E28" i="4"/>
  <c r="D28" i="4"/>
  <c r="C28" i="4"/>
  <c r="J27" i="4"/>
  <c r="I27" i="4"/>
  <c r="H27" i="4"/>
  <c r="G27" i="4"/>
  <c r="F27" i="4"/>
  <c r="E27" i="4"/>
  <c r="D27" i="4"/>
  <c r="C27" i="4"/>
  <c r="J26" i="4"/>
  <c r="I26" i="4"/>
  <c r="H26" i="4"/>
  <c r="G26" i="4"/>
  <c r="F26" i="4"/>
  <c r="E26" i="4"/>
  <c r="D26" i="4"/>
  <c r="C26" i="4"/>
  <c r="J25" i="4"/>
  <c r="I25" i="4"/>
  <c r="H25" i="4"/>
  <c r="G25" i="4"/>
  <c r="F25" i="4"/>
  <c r="E25" i="4"/>
  <c r="D25" i="4"/>
  <c r="C25" i="4"/>
  <c r="J23" i="4"/>
  <c r="I23" i="4"/>
  <c r="H23" i="4"/>
  <c r="G23" i="4"/>
  <c r="F23" i="4"/>
  <c r="E23" i="4"/>
  <c r="D23" i="4"/>
  <c r="C23" i="4"/>
  <c r="J21" i="4"/>
  <c r="I21" i="4"/>
  <c r="H21" i="4"/>
  <c r="G21" i="4"/>
  <c r="F21" i="4"/>
  <c r="E21" i="4"/>
  <c r="D21" i="4"/>
  <c r="C21" i="4"/>
  <c r="J19" i="4"/>
  <c r="I19" i="4"/>
  <c r="H19" i="4"/>
  <c r="G19" i="4"/>
  <c r="F19" i="4"/>
  <c r="E19" i="4"/>
  <c r="D19" i="4"/>
  <c r="C19" i="4"/>
  <c r="J16" i="4"/>
  <c r="I16" i="4"/>
  <c r="H16" i="4"/>
  <c r="G16" i="4"/>
  <c r="F16" i="4"/>
  <c r="E16" i="4"/>
  <c r="D16" i="4"/>
  <c r="C16" i="4"/>
  <c r="J14" i="4"/>
  <c r="I14" i="4"/>
  <c r="H14" i="4"/>
  <c r="G14" i="4"/>
  <c r="F14" i="4"/>
  <c r="E14" i="4"/>
  <c r="D14" i="4"/>
  <c r="C14" i="4"/>
  <c r="J13" i="4"/>
  <c r="I13" i="4"/>
  <c r="H13" i="4"/>
  <c r="G13" i="4"/>
  <c r="F13" i="4"/>
  <c r="E13" i="4"/>
  <c r="D13" i="4"/>
  <c r="C13" i="4"/>
  <c r="J12" i="4"/>
  <c r="I12" i="4"/>
  <c r="H12" i="4"/>
  <c r="G12" i="4"/>
  <c r="F12" i="4"/>
  <c r="E12" i="4"/>
  <c r="D12" i="4"/>
  <c r="C12" i="4"/>
  <c r="J10" i="4"/>
  <c r="I10" i="4"/>
  <c r="H10" i="4"/>
  <c r="G10" i="4"/>
  <c r="F10" i="4"/>
  <c r="E10" i="4"/>
  <c r="D10" i="4"/>
  <c r="C10" i="4"/>
  <c r="J9" i="4"/>
  <c r="I9" i="4"/>
  <c r="H9" i="4"/>
  <c r="G9" i="4"/>
  <c r="F9" i="4"/>
  <c r="E9" i="4"/>
  <c r="D9" i="4"/>
  <c r="C9" i="4"/>
  <c r="J7" i="4"/>
  <c r="I7" i="4"/>
  <c r="H7" i="4"/>
  <c r="G7" i="4"/>
  <c r="F7" i="4"/>
  <c r="E7" i="4"/>
  <c r="D7" i="4"/>
  <c r="J6" i="4"/>
  <c r="I6" i="4"/>
  <c r="H6" i="4"/>
  <c r="G6" i="4"/>
  <c r="F6" i="4"/>
  <c r="E6" i="4"/>
  <c r="D6" i="4"/>
  <c r="J5" i="4"/>
  <c r="I5" i="4"/>
  <c r="H5" i="4"/>
  <c r="G5" i="4"/>
  <c r="F5" i="4"/>
  <c r="E5" i="4"/>
  <c r="D5" i="4"/>
  <c r="C7" i="4"/>
  <c r="C6" i="4"/>
  <c r="C5" i="4"/>
  <c r="D8" i="4"/>
  <c r="F8" i="4"/>
  <c r="G8" i="4"/>
  <c r="H8" i="4"/>
  <c r="I8" i="4"/>
  <c r="H32" i="4"/>
  <c r="H30" i="4"/>
  <c r="H29" i="4"/>
  <c r="H24" i="4"/>
  <c r="G54" i="4"/>
  <c r="G50" i="4"/>
  <c r="G24" i="4"/>
  <c r="F32" i="4"/>
  <c r="F30" i="4"/>
  <c r="F29" i="4"/>
  <c r="F24" i="4"/>
  <c r="E29" i="4"/>
  <c r="E24" i="4"/>
  <c r="D54" i="4"/>
  <c r="D50" i="4"/>
  <c r="D32" i="4"/>
  <c r="D24" i="4"/>
  <c r="C54" i="4"/>
  <c r="C50" i="4"/>
  <c r="C32" i="4"/>
  <c r="C30" i="4"/>
  <c r="C29" i="4"/>
  <c r="C24" i="4"/>
  <c r="B65" i="4"/>
  <c r="B64" i="4"/>
  <c r="B63" i="4"/>
  <c r="B61" i="4"/>
  <c r="B58" i="4"/>
  <c r="B57" i="4"/>
  <c r="B56" i="4"/>
  <c r="L54" i="4"/>
  <c r="K54" i="4"/>
  <c r="B54" i="4"/>
  <c r="B53" i="4"/>
  <c r="B51" i="4"/>
  <c r="B50" i="4"/>
  <c r="B49" i="4"/>
  <c r="B48" i="4"/>
  <c r="B47" i="4"/>
  <c r="B43" i="4"/>
  <c r="B41" i="4"/>
  <c r="B40" i="4"/>
  <c r="B38" i="4"/>
  <c r="B37" i="4"/>
  <c r="B36" i="4"/>
  <c r="B31" i="4"/>
  <c r="B28" i="4"/>
  <c r="B26" i="4"/>
  <c r="B25" i="4"/>
  <c r="B24" i="4"/>
  <c r="B23" i="4"/>
  <c r="B21" i="4"/>
  <c r="B19" i="4"/>
  <c r="B16" i="4"/>
  <c r="B13" i="4"/>
  <c r="B12" i="4"/>
  <c r="B10" i="4"/>
  <c r="B9" i="4"/>
  <c r="B8" i="4"/>
  <c r="B7" i="4"/>
  <c r="B6" i="4"/>
  <c r="O33" i="4"/>
  <c r="P33" i="4"/>
  <c r="L29" i="4"/>
  <c r="L33" i="4" s="1"/>
  <c r="K29" i="4"/>
  <c r="K33" i="4" s="1"/>
  <c r="T14" i="13"/>
  <c r="R14" i="13"/>
  <c r="T13" i="13"/>
  <c r="R13" i="13"/>
  <c r="T11" i="13"/>
  <c r="R11" i="13"/>
  <c r="R10" i="13"/>
  <c r="T8" i="13"/>
  <c r="R8" i="13"/>
  <c r="T7" i="13"/>
  <c r="R7" i="13"/>
  <c r="V13" i="13" l="1"/>
  <c r="G33" i="4"/>
  <c r="B33" i="4"/>
  <c r="B55" i="4"/>
  <c r="V11" i="13"/>
  <c r="V8" i="13"/>
  <c r="V7" i="13"/>
  <c r="V6" i="13"/>
  <c r="V14" i="13"/>
  <c r="V10" i="13"/>
  <c r="V5" i="13"/>
  <c r="J33" i="4"/>
  <c r="I33" i="4"/>
  <c r="H33" i="4"/>
  <c r="F33" i="4"/>
  <c r="E33" i="4"/>
  <c r="D33" i="4"/>
  <c r="C33" i="4"/>
  <c r="P49" i="6" l="1"/>
  <c r="P5" i="6"/>
  <c r="P66" i="4"/>
  <c r="P55" i="4"/>
  <c r="P44" i="4"/>
  <c r="P46" i="4" s="1"/>
  <c r="P20" i="4"/>
  <c r="P67" i="4" l="1"/>
  <c r="P68" i="4" s="1"/>
  <c r="P34" i="4"/>
  <c r="O49" i="6" l="1"/>
  <c r="O5" i="6"/>
  <c r="O28" i="6" s="1"/>
  <c r="O31" i="6" s="1"/>
  <c r="O55" i="4"/>
  <c r="O66" i="4"/>
  <c r="O44" i="4"/>
  <c r="O46" i="4" s="1"/>
  <c r="O20" i="4"/>
  <c r="N66" i="4"/>
  <c r="M66" i="4"/>
  <c r="N55" i="4"/>
  <c r="M55" i="4"/>
  <c r="N20" i="4"/>
  <c r="M20" i="4"/>
  <c r="N49" i="6"/>
  <c r="N5" i="6"/>
  <c r="N28" i="6" s="1"/>
  <c r="N31" i="6" s="1"/>
  <c r="N44" i="4"/>
  <c r="N46" i="4" s="1"/>
  <c r="O67" i="4" l="1"/>
  <c r="O63" i="6"/>
  <c r="O66" i="6" s="1"/>
  <c r="O34" i="4"/>
  <c r="N63" i="6"/>
  <c r="N66" i="6" s="1"/>
  <c r="N67" i="4"/>
  <c r="M49" i="6"/>
  <c r="M5" i="6"/>
  <c r="M44" i="4"/>
  <c r="M46" i="4" s="1"/>
  <c r="O68" i="4" l="1"/>
  <c r="P28" i="6"/>
  <c r="P31" i="6" s="1"/>
  <c r="P63" i="6" s="1"/>
  <c r="P66" i="6" s="1"/>
  <c r="N68" i="4"/>
  <c r="M67" i="4"/>
  <c r="L49" i="6"/>
  <c r="L5" i="6"/>
  <c r="L66" i="4"/>
  <c r="L55" i="4"/>
  <c r="L44" i="4"/>
  <c r="L46" i="4" s="1"/>
  <c r="L20" i="4"/>
  <c r="M68" i="4" l="1"/>
  <c r="L28" i="6"/>
  <c r="L31" i="6" s="1"/>
  <c r="L63" i="6" s="1"/>
  <c r="L66" i="6" s="1"/>
  <c r="L67" i="4"/>
  <c r="L34" i="4"/>
  <c r="L68" i="4" l="1"/>
  <c r="M28" i="6" l="1"/>
  <c r="D5" i="6"/>
  <c r="C5" i="6"/>
  <c r="B5" i="6"/>
  <c r="H55" i="6"/>
  <c r="H62" i="6" s="1"/>
  <c r="G55" i="6"/>
  <c r="G62" i="6" s="1"/>
  <c r="F55" i="6"/>
  <c r="F62" i="6" s="1"/>
  <c r="E55" i="6"/>
  <c r="E62" i="6" s="1"/>
  <c r="D55" i="6"/>
  <c r="D62" i="6" s="1"/>
  <c r="C55" i="6"/>
  <c r="C62" i="6" s="1"/>
  <c r="M31" i="6" l="1"/>
  <c r="I45" i="4"/>
  <c r="J45" i="4"/>
  <c r="H45" i="4"/>
  <c r="B49" i="6"/>
  <c r="C49" i="6"/>
  <c r="D49" i="6"/>
  <c r="E49" i="6"/>
  <c r="F49" i="6"/>
  <c r="G49" i="6"/>
  <c r="H49" i="6"/>
  <c r="I49" i="6"/>
  <c r="J49" i="6"/>
  <c r="K49" i="6"/>
  <c r="N24" i="4" l="1"/>
  <c r="N33" i="4" s="1"/>
  <c r="M24" i="4"/>
  <c r="M30" i="4"/>
  <c r="M63" i="6"/>
  <c r="K5" i="6"/>
  <c r="K66" i="4"/>
  <c r="K55" i="4"/>
  <c r="K44" i="4"/>
  <c r="K46" i="4" s="1"/>
  <c r="K20" i="4"/>
  <c r="M33" i="4" l="1"/>
  <c r="H44" i="4"/>
  <c r="H46" i="4" s="1"/>
  <c r="D66" i="4"/>
  <c r="C55" i="4"/>
  <c r="I66" i="4"/>
  <c r="G44" i="4"/>
  <c r="G46" i="4" s="1"/>
  <c r="H55" i="4"/>
  <c r="I44" i="4"/>
  <c r="I46" i="4" s="1"/>
  <c r="C66" i="4"/>
  <c r="E66" i="4"/>
  <c r="I55" i="4"/>
  <c r="F44" i="4"/>
  <c r="F46" i="4" s="1"/>
  <c r="D44" i="4"/>
  <c r="D46" i="4" s="1"/>
  <c r="J66" i="4"/>
  <c r="E55" i="4"/>
  <c r="B44" i="4"/>
  <c r="B46" i="4" s="1"/>
  <c r="D55" i="4"/>
  <c r="G66" i="4"/>
  <c r="F66" i="4"/>
  <c r="J55" i="4"/>
  <c r="G55" i="4"/>
  <c r="B66" i="4"/>
  <c r="E44" i="4"/>
  <c r="E46" i="4" s="1"/>
  <c r="J20" i="4"/>
  <c r="H66" i="4"/>
  <c r="F55" i="4"/>
  <c r="C44" i="4"/>
  <c r="C46" i="4" s="1"/>
  <c r="J44" i="4"/>
  <c r="J46" i="4" s="1"/>
  <c r="M66" i="6"/>
  <c r="F20" i="4"/>
  <c r="E20" i="4"/>
  <c r="G20" i="4"/>
  <c r="B20" i="4"/>
  <c r="H20" i="4"/>
  <c r="I20" i="4"/>
  <c r="D20" i="4"/>
  <c r="C20" i="4"/>
  <c r="K34" i="4"/>
  <c r="K67" i="4"/>
  <c r="D67" i="4" l="1"/>
  <c r="D68" i="4" s="1"/>
  <c r="H67" i="4"/>
  <c r="H68" i="4" s="1"/>
  <c r="B67" i="4"/>
  <c r="B68" i="4" s="1"/>
  <c r="J67" i="4"/>
  <c r="J68" i="4" s="1"/>
  <c r="I67" i="4"/>
  <c r="I68" i="4" s="1"/>
  <c r="F34" i="4"/>
  <c r="E67" i="4"/>
  <c r="E68" i="4" s="1"/>
  <c r="C67" i="4"/>
  <c r="C68" i="4" s="1"/>
  <c r="G67" i="4"/>
  <c r="G68" i="4" s="1"/>
  <c r="I34" i="4"/>
  <c r="N34" i="4"/>
  <c r="F67" i="4"/>
  <c r="F68" i="4" s="1"/>
  <c r="G34" i="4"/>
  <c r="M34" i="4"/>
  <c r="D34" i="4"/>
  <c r="C34" i="4"/>
  <c r="K68" i="4"/>
  <c r="B34" i="4"/>
  <c r="E34" i="4"/>
  <c r="J34" i="4"/>
  <c r="H34" i="4"/>
  <c r="K28" i="6" l="1"/>
  <c r="K31" i="6" s="1"/>
  <c r="K63" i="6" s="1"/>
  <c r="K66" i="6" s="1"/>
  <c r="C28" i="6" l="1"/>
  <c r="C31" i="6" s="1"/>
  <c r="C63" i="6" l="1"/>
  <c r="C66" i="6" s="1"/>
  <c r="E5" i="6" l="1"/>
  <c r="E28" i="6" s="1"/>
  <c r="E31" i="6" s="1"/>
  <c r="E63" i="6" s="1"/>
  <c r="E66" i="6" s="1"/>
  <c r="J5" i="6"/>
  <c r="J28" i="6" s="1"/>
  <c r="J31" i="6" s="1"/>
  <c r="J63" i="6" s="1"/>
  <c r="J66" i="6" s="1"/>
  <c r="B28" i="6"/>
  <c r="B31" i="6" s="1"/>
  <c r="B63" i="6" s="1"/>
  <c r="B66" i="6" s="1"/>
  <c r="F5" i="6"/>
  <c r="F28" i="6" s="1"/>
  <c r="F31" i="6" s="1"/>
  <c r="F63" i="6" s="1"/>
  <c r="F66" i="6" s="1"/>
  <c r="G5" i="6"/>
  <c r="G28" i="6" s="1"/>
  <c r="G31" i="6" s="1"/>
  <c r="G63" i="6" s="1"/>
  <c r="G66" i="6" s="1"/>
  <c r="D28" i="6"/>
  <c r="D31" i="6" s="1"/>
  <c r="D63" i="6" s="1"/>
  <c r="D66" i="6" s="1"/>
  <c r="I5" i="6"/>
  <c r="I28" i="6" s="1"/>
  <c r="I31" i="6" s="1"/>
  <c r="I63" i="6" s="1"/>
  <c r="I66" i="6" s="1"/>
  <c r="H5" i="6"/>
  <c r="H28" i="6" s="1"/>
  <c r="H31" i="6" s="1"/>
  <c r="H63" i="6" s="1"/>
  <c r="H66" i="6" s="1"/>
  <c r="AC28" i="6" l="1"/>
  <c r="AC31" i="6" l="1"/>
  <c r="AC63" i="6" l="1"/>
  <c r="AC66" i="6" l="1"/>
  <c r="AE66" i="6" l="1"/>
  <c r="AJ66" i="6"/>
  <c r="AJ25" i="16"/>
  <c r="AJ26" i="16" s="1"/>
  <c r="AJ29" i="16" s="1"/>
  <c r="AI26" i="16"/>
  <c r="AI29" i="16" s="1"/>
</calcChain>
</file>

<file path=xl/sharedStrings.xml><?xml version="1.0" encoding="utf-8"?>
<sst xmlns="http://schemas.openxmlformats.org/spreadsheetml/2006/main" count="726" uniqueCount="319">
  <si>
    <t>EBITDA</t>
  </si>
  <si>
    <t>Wynagrodzenia i świadczenia na rzecz pracowników</t>
  </si>
  <si>
    <t>Podatek dochodowy</t>
  </si>
  <si>
    <t>marża EBITDA</t>
  </si>
  <si>
    <t>AKTYWA</t>
  </si>
  <si>
    <t>Zestawy odbiorcze</t>
  </si>
  <si>
    <t>Inne rzeczowe aktywa trwałe</t>
  </si>
  <si>
    <t>Nieruchomości inwestycyjne</t>
  </si>
  <si>
    <t>Aktywa z tytułu odroczonego podatku dochodowego</t>
  </si>
  <si>
    <t>Wartość firmy</t>
  </si>
  <si>
    <t>Aktywa trwałe razem</t>
  </si>
  <si>
    <t>Zapasy</t>
  </si>
  <si>
    <t>Środki pieniężne i ich ekwiwalenty</t>
  </si>
  <si>
    <t>Aktywa obrotowe razem</t>
  </si>
  <si>
    <t>PASYWA</t>
  </si>
  <si>
    <t>Kapitał zakładowy</t>
  </si>
  <si>
    <t>Kapitał zapasowy</t>
  </si>
  <si>
    <t>Kapitał rezerwowy</t>
  </si>
  <si>
    <t>Kapitał własny razem</t>
  </si>
  <si>
    <t>Zobowiązania z tytułu kredytów i pożyczek</t>
  </si>
  <si>
    <t>Zobowiązania z tytułu odroczonego podatku dochodowego</t>
  </si>
  <si>
    <t>Inne długoterminowe zobowiązania i rezerwy</t>
  </si>
  <si>
    <t>Zobowiązania długoterminowe razem</t>
  </si>
  <si>
    <t>Zobowiązania z tytułu podatku dochodowego</t>
  </si>
  <si>
    <t xml:space="preserve">Zobowiązania z tytułu dostaw i usług oraz pozostałe zobowiązania </t>
  </si>
  <si>
    <t>Zobowiązania krótkoterminowe razem</t>
  </si>
  <si>
    <t>Zobowiązania razem</t>
  </si>
  <si>
    <t>PASYWA RAZEM</t>
  </si>
  <si>
    <t>Korekty:</t>
  </si>
  <si>
    <t xml:space="preserve">Odsetki </t>
  </si>
  <si>
    <t>Zmiana stanu zapasów</t>
  </si>
  <si>
    <t>Zmiana stanu należności i innych aktywów</t>
  </si>
  <si>
    <t xml:space="preserve">Podatek dochodowy </t>
  </si>
  <si>
    <t>Inne korekty</t>
  </si>
  <si>
    <t>Podatek dochodowy zapłacony</t>
  </si>
  <si>
    <t>Odsetki otrzymane dotyczące działalności operacyjnej</t>
  </si>
  <si>
    <t>Środki pieniężne z działalności operacyjnej</t>
  </si>
  <si>
    <t>Nabycie wartości niematerialnych</t>
  </si>
  <si>
    <t>Nabycie rzeczowych aktywów trwałych</t>
  </si>
  <si>
    <t>Zmiana netto środków pieniężnych i ich ekwiwalentów</t>
  </si>
  <si>
    <t>Środki pieniężne i ich ekwiwalenty na początek okresu</t>
  </si>
  <si>
    <t>Zmiana stanu środków pieniężnych z tytułu różnic kursowych</t>
  </si>
  <si>
    <t>Spłata otrzymanych kredytów i pożyczek</t>
  </si>
  <si>
    <t>Środki pieniężne o ograniczonej możliwości dysponowania</t>
  </si>
  <si>
    <t>Kaucje otrzymane za wydany sprzęt</t>
  </si>
  <si>
    <t>Udzielone pożyczki</t>
  </si>
  <si>
    <t>Wpływy ze zbycia niefinansowych aktywów trwałych</t>
  </si>
  <si>
    <t>Spłata udzielonych pożyczek</t>
  </si>
  <si>
    <t>Zysk z działalności operacyjnej</t>
  </si>
  <si>
    <t>Płatności za licencje filmowe i sportowe</t>
  </si>
  <si>
    <t>Amortyzacja licencji filmowych i sportowych</t>
  </si>
  <si>
    <t>Wartość sprzedanych aktywów programowych</t>
  </si>
  <si>
    <t>Zmiana stanu produkcji własnej oraz zaliczek na produkcję własną</t>
  </si>
  <si>
    <t>Wycena instrumentów zabezpieczających</t>
  </si>
  <si>
    <t>Marki</t>
  </si>
  <si>
    <t>Długoterminowe aktywa programowe</t>
  </si>
  <si>
    <t>Krótkoterminowe aktywa programowe</t>
  </si>
  <si>
    <t>Kapitał z aktualizacji wyceny instrumentów zabezpieczających</t>
  </si>
  <si>
    <t>Różnice kursowe z przeliczenia jednostek działających za granicą</t>
  </si>
  <si>
    <t xml:space="preserve">Inne wartości niematerialne </t>
  </si>
  <si>
    <t>(Zyski) / straty z tytułu różnic kursowych, netto</t>
  </si>
  <si>
    <t>Pożyczki udzielone jednostkom powiązanym</t>
  </si>
  <si>
    <t>2)</t>
  </si>
  <si>
    <t>Środki pieniężne netto z działalności operacyjnej</t>
  </si>
  <si>
    <t>Środki pieniężne netto z działalności inwestycyjnej</t>
  </si>
  <si>
    <t>Środki pieniężne netto z działalności finansowej</t>
  </si>
  <si>
    <t>Nabycie udziałów w jednostkach zależnych pomniejszone o przejęte środki pieniężne</t>
  </si>
  <si>
    <t>Koszty operacyjne</t>
  </si>
  <si>
    <t>Przychody ze sprzedaży usług, produktów, towarów i materiałów</t>
  </si>
  <si>
    <t>Należności z tytułu podatku dochodowego</t>
  </si>
  <si>
    <t>Udziały niekontrolujące</t>
  </si>
  <si>
    <t>Kapitał przypadający na akcjonariuszy Jednostki Dominującej</t>
  </si>
  <si>
    <t>Amortyzacja, utrata wartości i likwidacja</t>
  </si>
  <si>
    <t>Otrzymane dywidendy</t>
  </si>
  <si>
    <t>Przychody detaliczne od klientów indywidualnych i biznesowych</t>
  </si>
  <si>
    <t>Przychody hurtowe</t>
  </si>
  <si>
    <t>Przychody ze sprzedaży sprzętu</t>
  </si>
  <si>
    <t>Pozostałe przychody ze sprzedaży</t>
  </si>
  <si>
    <t>Koszty kontentu</t>
  </si>
  <si>
    <t>Koszty dystrybucji, marketingu, obsługi i utrzymania klienta</t>
  </si>
  <si>
    <t>Koszty techniczne i rozliczeń międzyoperatorskich</t>
  </si>
  <si>
    <t>Koszt własny sprzedanego sprzętu</t>
  </si>
  <si>
    <t>Koszty windykacji, odpisów aktualizujących wartość należności i koszt spisanych należności</t>
  </si>
  <si>
    <t>Inne koszty</t>
  </si>
  <si>
    <t xml:space="preserve">Zobowiązania z tytułu obligacji </t>
  </si>
  <si>
    <t>Lokaty krótkoterminowe</t>
  </si>
  <si>
    <t>(Zysk)/strata ze sprzedaży rzeczowych aktywów trwałych i wartości niematerialnych</t>
  </si>
  <si>
    <t xml:space="preserve">Lokaty krótkoterminowe </t>
  </si>
  <si>
    <t>Zapłata za usługi doradcze związane z emisją akcji</t>
  </si>
  <si>
    <t>Zysk/(strata) z działalności operacyjnej</t>
  </si>
  <si>
    <t>Płatności z tytułu koncesji</t>
  </si>
  <si>
    <t>w tym aktywa z tytułu instrumentów pochodnych</t>
  </si>
  <si>
    <t>w tym zobowiązania z tytułu instrumentów pochodnych</t>
  </si>
  <si>
    <t>Środki pieniężne i ich ekwiwalenty na koniec okresu</t>
  </si>
  <si>
    <t>Zaciągnięcie kredytów</t>
  </si>
  <si>
    <t>GRUPA KAPITAŁOWA CYFROWY POLSAT S.A.</t>
  </si>
  <si>
    <t>SKONSOLIDOWANY RACHUNEK ZYSKÓW I STRAT</t>
  </si>
  <si>
    <t>(w mln PLN)</t>
  </si>
  <si>
    <t>Q1</t>
  </si>
  <si>
    <t>Q2</t>
  </si>
  <si>
    <t>Q3</t>
  </si>
  <si>
    <t>Q4</t>
  </si>
  <si>
    <t>SEGMENT USŁUG ŚWIADCZONYCH KLIENTOM INDYWIDUALNYM I BIZNESOWYM</t>
  </si>
  <si>
    <t>SEGMENT NADAWANIA I PRODUKCJI TELEWIZYJNEJ</t>
  </si>
  <si>
    <t>WYŁĄCZENIA I KOREKTY KONSOLIDACYJNE</t>
  </si>
  <si>
    <t>RAZEM</t>
  </si>
  <si>
    <t>Zmiana</t>
  </si>
  <si>
    <t>Sprzedaż do stron trzecich</t>
  </si>
  <si>
    <t>Sprzedaż pomiędzy segmentami</t>
  </si>
  <si>
    <t>Przychody ze sprzedaży</t>
  </si>
  <si>
    <t xml:space="preserve">Nabycie rzeczowych aktywów trwałych, zestawów odbiorczych i innych wartości niematerialnych </t>
  </si>
  <si>
    <t>Aktywa segmentu, w tym:</t>
  </si>
  <si>
    <t>Inwestycje we wspólne przedsięwzięcia</t>
  </si>
  <si>
    <t>SKONSOLIDOWANY BILANS</t>
  </si>
  <si>
    <t xml:space="preserve">31 marca </t>
  </si>
  <si>
    <t xml:space="preserve">30 czerwca </t>
  </si>
  <si>
    <t xml:space="preserve">30 września </t>
  </si>
  <si>
    <t xml:space="preserve">31 grudnia </t>
  </si>
  <si>
    <t>AKTYWA RAZEM</t>
  </si>
  <si>
    <t>3 miesiące 
do 31 marca</t>
  </si>
  <si>
    <t>6 miesięcy 
do 30 czerwca</t>
  </si>
  <si>
    <t xml:space="preserve">9 miesięcy 
do 30 września </t>
  </si>
  <si>
    <t xml:space="preserve">12 miesięcy 
do 31 grudnia </t>
  </si>
  <si>
    <t>Zysk  netto za okres</t>
  </si>
  <si>
    <t>SKONSOLIDOWANY RACHUNEK PRZEPŁYWÓW PIENIĘŻNYCH</t>
  </si>
  <si>
    <r>
      <t>SEGMENT USŁUG ŚWIADCZONYCH KLIENTOM                                                                                                               INDYWIDUALNYM I BIZNESOWYM</t>
    </r>
    <r>
      <rPr>
        <b/>
        <vertAlign val="superscript"/>
        <sz val="9"/>
        <color rgb="FF000000"/>
        <rFont val="Calibri"/>
        <family val="2"/>
        <charset val="238"/>
        <scheme val="minor"/>
      </rPr>
      <t>1)</t>
    </r>
  </si>
  <si>
    <t>1Q</t>
  </si>
  <si>
    <t>2Q</t>
  </si>
  <si>
    <t>3Q</t>
  </si>
  <si>
    <t>4Q</t>
  </si>
  <si>
    <r>
      <t>Łączna liczba RGU</t>
    </r>
    <r>
      <rPr>
        <b/>
        <vertAlign val="superscript"/>
        <sz val="9"/>
        <rFont val="Calibri"/>
        <family val="2"/>
        <charset val="238"/>
        <scheme val="minor"/>
      </rPr>
      <t>2)</t>
    </r>
    <r>
      <rPr>
        <b/>
        <sz val="9"/>
        <rFont val="Calibri"/>
        <family val="2"/>
        <charset val="238"/>
        <scheme val="minor"/>
      </rPr>
      <t xml:space="preserve"> (kontraktowe+przedpłacone)</t>
    </r>
  </si>
  <si>
    <t>n/d</t>
  </si>
  <si>
    <t>USŁUGI KONTRAKTOWE</t>
  </si>
  <si>
    <t>Łączna liczba RGU na koniec okresu, w tym:</t>
  </si>
  <si>
    <t>Płatna telewizja, w tym:</t>
  </si>
  <si>
    <t>Multiroom</t>
  </si>
  <si>
    <t>Telefonia komórkowa</t>
  </si>
  <si>
    <t>Internet</t>
  </si>
  <si>
    <t>Liczba klientów</t>
  </si>
  <si>
    <r>
      <t>Churn na klienta</t>
    </r>
    <r>
      <rPr>
        <vertAlign val="superscript"/>
        <sz val="9"/>
        <color rgb="FF000000"/>
        <rFont val="Calibri"/>
        <family val="2"/>
        <charset val="238"/>
        <scheme val="minor"/>
      </rPr>
      <t>4)</t>
    </r>
  </si>
  <si>
    <t xml:space="preserve">Wskaźnik nasycenia RGU na jednego klienta </t>
  </si>
  <si>
    <t>Średnia liczba RGU, w tym:</t>
  </si>
  <si>
    <t>Średnia liczba klientów</t>
  </si>
  <si>
    <t>USŁUGI PRZEDPŁACONE</t>
  </si>
  <si>
    <t xml:space="preserve">Płatna telewizja </t>
  </si>
  <si>
    <t xml:space="preserve">Internet </t>
  </si>
  <si>
    <r>
      <t>ARPU na RGU</t>
    </r>
    <r>
      <rPr>
        <vertAlign val="superscript"/>
        <sz val="9"/>
        <color rgb="FF000000"/>
        <rFont val="Calibri"/>
        <family val="2"/>
        <charset val="238"/>
        <scheme val="minor"/>
      </rPr>
      <t>5)</t>
    </r>
    <r>
      <rPr>
        <sz val="9"/>
        <color rgb="FF000000"/>
        <rFont val="Calibri"/>
        <family val="2"/>
        <charset val="238"/>
        <scheme val="minor"/>
      </rPr>
      <t xml:space="preserve"> [PLN]</t>
    </r>
  </si>
  <si>
    <t>1) Klient - osoba fizyczna, prawna lub jednostka organizacyjna nieposiadającą osobowości prawnej, posiadająca co najmniej jedną, aktywną usługę świadczoną w modelu kontraktowym.</t>
  </si>
  <si>
    <t>2) RGU (revenue generating unit) - pojedyncza, aktywna usługa płatnej telewizji, dostępu do Internetu lub telefonii komórkowej, świadczona w modelu kontraktowym lub przedpłaconym.</t>
  </si>
  <si>
    <t xml:space="preserve">3) ARPU na klienta - Średni miesięczny przychód od Klienta wygenerowany w danym okresie rozliczeniowy (uwzględnia przychody z interconnect)
</t>
  </si>
  <si>
    <t xml:space="preserve">4) Churn (współczynnik odejść lub odpływu) - rozwiązanie umowy z Klientem w drodze wypowiedzenia, windykacji lub innych działań, skutkujące tym, że po skutecznym rozwiązaniu umowy, Klient nie posiada żadnej aktywnej usługi świadczonej w modelu kontraktowym. Wskaźnik churn prezentuje stosunek liczby klientów, którym dezaktywowano ostatnią usługę (w drodze wypowiedzenia, jak i dezaktywacji w wyniku działań windykacyjnych lub z innych przyczyn) w okresie ostatnich 12 miesięcy do średniorocznej liczby klientów w tym 12 miesięcznym okresie. 
</t>
  </si>
  <si>
    <t>5) ARPU na RGU - średni miesięczny przychód od RGU pre-paid wygenerowany w danym okresie rozliczeniowym (uwzględnia przychody z interconnect)</t>
  </si>
  <si>
    <r>
      <t>Udział w oglądalności</t>
    </r>
    <r>
      <rPr>
        <b/>
        <vertAlign val="superscript"/>
        <sz val="11"/>
        <color theme="1"/>
        <rFont val="Calibri"/>
        <family val="2"/>
        <charset val="238"/>
        <scheme val="minor"/>
      </rPr>
      <t>(1) (2)</t>
    </r>
    <r>
      <rPr>
        <b/>
        <sz val="11"/>
        <color theme="1"/>
        <rFont val="Calibri"/>
        <family val="2"/>
        <charset val="238"/>
        <scheme val="minor"/>
      </rPr>
      <t>, w tym:</t>
    </r>
  </si>
  <si>
    <r>
      <t xml:space="preserve">    POLSAT</t>
    </r>
    <r>
      <rPr>
        <sz val="11"/>
        <color rgb="FF000000"/>
        <rFont val="Calibri"/>
        <family val="2"/>
        <charset val="238"/>
        <scheme val="minor"/>
      </rPr>
      <t xml:space="preserve"> (kanał główny)</t>
    </r>
  </si>
  <si>
    <t>Polsat News</t>
  </si>
  <si>
    <t>Polsat Sport</t>
  </si>
  <si>
    <t>Polsat Sport Extra</t>
  </si>
  <si>
    <t>Polsat Film</t>
  </si>
  <si>
    <t>Polsat Cafe</t>
  </si>
  <si>
    <t>Polsat Play</t>
  </si>
  <si>
    <t>CI Polsat</t>
  </si>
  <si>
    <t>Polsat Viasat History</t>
  </si>
  <si>
    <t>Polsat Viasat Nature</t>
  </si>
  <si>
    <t>Polsat Romans</t>
  </si>
  <si>
    <r>
      <t>Kanały Polsatu; zasięg techniczny</t>
    </r>
    <r>
      <rPr>
        <b/>
        <vertAlign val="superscript"/>
        <sz val="11"/>
        <rFont val="Calibri"/>
        <family val="2"/>
        <charset val="238"/>
        <scheme val="minor"/>
      </rPr>
      <t>(1)</t>
    </r>
  </si>
  <si>
    <t>Polsat</t>
  </si>
  <si>
    <t>Zysk netto przypadający na akcjonariuszy Jednostki Dominującej</t>
  </si>
  <si>
    <t>Podstawowy i rozwodniony zysk na jedną akcję w złotych</t>
  </si>
  <si>
    <t xml:space="preserve">GRUPA KAPITAŁOWA CYFROWY POLSAT S.A. </t>
  </si>
  <si>
    <t>Opcja wcześniejszej spłaty obligacji</t>
  </si>
  <si>
    <t>Wpływy z tytułu realizacji instrumentów pochodnych - kapitał</t>
  </si>
  <si>
    <t xml:space="preserve">TV4 </t>
  </si>
  <si>
    <t xml:space="preserve">TV6 </t>
  </si>
  <si>
    <t>Polsat 2</t>
  </si>
  <si>
    <t xml:space="preserve">Polsat JimJam </t>
  </si>
  <si>
    <t>Disco Polo Music</t>
  </si>
  <si>
    <t>Polsat Viasat Explore</t>
  </si>
  <si>
    <t>Polsat News 2</t>
  </si>
  <si>
    <t>Udział w zysku jednostki współkontrolowanej wycenianej metodą praw własności</t>
  </si>
  <si>
    <t>EBITDA (niebadana)</t>
  </si>
  <si>
    <t>Relacje z klientami</t>
  </si>
  <si>
    <t>Długoterminowe prowizje dla dystrybutorów rozliczane w czasie</t>
  </si>
  <si>
    <t>Inne aktywa długoterminowe</t>
  </si>
  <si>
    <t>Należności z tytułu dostaw i usług oraz pozostałe należności</t>
  </si>
  <si>
    <t>Krótkoterminowe prowizje dla dystrybutorów rozliczane w czasie</t>
  </si>
  <si>
    <t>Pozostałe aktywa obrotowe</t>
  </si>
  <si>
    <t>Nadwyżka wartości emisyjnej akcji powyżej ich wartości nominalnej</t>
  </si>
  <si>
    <t>Pozostałe kapitały</t>
  </si>
  <si>
    <t>Zobowiązania z tytułu koncesji UMTS</t>
  </si>
  <si>
    <t>Przychody przyszłych okresów</t>
  </si>
  <si>
    <r>
      <t xml:space="preserve">31 grudnia przekształcony </t>
    </r>
    <r>
      <rPr>
        <b/>
        <vertAlign val="superscript"/>
        <sz val="10"/>
        <color indexed="8"/>
        <rFont val="Calibri"/>
        <family val="2"/>
        <charset val="238"/>
      </rPr>
      <t>1)</t>
    </r>
  </si>
  <si>
    <t>Wpływy ze zbycia udziałów</t>
  </si>
  <si>
    <t>Emisja obligacji/(Wykup obligacji)</t>
  </si>
  <si>
    <t>Nabycie obligacji</t>
  </si>
  <si>
    <t>Zysk brutto za okres</t>
  </si>
  <si>
    <t>Zysk netto za okres</t>
  </si>
  <si>
    <r>
      <t xml:space="preserve">Q1 </t>
    </r>
    <r>
      <rPr>
        <b/>
        <vertAlign val="superscript"/>
        <sz val="10"/>
        <color indexed="8"/>
        <rFont val="Calibri"/>
        <family val="2"/>
        <charset val="238"/>
      </rPr>
      <t>1)</t>
    </r>
  </si>
  <si>
    <r>
      <t xml:space="preserve">2016 </t>
    </r>
    <r>
      <rPr>
        <b/>
        <vertAlign val="superscript"/>
        <sz val="10"/>
        <color indexed="8"/>
        <rFont val="Calibri"/>
        <family val="2"/>
        <charset val="238"/>
      </rPr>
      <t>1)</t>
    </r>
  </si>
  <si>
    <r>
      <t>Zyski i straty z działalności inwestycyjnej, netto</t>
    </r>
    <r>
      <rPr>
        <vertAlign val="superscript"/>
        <sz val="10"/>
        <color indexed="8"/>
        <rFont val="Calibri"/>
        <family val="2"/>
        <charset val="238"/>
      </rPr>
      <t xml:space="preserve"> </t>
    </r>
  </si>
  <si>
    <t>Pozostałe przychody / (koszty) operacyjne, netto</t>
  </si>
  <si>
    <t>Zysk/ (strata) netto przypadający na akcjonariuszy niekontrolujących</t>
  </si>
  <si>
    <t>(Zysk) / strata na instrumentach pochodnych, netto</t>
  </si>
  <si>
    <t>Jednorazowe spisanie przeszacowania wartości obligacji na moment nabycia do wartości godziwej oraz koszt premii za wcześniejszy wykup obligacji</t>
  </si>
  <si>
    <r>
      <t>Inne wydatki</t>
    </r>
    <r>
      <rPr>
        <vertAlign val="superscript"/>
        <sz val="10"/>
        <color indexed="8"/>
        <rFont val="Calibri"/>
        <family val="2"/>
        <charset val="238"/>
      </rPr>
      <t>3)</t>
    </r>
  </si>
  <si>
    <t>Zyski zatrzymane</t>
  </si>
  <si>
    <t>Zmiana / p.p.</t>
  </si>
  <si>
    <t>4)</t>
  </si>
  <si>
    <t>Wypłata dywidendy</t>
  </si>
  <si>
    <t>4) Pozycja została połączona z "Pozostałe wpływy/(wypływy)".</t>
  </si>
  <si>
    <t>Pozostałe wpływy/(wypływy)</t>
  </si>
  <si>
    <t>w tym udziały w jednostkach stowarzyszonych wycenianych metodą praw własności</t>
  </si>
  <si>
    <t>Polo TV</t>
  </si>
  <si>
    <t>Eska TV</t>
  </si>
  <si>
    <t>Eska TV Extra</t>
  </si>
  <si>
    <t>Vox Music TV</t>
  </si>
  <si>
    <t>Eska Rock TV</t>
  </si>
  <si>
    <t>Udział w zysku współnego przedsięwzięcia wycenianego metodą praw własności</t>
  </si>
  <si>
    <t>Wykup obligacji wyemitowanych przez Midas</t>
  </si>
  <si>
    <t>Wpływy z tytułu realizacji instrumentów pochodnych</t>
  </si>
  <si>
    <t>Koszt premii za wcześniejszy wykup obligacji</t>
  </si>
  <si>
    <t>Prowizja za wcześniejszy wykup obligacji</t>
  </si>
  <si>
    <t>Aktywa z tytułu kontraktów</t>
  </si>
  <si>
    <t>Zobowiązania z tytułu kontraktów</t>
  </si>
  <si>
    <t>1) Wyniki Grupy Aero2 konsolidowane od 29 lutego 2016.</t>
  </si>
  <si>
    <t>1) Przekszatłcenie w wyniku finalizacji procesu alokacji ceny nabycia Metelem.</t>
  </si>
  <si>
    <t>2) Od 30 czerwca 2015 roku pozycja "Kaucje otrzymane za wydane sprzęt" została ujęta w pozycji "Zobowiązania z tytułu dostaw i usług oraz pozostałe zobowiązania".</t>
  </si>
  <si>
    <t>3) Pozycja obejmuje spłatę zobowiązań z tytułu leasingu finansowego.</t>
  </si>
  <si>
    <t>2) Pozycja została połączona z pozycją "Inne korekty".</t>
  </si>
  <si>
    <t>1) Obejmuje wpływ instrumentów IRS/CIRS/forward, premie za wcześniejszą spłatę obligacji oraz zapłatę za koszty związane z pozyskaniem finansowania.</t>
  </si>
  <si>
    <t>Zmiana stanu aktywów z tytułu kontraktów</t>
  </si>
  <si>
    <t>Zmiana stanu zobowiązania z tytułu kontraktów</t>
  </si>
  <si>
    <t>Nabycie akcji/udziałów w jednostkach stowarzyszonych i innych jednostkach</t>
  </si>
  <si>
    <r>
      <t xml:space="preserve">2) Dane zgodne ze standardem MSR 18 - nie uwwzględniają wpływu standardów MSSF 9 </t>
    </r>
    <r>
      <rPr>
        <i/>
        <sz val="10"/>
        <color indexed="8"/>
        <rFont val="Calibri"/>
        <family val="2"/>
        <charset val="238"/>
      </rPr>
      <t>Instrumenty Finansowe</t>
    </r>
    <r>
      <rPr>
        <sz val="10"/>
        <color indexed="8"/>
        <rFont val="Calibri"/>
        <family val="2"/>
        <charset val="238"/>
      </rPr>
      <t xml:space="preserve"> oraz MSSF 15 </t>
    </r>
    <r>
      <rPr>
        <i/>
        <sz val="10"/>
        <color indexed="8"/>
        <rFont val="Calibri"/>
        <family val="2"/>
        <charset val="238"/>
      </rPr>
      <t>Przychody z umów z klientami</t>
    </r>
    <r>
      <rPr>
        <sz val="10"/>
        <color indexed="8"/>
        <rFont val="Calibri"/>
        <family val="2"/>
        <charset val="238"/>
      </rPr>
      <t xml:space="preserve">, obowiązujących od 1 stycznia 2018 roku. </t>
    </r>
  </si>
  <si>
    <r>
      <t xml:space="preserve">3) Dane zgodne ze standardami MSSF 9 </t>
    </r>
    <r>
      <rPr>
        <i/>
        <sz val="10"/>
        <color indexed="8"/>
        <rFont val="Calibri"/>
        <family val="2"/>
        <charset val="238"/>
      </rPr>
      <t>Instrumenty Finansowe</t>
    </r>
    <r>
      <rPr>
        <sz val="10"/>
        <color indexed="8"/>
        <rFont val="Calibri"/>
        <family val="2"/>
        <charset val="238"/>
      </rPr>
      <t xml:space="preserve"> oraz MSSF 15 </t>
    </r>
    <r>
      <rPr>
        <i/>
        <sz val="10"/>
        <color indexed="8"/>
        <rFont val="Calibri"/>
        <family val="2"/>
        <charset val="238"/>
      </rPr>
      <t xml:space="preserve">Przychody z umów z klientami. </t>
    </r>
    <r>
      <rPr>
        <sz val="10"/>
        <color indexed="8"/>
        <rFont val="Calibri"/>
        <family val="2"/>
        <charset val="238"/>
      </rPr>
      <t xml:space="preserve">Dane nie sa porównywalne z danymi za okresy wcześniejsze. </t>
    </r>
  </si>
  <si>
    <t>Kanały współpracujące z Grupą Cyfrowy Polsat (niekonoslidowane)</t>
  </si>
  <si>
    <t>Fokus TV</t>
  </si>
  <si>
    <t>Nowa TV</t>
  </si>
  <si>
    <r>
      <t>2017</t>
    </r>
    <r>
      <rPr>
        <i/>
        <sz val="10"/>
        <color theme="1"/>
        <rFont val="Calibri"/>
        <family val="2"/>
        <charset val="238"/>
        <scheme val="minor"/>
      </rPr>
      <t xml:space="preserve"> (dane według MSR 18)</t>
    </r>
  </si>
  <si>
    <r>
      <t xml:space="preserve">2017 </t>
    </r>
    <r>
      <rPr>
        <i/>
        <sz val="10"/>
        <color theme="1"/>
        <rFont val="Calibri"/>
        <family val="2"/>
        <charset val="238"/>
        <scheme val="minor"/>
      </rPr>
      <t>(dane według MSR 18)</t>
    </r>
  </si>
  <si>
    <r>
      <t>ARPU na klienta</t>
    </r>
    <r>
      <rPr>
        <vertAlign val="superscript"/>
        <sz val="9"/>
        <color rgb="FF000000"/>
        <rFont val="Calibri"/>
        <family val="2"/>
        <charset val="238"/>
        <scheme val="minor"/>
      </rPr>
      <t>3)</t>
    </r>
    <r>
      <rPr>
        <sz val="9"/>
        <color rgb="FF000000"/>
        <rFont val="Calibri"/>
        <family val="2"/>
        <charset val="238"/>
        <scheme val="minor"/>
      </rPr>
      <t xml:space="preserve"> według MSSF 15 [PLN]</t>
    </r>
  </si>
  <si>
    <r>
      <t>ARPU na klienta</t>
    </r>
    <r>
      <rPr>
        <vertAlign val="superscript"/>
        <sz val="9"/>
        <color rgb="FF000000"/>
        <rFont val="Calibri"/>
        <family val="2"/>
        <charset val="238"/>
        <scheme val="minor"/>
      </rPr>
      <t>3)</t>
    </r>
    <r>
      <rPr>
        <sz val="9"/>
        <color rgb="FF000000"/>
        <rFont val="Calibri"/>
        <family val="2"/>
        <charset val="238"/>
        <scheme val="minor"/>
      </rPr>
      <t xml:space="preserve"> według MSR 18 [PLN]</t>
    </r>
  </si>
  <si>
    <t>Wpływy/(Wypływy) z tytułu inwestycji w fundusze</t>
  </si>
  <si>
    <t>Polsat Sport Fight</t>
  </si>
  <si>
    <t>Superstacja</t>
  </si>
  <si>
    <t>Eleven Sports 1</t>
  </si>
  <si>
    <t>Eleven Sports 2</t>
  </si>
  <si>
    <r>
      <t xml:space="preserve">2018 </t>
    </r>
    <r>
      <rPr>
        <i/>
        <sz val="10"/>
        <color theme="1"/>
        <rFont val="Calibri"/>
        <family val="2"/>
        <charset val="238"/>
        <scheme val="minor"/>
      </rPr>
      <t>(dane według MSSF 15, 
Grupa Netia konsolidowana od 22 maja 2018 r.)</t>
    </r>
  </si>
  <si>
    <r>
      <t>2Q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</si>
  <si>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t>Udział w zysku/(stracie) jednostek stowarzyszonych wycenianych metodą praw własności</t>
  </si>
  <si>
    <t xml:space="preserve">CI Polsat </t>
  </si>
  <si>
    <t>.</t>
  </si>
  <si>
    <r>
      <t xml:space="preserve">2019 </t>
    </r>
    <r>
      <rPr>
        <i/>
        <sz val="10"/>
        <color theme="1"/>
        <rFont val="Calibri"/>
        <family val="2"/>
        <charset val="238"/>
        <scheme val="minor"/>
      </rPr>
      <t>(dane według MSR 17)</t>
    </r>
  </si>
  <si>
    <r>
      <t xml:space="preserve">2019 </t>
    </r>
    <r>
      <rPr>
        <i/>
        <sz val="10"/>
        <color theme="1"/>
        <rFont val="Calibri"/>
        <family val="2"/>
        <charset val="238"/>
        <scheme val="minor"/>
      </rPr>
      <t>(dane według MSSF 16)</t>
    </r>
  </si>
  <si>
    <t>Prawa do użytkowania</t>
  </si>
  <si>
    <t xml:space="preserve">2018 (dane według MSR 18, 
bez konsolidacji Grupy Netia)    
</t>
  </si>
  <si>
    <r>
      <t>2018</t>
    </r>
    <r>
      <rPr>
        <b/>
        <vertAlign val="superscript"/>
        <sz val="11"/>
        <color theme="1"/>
        <rFont val="Calibri"/>
        <family val="2"/>
        <charset val="238"/>
      </rPr>
      <t>3)</t>
    </r>
    <r>
      <rPr>
        <b/>
        <sz val="11"/>
        <color theme="1"/>
        <rFont val="Calibri"/>
        <family val="2"/>
        <charset val="238"/>
      </rPr>
      <t xml:space="preserve"> (dane według MSSF 15 i MSR 17,
Grupa Netia konsolidowana od 22 maja 2018 r.)</t>
    </r>
  </si>
  <si>
    <t>4) Dane bez ujęcia efektu MSSF 16</t>
  </si>
  <si>
    <r>
      <t>2019</t>
    </r>
    <r>
      <rPr>
        <b/>
        <vertAlign val="superscript"/>
        <sz val="11"/>
        <color theme="1"/>
        <rFont val="Calibri"/>
        <family val="2"/>
        <charset val="238"/>
      </rPr>
      <t>4)</t>
    </r>
    <r>
      <rPr>
        <b/>
        <sz val="11"/>
        <color theme="1"/>
        <rFont val="Calibri"/>
        <family val="2"/>
        <charset val="238"/>
      </rPr>
      <t xml:space="preserve"> (dane według MSSF 15 i MSR 17)</t>
    </r>
  </si>
  <si>
    <r>
      <t>2019</t>
    </r>
    <r>
      <rPr>
        <b/>
        <sz val="11"/>
        <rFont val="Calibri"/>
        <family val="2"/>
        <charset val="238"/>
      </rPr>
      <t xml:space="preserve"> (dane wg MSSF 15 i MSSF 16)</t>
    </r>
  </si>
  <si>
    <r>
      <t xml:space="preserve">2019 </t>
    </r>
    <r>
      <rPr>
        <i/>
        <sz val="10"/>
        <color theme="1"/>
        <rFont val="Calibri"/>
        <family val="2"/>
        <charset val="238"/>
        <scheme val="minor"/>
      </rPr>
      <t>(dane według MSSF 15 i MSSF 16)</t>
    </r>
  </si>
  <si>
    <r>
      <t>Spłata odsetek od leasingu</t>
    </r>
    <r>
      <rPr>
        <vertAlign val="superscript"/>
        <sz val="10"/>
        <color indexed="8"/>
        <rFont val="Calibri"/>
        <family val="2"/>
        <charset val="238"/>
      </rPr>
      <t xml:space="preserve"> 5)</t>
    </r>
  </si>
  <si>
    <r>
      <t>Spłata zobowiązań z tytułu leasingu</t>
    </r>
    <r>
      <rPr>
        <vertAlign val="superscript"/>
        <sz val="10"/>
        <color indexed="8"/>
        <rFont val="Calibri"/>
        <family val="2"/>
        <charset val="238"/>
      </rPr>
      <t xml:space="preserve"> 6)</t>
    </r>
  </si>
  <si>
    <t>6) Do 31 grudnia 2018 roku pozycja ta była wykazywana w linii "Inne wydatki".</t>
  </si>
  <si>
    <t>5) Do 31 grudnia 2018 roku pozycja ta była wykazywana w linii "Spłata odsetek od kredytów, pożyczek, obligacji, leasingu finansowego i zapłacone prowizje".</t>
  </si>
  <si>
    <t xml:space="preserve">Zobowiązania z tytułu leasingu </t>
  </si>
  <si>
    <t>Zwiększenie netto wartości zestawów odbiorczych</t>
  </si>
  <si>
    <t>Wykup obligacji wraz z odsetkami</t>
  </si>
  <si>
    <t>Wypływy z tytułu podwyższenia kapitału w jednostce stowarzyszonej</t>
  </si>
  <si>
    <t>Zobowiązania z tytułu leasingu</t>
  </si>
  <si>
    <t>Zmiana stanu zobowiązań i rezerw</t>
  </si>
  <si>
    <t>Udział w (zysku) / stracie jednostek stowarzyszonych wycenianych metodą praw własności</t>
  </si>
  <si>
    <t xml:space="preserve">Koszty finansowe, netto </t>
  </si>
  <si>
    <t>7)</t>
  </si>
  <si>
    <t>7) W drugim kwartale 2019 roku Spółka dokonała przedterminowego wykupu i umorzenia obligacji serii A oraz przeprowadziła emisję obligacji serii B. Wpływ i wypływ środków pieniężnych z tego tytułu uległ pokryciu i wyniósł 893 mln zł.</t>
  </si>
  <si>
    <r>
      <t xml:space="preserve">Spłata odsetek od kredytów, pożyczek, obligacji i zapłacone prowizje </t>
    </r>
    <r>
      <rPr>
        <vertAlign val="superscript"/>
        <sz val="10"/>
        <rFont val="Calibri"/>
        <family val="2"/>
        <charset val="238"/>
      </rPr>
      <t>1)</t>
    </r>
  </si>
  <si>
    <t xml:space="preserve"> </t>
  </si>
  <si>
    <t>YTD2019</t>
  </si>
  <si>
    <t>za okres 9 miesięcy zakończony</t>
  </si>
  <si>
    <t>Na dzień 30 września (niebadany)</t>
  </si>
  <si>
    <t>30 września 2019
(dane według MSSF 16)</t>
  </si>
  <si>
    <t>30 września 2018
(dane według MSR 17)</t>
  </si>
  <si>
    <t>1) Pozycja ta obejmuje także nabycie zestawów odbiorczych.</t>
  </si>
  <si>
    <t>2) Pozycja ta obejmuje także aktywa trwałe zlokalizowane poza granicami Polski w wysokości 11,1 mln zł.</t>
  </si>
  <si>
    <t>3) Pozycja ta obejmuje także aktywa trwałe zlokalizowane poza granicami Polski w wysokości 20,4 mln zł.</t>
  </si>
  <si>
    <t>3 miesiące zakończone 30 września</t>
  </si>
  <si>
    <t>9 miesięcy zakończonych 30 września</t>
  </si>
  <si>
    <t>Super Polsat</t>
  </si>
  <si>
    <r>
      <t>Polsat 1</t>
    </r>
    <r>
      <rPr>
        <vertAlign val="superscript"/>
        <sz val="9"/>
        <color theme="1"/>
        <rFont val="Arial Narrow"/>
        <family val="2"/>
        <charset val="238"/>
      </rPr>
      <t>(3)</t>
    </r>
  </si>
  <si>
    <r>
      <t>Polsat Sport Premium 1</t>
    </r>
    <r>
      <rPr>
        <vertAlign val="superscript"/>
        <sz val="9"/>
        <color theme="1"/>
        <rFont val="Arial Narrow"/>
        <family val="2"/>
        <charset val="238"/>
      </rPr>
      <t>(3)</t>
    </r>
  </si>
  <si>
    <r>
      <t>Polsat Sport Premium 2</t>
    </r>
    <r>
      <rPr>
        <vertAlign val="superscript"/>
        <sz val="9"/>
        <color theme="1"/>
        <rFont val="Arial Narrow"/>
        <family val="2"/>
        <charset val="238"/>
      </rPr>
      <t>(3)</t>
    </r>
  </si>
  <si>
    <r>
      <t>Eleven Sports 3</t>
    </r>
    <r>
      <rPr>
        <vertAlign val="superscript"/>
        <sz val="9"/>
        <color theme="1"/>
        <rFont val="Arial Narrow"/>
        <family val="2"/>
        <charset val="238"/>
      </rPr>
      <t>(3)</t>
    </r>
  </si>
  <si>
    <r>
      <t>Eleven Sports 4</t>
    </r>
    <r>
      <rPr>
        <vertAlign val="superscript"/>
        <sz val="9"/>
        <color theme="1"/>
        <rFont val="Arial Narrow"/>
        <family val="2"/>
        <charset val="238"/>
      </rPr>
      <t>(3)</t>
    </r>
  </si>
  <si>
    <r>
      <t>TV Okazje</t>
    </r>
    <r>
      <rPr>
        <vertAlign val="superscript"/>
        <sz val="11"/>
        <color theme="1"/>
        <rFont val="Calibri"/>
        <family val="2"/>
        <charset val="238"/>
        <scheme val="minor"/>
      </rPr>
      <t>(3)</t>
    </r>
  </si>
  <si>
    <r>
      <t>Polsat Games</t>
    </r>
    <r>
      <rPr>
        <vertAlign val="superscript"/>
        <sz val="9"/>
        <color theme="1"/>
        <rFont val="Arial Narrow"/>
        <family val="2"/>
        <charset val="238"/>
      </rPr>
      <t>(4)</t>
    </r>
  </si>
  <si>
    <r>
      <t>Polsat Rodzina</t>
    </r>
    <r>
      <rPr>
        <vertAlign val="superscript"/>
        <sz val="9"/>
        <color theme="1"/>
        <rFont val="Arial Narrow"/>
        <family val="2"/>
        <charset val="238"/>
      </rPr>
      <t>(4)</t>
    </r>
  </si>
  <si>
    <r>
      <t>Kanały nabyte w 2018 roku</t>
    </r>
    <r>
      <rPr>
        <b/>
        <vertAlign val="superscript"/>
        <sz val="9"/>
        <color theme="1"/>
        <rFont val="Arial Narrow"/>
        <family val="2"/>
        <charset val="238"/>
      </rPr>
      <t>(5)</t>
    </r>
  </si>
  <si>
    <r>
      <t>Udział w rynku reklamy</t>
    </r>
    <r>
      <rPr>
        <b/>
        <vertAlign val="superscript"/>
        <sz val="11"/>
        <rFont val="Calibri"/>
        <family val="2"/>
        <charset val="238"/>
        <scheme val="minor"/>
      </rPr>
      <t>(6)</t>
    </r>
  </si>
  <si>
    <t>Polsat Music HD</t>
  </si>
  <si>
    <t>Polsat Doku</t>
  </si>
  <si>
    <t>Polsat Sport News HD</t>
  </si>
  <si>
    <t>(1) Nielsen Audience Measurement, udział w oglądalności w grupie wszyscy 16-49 lat, cała doba, uwzględniono Live+2 (oglądalność z dnia emisji i z 2 kolejnych dni (tzw. Time Shift Viewing).
(2) Licząc sumaryczne udziały Grupy Polsat i kanałów tematycznych uwzględniamy moment włączenia kanałów do naszego portfolio.
(3) Kanał nieobecny w badaniu telemetrycznym.
(4) Kanał uruchomiony w październiku 2018 roku.
(5) Kanały włączone do portfolio Grupy Polsat w czerwcu 2018. 
(6) Szacunki własne na podstawie danych Starcom.</t>
  </si>
  <si>
    <r>
      <t>Polsat Games</t>
    </r>
    <r>
      <rPr>
        <vertAlign val="superscript"/>
        <sz val="9"/>
        <color rgb="FF000000"/>
        <rFont val="Arial Narrow"/>
        <family val="2"/>
        <charset val="238"/>
      </rPr>
      <t>(4)</t>
    </r>
  </si>
  <si>
    <r>
      <t>Polsat Rodzina</t>
    </r>
    <r>
      <rPr>
        <vertAlign val="superscript"/>
        <sz val="9"/>
        <color rgb="FF000000"/>
        <rFont val="Arial Narrow"/>
        <family val="2"/>
        <charset val="238"/>
      </rPr>
      <t>(4)</t>
    </r>
  </si>
  <si>
    <r>
      <t>Eleven Sports 2</t>
    </r>
    <r>
      <rPr>
        <vertAlign val="superscript"/>
        <sz val="9"/>
        <color rgb="FF000000"/>
        <rFont val="Arial Narrow"/>
        <family val="2"/>
        <charset val="238"/>
      </rPr>
      <t>(5)</t>
    </r>
  </si>
  <si>
    <r>
      <t>Eleven Sports 1</t>
    </r>
    <r>
      <rPr>
        <vertAlign val="superscript"/>
        <sz val="9"/>
        <color rgb="FF000000"/>
        <rFont val="Arial Narrow"/>
        <family val="2"/>
        <charset val="238"/>
      </rPr>
      <t>(5)</t>
    </r>
  </si>
  <si>
    <r>
      <t>Polsat 1</t>
    </r>
    <r>
      <rPr>
        <vertAlign val="superscript"/>
        <sz val="9"/>
        <color rgb="FF000000"/>
        <rFont val="Arial Narrow"/>
        <family val="2"/>
        <charset val="238"/>
      </rPr>
      <t>(2)</t>
    </r>
  </si>
  <si>
    <r>
      <t>Eleven Sports 3</t>
    </r>
    <r>
      <rPr>
        <vertAlign val="superscript"/>
        <sz val="9"/>
        <color rgb="FF000000"/>
        <rFont val="Arial Narrow"/>
        <family val="2"/>
        <charset val="238"/>
      </rPr>
      <t>(3)(5)</t>
    </r>
  </si>
  <si>
    <r>
      <t>Eleven Sports 4</t>
    </r>
    <r>
      <rPr>
        <vertAlign val="superscript"/>
        <sz val="9"/>
        <color rgb="FF000000"/>
        <rFont val="Arial Narrow"/>
        <family val="2"/>
        <charset val="238"/>
      </rPr>
      <t>(3)(5)</t>
    </r>
  </si>
  <si>
    <r>
      <t>Polsat Sport Premium 1</t>
    </r>
    <r>
      <rPr>
        <vertAlign val="superscript"/>
        <sz val="9"/>
        <color rgb="FF000000"/>
        <rFont val="Arial Narrow"/>
        <family val="2"/>
        <charset val="238"/>
      </rPr>
      <t>(3)</t>
    </r>
  </si>
  <si>
    <r>
      <t>Polsat Sport Premium 2</t>
    </r>
    <r>
      <rPr>
        <vertAlign val="superscript"/>
        <sz val="9"/>
        <color rgb="FF000000"/>
        <rFont val="Arial Narrow"/>
        <family val="2"/>
        <charset val="238"/>
      </rPr>
      <t>(3)</t>
    </r>
  </si>
  <si>
    <r>
      <t>TV Okazje</t>
    </r>
    <r>
      <rPr>
        <vertAlign val="superscript"/>
        <sz val="9"/>
        <color theme="1"/>
        <rFont val="Arial Narrow"/>
        <family val="2"/>
        <charset val="238"/>
      </rPr>
      <t>(3)</t>
    </r>
  </si>
  <si>
    <t xml:space="preserve">(1) Nielsen Audience Measurement, odsetek telewizyjnych gospodarstw domowych, które mają możliwość odbioru danego kanału; średnia arytmetyczna zasięgów miesięcznych.
(2) Kanał nadawany poza granicami Polski, nie jest objęty badaniem telemetrycznym.
(3) Kanał nie objęty badaniem telemetrycznym. 
(4) Kanał włączony do portfolio Grupy Polsat w październiku 2018.
(5) Kanały włączone do portfolio Grupy Polsat w czerwcu 2018. </t>
  </si>
  <si>
    <t xml:space="preserve">    Kanały tematyczne</t>
  </si>
  <si>
    <t>6) Dane nie obejmują wyników operacyjnych Grupy Netia,  nad którą Grupa Cyfrowy Polsat zaczęła sprawować kontrolę z dniem 22 maja 2018 roku. Z uwagi na fakt że Netia S.A. jest spółką publiczną, notowaną na Giełdzie Papierów Wartościowych w Warszawie, jej szczegółowe wyniki operacyjne i finansowe dostępne są na bieżąco pod adresem: inwestor.netia.pl.</t>
  </si>
  <si>
    <r>
      <t>3Q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</si>
  <si>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r>
      <t>4Q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</si>
  <si>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r>
      <t>1Q</t>
    </r>
    <r>
      <rPr>
        <b/>
        <vertAlign val="superscript"/>
        <sz val="9"/>
        <color indexed="8"/>
        <rFont val="Calibri"/>
        <family val="2"/>
        <charset val="238"/>
        <scheme val="minor"/>
      </rPr>
      <t>6</t>
    </r>
  </si>
  <si>
    <r>
      <t xml:space="preserve">2018 </t>
    </r>
    <r>
      <rPr>
        <b/>
        <vertAlign val="superscript"/>
        <sz val="9"/>
        <color theme="1"/>
        <rFont val="Calibri"/>
        <family val="2"/>
        <charset val="238"/>
        <scheme val="minor"/>
      </rPr>
      <t>6</t>
    </r>
  </si>
  <si>
    <t>ZASTRZEŻENIE
Przy ocenie naszej działalności operacyjnej w segmencie usług świadczonych dla klientów indywidualnych i biznesowych osobno analizujemy świadczone przez nas usługi kontraktowe i usługi przedpłacone. W przypadku tych pierwszych bierzemy pod uwagę liczbę pojedynczych, aktywnych usług świadczonych w modelu kontraktowym (RGU), liczbę klientów, wskaźnik odpływu klientów (churn) oraz średni miesięczny przychód na klienta. W przypadku usług przedpłaconych analizowana jest liczba unikalnych, aktywnych usług świadczonych w modelu przedpłaconym (RGU prepaid) oraz średni przychód przypadający na RGU prepaid. Liczba raportowanych RGU prepaid w ramach telefonii komórkowej oraz Internetu oznacza liczbę kart SIM, które w ciągu ostatnich 90 dni wykonały albo otrzymały połączenie, wysłały albo otrzymały SMS/MMS albo skorzystały z usług transmisji danych. W przypadku bezpłatnego dostępu do Internetu świadczonego przez Aero2 do RGU usług przedpłaconych w ramach dostępu do Internetu wliczone zostały wyłącznie te karty SIM, które w ciągu ostatnich 90 dni skorzystały z usług transmisji danych w ramach płatnych pakietów.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</si>
</sst>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7">
    <numFmt numFmtId="42" formatCode="_-* #,##0\ &quot;zł&quot;_-;\-* #,##0\ &quot;zł&quot;_-;_-* &quot;-&quot;\ &quot;zł&quot;_-;_-@_-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0.000"/>
    <numFmt numFmtId="168" formatCode="0.0%"/>
    <numFmt numFmtId="169" formatCode="#,##0.0"/>
    <numFmt numFmtId="170" formatCode="#,##0.0;\-#,##0.0"/>
    <numFmt numFmtId="171" formatCode="#,##0.0\ ;\(#,##0\)"/>
    <numFmt numFmtId="172" formatCode="#,##0.0\ ;\(#,##0.0\)"/>
    <numFmt numFmtId="173" formatCode="\-"/>
    <numFmt numFmtId="174" formatCode="###0.0"/>
    <numFmt numFmtId="175" formatCode="###0.0;\(###0.0\)"/>
    <numFmt numFmtId="176" formatCode="#,##0.0;\(#,##0.0\)"/>
    <numFmt numFmtId="177" formatCode="_-* #,##0.00\ [$€-1]_-;\-* #,##0.00\ [$€-1]_-;_-* &quot;-&quot;??\ [$€-1]_-"/>
    <numFmt numFmtId="178" formatCode="#,##0.00;\(#,##0.00\)"/>
    <numFmt numFmtId="179" formatCode="##\.##0.0;\(##\.##0.0\)"/>
    <numFmt numFmtId="180" formatCode="#,##0.0\ ;\(#,##0.0\);\-"/>
    <numFmt numFmtId="181" formatCode="#,##0.0;\(#,##0.0\);\-"/>
    <numFmt numFmtId="182" formatCode="#,##0.000;\(#,##0.000\);\-"/>
    <numFmt numFmtId="183" formatCode="#,##0;\(#,##0\);\-"/>
    <numFmt numFmtId="184" formatCode="#,##0.0,;\(#,##0.0\)"/>
    <numFmt numFmtId="185" formatCode="#,##0.0,;\(#,##0.0\);\-"/>
    <numFmt numFmtId="186" formatCode="0.00;\(0.00\);\-"/>
    <numFmt numFmtId="187" formatCode="0.0;\(0.0\);\-"/>
    <numFmt numFmtId="188" formatCode="General;\ \(General\)"/>
    <numFmt numFmtId="189" formatCode="#,##0.00;\(#,##0.00\);\-"/>
    <numFmt numFmtId="190" formatCode="_([$€]* #,##0.00_);_([$€]* \(#,##0.00\);_([$€]* &quot;-&quot;??_);_(@_)"/>
    <numFmt numFmtId="191" formatCode="[$-415]mmm\ yy;@"/>
    <numFmt numFmtId="192" formatCode="_ &quot;kr&quot;\ * #,##0.00_ ;_ &quot;kr&quot;\ * \-#,##0.00_ ;_ &quot;kr&quot;\ * &quot;-&quot;??_ ;_ @_ "/>
    <numFmt numFmtId="193" formatCode="_ * #,##0.00_ ;_ * \-#,##0.00_ ;_ * &quot;-&quot;??_ ;_ @_ "/>
    <numFmt numFmtId="194" formatCode="&quot;$&quot;#,##0;[Red]\-&quot;$&quot;#,##0"/>
    <numFmt numFmtId="195" formatCode="d/m/yy\ h:mm"/>
    <numFmt numFmtId="196" formatCode="General_)"/>
    <numFmt numFmtId="197" formatCode="0.000000000"/>
    <numFmt numFmtId="198" formatCode="\k\$#"/>
    <numFmt numFmtId="199" formatCode="\H\U\F\ 0.000"/>
    <numFmt numFmtId="200" formatCode="&quot;$&quot;#,##0.00\ ;\(&quot;$&quot;#,##0.00\)"/>
    <numFmt numFmtId="201" formatCode="\k\$\ 0.000"/>
    <numFmt numFmtId="202" formatCode="\k\E\C\U\ 0.000"/>
    <numFmt numFmtId="203" formatCode="\k\H\U\F\ 0.000"/>
    <numFmt numFmtId="204" formatCode="\k\L\E\ 0.000"/>
    <numFmt numFmtId="205" formatCode="_-* #,##0.00\ &quot;Sk&quot;_-;\-* #,##0.00\ &quot;Sk&quot;_-;_-* &quot;-&quot;??\ &quot;Sk&quot;_-;_-@_-"/>
    <numFmt numFmtId="206" formatCode="_ * #,##0_)\ _$_ ;_ * \(#,##0\)\ _$_ ;_ * &quot;-&quot;_)\ _$_ ;_ @_ "/>
    <numFmt numFmtId="207" formatCode="_ * #,##0.00_)\ _$_ ;_ * \(#,##0.00\)\ _$_ ;_ * &quot;-&quot;??_)\ _$_ ;_ @_ "/>
    <numFmt numFmtId="208" formatCode="_ * #,##0_)\ &quot;$&quot;_ ;_ * \(#,##0\)\ &quot;$&quot;_ ;_ * &quot;-&quot;_)\ &quot;$&quot;_ ;_ @_ "/>
    <numFmt numFmtId="209" formatCode="_ * #,##0.00_)\ &quot;$&quot;_ ;_ * \(#,##0.00\)\ &quot;$&quot;_ ;_ * &quot;-&quot;??_)\ &quot;$&quot;_ ;_ @_ "/>
    <numFmt numFmtId="210" formatCode="&quot;Note&quot;\ #"/>
    <numFmt numFmtId="211" formatCode="&quot;See Note &quot;\ #"/>
    <numFmt numFmtId="212" formatCode="\$\ #,##0"/>
    <numFmt numFmtId="213" formatCode="&quot;L.&quot;\ #,##0;[Red]\-&quot;L.&quot;\ #,##0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#,##0_ ;\-#,##0\ "/>
  </numFmts>
  <fonts count="205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9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b/>
      <sz val="9"/>
      <name val="Calibri"/>
      <family val="2"/>
      <charset val="238"/>
    </font>
    <font>
      <sz val="8"/>
      <name val="Czcionka tekstu podstawowego"/>
      <family val="2"/>
      <charset val="238"/>
    </font>
    <font>
      <sz val="10"/>
      <color indexed="8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9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9"/>
      <color theme="9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0"/>
      <color theme="9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vertAlign val="superscript"/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  <font>
      <b/>
      <vertAlign val="superscript"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i/>
      <sz val="10"/>
      <color theme="1"/>
      <name val="Calibri"/>
      <family val="2"/>
      <charset val="238"/>
      <scheme val="minor"/>
    </font>
    <font>
      <i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vertAlign val="superscript"/>
      <sz val="10"/>
      <name val="Calibri"/>
      <family val="2"/>
      <charset val="238"/>
    </font>
    <font>
      <b/>
      <vertAlign val="superscript"/>
      <sz val="9"/>
      <color rgb="FF000000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vertAlign val="superscript"/>
      <sz val="9"/>
      <name val="Calibri"/>
      <family val="2"/>
      <charset val="238"/>
      <scheme val="minor"/>
    </font>
    <font>
      <b/>
      <sz val="9"/>
      <color rgb="FFFD8A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vertAlign val="superscript"/>
      <sz val="9"/>
      <color rgb="FF000000"/>
      <name val="Calibri"/>
      <family val="2"/>
      <charset val="238"/>
      <scheme val="minor"/>
    </font>
    <font>
      <sz val="9"/>
      <color theme="9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  <font>
      <vertAlign val="superscript"/>
      <sz val="9"/>
      <color theme="1"/>
      <name val="Arial Narrow"/>
      <family val="2"/>
      <charset val="238"/>
    </font>
    <font>
      <sz val="10"/>
      <color indexed="8"/>
      <name val="Calibri"/>
      <family val="2"/>
      <charset val="238"/>
      <scheme val="minor"/>
    </font>
    <font>
      <b/>
      <sz val="10"/>
      <color theme="9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sz val="9"/>
      <name val="Calibri"/>
      <family val="2"/>
      <charset val="238"/>
    </font>
    <font>
      <b/>
      <vertAlign val="superscript"/>
      <sz val="9"/>
      <color theme="1"/>
      <name val="Arial Narrow"/>
      <family val="2"/>
      <charset val="238"/>
    </font>
    <font>
      <b/>
      <vertAlign val="superscript"/>
      <sz val="11"/>
      <color theme="1"/>
      <name val="Calibri"/>
      <family val="2"/>
      <charset val="238"/>
    </font>
    <font>
      <b/>
      <vertAlign val="superscript"/>
      <sz val="9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 CE"/>
      <charset val="238"/>
    </font>
    <font>
      <sz val="10"/>
      <name val="Times New Roman CE"/>
      <charset val="238"/>
    </font>
    <font>
      <sz val="9"/>
      <name val="Arial CE"/>
      <charset val="238"/>
    </font>
    <font>
      <sz val="9"/>
      <name val="Helv"/>
    </font>
    <font>
      <sz val="10"/>
      <name val="Arial"/>
      <family val="2"/>
      <charset val="238"/>
    </font>
    <font>
      <sz val="10"/>
      <name val="Courier"/>
      <family val="3"/>
    </font>
    <font>
      <sz val="8"/>
      <name val="Tms Rmn"/>
    </font>
    <font>
      <sz val="9"/>
      <name val="Courier"/>
      <family val="3"/>
    </font>
    <font>
      <sz val="10"/>
      <name val="Dutch"/>
    </font>
    <font>
      <sz val="10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b/>
      <sz val="12"/>
      <name val="Arial"/>
      <family val="2"/>
      <charset val="238"/>
    </font>
    <font>
      <sz val="11"/>
      <color indexed="62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3F3F3F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i/>
      <sz val="10"/>
      <name val="Arial"/>
      <family val="2"/>
      <charset val="238"/>
    </font>
    <font>
      <sz val="10"/>
      <color theme="1"/>
      <name val="Tahoma"/>
      <family val="2"/>
      <charset val="238"/>
    </font>
    <font>
      <sz val="10"/>
      <name val="Arial"/>
      <family val="2"/>
    </font>
    <font>
      <sz val="11"/>
      <color theme="1"/>
      <name val="Czcionka tekstu podstawowego"/>
      <family val="2"/>
    </font>
    <font>
      <sz val="12"/>
      <name val="Tms Rmn"/>
    </font>
    <font>
      <i/>
      <sz val="10"/>
      <name val="Times New Roman"/>
      <family val="1"/>
      <charset val="238"/>
    </font>
    <font>
      <b/>
      <sz val="8"/>
      <color indexed="18"/>
      <name val="PL Arial"/>
      <charset val="238"/>
    </font>
    <font>
      <sz val="8"/>
      <name val="Arial"/>
      <family val="2"/>
    </font>
    <font>
      <b/>
      <sz val="12"/>
      <color indexed="10"/>
      <name val="Arial"/>
      <family val="2"/>
      <charset val="238"/>
    </font>
    <font>
      <b/>
      <sz val="12"/>
      <name val="Arial"/>
      <family val="2"/>
    </font>
    <font>
      <b/>
      <sz val="18"/>
      <name val="Helv"/>
    </font>
    <font>
      <b/>
      <sz val="12"/>
      <name val="Helv"/>
    </font>
    <font>
      <b/>
      <sz val="12"/>
      <name val="Geneva"/>
      <family val="2"/>
    </font>
    <font>
      <u/>
      <sz val="12"/>
      <name val="Geneva"/>
      <family val="2"/>
    </font>
    <font>
      <b/>
      <sz val="10"/>
      <name val="Helv"/>
    </font>
    <font>
      <u/>
      <sz val="7"/>
      <color indexed="12"/>
      <name val="Arial"/>
      <family val="2"/>
      <charset val="238"/>
    </font>
    <font>
      <sz val="8"/>
      <name val="Geneva"/>
      <family val="2"/>
    </font>
    <font>
      <u/>
      <sz val="10"/>
      <color indexed="12"/>
      <name val="Arial"/>
      <family val="2"/>
      <charset val="238"/>
    </font>
    <font>
      <sz val="10"/>
      <name val="Arial CE"/>
    </font>
    <font>
      <sz val="10"/>
      <name val="AA Normal"/>
    </font>
    <font>
      <sz val="10"/>
      <name val="Geneva"/>
      <family val="2"/>
    </font>
    <font>
      <sz val="11"/>
      <color indexed="52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8"/>
      <name val="Courier"/>
      <family val="3"/>
    </font>
    <font>
      <sz val="8"/>
      <name val="Swiss"/>
      <charset val="238"/>
    </font>
    <font>
      <sz val="11"/>
      <name val="Arial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sz val="11"/>
      <color theme="3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name val="Times New Roman"/>
      <family val="1"/>
      <charset val="238"/>
    </font>
    <font>
      <sz val="9"/>
      <color indexed="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Tahoma"/>
      <family val="2"/>
      <charset val="238"/>
    </font>
    <font>
      <sz val="11"/>
      <color theme="1"/>
      <name val="Cambria"/>
      <family val="2"/>
      <charset val="238"/>
      <scheme val="major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8"/>
      <name val="Helv"/>
    </font>
    <font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sz val="11"/>
      <color indexed="16"/>
      <name val="Times New Roman"/>
      <family val="1"/>
      <charset val="238"/>
    </font>
    <font>
      <b/>
      <sz val="22"/>
      <color indexed="8"/>
      <name val="Times New Roman"/>
      <family val="1"/>
      <charset val="238"/>
    </font>
    <font>
      <sz val="10"/>
      <name val="Lohit Hindi"/>
      <family val="2"/>
    </font>
    <font>
      <sz val="10"/>
      <name val="Tms Rmn PL"/>
      <family val="1"/>
    </font>
    <font>
      <sz val="12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sz val="10"/>
      <name val="Helv"/>
      <charset val="204"/>
    </font>
    <font>
      <b/>
      <sz val="8"/>
      <name val="Tms Rmn"/>
    </font>
    <font>
      <b/>
      <sz val="11"/>
      <color theme="1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7F7F7F"/>
      <name val="Czcionka tekstu podstawowego"/>
      <family val="2"/>
      <charset val="238"/>
    </font>
    <font>
      <sz val="11"/>
      <color indexed="11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56"/>
      <name val="Cambria"/>
      <family val="2"/>
      <charset val="238"/>
    </font>
    <font>
      <sz val="11"/>
      <color theme="3"/>
      <name val="Cambria"/>
      <family val="2"/>
      <charset val="238"/>
      <scheme val="major"/>
    </font>
    <font>
      <sz val="18"/>
      <color theme="3"/>
      <name val="Cambria"/>
      <family val="2"/>
      <charset val="238"/>
      <scheme val="major"/>
    </font>
    <font>
      <b/>
      <sz val="9"/>
      <color indexed="12"/>
      <name val="Arial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b/>
      <sz val="11"/>
      <name val="Calibri"/>
      <family val="2"/>
      <charset val="238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zcionka tekstu podstawowego"/>
      <family val="2"/>
      <charset val="238"/>
    </font>
    <font>
      <vertAlign val="superscript"/>
      <sz val="9"/>
      <color rgb="FF000000"/>
      <name val="Arial Narrow"/>
      <family val="2"/>
      <charset val="238"/>
    </font>
    <font>
      <b/>
      <vertAlign val="superscript"/>
      <sz val="9"/>
      <color theme="1"/>
      <name val="Calibri"/>
      <family val="2"/>
      <charset val="238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A833"/>
        <bgColor indexed="64"/>
      </patternFill>
    </fill>
    <fill>
      <patternFill patternType="mediumGray">
        <fgColor theme="0" tint="-4.9989318521683403E-2"/>
        <bgColor rgb="FFF7A833"/>
      </patternFill>
    </fill>
    <fill>
      <patternFill patternType="mediumGray">
        <fgColor rgb="FFF7A833"/>
      </patternFill>
    </fill>
    <fill>
      <patternFill patternType="mediumGray">
        <fgColor rgb="FFF7A833"/>
        <bgColor theme="0" tint="-4.9989318521683403E-2"/>
      </patternFill>
    </fill>
    <fill>
      <patternFill patternType="mediumGray">
        <fgColor theme="0" tint="-0.14996795556505021"/>
        <bgColor rgb="FFF7A833"/>
      </patternFill>
    </fill>
    <fill>
      <patternFill patternType="mediumGray">
        <fgColor theme="0" tint="-0.14996795556505021"/>
        <bgColor theme="0" tint="-4.9989318521683403E-2"/>
      </patternFill>
    </fill>
    <fill>
      <patternFill patternType="mediumGray">
        <fgColor theme="0" tint="-0.14996795556505021"/>
        <bgColor indexed="65"/>
      </patternFill>
    </fill>
    <fill>
      <patternFill patternType="mediumGray">
        <fgColor theme="0" tint="-4.9989318521683403E-2"/>
        <bgColor rgb="FFFFC000"/>
      </patternFill>
    </fill>
    <fill>
      <patternFill patternType="mediumGray">
        <fgColor rgb="FFF7A833"/>
        <bgColor theme="0"/>
      </patternFill>
    </fill>
    <fill>
      <patternFill patternType="lightGray">
        <fgColor theme="0" tint="-0.14996795556505021"/>
        <bgColor rgb="FFF7A833"/>
      </patternFill>
    </fill>
    <fill>
      <patternFill patternType="lightGray">
        <fgColor theme="0" tint="-0.14996795556505021"/>
        <bgColor theme="0"/>
      </patternFill>
    </fill>
    <fill>
      <patternFill patternType="lightGray">
        <fgColor theme="0" tint="-4.9989318521683403E-2"/>
        <bgColor rgb="FFF7A833"/>
      </patternFill>
    </fill>
    <fill>
      <patternFill patternType="mediumGray">
        <fgColor theme="0" tint="-0.24994659260841701"/>
        <bgColor rgb="FFFFC000"/>
      </patternFill>
    </fill>
    <fill>
      <patternFill patternType="solid">
        <fgColor theme="0"/>
        <bgColor theme="0"/>
      </patternFill>
    </fill>
    <fill>
      <patternFill patternType="mediumGray">
        <fgColor theme="0" tint="-0.24994659260841701"/>
        <bgColor theme="0"/>
      </patternFill>
    </fill>
    <fill>
      <patternFill patternType="mediumGray">
        <fgColor theme="0" tint="-0.24994659260841701"/>
        <bgColor theme="0" tint="-4.9989318521683403E-2"/>
      </patternFill>
    </fill>
    <fill>
      <patternFill patternType="solid">
        <fgColor theme="0" tint="-4.9989318521683403E-2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1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</patternFill>
    </fill>
    <fill>
      <patternFill patternType="gray0625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5"/>
      </patternFill>
    </fill>
  </fills>
  <borders count="7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</borders>
  <cellStyleXfs count="42851">
    <xf numFmtId="0" fontId="0" fillId="0" borderId="0"/>
    <xf numFmtId="165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177" fontId="21" fillId="0" borderId="0"/>
    <xf numFmtId="177" fontId="21" fillId="0" borderId="0"/>
    <xf numFmtId="177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93" fillId="0" borderId="0"/>
    <xf numFmtId="43" fontId="93" fillId="0" borderId="0" applyFont="0" applyFill="0" applyBorder="0" applyAlignment="0" applyProtection="0"/>
    <xf numFmtId="190" fontId="21" fillId="0" borderId="0"/>
    <xf numFmtId="0" fontId="94" fillId="0" borderId="0"/>
    <xf numFmtId="0" fontId="94" fillId="0" borderId="0"/>
    <xf numFmtId="0" fontId="94" fillId="0" borderId="0"/>
    <xf numFmtId="190" fontId="21" fillId="0" borderId="0"/>
    <xf numFmtId="0" fontId="3" fillId="0" borderId="0"/>
    <xf numFmtId="43" fontId="3" fillId="0" borderId="0" applyFont="0" applyFill="0" applyBorder="0" applyAlignment="0" applyProtection="0"/>
    <xf numFmtId="0" fontId="96" fillId="0" borderId="0"/>
    <xf numFmtId="0" fontId="3" fillId="0" borderId="0"/>
    <xf numFmtId="0" fontId="21" fillId="0" borderId="0"/>
    <xf numFmtId="0" fontId="97" fillId="0" borderId="0"/>
    <xf numFmtId="0" fontId="98" fillId="0" borderId="0"/>
    <xf numFmtId="167" fontId="99" fillId="0" borderId="0"/>
    <xf numFmtId="192" fontId="100" fillId="0" borderId="0" applyFont="0" applyFill="0" applyBorder="0" applyAlignment="0" applyProtection="0"/>
    <xf numFmtId="0" fontId="101" fillId="0" borderId="0">
      <alignment vertical="center"/>
    </xf>
    <xf numFmtId="1" fontId="99" fillId="0" borderId="0"/>
    <xf numFmtId="166" fontId="102" fillId="0" borderId="0"/>
    <xf numFmtId="2" fontId="99" fillId="0" borderId="0"/>
    <xf numFmtId="1" fontId="102" fillId="0" borderId="0"/>
    <xf numFmtId="1" fontId="103" fillId="0" borderId="0"/>
    <xf numFmtId="1" fontId="103" fillId="0" borderId="0"/>
    <xf numFmtId="1" fontId="103" fillId="0" borderId="0"/>
    <xf numFmtId="1" fontId="103" fillId="0" borderId="0"/>
    <xf numFmtId="193" fontId="104" fillId="0" borderId="0" applyFont="0" applyFill="0" applyBorder="0" applyAlignment="0" applyProtection="0"/>
    <xf numFmtId="38" fontId="105" fillId="0" borderId="0" applyFont="0" applyFill="0" applyBorder="0" applyAlignment="0" applyProtection="0"/>
    <xf numFmtId="0" fontId="106" fillId="53" borderId="0" applyNumberFormat="0" applyBorder="0" applyAlignment="0" applyProtection="0"/>
    <xf numFmtId="0" fontId="106" fillId="54" borderId="0" applyNumberFormat="0" applyBorder="0" applyAlignment="0" applyProtection="0"/>
    <xf numFmtId="0" fontId="106" fillId="55" borderId="0" applyNumberFormat="0" applyBorder="0" applyAlignment="0" applyProtection="0"/>
    <xf numFmtId="0" fontId="106" fillId="56" borderId="0" applyNumberFormat="0" applyBorder="0" applyAlignment="0" applyProtection="0"/>
    <xf numFmtId="0" fontId="106" fillId="57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9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21" fillId="30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07" fillId="58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9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9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30" borderId="0" applyNumberFormat="0" applyBorder="0" applyAlignment="0" applyProtection="0"/>
    <xf numFmtId="0" fontId="107" fillId="5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19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1" fillId="3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21" fillId="3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19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9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34" borderId="0" applyNumberFormat="0" applyBorder="0" applyAlignment="0" applyProtection="0"/>
    <xf numFmtId="0" fontId="107" fillId="5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19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1" fillId="38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21" fillId="38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14" fillId="55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19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19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107" fillId="60" borderId="0" applyNumberFormat="0" applyBorder="0" applyAlignment="0" applyProtection="0"/>
    <xf numFmtId="0" fontId="21" fillId="38" borderId="0" applyNumberFormat="0" applyBorder="0" applyAlignment="0" applyProtection="0"/>
    <xf numFmtId="0" fontId="107" fillId="6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19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2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21" fillId="42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19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19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107" fillId="58" borderId="0" applyNumberFormat="0" applyBorder="0" applyAlignment="0" applyProtection="0"/>
    <xf numFmtId="0" fontId="21" fillId="42" borderId="0" applyNumberFormat="0" applyBorder="0" applyAlignment="0" applyProtection="0"/>
    <xf numFmtId="0" fontId="107" fillId="58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19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21" fillId="46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21" fillId="46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14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19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19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107" fillId="57" borderId="0" applyNumberFormat="0" applyBorder="0" applyAlignment="0" applyProtection="0"/>
    <xf numFmtId="0" fontId="21" fillId="46" borderId="0" applyNumberFormat="0" applyBorder="0" applyAlignment="0" applyProtection="0"/>
    <xf numFmtId="0" fontId="107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19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21" fillId="5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21" fillId="5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19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19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0" borderId="0" applyNumberFormat="0" applyBorder="0" applyAlignment="0" applyProtection="0"/>
    <xf numFmtId="0" fontId="107" fillId="5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9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3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21" fillId="3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9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9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31" borderId="0" applyNumberFormat="0" applyBorder="0" applyAlignment="0" applyProtection="0"/>
    <xf numFmtId="0" fontId="107" fillId="6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19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21" fillId="35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21" fillId="35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19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9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21" fillId="35" borderId="0" applyNumberFormat="0" applyBorder="0" applyAlignment="0" applyProtection="0"/>
    <xf numFmtId="0" fontId="107" fillId="63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19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21" fillId="39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21" fillId="39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19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19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107" fillId="64" borderId="0" applyNumberFormat="0" applyBorder="0" applyAlignment="0" applyProtection="0"/>
    <xf numFmtId="0" fontId="21" fillId="39" borderId="0" applyNumberFormat="0" applyBorder="0" applyAlignment="0" applyProtection="0"/>
    <xf numFmtId="0" fontId="107" fillId="64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19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3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21" fillId="43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19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19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21" fillId="43" borderId="0" applyNumberFormat="0" applyBorder="0" applyAlignment="0" applyProtection="0"/>
    <xf numFmtId="0" fontId="107" fillId="61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19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47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47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14" fillId="62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19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19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107" fillId="62" borderId="0" applyNumberFormat="0" applyBorder="0" applyAlignment="0" applyProtection="0"/>
    <xf numFmtId="0" fontId="21" fillId="47" borderId="0" applyNumberFormat="0" applyBorder="0" applyAlignment="0" applyProtection="0"/>
    <xf numFmtId="0" fontId="107" fillId="62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19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21" fillId="51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21" fillId="51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14" fillId="66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19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19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107" fillId="59" borderId="0" applyNumberFormat="0" applyBorder="0" applyAlignment="0" applyProtection="0"/>
    <xf numFmtId="0" fontId="21" fillId="51" borderId="0" applyNumberFormat="0" applyBorder="0" applyAlignment="0" applyProtection="0"/>
    <xf numFmtId="0" fontId="107" fillId="59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21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19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92" fillId="32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8" fillId="32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0" fontId="107" fillId="68" borderId="0" applyNumberFormat="0" applyBorder="0" applyAlignment="0" applyProtection="0"/>
    <xf numFmtId="190" fontId="14" fillId="67" borderId="0" applyNumberFormat="0" applyBorder="0" applyAlignment="0" applyProtection="0"/>
    <xf numFmtId="0" fontId="107" fillId="68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32" borderId="0" applyNumberFormat="0" applyBorder="0" applyAlignment="0" applyProtection="0"/>
    <xf numFmtId="0" fontId="14" fillId="67" borderId="0" applyNumberFormat="0" applyBorder="0" applyAlignment="0" applyProtection="0"/>
    <xf numFmtId="19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32" borderId="0" applyNumberFormat="0" applyBorder="0" applyAlignment="0" applyProtection="0"/>
    <xf numFmtId="0" fontId="14" fillId="67" borderId="0" applyNumberFormat="0" applyBorder="0" applyAlignment="0" applyProtection="0"/>
    <xf numFmtId="0" fontId="92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0" fontId="108" fillId="32" borderId="0" applyNumberFormat="0" applyBorder="0" applyAlignment="0" applyProtection="0"/>
    <xf numFmtId="19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92" fillId="36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8" fillId="36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0" fontId="107" fillId="63" borderId="0" applyNumberFormat="0" applyBorder="0" applyAlignment="0" applyProtection="0"/>
    <xf numFmtId="190" fontId="14" fillId="63" borderId="0" applyNumberFormat="0" applyBorder="0" applyAlignment="0" applyProtection="0"/>
    <xf numFmtId="0" fontId="107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8" fillId="36" borderId="0" applyNumberFormat="0" applyBorder="0" applyAlignment="0" applyProtection="0"/>
    <xf numFmtId="0" fontId="14" fillId="63" borderId="0" applyNumberFormat="0" applyBorder="0" applyAlignment="0" applyProtection="0"/>
    <xf numFmtId="19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4" fillId="63" borderId="0" applyNumberFormat="0" applyBorder="0" applyAlignment="0" applyProtection="0"/>
    <xf numFmtId="0" fontId="108" fillId="36" borderId="0" applyNumberFormat="0" applyBorder="0" applyAlignment="0" applyProtection="0"/>
    <xf numFmtId="0" fontId="14" fillId="63" borderId="0" applyNumberFormat="0" applyBorder="0" applyAlignment="0" applyProtection="0"/>
    <xf numFmtId="0" fontId="92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0" fontId="108" fillId="36" borderId="0" applyNumberFormat="0" applyBorder="0" applyAlignment="0" applyProtection="0"/>
    <xf numFmtId="19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92" fillId="40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8" fillId="40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0" fontId="107" fillId="65" borderId="0" applyNumberFormat="0" applyBorder="0" applyAlignment="0" applyProtection="0"/>
    <xf numFmtId="190" fontId="14" fillId="64" borderId="0" applyNumberFormat="0" applyBorder="0" applyAlignment="0" applyProtection="0"/>
    <xf numFmtId="0" fontId="107" fillId="65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8" fillId="40" borderId="0" applyNumberFormat="0" applyBorder="0" applyAlignment="0" applyProtection="0"/>
    <xf numFmtId="0" fontId="14" fillId="64" borderId="0" applyNumberFormat="0" applyBorder="0" applyAlignment="0" applyProtection="0"/>
    <xf numFmtId="19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4" fillId="64" borderId="0" applyNumberFormat="0" applyBorder="0" applyAlignment="0" applyProtection="0"/>
    <xf numFmtId="0" fontId="108" fillId="40" borderId="0" applyNumberFormat="0" applyBorder="0" applyAlignment="0" applyProtection="0"/>
    <xf numFmtId="0" fontId="14" fillId="64" borderId="0" applyNumberFormat="0" applyBorder="0" applyAlignment="0" applyProtection="0"/>
    <xf numFmtId="0" fontId="92" fillId="40" borderId="0" applyNumberFormat="0" applyBorder="0" applyAlignment="0" applyProtection="0"/>
    <xf numFmtId="0" fontId="108" fillId="40" borderId="0" applyNumberFormat="0" applyBorder="0" applyAlignment="0" applyProtection="0"/>
    <xf numFmtId="0" fontId="108" fillId="40" borderId="0" applyNumberFormat="0" applyBorder="0" applyAlignment="0" applyProtection="0"/>
    <xf numFmtId="0" fontId="108" fillId="40" borderId="0" applyNumberFormat="0" applyBorder="0" applyAlignment="0" applyProtection="0"/>
    <xf numFmtId="19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92" fillId="4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8" fillId="4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190" fontId="14" fillId="61" borderId="0" applyNumberFormat="0" applyBorder="0" applyAlignment="0" applyProtection="0"/>
    <xf numFmtId="0" fontId="107" fillId="69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8" fillId="44" borderId="0" applyNumberFormat="0" applyBorder="0" applyAlignment="0" applyProtection="0"/>
    <xf numFmtId="0" fontId="14" fillId="61" borderId="0" applyNumberFormat="0" applyBorder="0" applyAlignment="0" applyProtection="0"/>
    <xf numFmtId="19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08" fillId="44" borderId="0" applyNumberFormat="0" applyBorder="0" applyAlignment="0" applyProtection="0"/>
    <xf numFmtId="0" fontId="14" fillId="61" borderId="0" applyNumberFormat="0" applyBorder="0" applyAlignment="0" applyProtection="0"/>
    <xf numFmtId="0" fontId="92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19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92" fillId="48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8" fillId="48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19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8" borderId="0" applyNumberFormat="0" applyBorder="0" applyAlignment="0" applyProtection="0"/>
    <xf numFmtId="0" fontId="14" fillId="67" borderId="0" applyNumberFormat="0" applyBorder="0" applyAlignment="0" applyProtection="0"/>
    <xf numFmtId="19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8" borderId="0" applyNumberFormat="0" applyBorder="0" applyAlignment="0" applyProtection="0"/>
    <xf numFmtId="0" fontId="14" fillId="67" borderId="0" applyNumberFormat="0" applyBorder="0" applyAlignment="0" applyProtection="0"/>
    <xf numFmtId="0" fontId="92" fillId="48" borderId="0" applyNumberFormat="0" applyBorder="0" applyAlignment="0" applyProtection="0"/>
    <xf numFmtId="0" fontId="108" fillId="48" borderId="0" applyNumberFormat="0" applyBorder="0" applyAlignment="0" applyProtection="0"/>
    <xf numFmtId="0" fontId="108" fillId="48" borderId="0" applyNumberFormat="0" applyBorder="0" applyAlignment="0" applyProtection="0"/>
    <xf numFmtId="0" fontId="108" fillId="48" borderId="0" applyNumberFormat="0" applyBorder="0" applyAlignment="0" applyProtection="0"/>
    <xf numFmtId="19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92" fillId="52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8" fillId="52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0" fontId="107" fillId="70" borderId="0" applyNumberFormat="0" applyBorder="0" applyAlignment="0" applyProtection="0"/>
    <xf numFmtId="190" fontId="14" fillId="59" borderId="0" applyNumberFormat="0" applyBorder="0" applyAlignment="0" applyProtection="0"/>
    <xf numFmtId="0" fontId="107" fillId="70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8" fillId="52" borderId="0" applyNumberFormat="0" applyBorder="0" applyAlignment="0" applyProtection="0"/>
    <xf numFmtId="0" fontId="14" fillId="59" borderId="0" applyNumberFormat="0" applyBorder="0" applyAlignment="0" applyProtection="0"/>
    <xf numFmtId="19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4" fillId="59" borderId="0" applyNumberFormat="0" applyBorder="0" applyAlignment="0" applyProtection="0"/>
    <xf numFmtId="0" fontId="108" fillId="52" borderId="0" applyNumberFormat="0" applyBorder="0" applyAlignment="0" applyProtection="0"/>
    <xf numFmtId="0" fontId="14" fillId="59" borderId="0" applyNumberFormat="0" applyBorder="0" applyAlignment="0" applyProtection="0"/>
    <xf numFmtId="0" fontId="92" fillId="52" borderId="0" applyNumberFormat="0" applyBorder="0" applyAlignment="0" applyProtection="0"/>
    <xf numFmtId="0" fontId="108" fillId="52" borderId="0" applyNumberFormat="0" applyBorder="0" applyAlignment="0" applyProtection="0"/>
    <xf numFmtId="0" fontId="108" fillId="52" borderId="0" applyNumberFormat="0" applyBorder="0" applyAlignment="0" applyProtection="0"/>
    <xf numFmtId="0" fontId="108" fillId="52" borderId="0" applyNumberFormat="0" applyBorder="0" applyAlignment="0" applyProtection="0"/>
    <xf numFmtId="0" fontId="109" fillId="71" borderId="0">
      <alignment horizontal="left" vertical="top"/>
    </xf>
    <xf numFmtId="194" fontId="105" fillId="0" borderId="0" applyFont="0" applyFill="0" applyBorder="0" applyAlignment="0" applyProtection="0"/>
    <xf numFmtId="19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92" fillId="29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8" fillId="29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0" fontId="107" fillId="72" borderId="0" applyNumberFormat="0" applyBorder="0" applyAlignment="0" applyProtection="0"/>
    <xf numFmtId="190" fontId="14" fillId="67" borderId="0" applyNumberFormat="0" applyBorder="0" applyAlignment="0" applyProtection="0"/>
    <xf numFmtId="0" fontId="107" fillId="72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29" borderId="0" applyNumberFormat="0" applyBorder="0" applyAlignment="0" applyProtection="0"/>
    <xf numFmtId="0" fontId="14" fillId="67" borderId="0" applyNumberFormat="0" applyBorder="0" applyAlignment="0" applyProtection="0"/>
    <xf numFmtId="19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29" borderId="0" applyNumberFormat="0" applyBorder="0" applyAlignment="0" applyProtection="0"/>
    <xf numFmtId="0" fontId="14" fillId="67" borderId="0" applyNumberFormat="0" applyBorder="0" applyAlignment="0" applyProtection="0"/>
    <xf numFmtId="0" fontId="92" fillId="29" borderId="0" applyNumberFormat="0" applyBorder="0" applyAlignment="0" applyProtection="0"/>
    <xf numFmtId="0" fontId="108" fillId="29" borderId="0" applyNumberFormat="0" applyBorder="0" applyAlignment="0" applyProtection="0"/>
    <xf numFmtId="0" fontId="108" fillId="29" borderId="0" applyNumberFormat="0" applyBorder="0" applyAlignment="0" applyProtection="0"/>
    <xf numFmtId="0" fontId="108" fillId="29" borderId="0" applyNumberFormat="0" applyBorder="0" applyAlignment="0" applyProtection="0"/>
    <xf numFmtId="19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92" fillId="3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8" fillId="33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0" fontId="107" fillId="61" borderId="0" applyNumberFormat="0" applyBorder="0" applyAlignment="0" applyProtection="0"/>
    <xf numFmtId="190" fontId="14" fillId="65" borderId="0" applyNumberFormat="0" applyBorder="0" applyAlignment="0" applyProtection="0"/>
    <xf numFmtId="0" fontId="107" fillId="61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8" fillId="33" borderId="0" applyNumberFormat="0" applyBorder="0" applyAlignment="0" applyProtection="0"/>
    <xf numFmtId="0" fontId="14" fillId="65" borderId="0" applyNumberFormat="0" applyBorder="0" applyAlignment="0" applyProtection="0"/>
    <xf numFmtId="19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4" fillId="65" borderId="0" applyNumberFormat="0" applyBorder="0" applyAlignment="0" applyProtection="0"/>
    <xf numFmtId="0" fontId="108" fillId="33" borderId="0" applyNumberFormat="0" applyBorder="0" applyAlignment="0" applyProtection="0"/>
    <xf numFmtId="0" fontId="14" fillId="65" borderId="0" applyNumberFormat="0" applyBorder="0" applyAlignment="0" applyProtection="0"/>
    <xf numFmtId="0" fontId="92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0" fontId="108" fillId="33" borderId="0" applyNumberFormat="0" applyBorder="0" applyAlignment="0" applyProtection="0"/>
    <xf numFmtId="19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92" fillId="37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8" fillId="37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0" fontId="107" fillId="73" borderId="0" applyNumberFormat="0" applyBorder="0" applyAlignment="0" applyProtection="0"/>
    <xf numFmtId="190" fontId="14" fillId="73" borderId="0" applyNumberFormat="0" applyBorder="0" applyAlignment="0" applyProtection="0"/>
    <xf numFmtId="0" fontId="107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8" fillId="37" borderId="0" applyNumberFormat="0" applyBorder="0" applyAlignment="0" applyProtection="0"/>
    <xf numFmtId="0" fontId="14" fillId="73" borderId="0" applyNumberFormat="0" applyBorder="0" applyAlignment="0" applyProtection="0"/>
    <xf numFmtId="19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08" fillId="37" borderId="0" applyNumberFormat="0" applyBorder="0" applyAlignment="0" applyProtection="0"/>
    <xf numFmtId="0" fontId="14" fillId="73" borderId="0" applyNumberFormat="0" applyBorder="0" applyAlignment="0" applyProtection="0"/>
    <xf numFmtId="0" fontId="92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0" fontId="108" fillId="37" borderId="0" applyNumberFormat="0" applyBorder="0" applyAlignment="0" applyProtection="0"/>
    <xf numFmtId="19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92" fillId="4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8" fillId="41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0" fontId="107" fillId="69" borderId="0" applyNumberFormat="0" applyBorder="0" applyAlignment="0" applyProtection="0"/>
    <xf numFmtId="190" fontId="14" fillId="74" borderId="0" applyNumberFormat="0" applyBorder="0" applyAlignment="0" applyProtection="0"/>
    <xf numFmtId="0" fontId="107" fillId="69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8" fillId="41" borderId="0" applyNumberFormat="0" applyBorder="0" applyAlignment="0" applyProtection="0"/>
    <xf numFmtId="0" fontId="14" fillId="74" borderId="0" applyNumberFormat="0" applyBorder="0" applyAlignment="0" applyProtection="0"/>
    <xf numFmtId="19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4" fillId="74" borderId="0" applyNumberFormat="0" applyBorder="0" applyAlignment="0" applyProtection="0"/>
    <xf numFmtId="0" fontId="108" fillId="41" borderId="0" applyNumberFormat="0" applyBorder="0" applyAlignment="0" applyProtection="0"/>
    <xf numFmtId="0" fontId="14" fillId="74" borderId="0" applyNumberFormat="0" applyBorder="0" applyAlignment="0" applyProtection="0"/>
    <xf numFmtId="0" fontId="92" fillId="41" borderId="0" applyNumberFormat="0" applyBorder="0" applyAlignment="0" applyProtection="0"/>
    <xf numFmtId="0" fontId="108" fillId="41" borderId="0" applyNumberFormat="0" applyBorder="0" applyAlignment="0" applyProtection="0"/>
    <xf numFmtId="0" fontId="108" fillId="41" borderId="0" applyNumberFormat="0" applyBorder="0" applyAlignment="0" applyProtection="0"/>
    <xf numFmtId="0" fontId="108" fillId="41" borderId="0" applyNumberFormat="0" applyBorder="0" applyAlignment="0" applyProtection="0"/>
    <xf numFmtId="19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92" fillId="45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8" fillId="45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0" fontId="107" fillId="67" borderId="0" applyNumberFormat="0" applyBorder="0" applyAlignment="0" applyProtection="0"/>
    <xf numFmtId="190" fontId="14" fillId="67" borderId="0" applyNumberFormat="0" applyBorder="0" applyAlignment="0" applyProtection="0"/>
    <xf numFmtId="0" fontId="107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5" borderId="0" applyNumberFormat="0" applyBorder="0" applyAlignment="0" applyProtection="0"/>
    <xf numFmtId="0" fontId="14" fillId="67" borderId="0" applyNumberFormat="0" applyBorder="0" applyAlignment="0" applyProtection="0"/>
    <xf numFmtId="19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4" fillId="67" borderId="0" applyNumberFormat="0" applyBorder="0" applyAlignment="0" applyProtection="0"/>
    <xf numFmtId="0" fontId="108" fillId="45" borderId="0" applyNumberFormat="0" applyBorder="0" applyAlignment="0" applyProtection="0"/>
    <xf numFmtId="0" fontId="14" fillId="67" borderId="0" applyNumberFormat="0" applyBorder="0" applyAlignment="0" applyProtection="0"/>
    <xf numFmtId="0" fontId="92" fillId="45" borderId="0" applyNumberFormat="0" applyBorder="0" applyAlignment="0" applyProtection="0"/>
    <xf numFmtId="0" fontId="108" fillId="45" borderId="0" applyNumberFormat="0" applyBorder="0" applyAlignment="0" applyProtection="0"/>
    <xf numFmtId="0" fontId="108" fillId="45" borderId="0" applyNumberFormat="0" applyBorder="0" applyAlignment="0" applyProtection="0"/>
    <xf numFmtId="0" fontId="108" fillId="45" borderId="0" applyNumberFormat="0" applyBorder="0" applyAlignment="0" applyProtection="0"/>
    <xf numFmtId="19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92" fillId="49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8" fillId="49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0" fontId="107" fillId="75" borderId="0" applyNumberFormat="0" applyBorder="0" applyAlignment="0" applyProtection="0"/>
    <xf numFmtId="190" fontId="14" fillId="75" borderId="0" applyNumberFormat="0" applyBorder="0" applyAlignment="0" applyProtection="0"/>
    <xf numFmtId="0" fontId="107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8" fillId="49" borderId="0" applyNumberFormat="0" applyBorder="0" applyAlignment="0" applyProtection="0"/>
    <xf numFmtId="0" fontId="14" fillId="75" borderId="0" applyNumberFormat="0" applyBorder="0" applyAlignment="0" applyProtection="0"/>
    <xf numFmtId="19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4" fillId="75" borderId="0" applyNumberFormat="0" applyBorder="0" applyAlignment="0" applyProtection="0"/>
    <xf numFmtId="0" fontId="108" fillId="49" borderId="0" applyNumberFormat="0" applyBorder="0" applyAlignment="0" applyProtection="0"/>
    <xf numFmtId="0" fontId="14" fillId="75" borderId="0" applyNumberFormat="0" applyBorder="0" applyAlignment="0" applyProtection="0"/>
    <xf numFmtId="0" fontId="92" fillId="49" borderId="0" applyNumberFormat="0" applyBorder="0" applyAlignment="0" applyProtection="0"/>
    <xf numFmtId="0" fontId="108" fillId="49" borderId="0" applyNumberFormat="0" applyBorder="0" applyAlignment="0" applyProtection="0"/>
    <xf numFmtId="0" fontId="108" fillId="49" borderId="0" applyNumberFormat="0" applyBorder="0" applyAlignment="0" applyProtection="0"/>
    <xf numFmtId="0" fontId="108" fillId="49" borderId="0" applyNumberFormat="0" applyBorder="0" applyAlignment="0" applyProtection="0"/>
    <xf numFmtId="195" fontId="96" fillId="0" borderId="0" applyFill="0" applyBorder="0" applyAlignment="0"/>
    <xf numFmtId="43" fontId="96" fillId="0" borderId="0" applyFont="0" applyFill="0" applyBorder="0" applyAlignment="0" applyProtection="0"/>
    <xf numFmtId="19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85" fillId="25" borderId="41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1" fillId="25" borderId="41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190" fontId="110" fillId="59" borderId="47" applyNumberFormat="0" applyAlignment="0" applyProtection="0"/>
    <xf numFmtId="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1" fillId="25" borderId="41" applyNumberFormat="0" applyAlignment="0" applyProtection="0"/>
    <xf numFmtId="0" fontId="14" fillId="0" borderId="0" applyNumberFormat="0" applyFont="0" applyFill="0" applyBorder="0" applyAlignment="0" applyProtection="0"/>
    <xf numFmtId="190" fontId="110" fillId="59" borderId="47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0" fillId="59" borderId="47" applyNumberFormat="0" applyAlignment="0" applyProtection="0"/>
    <xf numFmtId="0" fontId="110" fillId="59" borderId="47" applyNumberFormat="0" applyAlignment="0" applyProtection="0"/>
    <xf numFmtId="0" fontId="111" fillId="25" borderId="41" applyNumberFormat="0" applyAlignment="0" applyProtection="0"/>
    <xf numFmtId="0" fontId="14" fillId="0" borderId="0" applyNumberFormat="0" applyFont="0" applyFill="0" applyBorder="0" applyAlignment="0" applyProtection="0"/>
    <xf numFmtId="0" fontId="85" fillId="25" borderId="41" applyNumberFormat="0" applyAlignment="0" applyProtection="0"/>
    <xf numFmtId="0" fontId="111" fillId="25" borderId="41" applyNumberFormat="0" applyAlignment="0" applyProtection="0"/>
    <xf numFmtId="0" fontId="111" fillId="25" borderId="41" applyNumberFormat="0" applyAlignment="0" applyProtection="0"/>
    <xf numFmtId="0" fontId="111" fillId="25" borderId="41" applyNumberFormat="0" applyAlignment="0" applyProtection="0"/>
    <xf numFmtId="190" fontId="112" fillId="58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86" fillId="26" borderId="42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58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58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3" fillId="26" borderId="42" applyNumberFormat="0" applyAlignment="0" applyProtection="0"/>
    <xf numFmtId="0" fontId="114" fillId="0" borderId="42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0" fontId="112" fillId="76" borderId="48" applyNumberFormat="0" applyAlignment="0" applyProtection="0"/>
    <xf numFmtId="190" fontId="112" fillId="58" borderId="48" applyNumberFormat="0" applyAlignment="0" applyProtection="0"/>
    <xf numFmtId="0" fontId="112" fillId="76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58" borderId="48" applyNumberFormat="0" applyAlignment="0" applyProtection="0"/>
    <xf numFmtId="0" fontId="112" fillId="58" borderId="48" applyNumberFormat="0" applyAlignment="0" applyProtection="0"/>
    <xf numFmtId="0" fontId="113" fillId="26" borderId="42" applyNumberFormat="0" applyAlignment="0" applyProtection="0"/>
    <xf numFmtId="0" fontId="14" fillId="0" borderId="0" applyNumberFormat="0" applyFont="0" applyFill="0" applyBorder="0" applyAlignment="0" applyProtection="0"/>
    <xf numFmtId="190" fontId="112" fillId="58" borderId="48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2" fillId="58" borderId="48" applyNumberFormat="0" applyAlignment="0" applyProtection="0"/>
    <xf numFmtId="0" fontId="112" fillId="58" borderId="48" applyNumberFormat="0" applyAlignment="0" applyProtection="0"/>
    <xf numFmtId="0" fontId="113" fillId="26" borderId="42" applyNumberFormat="0" applyAlignment="0" applyProtection="0"/>
    <xf numFmtId="0" fontId="14" fillId="0" borderId="0" applyNumberFormat="0" applyFont="0" applyFill="0" applyBorder="0" applyAlignment="0" applyProtection="0"/>
    <xf numFmtId="0" fontId="86" fillId="26" borderId="42" applyNumberFormat="0" applyAlignment="0" applyProtection="0"/>
    <xf numFmtId="0" fontId="113" fillId="26" borderId="42" applyNumberFormat="0" applyAlignment="0" applyProtection="0"/>
    <xf numFmtId="0" fontId="114" fillId="0" borderId="42" applyNumberFormat="0" applyFill="0" applyAlignment="0" applyProtection="0"/>
    <xf numFmtId="0" fontId="114" fillId="0" borderId="42" applyNumberFormat="0" applyFill="0" applyAlignment="0" applyProtection="0"/>
    <xf numFmtId="0" fontId="113" fillId="26" borderId="42" applyNumberFormat="0" applyAlignment="0" applyProtection="0"/>
    <xf numFmtId="0" fontId="114" fillId="0" borderId="42" applyNumberFormat="0" applyFill="0" applyAlignment="0" applyProtection="0"/>
    <xf numFmtId="19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82" fillId="22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6" fillId="22" borderId="0" applyNumberFormat="0" applyBorder="0" applyAlignment="0" applyProtection="0"/>
    <xf numFmtId="0" fontId="116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19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16" fillId="22" borderId="0" applyNumberFormat="0" applyBorder="0" applyAlignment="0" applyProtection="0"/>
    <xf numFmtId="0" fontId="14" fillId="0" borderId="0" applyNumberFormat="0" applyFont="0" applyFill="0" applyBorder="0" applyAlignment="0" applyProtection="0"/>
    <xf numFmtId="190" fontId="115" fillId="55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15" fillId="55" borderId="0" applyNumberFormat="0" applyBorder="0" applyAlignment="0" applyProtection="0"/>
    <xf numFmtId="0" fontId="115" fillId="55" borderId="0" applyNumberFormat="0" applyBorder="0" applyAlignment="0" applyProtection="0"/>
    <xf numFmtId="0" fontId="116" fillId="22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82" fillId="22" borderId="0" applyNumberFormat="0" applyBorder="0" applyAlignment="0" applyProtection="0"/>
    <xf numFmtId="0" fontId="116" fillId="22" borderId="0" applyNumberFormat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22" borderId="0" applyNumberFormat="0" applyBorder="0" applyAlignment="0" applyProtection="0"/>
    <xf numFmtId="0" fontId="116" fillId="0" borderId="0" applyNumberFormat="0" applyFill="0" applyBorder="0" applyAlignment="0" applyProtection="0"/>
    <xf numFmtId="196" fontId="117" fillId="0" borderId="0">
      <alignment horizontal="center"/>
    </xf>
    <xf numFmtId="197" fontId="100" fillId="0" borderId="0" applyFont="0" applyFill="0" applyBorder="0" applyAlignment="0" applyProtection="0"/>
    <xf numFmtId="198" fontId="10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165" fontId="100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68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43" fontId="6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165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0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190" fontId="100" fillId="0" borderId="0" applyFont="0" applyFill="0" applyBorder="0" applyAlignment="0" applyProtection="0"/>
    <xf numFmtId="177" fontId="96" fillId="0" borderId="0" applyFont="0" applyFill="0" applyBorder="0" applyAlignment="0" applyProtection="0"/>
    <xf numFmtId="177" fontId="100" fillId="0" borderId="0" applyFont="0" applyFill="0" applyBorder="0" applyAlignment="0" applyProtection="0"/>
    <xf numFmtId="0" fontId="100" fillId="0" borderId="0" applyFont="0" applyFill="0" applyBorder="0" applyAlignment="0" applyProtection="0"/>
    <xf numFmtId="177" fontId="100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22" fillId="0" borderId="0" applyNumberFormat="0" applyFill="0" applyBorder="0" applyProtection="0">
      <alignment vertical="top"/>
    </xf>
    <xf numFmtId="3" fontId="123" fillId="77" borderId="0" applyNumberFormat="0" applyFont="0" applyBorder="0" applyAlignment="0">
      <protection hidden="1"/>
    </xf>
    <xf numFmtId="0" fontId="119" fillId="0" borderId="1">
      <alignment horizontal="center"/>
    </xf>
    <xf numFmtId="38" fontId="124" fillId="78" borderId="0" applyNumberFormat="0" applyBorder="0" applyAlignment="0" applyProtection="0"/>
    <xf numFmtId="3" fontId="125" fillId="0" borderId="0"/>
    <xf numFmtId="0" fontId="126" fillId="0" borderId="7" applyNumberFormat="0" applyAlignment="0" applyProtection="0">
      <alignment horizontal="left" vertical="center"/>
    </xf>
    <xf numFmtId="0" fontId="126" fillId="0" borderId="49">
      <alignment horizontal="left" vertical="center"/>
    </xf>
    <xf numFmtId="0" fontId="127" fillId="0" borderId="0"/>
    <xf numFmtId="0" fontId="128" fillId="0" borderId="0"/>
    <xf numFmtId="0" fontId="129" fillId="0" borderId="0"/>
    <xf numFmtId="0" fontId="130" fillId="0" borderId="0"/>
    <xf numFmtId="0" fontId="131" fillId="0" borderId="0"/>
    <xf numFmtId="190" fontId="132" fillId="0" borderId="0" applyNumberFormat="0" applyFill="0" applyBorder="0" applyAlignment="0" applyProtection="0">
      <alignment vertical="top"/>
      <protection locked="0"/>
    </xf>
    <xf numFmtId="199" fontId="133" fillId="0" borderId="0"/>
    <xf numFmtId="0" fontId="134" fillId="0" borderId="0" applyNumberFormat="0" applyFill="0" applyBorder="0" applyAlignment="0" applyProtection="0"/>
    <xf numFmtId="10" fontId="124" fillId="79" borderId="50" applyNumberFormat="0" applyBorder="0" applyAlignment="0" applyProtection="0"/>
    <xf numFmtId="42" fontId="135" fillId="0" borderId="0">
      <alignment horizontal="center"/>
    </xf>
    <xf numFmtId="200" fontId="136" fillId="0" borderId="0" applyFont="0" applyFill="0" applyBorder="0" applyAlignment="0" applyProtection="0"/>
    <xf numFmtId="201" fontId="102" fillId="0" borderId="0"/>
    <xf numFmtId="202" fontId="137" fillId="0" borderId="0"/>
    <xf numFmtId="203" fontId="133" fillId="0" borderId="0"/>
    <xf numFmtId="204" fontId="133" fillId="0" borderId="0"/>
    <xf numFmtId="19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88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9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19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39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190" fontId="138" fillId="0" borderId="5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38" fillId="0" borderId="51" applyNumberFormat="0" applyFill="0" applyAlignment="0" applyProtection="0"/>
    <xf numFmtId="0" fontId="138" fillId="0" borderId="51" applyNumberFormat="0" applyFill="0" applyAlignment="0" applyProtection="0"/>
    <xf numFmtId="0" fontId="139" fillId="0" borderId="43" applyNumberFormat="0" applyFill="0" applyAlignment="0" applyProtection="0"/>
    <xf numFmtId="0" fontId="14" fillId="0" borderId="0" applyNumberFormat="0" applyFont="0" applyFill="0" applyBorder="0" applyAlignment="0" applyProtection="0"/>
    <xf numFmtId="0" fontId="88" fillId="0" borderId="43" applyNumberFormat="0" applyFill="0" applyAlignment="0" applyProtection="0"/>
    <xf numFmtId="0" fontId="139" fillId="0" borderId="43" applyNumberFormat="0" applyFill="0" applyAlignment="0" applyProtection="0"/>
    <xf numFmtId="0" fontId="139" fillId="0" borderId="43" applyNumberFormat="0" applyFill="0" applyAlignment="0" applyProtection="0"/>
    <xf numFmtId="0" fontId="139" fillId="0" borderId="43" applyNumberFormat="0" applyFill="0" applyAlignment="0" applyProtection="0"/>
    <xf numFmtId="190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89" fillId="27" borderId="44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0" fillId="80" borderId="52" applyNumberFormat="0" applyAlignment="0" applyProtection="0"/>
    <xf numFmtId="0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2" fillId="27" borderId="44" applyNumberFormat="0" applyAlignment="0" applyProtection="0"/>
    <xf numFmtId="0" fontId="108" fillId="0" borderId="44" applyNumberFormat="0" applyFill="0" applyAlignment="0" applyProtection="0"/>
    <xf numFmtId="190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1" fillId="80" borderId="52" applyNumberFormat="0" applyAlignment="0" applyProtection="0"/>
    <xf numFmtId="190" fontId="140" fillId="80" borderId="52" applyNumberFormat="0" applyAlignment="0" applyProtection="0"/>
    <xf numFmtId="190" fontId="140" fillId="80" borderId="52" applyNumberFormat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1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0" fillId="80" borderId="52" applyNumberFormat="0" applyAlignment="0" applyProtection="0"/>
    <xf numFmtId="0" fontId="140" fillId="80" borderId="52" applyNumberFormat="0" applyAlignment="0" applyProtection="0"/>
    <xf numFmtId="0" fontId="142" fillId="27" borderId="44" applyNumberFormat="0" applyAlignment="0" applyProtection="0"/>
    <xf numFmtId="0" fontId="14" fillId="0" borderId="0" applyNumberFormat="0" applyFont="0" applyFill="0" applyBorder="0" applyAlignment="0" applyProtection="0"/>
    <xf numFmtId="190" fontId="140" fillId="80" borderId="52" applyNumberFormat="0" applyAlignment="0" applyProtection="0"/>
    <xf numFmtId="190" fontId="140" fillId="80" borderId="52" applyNumberFormat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0" fillId="80" borderId="52" applyNumberFormat="0" applyAlignment="0" applyProtection="0"/>
    <xf numFmtId="0" fontId="140" fillId="80" borderId="52" applyNumberFormat="0" applyAlignment="0" applyProtection="0"/>
    <xf numFmtId="0" fontId="142" fillId="27" borderId="44" applyNumberFormat="0" applyAlignment="0" applyProtection="0"/>
    <xf numFmtId="0" fontId="14" fillId="0" borderId="0" applyNumberFormat="0" applyFont="0" applyFill="0" applyBorder="0" applyAlignment="0" applyProtection="0"/>
    <xf numFmtId="0" fontId="89" fillId="27" borderId="44" applyNumberFormat="0" applyAlignment="0" applyProtection="0"/>
    <xf numFmtId="0" fontId="142" fillId="27" borderId="44" applyNumberFormat="0" applyAlignment="0" applyProtection="0"/>
    <xf numFmtId="0" fontId="108" fillId="0" borderId="44" applyNumberFormat="0" applyFill="0" applyAlignment="0" applyProtection="0"/>
    <xf numFmtId="0" fontId="108" fillId="0" borderId="44" applyNumberFormat="0" applyFill="0" applyAlignment="0" applyProtection="0"/>
    <xf numFmtId="0" fontId="142" fillId="27" borderId="44" applyNumberFormat="0" applyAlignment="0" applyProtection="0"/>
    <xf numFmtId="0" fontId="108" fillId="0" borderId="44" applyNumberFormat="0" applyFill="0" applyAlignment="0" applyProtection="0"/>
    <xf numFmtId="1" fontId="143" fillId="81" borderId="0"/>
    <xf numFmtId="205" fontId="96" fillId="0" borderId="0" applyFont="0" applyFill="0" applyBorder="0" applyAlignment="0" applyProtection="0"/>
    <xf numFmtId="196" fontId="144" fillId="0" borderId="0"/>
    <xf numFmtId="38" fontId="105" fillId="0" borderId="0" applyFont="0" applyFill="0" applyBorder="0" applyAlignment="0" applyProtection="0"/>
    <xf numFmtId="206" fontId="145" fillId="0" borderId="0" applyFont="0" applyFill="0" applyBorder="0" applyAlignment="0" applyProtection="0"/>
    <xf numFmtId="207" fontId="145" fillId="0" borderId="0" applyFont="0" applyFill="0" applyBorder="0" applyAlignment="0" applyProtection="0"/>
    <xf numFmtId="208" fontId="145" fillId="0" borderId="0" applyFont="0" applyFill="0" applyBorder="0" applyAlignment="0" applyProtection="0"/>
    <xf numFmtId="209" fontId="145" fillId="0" borderId="0" applyFont="0" applyFill="0" applyBorder="0" applyAlignment="0" applyProtection="0"/>
    <xf numFmtId="190" fontId="146" fillId="0" borderId="5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79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8" fillId="0" borderId="38" applyNumberFormat="0" applyFill="0" applyAlignment="0" applyProtection="0"/>
    <xf numFmtId="0" fontId="149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7" fillId="0" borderId="54" applyNumberFormat="0" applyFill="0" applyAlignment="0" applyProtection="0"/>
    <xf numFmtId="0" fontId="147" fillId="0" borderId="54" applyNumberFormat="0" applyFill="0" applyAlignment="0" applyProtection="0"/>
    <xf numFmtId="190" fontId="146" fillId="0" borderId="53" applyNumberFormat="0" applyFill="0" applyAlignment="0" applyProtection="0"/>
    <xf numFmtId="0" fontId="147" fillId="0" borderId="54" applyNumberFormat="0" applyFill="0" applyAlignment="0" applyProtection="0"/>
    <xf numFmtId="0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8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190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6" fillId="0" borderId="53" applyNumberFormat="0" applyFill="0" applyAlignment="0" applyProtection="0"/>
    <xf numFmtId="0" fontId="148" fillId="0" borderId="38" applyNumberFormat="0" applyFill="0" applyAlignment="0" applyProtection="0"/>
    <xf numFmtId="0" fontId="14" fillId="0" borderId="0" applyNumberFormat="0" applyFont="0" applyFill="0" applyBorder="0" applyAlignment="0" applyProtection="0"/>
    <xf numFmtId="0" fontId="79" fillId="0" borderId="38" applyNumberFormat="0" applyFill="0" applyAlignment="0" applyProtection="0"/>
    <xf numFmtId="0" fontId="148" fillId="0" borderId="38" applyNumberFormat="0" applyFill="0" applyAlignment="0" applyProtection="0"/>
    <xf numFmtId="0" fontId="149" fillId="0" borderId="38" applyNumberFormat="0" applyFill="0" applyAlignment="0" applyProtection="0"/>
    <xf numFmtId="0" fontId="149" fillId="0" borderId="38" applyNumberFormat="0" applyFill="0" applyAlignment="0" applyProtection="0"/>
    <xf numFmtId="0" fontId="148" fillId="0" borderId="38" applyNumberFormat="0" applyFill="0" applyAlignment="0" applyProtection="0"/>
    <xf numFmtId="0" fontId="149" fillId="0" borderId="38" applyNumberFormat="0" applyFill="0" applyAlignment="0" applyProtection="0"/>
    <xf numFmtId="190" fontId="150" fillId="0" borderId="5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80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2" fillId="0" borderId="39" applyNumberFormat="0" applyFill="0" applyAlignment="0" applyProtection="0"/>
    <xf numFmtId="0" fontId="149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1" fillId="0" borderId="56" applyNumberFormat="0" applyFill="0" applyAlignment="0" applyProtection="0"/>
    <xf numFmtId="0" fontId="151" fillId="0" borderId="56" applyNumberFormat="0" applyFill="0" applyAlignment="0" applyProtection="0"/>
    <xf numFmtId="190" fontId="150" fillId="0" borderId="55" applyNumberFormat="0" applyFill="0" applyAlignment="0" applyProtection="0"/>
    <xf numFmtId="0" fontId="151" fillId="0" borderId="56" applyNumberFormat="0" applyFill="0" applyAlignment="0" applyProtection="0"/>
    <xf numFmtId="0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52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190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50" fillId="0" borderId="55" applyNumberFormat="0" applyFill="0" applyAlignment="0" applyProtection="0"/>
    <xf numFmtId="0" fontId="152" fillId="0" borderId="39" applyNumberFormat="0" applyFill="0" applyAlignment="0" applyProtection="0"/>
    <xf numFmtId="0" fontId="14" fillId="0" borderId="0" applyNumberFormat="0" applyFont="0" applyFill="0" applyBorder="0" applyAlignment="0" applyProtection="0"/>
    <xf numFmtId="0" fontId="80" fillId="0" borderId="39" applyNumberFormat="0" applyFill="0" applyAlignment="0" applyProtection="0"/>
    <xf numFmtId="0" fontId="152" fillId="0" borderId="39" applyNumberFormat="0" applyFill="0" applyAlignment="0" applyProtection="0"/>
    <xf numFmtId="0" fontId="149" fillId="0" borderId="39" applyNumberFormat="0" applyFill="0" applyAlignment="0" applyProtection="0"/>
    <xf numFmtId="0" fontId="149" fillId="0" borderId="39" applyNumberFormat="0" applyFill="0" applyAlignment="0" applyProtection="0"/>
    <xf numFmtId="0" fontId="152" fillId="0" borderId="39" applyNumberFormat="0" applyFill="0" applyAlignment="0" applyProtection="0"/>
    <xf numFmtId="0" fontId="149" fillId="0" borderId="39" applyNumberFormat="0" applyFill="0" applyAlignment="0" applyProtection="0"/>
    <xf numFmtId="190" fontId="153" fillId="0" borderId="57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81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5" fillId="0" borderId="40" applyNumberFormat="0" applyFill="0" applyAlignment="0" applyProtection="0"/>
    <xf numFmtId="0" fontId="149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58" applyNumberFormat="0" applyFill="0" applyAlignment="0" applyProtection="0"/>
    <xf numFmtId="0" fontId="154" fillId="0" borderId="58" applyNumberFormat="0" applyFill="0" applyAlignment="0" applyProtection="0"/>
    <xf numFmtId="190" fontId="153" fillId="0" borderId="57" applyNumberFormat="0" applyFill="0" applyAlignment="0" applyProtection="0"/>
    <xf numFmtId="0" fontId="154" fillId="0" borderId="58" applyNumberFormat="0" applyFill="0" applyAlignment="0" applyProtection="0"/>
    <xf numFmtId="0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55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190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53" fillId="0" borderId="57" applyNumberFormat="0" applyFill="0" applyAlignment="0" applyProtection="0"/>
    <xf numFmtId="0" fontId="155" fillId="0" borderId="40" applyNumberFormat="0" applyFill="0" applyAlignment="0" applyProtection="0"/>
    <xf numFmtId="0" fontId="14" fillId="0" borderId="0" applyNumberFormat="0" applyFont="0" applyFill="0" applyBorder="0" applyAlignment="0" applyProtection="0"/>
    <xf numFmtId="0" fontId="81" fillId="0" borderId="40" applyNumberFormat="0" applyFill="0" applyAlignment="0" applyProtection="0"/>
    <xf numFmtId="0" fontId="155" fillId="0" borderId="40" applyNumberFormat="0" applyFill="0" applyAlignment="0" applyProtection="0"/>
    <xf numFmtId="0" fontId="149" fillId="0" borderId="40" applyNumberFormat="0" applyFill="0" applyAlignment="0" applyProtection="0"/>
    <xf numFmtId="0" fontId="149" fillId="0" borderId="40" applyNumberFormat="0" applyFill="0" applyAlignment="0" applyProtection="0"/>
    <xf numFmtId="0" fontId="155" fillId="0" borderId="40" applyNumberFormat="0" applyFill="0" applyAlignment="0" applyProtection="0"/>
    <xf numFmtId="0" fontId="149" fillId="0" borderId="40" applyNumberFormat="0" applyFill="0" applyAlignment="0" applyProtection="0"/>
    <xf numFmtId="190" fontId="15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190" fontId="153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19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19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84" fillId="2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7" fillId="24" borderId="0" applyNumberFormat="0" applyBorder="0" applyAlignment="0" applyProtection="0"/>
    <xf numFmtId="0" fontId="157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19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57" fillId="24" borderId="0" applyNumberFormat="0" applyBorder="0" applyAlignment="0" applyProtection="0"/>
    <xf numFmtId="0" fontId="14" fillId="0" borderId="0" applyNumberFormat="0" applyFont="0" applyFill="0" applyBorder="0" applyAlignment="0" applyProtection="0"/>
    <xf numFmtId="190" fontId="156" fillId="6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56" fillId="64" borderId="0" applyNumberFormat="0" applyBorder="0" applyAlignment="0" applyProtection="0"/>
    <xf numFmtId="0" fontId="156" fillId="64" borderId="0" applyNumberFormat="0" applyBorder="0" applyAlignment="0" applyProtection="0"/>
    <xf numFmtId="0" fontId="157" fillId="24" borderId="0" applyNumberFormat="0" applyBorder="0" applyAlignment="0" applyProtection="0"/>
    <xf numFmtId="0" fontId="14" fillId="0" borderId="0" applyNumberFormat="0" applyFont="0" applyFill="0" applyBorder="0" applyAlignment="0" applyProtection="0"/>
    <xf numFmtId="0" fontId="84" fillId="24" borderId="0" applyNumberFormat="0" applyBorder="0" applyAlignment="0" applyProtection="0"/>
    <xf numFmtId="0" fontId="157" fillId="24" borderId="0" applyNumberFormat="0" applyBorder="0" applyAlignment="0" applyProtection="0"/>
    <xf numFmtId="0" fontId="157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57" fillId="24" borderId="0" applyNumberFormat="0" applyBorder="0" applyAlignment="0" applyProtection="0"/>
    <xf numFmtId="0" fontId="157" fillId="0" borderId="0" applyNumberFormat="0" applyFill="0" applyBorder="0" applyAlignment="0" applyProtection="0"/>
    <xf numFmtId="0" fontId="96" fillId="0" borderId="0"/>
    <xf numFmtId="0" fontId="100" fillId="0" borderId="0"/>
    <xf numFmtId="0" fontId="21" fillId="0" borderId="0"/>
    <xf numFmtId="0" fontId="21" fillId="0" borderId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96" fillId="0" borderId="0"/>
    <xf numFmtId="0" fontId="158" fillId="0" borderId="0"/>
    <xf numFmtId="0" fontId="159" fillId="0" borderId="0" applyNumberFormat="0" applyFont="0" applyFill="0" applyBorder="0" applyAlignment="0" applyProtection="0">
      <protection locked="0"/>
    </xf>
    <xf numFmtId="190" fontId="68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190" fontId="68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0" fontId="68" fillId="0" borderId="0"/>
    <xf numFmtId="190" fontId="68" fillId="0" borderId="0"/>
    <xf numFmtId="0" fontId="21" fillId="0" borderId="0"/>
    <xf numFmtId="0" fontId="100" fillId="0" borderId="0"/>
    <xf numFmtId="0" fontId="100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3" fillId="0" borderId="0"/>
    <xf numFmtId="0" fontId="3" fillId="0" borderId="0"/>
    <xf numFmtId="0" fontId="16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0" fillId="0" borderId="0"/>
    <xf numFmtId="0" fontId="3" fillId="0" borderId="0"/>
    <xf numFmtId="0" fontId="3" fillId="0" borderId="0"/>
    <xf numFmtId="190" fontId="68" fillId="0" borderId="0"/>
    <xf numFmtId="190" fontId="68" fillId="0" borderId="0"/>
    <xf numFmtId="0" fontId="21" fillId="0" borderId="0"/>
    <xf numFmtId="0" fontId="100" fillId="0" borderId="0"/>
    <xf numFmtId="0" fontId="21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90" fontId="68" fillId="0" borderId="0"/>
    <xf numFmtId="190" fontId="68" fillId="0" borderId="0"/>
    <xf numFmtId="0" fontId="21" fillId="0" borderId="0"/>
    <xf numFmtId="0" fontId="21" fillId="0" borderId="0"/>
    <xf numFmtId="0" fontId="96" fillId="0" borderId="0"/>
    <xf numFmtId="0" fontId="21" fillId="0" borderId="0" applyNumberFormat="0" applyFill="0" applyBorder="0" applyAlignment="0" applyProtection="0"/>
    <xf numFmtId="190" fontId="100" fillId="0" borderId="0"/>
    <xf numFmtId="0" fontId="21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96" fillId="0" borderId="0"/>
    <xf numFmtId="0" fontId="100" fillId="0" borderId="0"/>
    <xf numFmtId="190" fontId="68" fillId="0" borderId="0"/>
    <xf numFmtId="190" fontId="68" fillId="0" borderId="0"/>
    <xf numFmtId="0" fontId="21" fillId="0" borderId="0"/>
    <xf numFmtId="0" fontId="21" fillId="0" borderId="0"/>
    <xf numFmtId="0" fontId="96" fillId="0" borderId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96" fillId="0" borderId="0"/>
    <xf numFmtId="0" fontId="21" fillId="0" borderId="0" applyNumberFormat="0" applyFill="0" applyBorder="0" applyAlignment="0" applyProtection="0"/>
    <xf numFmtId="190" fontId="68" fillId="0" borderId="0"/>
    <xf numFmtId="0" fontId="21" fillId="0" borderId="0"/>
    <xf numFmtId="0" fontId="96" fillId="0" borderId="0"/>
    <xf numFmtId="0" fontId="100" fillId="0" borderId="0"/>
    <xf numFmtId="190" fontId="68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190" fontId="100" fillId="0" borderId="0"/>
    <xf numFmtId="190" fontId="106" fillId="0" borderId="0" applyFill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100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1" fontId="100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190" fontId="3" fillId="0" borderId="0"/>
    <xf numFmtId="0" fontId="100" fillId="0" borderId="0"/>
    <xf numFmtId="0" fontId="3" fillId="0" borderId="0" applyNumberFormat="0" applyFill="0" applyBorder="0" applyAlignment="0" applyProtection="0"/>
    <xf numFmtId="191" fontId="95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0" fillId="0" borderId="0"/>
    <xf numFmtId="0" fontId="3" fillId="0" borderId="0"/>
    <xf numFmtId="0" fontId="21" fillId="0" borderId="0" applyNumberFormat="0" applyFont="0" applyFill="0" applyBorder="0" applyAlignment="0" applyProtection="0"/>
    <xf numFmtId="190" fontId="3" fillId="0" borderId="0"/>
    <xf numFmtId="190" fontId="21" fillId="0" borderId="0"/>
    <xf numFmtId="190" fontId="21" fillId="0" borderId="0"/>
    <xf numFmtId="0" fontId="3" fillId="0" borderId="0"/>
    <xf numFmtId="0" fontId="3" fillId="0" borderId="0"/>
    <xf numFmtId="0" fontId="96" fillId="0" borderId="0"/>
    <xf numFmtId="0" fontId="3" fillId="0" borderId="0"/>
    <xf numFmtId="0" fontId="3" fillId="0" borderId="0" applyNumberFormat="0" applyFill="0" applyBorder="0" applyAlignment="0" applyProtection="0"/>
    <xf numFmtId="190" fontId="14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190" fontId="14" fillId="0" borderId="0"/>
    <xf numFmtId="0" fontId="3" fillId="0" borderId="0" applyNumberFormat="0" applyFill="0" applyBorder="0" applyAlignment="0" applyProtection="0"/>
    <xf numFmtId="190" fontId="14" fillId="0" borderId="0"/>
    <xf numFmtId="0" fontId="3" fillId="0" borderId="0" applyNumberFormat="0" applyFill="0" applyBorder="0" applyAlignment="0" applyProtection="0"/>
    <xf numFmtId="190" fontId="14" fillId="0" borderId="0"/>
    <xf numFmtId="0" fontId="3" fillId="0" borderId="0" applyNumberFormat="0" applyFill="0" applyBorder="0" applyAlignment="0" applyProtection="0"/>
    <xf numFmtId="190" fontId="14" fillId="0" borderId="0"/>
    <xf numFmtId="0" fontId="3" fillId="0" borderId="0" applyNumberFormat="0" applyFill="0" applyBorder="0" applyAlignment="0" applyProtection="0"/>
    <xf numFmtId="190" fontId="14" fillId="0" borderId="0"/>
    <xf numFmtId="0" fontId="3" fillId="0" borderId="0" applyNumberFormat="0" applyFill="0" applyBorder="0" applyAlignment="0" applyProtection="0"/>
    <xf numFmtId="190" fontId="14" fillId="0" borderId="0"/>
    <xf numFmtId="0" fontId="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21" fillId="0" borderId="0" applyNumberFormat="0" applyFill="0" applyBorder="0" applyAlignment="0" applyProtection="0"/>
    <xf numFmtId="0" fontId="118" fillId="0" borderId="0"/>
    <xf numFmtId="0" fontId="118" fillId="0" borderId="0"/>
    <xf numFmtId="0" fontId="21" fillId="0" borderId="0" applyNumberFormat="0" applyFill="0" applyBorder="0" applyAlignment="0" applyProtection="0"/>
    <xf numFmtId="0" fontId="118" fillId="0" borderId="0"/>
    <xf numFmtId="0" fontId="118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100" fillId="0" borderId="0"/>
    <xf numFmtId="19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1" fillId="0" borderId="0"/>
    <xf numFmtId="19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/>
    <xf numFmtId="0" fontId="21" fillId="0" borderId="0" applyNumberFormat="0" applyFont="0" applyFill="0" applyBorder="0" applyAlignment="0" applyProtection="0"/>
    <xf numFmtId="0" fontId="96" fillId="0" borderId="0"/>
    <xf numFmtId="0" fontId="96" fillId="0" borderId="0"/>
    <xf numFmtId="0" fontId="97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0" fontId="96" fillId="0" borderId="0"/>
    <xf numFmtId="190" fontId="96" fillId="0" borderId="0"/>
    <xf numFmtId="0" fontId="97" fillId="0" borderId="0"/>
    <xf numFmtId="190" fontId="21" fillId="0" borderId="0"/>
    <xf numFmtId="0" fontId="97" fillId="0" borderId="0"/>
    <xf numFmtId="0" fontId="21" fillId="0" borderId="0" applyNumberFormat="0" applyFont="0" applyFill="0" applyBorder="0" applyAlignment="0" applyProtection="0"/>
    <xf numFmtId="190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0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0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0" fontId="96" fillId="0" borderId="0"/>
    <xf numFmtId="0" fontId="97" fillId="0" borderId="0"/>
    <xf numFmtId="0" fontId="97" fillId="0" borderId="0"/>
    <xf numFmtId="0" fontId="21" fillId="0" borderId="0" applyNumberFormat="0" applyFont="0" applyFill="0" applyBorder="0" applyAlignment="0" applyProtection="0"/>
    <xf numFmtId="190" fontId="100" fillId="0" borderId="0"/>
    <xf numFmtId="190" fontId="68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68" fillId="0" borderId="0"/>
    <xf numFmtId="0" fontId="3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/>
    <xf numFmtId="0" fontId="3" fillId="0" borderId="0"/>
    <xf numFmtId="0" fontId="3" fillId="0" borderId="0"/>
    <xf numFmtId="0" fontId="21" fillId="0" borderId="0"/>
    <xf numFmtId="0" fontId="96" fillId="0" borderId="0"/>
    <xf numFmtId="0" fontId="3" fillId="0" borderId="0"/>
    <xf numFmtId="0" fontId="3" fillId="0" borderId="0"/>
    <xf numFmtId="0" fontId="21" fillId="0" borderId="0"/>
    <xf numFmtId="0" fontId="135" fillId="0" borderId="0"/>
    <xf numFmtId="0" fontId="3" fillId="0" borderId="0"/>
    <xf numFmtId="0" fontId="3" fillId="0" borderId="0"/>
    <xf numFmtId="0" fontId="21" fillId="0" borderId="0"/>
    <xf numFmtId="0" fontId="135" fillId="0" borderId="0"/>
    <xf numFmtId="0" fontId="3" fillId="0" borderId="0"/>
    <xf numFmtId="0" fontId="3" fillId="0" borderId="0"/>
    <xf numFmtId="0" fontId="21" fillId="0" borderId="0"/>
    <xf numFmtId="0" fontId="135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118" fillId="0" borderId="0"/>
    <xf numFmtId="0" fontId="3" fillId="0" borderId="0"/>
    <xf numFmtId="190" fontId="100" fillId="0" borderId="0"/>
    <xf numFmtId="0" fontId="100" fillId="0" borderId="0"/>
    <xf numFmtId="0" fontId="21" fillId="0" borderId="0"/>
    <xf numFmtId="0" fontId="21" fillId="0" borderId="0" applyNumberFormat="0" applyFill="0" applyBorder="0" applyAlignment="0" applyProtection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00" fillId="0" borderId="0"/>
    <xf numFmtId="0" fontId="21" fillId="0" borderId="0" applyNumberFormat="0" applyFont="0" applyFill="0" applyBorder="0" applyAlignment="0" applyProtection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90" fontId="1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90" fontId="14" fillId="0" borderId="0"/>
    <xf numFmtId="0" fontId="10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19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119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119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119" fillId="0" borderId="0"/>
    <xf numFmtId="0" fontId="21" fillId="0" borderId="0"/>
    <xf numFmtId="190" fontId="14" fillId="0" borderId="0"/>
    <xf numFmtId="0" fontId="119" fillId="0" borderId="0"/>
    <xf numFmtId="0" fontId="21" fillId="0" borderId="0"/>
    <xf numFmtId="190" fontId="14" fillId="0" borderId="0"/>
    <xf numFmtId="190" fontId="100" fillId="0" borderId="0"/>
    <xf numFmtId="0" fontId="3" fillId="0" borderId="0"/>
    <xf numFmtId="0" fontId="21" fillId="0" borderId="0"/>
    <xf numFmtId="0" fontId="135" fillId="0" borderId="0"/>
    <xf numFmtId="0" fontId="3" fillId="0" borderId="0"/>
    <xf numFmtId="190" fontId="21" fillId="0" borderId="0"/>
    <xf numFmtId="0" fontId="3" fillId="0" borderId="0"/>
    <xf numFmtId="0" fontId="21" fillId="0" borderId="0"/>
    <xf numFmtId="0" fontId="3" fillId="0" borderId="0"/>
    <xf numFmtId="0" fontId="135" fillId="0" borderId="0"/>
    <xf numFmtId="0" fontId="3" fillId="0" borderId="0"/>
    <xf numFmtId="0" fontId="21" fillId="0" borderId="0"/>
    <xf numFmtId="0" fontId="96" fillId="0" borderId="0"/>
    <xf numFmtId="0" fontId="3" fillId="0" borderId="0"/>
    <xf numFmtId="0" fontId="3" fillId="0" borderId="0"/>
    <xf numFmtId="0" fontId="21" fillId="0" borderId="0"/>
    <xf numFmtId="0" fontId="96" fillId="0" borderId="0"/>
    <xf numFmtId="0" fontId="3" fillId="0" borderId="0"/>
    <xf numFmtId="0" fontId="3" fillId="0" borderId="0"/>
    <xf numFmtId="0" fontId="21" fillId="0" borderId="0"/>
    <xf numFmtId="0" fontId="96" fillId="0" borderId="0"/>
    <xf numFmtId="0" fontId="3" fillId="0" borderId="0"/>
    <xf numFmtId="0" fontId="3" fillId="0" borderId="0"/>
    <xf numFmtId="0" fontId="21" fillId="0" borderId="0"/>
    <xf numFmtId="0" fontId="100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100" fillId="0" borderId="0"/>
    <xf numFmtId="0" fontId="3" fillId="0" borderId="0"/>
    <xf numFmtId="0" fontId="21" fillId="0" borderId="0"/>
    <xf numFmtId="0" fontId="3" fillId="0" borderId="0"/>
    <xf numFmtId="0" fontId="21" fillId="0" borderId="0"/>
    <xf numFmtId="190" fontId="68" fillId="0" borderId="0"/>
    <xf numFmtId="0" fontId="21" fillId="0" borderId="0"/>
    <xf numFmtId="0" fontId="21" fillId="0" borderId="0" applyNumberFormat="0" applyFill="0" applyBorder="0" applyAlignment="0" applyProtection="0"/>
    <xf numFmtId="190" fontId="3" fillId="0" borderId="0"/>
    <xf numFmtId="190" fontId="3" fillId="0" borderId="0"/>
    <xf numFmtId="0" fontId="21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0" borderId="0"/>
    <xf numFmtId="0" fontId="3" fillId="0" borderId="0"/>
    <xf numFmtId="0" fontId="100" fillId="0" borderId="0"/>
    <xf numFmtId="0" fontId="3" fillId="0" borderId="0" applyNumberFormat="0" applyFill="0" applyBorder="0" applyAlignment="0" applyProtection="0"/>
    <xf numFmtId="190" fontId="100" fillId="0" borderId="0"/>
    <xf numFmtId="0" fontId="21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190" fontId="100" fillId="0" borderId="0"/>
    <xf numFmtId="0" fontId="100" fillId="0" borderId="0"/>
    <xf numFmtId="0" fontId="100" fillId="0" borderId="0"/>
    <xf numFmtId="0" fontId="21" fillId="0" borderId="0" applyNumberFormat="0" applyFont="0" applyFill="0" applyBorder="0" applyAlignment="0" applyProtection="0"/>
    <xf numFmtId="190" fontId="68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190" fontId="68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90" fontId="100" fillId="0" borderId="0"/>
    <xf numFmtId="0" fontId="100" fillId="0" borderId="0"/>
    <xf numFmtId="0" fontId="3" fillId="0" borderId="0"/>
    <xf numFmtId="0" fontId="21" fillId="0" borderId="0"/>
    <xf numFmtId="0" fontId="3" fillId="0" borderId="0"/>
    <xf numFmtId="19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3" fillId="0" borderId="0"/>
    <xf numFmtId="0" fontId="21" fillId="0" borderId="0"/>
    <xf numFmtId="0" fontId="3" fillId="0" borderId="0"/>
    <xf numFmtId="0" fontId="21" fillId="0" borderId="0"/>
    <xf numFmtId="0" fontId="3" fillId="0" borderId="0"/>
    <xf numFmtId="0" fontId="21" fillId="0" borderId="0"/>
    <xf numFmtId="0" fontId="3" fillId="0" borderId="0"/>
    <xf numFmtId="0" fontId="21" fillId="0" borderId="0"/>
    <xf numFmtId="0" fontId="3" fillId="0" borderId="0"/>
    <xf numFmtId="191" fontId="21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191" fontId="21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190" fontId="21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190" fontId="162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68" fillId="0" borderId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0" fillId="0" borderId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3" fillId="0" borderId="0"/>
    <xf numFmtId="0" fontId="3" fillId="0" borderId="0" applyNumberFormat="0" applyFill="0" applyBorder="0" applyAlignment="0" applyProtection="0"/>
    <xf numFmtId="0" fontId="100" fillId="0" borderId="0"/>
    <xf numFmtId="0" fontId="3" fillId="0" borderId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0" fillId="0" borderId="0"/>
    <xf numFmtId="0" fontId="21" fillId="0" borderId="0" applyNumberFormat="0" applyFont="0" applyFill="0" applyBorder="0" applyAlignment="0" applyProtection="0"/>
    <xf numFmtId="0" fontId="96" fillId="0" borderId="0"/>
    <xf numFmtId="0" fontId="162" fillId="0" borderId="0"/>
    <xf numFmtId="190" fontId="14" fillId="0" borderId="0"/>
    <xf numFmtId="0" fontId="21" fillId="0" borderId="0"/>
    <xf numFmtId="0" fontId="100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162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21" fillId="0" borderId="0" applyNumberFormat="0" applyFont="0" applyFill="0" applyBorder="0" applyAlignment="0" applyProtection="0"/>
    <xf numFmtId="190" fontId="14" fillId="0" borderId="0"/>
    <xf numFmtId="0" fontId="21" fillId="0" borderId="0" applyNumberFormat="0" applyFont="0" applyFill="0" applyBorder="0" applyAlignment="0" applyProtection="0"/>
    <xf numFmtId="190" fontId="100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3" fillId="0" borderId="0"/>
    <xf numFmtId="190" fontId="68" fillId="0" borderId="0"/>
    <xf numFmtId="190" fontId="68" fillId="0" borderId="0"/>
    <xf numFmtId="0" fontId="100" fillId="0" borderId="0"/>
    <xf numFmtId="0" fontId="21" fillId="0" borderId="0" applyNumberFormat="0" applyFill="0" applyBorder="0" applyAlignment="0" applyProtection="0"/>
    <xf numFmtId="190" fontId="68" fillId="0" borderId="0"/>
    <xf numFmtId="0" fontId="21" fillId="0" borderId="0" applyNumberFormat="0" applyFill="0" applyBorder="0" applyAlignment="0" applyProtection="0"/>
    <xf numFmtId="0" fontId="100" fillId="0" borderId="0"/>
    <xf numFmtId="0" fontId="21" fillId="0" borderId="0"/>
    <xf numFmtId="0" fontId="21" fillId="0" borderId="0" applyNumberFormat="0" applyFill="0" applyBorder="0" applyAlignment="0" applyProtection="0"/>
    <xf numFmtId="191" fontId="68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90" fontId="3" fillId="0" borderId="0"/>
    <xf numFmtId="0" fontId="3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0" fontId="68" fillId="0" borderId="0"/>
    <xf numFmtId="190" fontId="68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00" fillId="0" borderId="0"/>
    <xf numFmtId="0" fontId="100" fillId="0" borderId="0"/>
    <xf numFmtId="0" fontId="21" fillId="0" borderId="0"/>
    <xf numFmtId="0" fontId="21" fillId="0" borderId="0" applyNumberFormat="0" applyFill="0" applyBorder="0" applyAlignment="0" applyProtection="0"/>
    <xf numFmtId="190" fontId="3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3" fillId="0" borderId="0" applyNumberFormat="0" applyFill="0" applyBorder="0" applyAlignment="0" applyProtection="0"/>
    <xf numFmtId="0" fontId="21" fillId="0" borderId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1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21" fillId="0" borderId="0"/>
    <xf numFmtId="0" fontId="21" fillId="0" borderId="0" applyNumberFormat="0" applyFill="0" applyBorder="0" applyAlignment="0" applyProtection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90" fontId="14" fillId="0" borderId="0"/>
    <xf numFmtId="190" fontId="14" fillId="0" borderId="0"/>
    <xf numFmtId="0" fontId="100" fillId="0" borderId="0"/>
    <xf numFmtId="190" fontId="68" fillId="0" borderId="0"/>
    <xf numFmtId="190" fontId="68" fillId="0" borderId="0"/>
    <xf numFmtId="0" fontId="21" fillId="0" borderId="0" applyNumberFormat="0" applyFill="0" applyBorder="0" applyAlignment="0" applyProtection="0"/>
    <xf numFmtId="190" fontId="14" fillId="0" borderId="0"/>
    <xf numFmtId="190" fontId="14" fillId="0" borderId="0"/>
    <xf numFmtId="0" fontId="100" fillId="0" borderId="0"/>
    <xf numFmtId="190" fontId="68" fillId="0" borderId="0"/>
    <xf numFmtId="190" fontId="68" fillId="0" borderId="0"/>
    <xf numFmtId="0" fontId="21" fillId="0" borderId="0" applyNumberFormat="0" applyFill="0" applyBorder="0" applyAlignment="0" applyProtection="0"/>
    <xf numFmtId="190" fontId="14" fillId="0" borderId="0"/>
    <xf numFmtId="190" fontId="14" fillId="0" borderId="0"/>
    <xf numFmtId="0" fontId="100" fillId="0" borderId="0"/>
    <xf numFmtId="190" fontId="68" fillId="0" borderId="0"/>
    <xf numFmtId="190" fontId="68" fillId="0" borderId="0"/>
    <xf numFmtId="0" fontId="21" fillId="0" borderId="0" applyNumberFormat="0" applyFill="0" applyBorder="0" applyAlignment="0" applyProtection="0"/>
    <xf numFmtId="190" fontId="14" fillId="0" borderId="0"/>
    <xf numFmtId="0" fontId="100" fillId="0" borderId="0"/>
    <xf numFmtId="0" fontId="21" fillId="0" borderId="0" applyNumberFormat="0" applyFill="0" applyBorder="0" applyAlignment="0" applyProtection="0"/>
    <xf numFmtId="190" fontId="14" fillId="0" borderId="0"/>
    <xf numFmtId="0" fontId="100" fillId="0" borderId="0"/>
    <xf numFmtId="0" fontId="21" fillId="0" borderId="0" applyNumberFormat="0" applyFill="0" applyBorder="0" applyAlignment="0" applyProtection="0"/>
    <xf numFmtId="190" fontId="14" fillId="0" borderId="0"/>
    <xf numFmtId="0" fontId="100" fillId="0" borderId="0"/>
    <xf numFmtId="0" fontId="21" fillId="0" borderId="0" applyNumberFormat="0" applyFill="0" applyBorder="0" applyAlignment="0" applyProtection="0"/>
    <xf numFmtId="190" fontId="100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00" fillId="0" borderId="0"/>
    <xf numFmtId="0" fontId="3" fillId="0" borderId="0"/>
    <xf numFmtId="0" fontId="3" fillId="0" borderId="0"/>
    <xf numFmtId="0" fontId="16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0" fontId="14" fillId="0" borderId="0"/>
    <xf numFmtId="190" fontId="14" fillId="0" borderId="0"/>
    <xf numFmtId="190" fontId="68" fillId="0" borderId="0"/>
    <xf numFmtId="190" fontId="68" fillId="0" borderId="0"/>
    <xf numFmtId="0" fontId="21" fillId="0" borderId="0"/>
    <xf numFmtId="0" fontId="21" fillId="0" borderId="0" applyNumberFormat="0" applyFill="0" applyBorder="0" applyAlignment="0" applyProtection="0"/>
    <xf numFmtId="190" fontId="3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3" fillId="0" borderId="0" applyNumberFormat="0" applyFill="0" applyBorder="0" applyAlignment="0" applyProtection="0"/>
    <xf numFmtId="190" fontId="3" fillId="0" borderId="0"/>
    <xf numFmtId="190" fontId="3" fillId="0" borderId="0"/>
    <xf numFmtId="0" fontId="21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190" fontId="3" fillId="0" borderId="0"/>
    <xf numFmtId="190" fontId="14" fillId="0" borderId="0"/>
    <xf numFmtId="0" fontId="21" fillId="0" borderId="0"/>
    <xf numFmtId="190" fontId="14" fillId="0" borderId="0"/>
    <xf numFmtId="0" fontId="21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0" fontId="14" fillId="0" borderId="0"/>
    <xf numFmtId="190" fontId="14" fillId="0" borderId="0"/>
    <xf numFmtId="190" fontId="68" fillId="0" borderId="0"/>
    <xf numFmtId="190" fontId="68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1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21" fillId="0" borderId="0"/>
    <xf numFmtId="0" fontId="21" fillId="0" borderId="0" applyNumberFormat="0" applyFill="0" applyBorder="0" applyAlignment="0" applyProtection="0"/>
    <xf numFmtId="19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90" fontId="3" fillId="0" borderId="0"/>
    <xf numFmtId="0" fontId="21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190" fontId="3" fillId="0" borderId="0"/>
    <xf numFmtId="190" fontId="14" fillId="0" borderId="0"/>
    <xf numFmtId="0" fontId="96" fillId="0" borderId="0"/>
    <xf numFmtId="190" fontId="14" fillId="0" borderId="0"/>
    <xf numFmtId="0" fontId="96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0" fontId="21" fillId="0" borderId="0"/>
    <xf numFmtId="190" fontId="21" fillId="0" borderId="0"/>
    <xf numFmtId="0" fontId="96" fillId="0" borderId="0"/>
    <xf numFmtId="190" fontId="68" fillId="0" borderId="0"/>
    <xf numFmtId="0" fontId="96" fillId="0" borderId="0"/>
    <xf numFmtId="190" fontId="68" fillId="0" borderId="0"/>
    <xf numFmtId="0" fontId="100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3" fillId="0" borderId="0" applyNumberFormat="0" applyFill="0" applyBorder="0" applyProtection="0">
      <alignment vertical="top" wrapText="1"/>
    </xf>
    <xf numFmtId="0" fontId="163" fillId="0" borderId="0" applyNumberFormat="0" applyFill="0" applyBorder="0" applyProtection="0">
      <alignment vertical="top" wrapText="1"/>
    </xf>
    <xf numFmtId="210" fontId="164" fillId="0" borderId="0" applyFill="0" applyBorder="0" applyProtection="0">
      <alignment horizontal="right" vertical="top"/>
    </xf>
    <xf numFmtId="190" fontId="165" fillId="58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87" fillId="26" borderId="41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58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58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6" fillId="26" borderId="41" applyNumberFormat="0" applyAlignment="0" applyProtection="0"/>
    <xf numFmtId="0" fontId="139" fillId="0" borderId="41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0" fontId="165" fillId="76" borderId="47" applyNumberFormat="0" applyAlignment="0" applyProtection="0"/>
    <xf numFmtId="190" fontId="165" fillId="58" borderId="47" applyNumberFormat="0" applyAlignment="0" applyProtection="0"/>
    <xf numFmtId="0" fontId="165" fillId="76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58" borderId="47" applyNumberFormat="0" applyAlignment="0" applyProtection="0"/>
    <xf numFmtId="0" fontId="165" fillId="58" borderId="47" applyNumberFormat="0" applyAlignment="0" applyProtection="0"/>
    <xf numFmtId="0" fontId="166" fillId="26" borderId="41" applyNumberFormat="0" applyAlignment="0" applyProtection="0"/>
    <xf numFmtId="0" fontId="21" fillId="0" borderId="0" applyNumberFormat="0" applyFont="0" applyFill="0" applyBorder="0" applyAlignment="0" applyProtection="0"/>
    <xf numFmtId="190" fontId="165" fillId="58" borderId="47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5" fillId="58" borderId="47" applyNumberFormat="0" applyAlignment="0" applyProtection="0"/>
    <xf numFmtId="0" fontId="165" fillId="58" borderId="47" applyNumberFormat="0" applyAlignment="0" applyProtection="0"/>
    <xf numFmtId="0" fontId="166" fillId="26" borderId="41" applyNumberFormat="0" applyAlignment="0" applyProtection="0"/>
    <xf numFmtId="0" fontId="21" fillId="0" borderId="0" applyNumberFormat="0" applyFont="0" applyFill="0" applyBorder="0" applyAlignment="0" applyProtection="0"/>
    <xf numFmtId="0" fontId="87" fillId="26" borderId="41" applyNumberFormat="0" applyAlignment="0" applyProtection="0"/>
    <xf numFmtId="0" fontId="166" fillId="26" borderId="41" applyNumberFormat="0" applyAlignment="0" applyProtection="0"/>
    <xf numFmtId="0" fontId="139" fillId="0" borderId="41" applyNumberFormat="0" applyFill="0" applyAlignment="0" applyProtection="0"/>
    <xf numFmtId="0" fontId="139" fillId="0" borderId="41" applyNumberFormat="0" applyFill="0" applyAlignment="0" applyProtection="0"/>
    <xf numFmtId="0" fontId="166" fillId="26" borderId="41" applyNumberFormat="0" applyAlignment="0" applyProtection="0"/>
    <xf numFmtId="0" fontId="139" fillId="0" borderId="41" applyNumberFormat="0" applyFill="0" applyAlignment="0" applyProtection="0"/>
    <xf numFmtId="211" fontId="167" fillId="0" borderId="0">
      <alignment horizontal="left"/>
    </xf>
    <xf numFmtId="40" fontId="168" fillId="71" borderId="0">
      <alignment horizontal="right"/>
    </xf>
    <xf numFmtId="0" fontId="169" fillId="71" borderId="0">
      <alignment horizontal="right"/>
    </xf>
    <xf numFmtId="0" fontId="170" fillId="71" borderId="59"/>
    <xf numFmtId="0" fontId="170" fillId="0" borderId="0" applyBorder="0">
      <alignment horizontal="centerContinuous"/>
    </xf>
    <xf numFmtId="0" fontId="171" fillId="0" borderId="0" applyBorder="0">
      <alignment horizontal="centerContinuous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00" fillId="0" borderId="0" applyFont="0" applyFill="0" applyBorder="0" applyAlignment="0" applyProtection="0"/>
    <xf numFmtId="9" fontId="96" fillId="0" borderId="0" applyFont="0" applyFill="0" applyBorder="0" applyAlignment="0" applyProtection="0"/>
    <xf numFmtId="190" fontId="172" fillId="0" borderId="0" applyNumberFormat="0" applyFill="0" applyBorder="0" applyProtection="0">
      <alignment horizontal="left"/>
    </xf>
    <xf numFmtId="190" fontId="172" fillId="0" borderId="0" applyNumberFormat="0" applyFill="0" applyBorder="0" applyAlignment="0" applyProtection="0"/>
    <xf numFmtId="190" fontId="172" fillId="0" borderId="0" applyNumberFormat="0" applyFill="0" applyBorder="0" applyAlignment="0" applyProtection="0"/>
    <xf numFmtId="190" fontId="172" fillId="0" borderId="0" applyNumberFormat="0" applyFill="0" applyBorder="0" applyAlignment="0" applyProtection="0"/>
    <xf numFmtId="190" fontId="172" fillId="0" borderId="0" applyNumberFormat="0" applyFill="0" applyBorder="0" applyProtection="0">
      <alignment horizontal="left"/>
    </xf>
    <xf numFmtId="190" fontId="172" fillId="0" borderId="0" applyNumberFormat="0" applyFill="0" applyBorder="0" applyAlignment="0" applyProtection="0"/>
    <xf numFmtId="2" fontId="173" fillId="71" borderId="0">
      <protection locked="0"/>
    </xf>
    <xf numFmtId="212" fontId="163" fillId="0" borderId="0"/>
    <xf numFmtId="9" fontId="2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74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175" fillId="64" borderId="60" applyNumberFormat="0" applyProtection="0">
      <alignment vertical="center"/>
    </xf>
    <xf numFmtId="4" fontId="176" fillId="82" borderId="60" applyNumberFormat="0" applyProtection="0">
      <alignment vertical="center"/>
    </xf>
    <xf numFmtId="4" fontId="175" fillId="82" borderId="60" applyNumberFormat="0" applyProtection="0">
      <alignment horizontal="left" vertical="center" indent="1"/>
    </xf>
    <xf numFmtId="0" fontId="175" fillId="82" borderId="60" applyNumberFormat="0" applyProtection="0">
      <alignment horizontal="left" vertical="top" indent="1"/>
    </xf>
    <xf numFmtId="4" fontId="175" fillId="83" borderId="0" applyNumberFormat="0" applyProtection="0">
      <alignment horizontal="left" vertical="center" indent="1"/>
    </xf>
    <xf numFmtId="4" fontId="177" fillId="54" borderId="60" applyNumberFormat="0" applyProtection="0">
      <alignment horizontal="right" vertical="center"/>
    </xf>
    <xf numFmtId="4" fontId="177" fillId="63" borderId="60" applyNumberFormat="0" applyProtection="0">
      <alignment horizontal="right" vertical="center"/>
    </xf>
    <xf numFmtId="4" fontId="177" fillId="61" borderId="60" applyNumberFormat="0" applyProtection="0">
      <alignment horizontal="right" vertical="center"/>
    </xf>
    <xf numFmtId="4" fontId="177" fillId="66" borderId="60" applyNumberFormat="0" applyProtection="0">
      <alignment horizontal="right" vertical="center"/>
    </xf>
    <xf numFmtId="4" fontId="177" fillId="70" borderId="60" applyNumberFormat="0" applyProtection="0">
      <alignment horizontal="right" vertical="center"/>
    </xf>
    <xf numFmtId="4" fontId="177" fillId="75" borderId="60" applyNumberFormat="0" applyProtection="0">
      <alignment horizontal="right" vertical="center"/>
    </xf>
    <xf numFmtId="4" fontId="177" fillId="73" borderId="60" applyNumberFormat="0" applyProtection="0">
      <alignment horizontal="right" vertical="center"/>
    </xf>
    <xf numFmtId="4" fontId="177" fillId="84" borderId="60" applyNumberFormat="0" applyProtection="0">
      <alignment horizontal="right" vertical="center"/>
    </xf>
    <xf numFmtId="4" fontId="177" fillId="65" borderId="60" applyNumberFormat="0" applyProtection="0">
      <alignment horizontal="right" vertical="center"/>
    </xf>
    <xf numFmtId="4" fontId="175" fillId="85" borderId="61" applyNumberFormat="0" applyProtection="0">
      <alignment horizontal="left" vertical="center" indent="1"/>
    </xf>
    <xf numFmtId="4" fontId="177" fillId="86" borderId="0" applyNumberFormat="0" applyProtection="0">
      <alignment horizontal="left" vertical="center" indent="1"/>
    </xf>
    <xf numFmtId="4" fontId="178" fillId="87" borderId="0" applyNumberFormat="0" applyProtection="0">
      <alignment horizontal="left" vertical="center" indent="1"/>
    </xf>
    <xf numFmtId="4" fontId="177" fillId="88" borderId="60" applyNumberFormat="0" applyProtection="0">
      <alignment horizontal="right" vertical="center"/>
    </xf>
    <xf numFmtId="4" fontId="179" fillId="86" borderId="0" applyNumberFormat="0" applyProtection="0">
      <alignment horizontal="left" vertical="center" indent="1"/>
    </xf>
    <xf numFmtId="4" fontId="179" fillId="83" borderId="0" applyNumberFormat="0" applyProtection="0">
      <alignment horizontal="left" vertical="center" indent="1"/>
    </xf>
    <xf numFmtId="0" fontId="100" fillId="87" borderId="60" applyNumberFormat="0" applyProtection="0">
      <alignment horizontal="left" vertical="center" indent="1"/>
    </xf>
    <xf numFmtId="0" fontId="100" fillId="87" borderId="60" applyNumberFormat="0" applyProtection="0">
      <alignment horizontal="left" vertical="center" indent="1"/>
    </xf>
    <xf numFmtId="0" fontId="100" fillId="87" borderId="60" applyNumberFormat="0" applyProtection="0">
      <alignment horizontal="left" vertical="center" indent="1"/>
    </xf>
    <xf numFmtId="0" fontId="100" fillId="87" borderId="60" applyNumberFormat="0" applyProtection="0">
      <alignment horizontal="left" vertical="top" indent="1"/>
    </xf>
    <xf numFmtId="0" fontId="100" fillId="87" borderId="60" applyNumberFormat="0" applyProtection="0">
      <alignment horizontal="left" vertical="top" indent="1"/>
    </xf>
    <xf numFmtId="0" fontId="100" fillId="87" borderId="60" applyNumberFormat="0" applyProtection="0">
      <alignment horizontal="left" vertical="top" indent="1"/>
    </xf>
    <xf numFmtId="0" fontId="100" fillId="83" borderId="60" applyNumberFormat="0" applyProtection="0">
      <alignment horizontal="left" vertical="center" indent="1"/>
    </xf>
    <xf numFmtId="0" fontId="100" fillId="83" borderId="60" applyNumberFormat="0" applyProtection="0">
      <alignment horizontal="left" vertical="center" indent="1"/>
    </xf>
    <xf numFmtId="0" fontId="100" fillId="83" borderId="60" applyNumberFormat="0" applyProtection="0">
      <alignment horizontal="left" vertical="center" indent="1"/>
    </xf>
    <xf numFmtId="0" fontId="100" fillId="83" borderId="60" applyNumberFormat="0" applyProtection="0">
      <alignment horizontal="left" vertical="top" indent="1"/>
    </xf>
    <xf numFmtId="0" fontId="100" fillId="83" borderId="60" applyNumberFormat="0" applyProtection="0">
      <alignment horizontal="left" vertical="top" indent="1"/>
    </xf>
    <xf numFmtId="0" fontId="100" fillId="83" borderId="60" applyNumberFormat="0" applyProtection="0">
      <alignment horizontal="left" vertical="top" indent="1"/>
    </xf>
    <xf numFmtId="0" fontId="100" fillId="89" borderId="60" applyNumberFormat="0" applyProtection="0">
      <alignment horizontal="left" vertical="center" indent="1"/>
    </xf>
    <xf numFmtId="0" fontId="100" fillId="89" borderId="60" applyNumberFormat="0" applyProtection="0">
      <alignment horizontal="left" vertical="center" indent="1"/>
    </xf>
    <xf numFmtId="0" fontId="100" fillId="89" borderId="60" applyNumberFormat="0" applyProtection="0">
      <alignment horizontal="left" vertical="center" indent="1"/>
    </xf>
    <xf numFmtId="0" fontId="100" fillId="89" borderId="60" applyNumberFormat="0" applyProtection="0">
      <alignment horizontal="left" vertical="top" indent="1"/>
    </xf>
    <xf numFmtId="0" fontId="100" fillId="89" borderId="60" applyNumberFormat="0" applyProtection="0">
      <alignment horizontal="left" vertical="top" indent="1"/>
    </xf>
    <xf numFmtId="0" fontId="100" fillId="89" borderId="60" applyNumberFormat="0" applyProtection="0">
      <alignment horizontal="left" vertical="top" indent="1"/>
    </xf>
    <xf numFmtId="0" fontId="100" fillId="90" borderId="60" applyNumberFormat="0" applyProtection="0">
      <alignment horizontal="left" vertical="center" indent="1"/>
    </xf>
    <xf numFmtId="0" fontId="100" fillId="90" borderId="60" applyNumberFormat="0" applyProtection="0">
      <alignment horizontal="left" vertical="center" indent="1"/>
    </xf>
    <xf numFmtId="0" fontId="100" fillId="90" borderId="60" applyNumberFormat="0" applyProtection="0">
      <alignment horizontal="left" vertical="center" indent="1"/>
    </xf>
    <xf numFmtId="0" fontId="100" fillId="90" borderId="60" applyNumberFormat="0" applyProtection="0">
      <alignment horizontal="left" vertical="top" indent="1"/>
    </xf>
    <xf numFmtId="0" fontId="100" fillId="90" borderId="60" applyNumberFormat="0" applyProtection="0">
      <alignment horizontal="left" vertical="top" indent="1"/>
    </xf>
    <xf numFmtId="0" fontId="100" fillId="90" borderId="60" applyNumberFormat="0" applyProtection="0">
      <alignment horizontal="left" vertical="top" indent="1"/>
    </xf>
    <xf numFmtId="4" fontId="177" fillId="79" borderId="60" applyNumberFormat="0" applyProtection="0">
      <alignment vertical="center"/>
    </xf>
    <xf numFmtId="4" fontId="180" fillId="79" borderId="60" applyNumberFormat="0" applyProtection="0">
      <alignment vertical="center"/>
    </xf>
    <xf numFmtId="4" fontId="177" fillId="79" borderId="60" applyNumberFormat="0" applyProtection="0">
      <alignment horizontal="left" vertical="center" indent="1"/>
    </xf>
    <xf numFmtId="0" fontId="177" fillId="79" borderId="60" applyNumberFormat="0" applyProtection="0">
      <alignment horizontal="left" vertical="top" indent="1"/>
    </xf>
    <xf numFmtId="4" fontId="177" fillId="86" borderId="60" applyNumberFormat="0" applyProtection="0">
      <alignment horizontal="right" vertical="center"/>
    </xf>
    <xf numFmtId="4" fontId="177" fillId="91" borderId="48" applyNumberFormat="0" applyProtection="0">
      <alignment horizontal="right" vertical="center"/>
    </xf>
    <xf numFmtId="4" fontId="180" fillId="86" borderId="60" applyNumberFormat="0" applyProtection="0">
      <alignment horizontal="right" vertical="center"/>
    </xf>
    <xf numFmtId="4" fontId="177" fillId="88" borderId="60" applyNumberFormat="0" applyProtection="0">
      <alignment horizontal="left" vertical="center" indent="1"/>
    </xf>
    <xf numFmtId="0" fontId="177" fillId="83" borderId="60" applyNumberFormat="0" applyProtection="0">
      <alignment horizontal="left" vertical="top" indent="1"/>
    </xf>
    <xf numFmtId="4" fontId="181" fillId="92" borderId="0" applyNumberFormat="0" applyProtection="0">
      <alignment horizontal="left" vertical="center" indent="1"/>
    </xf>
    <xf numFmtId="4" fontId="182" fillId="86" borderId="60" applyNumberFormat="0" applyProtection="0">
      <alignment horizontal="right" vertical="center"/>
    </xf>
    <xf numFmtId="0" fontId="21" fillId="0" borderId="0" applyNumberFormat="0" applyFont="0" applyFill="0" applyBorder="0" applyAlignment="0" applyProtection="0"/>
    <xf numFmtId="0" fontId="183" fillId="0" borderId="0"/>
    <xf numFmtId="0" fontId="179" fillId="0" borderId="0">
      <alignment vertical="top"/>
    </xf>
    <xf numFmtId="0" fontId="184" fillId="0" borderId="62"/>
    <xf numFmtId="190" fontId="141" fillId="0" borderId="63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2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1" fillId="0" borderId="63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1" fillId="0" borderId="63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85" fillId="0" borderId="46" applyNumberFormat="0" applyFill="0" applyAlignment="0" applyProtection="0"/>
    <xf numFmtId="0" fontId="21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0" fontId="140" fillId="0" borderId="64" applyNumberFormat="0" applyFill="0" applyAlignment="0" applyProtection="0"/>
    <xf numFmtId="190" fontId="141" fillId="0" borderId="63" applyNumberFormat="0" applyFill="0" applyAlignment="0" applyProtection="0"/>
    <xf numFmtId="0" fontId="140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1" fillId="0" borderId="63" applyNumberFormat="0" applyFill="0" applyAlignment="0" applyProtection="0"/>
    <xf numFmtId="0" fontId="141" fillId="0" borderId="63" applyNumberFormat="0" applyFill="0" applyAlignment="0" applyProtection="0"/>
    <xf numFmtId="0" fontId="185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190" fontId="141" fillId="0" borderId="63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1" fillId="0" borderId="63" applyNumberFormat="0" applyFill="0" applyAlignment="0" applyProtection="0"/>
    <xf numFmtId="0" fontId="141" fillId="0" borderId="63" applyNumberFormat="0" applyFill="0" applyAlignment="0" applyProtection="0"/>
    <xf numFmtId="0" fontId="185" fillId="0" borderId="46" applyNumberFormat="0" applyFill="0" applyAlignment="0" applyProtection="0"/>
    <xf numFmtId="0" fontId="21" fillId="0" borderId="0" applyNumberFormat="0" applyFont="0" applyFill="0" applyBorder="0" applyAlignment="0" applyProtection="0"/>
    <xf numFmtId="0" fontId="22" fillId="0" borderId="46" applyNumberFormat="0" applyFill="0" applyAlignment="0" applyProtection="0"/>
    <xf numFmtId="0" fontId="185" fillId="0" borderId="46" applyNumberFormat="0" applyFill="0" applyAlignment="0" applyProtection="0"/>
    <xf numFmtId="0" fontId="21" fillId="0" borderId="46" applyNumberFormat="0" applyFill="0" applyAlignment="0" applyProtection="0"/>
    <xf numFmtId="0" fontId="21" fillId="0" borderId="46" applyNumberFormat="0" applyFill="0" applyAlignment="0" applyProtection="0"/>
    <xf numFmtId="0" fontId="185" fillId="0" borderId="46" applyNumberFormat="0" applyFill="0" applyAlignment="0" applyProtection="0"/>
    <xf numFmtId="0" fontId="21" fillId="0" borderId="46" applyNumberFormat="0" applyFill="0" applyAlignment="0" applyProtection="0"/>
    <xf numFmtId="19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19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90" fontId="18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190" fontId="18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90" fontId="189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90" fontId="18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9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4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90" fontId="192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9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3" fontId="196" fillId="0" borderId="0"/>
    <xf numFmtId="211" fontId="167" fillId="0" borderId="0">
      <alignment horizontal="left"/>
    </xf>
    <xf numFmtId="0" fontId="21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190" fontId="100" fillId="60" borderId="6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00" fillId="60" borderId="65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00" fillId="60" borderId="65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14" fillId="60" borderId="66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190" fontId="100" fillId="60" borderId="6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00" fillId="60" borderId="65" applyNumberFormat="0" applyFont="0" applyAlignment="0" applyProtection="0"/>
    <xf numFmtId="0" fontId="14" fillId="28" borderId="45" applyNumberFormat="0" applyFont="0" applyAlignment="0" applyProtection="0"/>
    <xf numFmtId="0" fontId="100" fillId="60" borderId="6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14" fillId="28" borderId="45" applyNumberFormat="0" applyFont="0" applyAlignment="0" applyProtection="0"/>
    <xf numFmtId="0" fontId="14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190" fontId="100" fillId="60" borderId="6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100" fillId="60" borderId="65" applyNumberFormat="0" applyFont="0" applyAlignment="0" applyProtection="0"/>
    <xf numFmtId="0" fontId="100" fillId="60" borderId="6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28" borderId="45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0" borderId="45" applyNumberFormat="0" applyFont="0" applyFill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21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21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0" fontId="3" fillId="28" borderId="45" applyNumberFormat="0" applyFont="0" applyAlignment="0" applyProtection="0"/>
    <xf numFmtId="196" fontId="144" fillId="0" borderId="0"/>
    <xf numFmtId="213" fontId="105" fillId="0" borderId="0" applyFont="0" applyFill="0" applyBorder="0" applyAlignment="0" applyProtection="0"/>
    <xf numFmtId="192" fontId="104" fillId="0" borderId="0" applyFont="0" applyFill="0" applyBorder="0" applyAlignment="0" applyProtection="0"/>
    <xf numFmtId="214" fontId="100" fillId="0" borderId="0" applyFont="0" applyFill="0" applyBorder="0" applyAlignment="0" applyProtection="0"/>
    <xf numFmtId="215" fontId="10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3" fillId="0" borderId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4" fontId="21" fillId="0" borderId="0" applyFont="0" applyFill="0" applyBorder="0" applyAlignment="0" applyProtection="0"/>
    <xf numFmtId="44" fontId="3" fillId="0" borderId="0" applyFont="0" applyFill="0" applyBorder="0" applyAlignment="0" applyProtection="0"/>
    <xf numFmtId="19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23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0" fontId="197" fillId="5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7" fillId="54" borderId="0" applyNumberFormat="0" applyBorder="0" applyAlignment="0" applyProtection="0"/>
    <xf numFmtId="0" fontId="197" fillId="54" borderId="0" applyNumberFormat="0" applyBorder="0" applyAlignment="0" applyProtection="0"/>
    <xf numFmtId="0" fontId="198" fillId="23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83" fillId="23" borderId="0" applyNumberFormat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23" borderId="0" applyNumberFormat="0" applyBorder="0" applyAlignment="0" applyProtection="0"/>
    <xf numFmtId="0" fontId="198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93" fillId="0" borderId="0" applyFont="0" applyFill="0" applyBorder="0" applyAlignment="0" applyProtection="0"/>
  </cellStyleXfs>
  <cellXfs count="740">
    <xf numFmtId="0" fontId="0" fillId="0" borderId="0" xfId="0"/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23" fillId="3" borderId="0" xfId="0" applyFont="1" applyFill="1" applyAlignment="1">
      <alignment vertical="center"/>
    </xf>
    <xf numFmtId="0" fontId="15" fillId="0" borderId="0" xfId="0" applyFont="1" applyFill="1" applyBorder="1" applyAlignment="1">
      <alignment vertical="center"/>
    </xf>
    <xf numFmtId="0" fontId="29" fillId="3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/>
    <xf numFmtId="0" fontId="30" fillId="3" borderId="4" xfId="0" applyFont="1" applyFill="1" applyBorder="1" applyAlignment="1">
      <alignment vertical="center" wrapText="1"/>
    </xf>
    <xf numFmtId="0" fontId="30" fillId="3" borderId="5" xfId="0" applyFont="1" applyFill="1" applyBorder="1" applyAlignment="1">
      <alignment vertical="center" wrapText="1"/>
    </xf>
    <xf numFmtId="0" fontId="19" fillId="3" borderId="0" xfId="0" applyFont="1" applyFill="1" applyAlignment="1">
      <alignment vertical="center"/>
    </xf>
    <xf numFmtId="0" fontId="19" fillId="3" borderId="0" xfId="0" applyFont="1" applyFill="1" applyBorder="1" applyAlignment="1">
      <alignment vertical="center"/>
    </xf>
    <xf numFmtId="0" fontId="19" fillId="3" borderId="0" xfId="0" applyFont="1" applyFill="1"/>
    <xf numFmtId="0" fontId="32" fillId="6" borderId="6" xfId="0" applyFont="1" applyFill="1" applyBorder="1" applyAlignment="1">
      <alignment vertical="center" wrapText="1"/>
    </xf>
    <xf numFmtId="0" fontId="19" fillId="3" borderId="0" xfId="0" applyFont="1" applyFill="1" applyBorder="1"/>
    <xf numFmtId="0" fontId="31" fillId="3" borderId="0" xfId="0" applyFont="1" applyFill="1"/>
    <xf numFmtId="0" fontId="0" fillId="3" borderId="0" xfId="0" applyFill="1"/>
    <xf numFmtId="0" fontId="36" fillId="3" borderId="0" xfId="0" applyFont="1" applyFill="1" applyAlignment="1">
      <alignment vertical="center"/>
    </xf>
    <xf numFmtId="0" fontId="37" fillId="3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22" fillId="3" borderId="23" xfId="0" applyFont="1" applyFill="1" applyBorder="1" applyAlignment="1">
      <alignment vertical="center" wrapText="1"/>
    </xf>
    <xf numFmtId="0" fontId="22" fillId="3" borderId="0" xfId="0" applyFont="1" applyFill="1" applyAlignment="1">
      <alignment vertical="center"/>
    </xf>
    <xf numFmtId="3" fontId="22" fillId="3" borderId="0" xfId="0" applyNumberFormat="1" applyFont="1" applyFill="1" applyBorder="1" applyAlignment="1">
      <alignment horizontal="right" vertical="center" wrapText="1"/>
    </xf>
    <xf numFmtId="3" fontId="36" fillId="3" borderId="0" xfId="0" applyNumberFormat="1" applyFont="1" applyFill="1" applyAlignment="1">
      <alignment horizontal="right"/>
    </xf>
    <xf numFmtId="0" fontId="41" fillId="3" borderId="0" xfId="0" applyFont="1" applyFill="1" applyAlignment="1"/>
    <xf numFmtId="3" fontId="32" fillId="3" borderId="0" xfId="0" applyNumberFormat="1" applyFont="1" applyFill="1" applyBorder="1" applyAlignment="1">
      <alignment horizontal="right"/>
    </xf>
    <xf numFmtId="3" fontId="36" fillId="3" borderId="0" xfId="0" applyNumberFormat="1" applyFont="1" applyFill="1" applyBorder="1" applyAlignment="1">
      <alignment horizontal="right"/>
    </xf>
    <xf numFmtId="0" fontId="37" fillId="3" borderId="0" xfId="0" applyFont="1" applyFill="1"/>
    <xf numFmtId="0" fontId="37" fillId="0" borderId="0" xfId="0" applyFont="1"/>
    <xf numFmtId="0" fontId="31" fillId="4" borderId="27" xfId="0" applyFont="1" applyFill="1" applyBorder="1" applyAlignment="1">
      <alignment horizontal="right" vertical="center"/>
    </xf>
    <xf numFmtId="0" fontId="46" fillId="3" borderId="0" xfId="0" applyFont="1" applyFill="1"/>
    <xf numFmtId="0" fontId="19" fillId="0" borderId="0" xfId="0" applyFont="1" applyBorder="1"/>
    <xf numFmtId="172" fontId="19" fillId="3" borderId="11" xfId="0" applyNumberFormat="1" applyFont="1" applyFill="1" applyBorder="1" applyAlignment="1">
      <alignment vertical="center"/>
    </xf>
    <xf numFmtId="169" fontId="19" fillId="3" borderId="0" xfId="0" applyNumberFormat="1" applyFont="1" applyFill="1" applyBorder="1" applyAlignment="1">
      <alignment vertical="center"/>
    </xf>
    <xf numFmtId="172" fontId="19" fillId="3" borderId="0" xfId="0" applyNumberFormat="1" applyFont="1" applyFill="1" applyBorder="1" applyAlignment="1">
      <alignment vertical="center"/>
    </xf>
    <xf numFmtId="173" fontId="44" fillId="3" borderId="0" xfId="1" applyNumberFormat="1" applyFont="1" applyFill="1" applyBorder="1" applyAlignment="1">
      <alignment horizontal="right" vertical="center"/>
    </xf>
    <xf numFmtId="173" fontId="19" fillId="3" borderId="0" xfId="0" applyNumberFormat="1" applyFont="1" applyFill="1" applyBorder="1" applyAlignment="1">
      <alignment vertical="center"/>
    </xf>
    <xf numFmtId="172" fontId="44" fillId="3" borderId="0" xfId="1" applyNumberFormat="1" applyFont="1" applyFill="1" applyBorder="1" applyAlignment="1">
      <alignment horizontal="right" vertical="center"/>
    </xf>
    <xf numFmtId="171" fontId="19" fillId="3" borderId="0" xfId="0" applyNumberFormat="1" applyFont="1" applyFill="1" applyBorder="1" applyAlignment="1">
      <alignment vertical="center"/>
    </xf>
    <xf numFmtId="172" fontId="46" fillId="3" borderId="0" xfId="0" applyNumberFormat="1" applyFont="1" applyFill="1" applyBorder="1" applyAlignment="1">
      <alignment vertical="center"/>
    </xf>
    <xf numFmtId="173" fontId="46" fillId="3" borderId="0" xfId="0" applyNumberFormat="1" applyFont="1" applyFill="1" applyBorder="1" applyAlignment="1">
      <alignment vertical="center"/>
    </xf>
    <xf numFmtId="171" fontId="19" fillId="3" borderId="18" xfId="0" applyNumberFormat="1" applyFont="1" applyFill="1" applyBorder="1" applyAlignment="1">
      <alignment vertical="center"/>
    </xf>
    <xf numFmtId="172" fontId="19" fillId="3" borderId="18" xfId="0" applyNumberFormat="1" applyFont="1" applyFill="1" applyBorder="1" applyAlignment="1">
      <alignment vertical="center"/>
    </xf>
    <xf numFmtId="164" fontId="44" fillId="3" borderId="0" xfId="0" applyNumberFormat="1" applyFont="1" applyFill="1" applyBorder="1" applyAlignment="1">
      <alignment horizontal="right" vertical="center"/>
    </xf>
    <xf numFmtId="169" fontId="46" fillId="3" borderId="0" xfId="0" applyNumberFormat="1" applyFont="1" applyFill="1" applyBorder="1" applyAlignment="1">
      <alignment vertical="center"/>
    </xf>
    <xf numFmtId="169" fontId="44" fillId="3" borderId="0" xfId="0" applyNumberFormat="1" applyFont="1" applyFill="1" applyBorder="1" applyAlignment="1">
      <alignment horizontal="right" vertical="center"/>
    </xf>
    <xf numFmtId="169" fontId="19" fillId="3" borderId="0" xfId="0" applyNumberFormat="1" applyFont="1" applyFill="1" applyAlignment="1">
      <alignment vertical="center"/>
    </xf>
    <xf numFmtId="164" fontId="47" fillId="3" borderId="0" xfId="0" applyNumberFormat="1" applyFont="1" applyFill="1" applyBorder="1" applyAlignment="1">
      <alignment horizontal="right" vertical="center"/>
    </xf>
    <xf numFmtId="164" fontId="48" fillId="3" borderId="0" xfId="0" applyNumberFormat="1" applyFont="1" applyFill="1" applyBorder="1" applyAlignment="1">
      <alignment horizontal="right" vertical="center"/>
    </xf>
    <xf numFmtId="0" fontId="19" fillId="3" borderId="4" xfId="0" applyFont="1" applyFill="1" applyBorder="1" applyAlignment="1">
      <alignment horizontal="left" vertical="center"/>
    </xf>
    <xf numFmtId="0" fontId="19" fillId="3" borderId="3" xfId="0" applyFont="1" applyFill="1" applyBorder="1" applyAlignment="1">
      <alignment horizontal="left" vertical="center"/>
    </xf>
    <xf numFmtId="0" fontId="19" fillId="3" borderId="5" xfId="0" applyFont="1" applyFill="1" applyBorder="1" applyAlignment="1">
      <alignment horizontal="left" vertical="center"/>
    </xf>
    <xf numFmtId="0" fontId="19" fillId="3" borderId="0" xfId="0" applyFont="1" applyFill="1" applyAlignment="1">
      <alignment horizontal="left" vertical="center"/>
    </xf>
    <xf numFmtId="169" fontId="31" fillId="12" borderId="7" xfId="0" applyNumberFormat="1" applyFont="1" applyFill="1" applyBorder="1" applyAlignment="1">
      <alignment vertical="center"/>
    </xf>
    <xf numFmtId="172" fontId="31" fillId="12" borderId="7" xfId="0" applyNumberFormat="1" applyFont="1" applyFill="1" applyBorder="1" applyAlignment="1">
      <alignment vertical="center"/>
    </xf>
    <xf numFmtId="0" fontId="45" fillId="3" borderId="3" xfId="0" applyFont="1" applyFill="1" applyBorder="1" applyAlignment="1">
      <alignment horizontal="left" vertical="center" indent="2"/>
    </xf>
    <xf numFmtId="171" fontId="19" fillId="3" borderId="11" xfId="0" applyNumberFormat="1" applyFont="1" applyFill="1" applyBorder="1" applyAlignment="1">
      <alignment vertical="center"/>
    </xf>
    <xf numFmtId="0" fontId="31" fillId="4" borderId="26" xfId="0" applyFont="1" applyFill="1" applyBorder="1" applyAlignment="1">
      <alignment horizontal="left" vertical="center"/>
    </xf>
    <xf numFmtId="172" fontId="31" fillId="4" borderId="27" xfId="0" applyNumberFormat="1" applyFont="1" applyFill="1" applyBorder="1" applyAlignment="1">
      <alignment vertical="center"/>
    </xf>
    <xf numFmtId="167" fontId="19" fillId="3" borderId="0" xfId="0" applyNumberFormat="1" applyFont="1" applyFill="1" applyBorder="1" applyAlignment="1">
      <alignment horizontal="right" vertical="center"/>
    </xf>
    <xf numFmtId="169" fontId="19" fillId="3" borderId="0" xfId="0" applyNumberFormat="1" applyFont="1" applyFill="1" applyBorder="1" applyAlignment="1">
      <alignment horizontal="right" vertical="center"/>
    </xf>
    <xf numFmtId="172" fontId="19" fillId="3" borderId="0" xfId="0" applyNumberFormat="1" applyFont="1" applyFill="1" applyBorder="1" applyAlignment="1">
      <alignment horizontal="right" vertical="center"/>
    </xf>
    <xf numFmtId="174" fontId="19" fillId="3" borderId="0" xfId="0" applyNumberFormat="1" applyFont="1" applyFill="1" applyBorder="1" applyAlignment="1">
      <alignment vertical="center"/>
    </xf>
    <xf numFmtId="174" fontId="46" fillId="3" borderId="0" xfId="0" applyNumberFormat="1" applyFont="1" applyFill="1" applyBorder="1" applyAlignment="1">
      <alignment vertical="center"/>
    </xf>
    <xf numFmtId="0" fontId="32" fillId="3" borderId="7" xfId="0" applyFont="1" applyFill="1" applyBorder="1" applyAlignment="1">
      <alignment vertical="center"/>
    </xf>
    <xf numFmtId="0" fontId="19" fillId="3" borderId="7" xfId="0" applyFont="1" applyFill="1" applyBorder="1"/>
    <xf numFmtId="0" fontId="19" fillId="3" borderId="7" xfId="0" applyFont="1" applyFill="1" applyBorder="1" applyAlignment="1">
      <alignment horizontal="right"/>
    </xf>
    <xf numFmtId="169" fontId="19" fillId="3" borderId="11" xfId="0" applyNumberFormat="1" applyFont="1" applyFill="1" applyBorder="1" applyAlignment="1">
      <alignment vertical="center"/>
    </xf>
    <xf numFmtId="174" fontId="19" fillId="3" borderId="11" xfId="0" applyNumberFormat="1" applyFont="1" applyFill="1" applyBorder="1" applyAlignment="1">
      <alignment vertical="center"/>
    </xf>
    <xf numFmtId="0" fontId="31" fillId="3" borderId="3" xfId="0" applyFont="1" applyFill="1" applyBorder="1" applyAlignment="1">
      <alignment horizontal="left" vertical="center"/>
    </xf>
    <xf numFmtId="0" fontId="31" fillId="13" borderId="27" xfId="0" applyFont="1" applyFill="1" applyBorder="1" applyAlignment="1">
      <alignment horizontal="right" vertical="center"/>
    </xf>
    <xf numFmtId="0" fontId="19" fillId="14" borderId="7" xfId="0" applyFont="1" applyFill="1" applyBorder="1"/>
    <xf numFmtId="173" fontId="19" fillId="14" borderId="0" xfId="0" applyNumberFormat="1" applyFont="1" applyFill="1" applyBorder="1" applyAlignment="1">
      <alignment vertical="center"/>
    </xf>
    <xf numFmtId="173" fontId="46" fillId="14" borderId="0" xfId="0" applyNumberFormat="1" applyFont="1" applyFill="1" applyBorder="1" applyAlignment="1">
      <alignment vertical="center"/>
    </xf>
    <xf numFmtId="173" fontId="44" fillId="14" borderId="0" xfId="1" applyNumberFormat="1" applyFont="1" applyFill="1" applyBorder="1" applyAlignment="1">
      <alignment horizontal="right" vertical="center"/>
    </xf>
    <xf numFmtId="164" fontId="44" fillId="14" borderId="0" xfId="0" applyNumberFormat="1" applyFont="1" applyFill="1" applyBorder="1" applyAlignment="1">
      <alignment horizontal="right" vertical="center"/>
    </xf>
    <xf numFmtId="172" fontId="31" fillId="12" borderId="8" xfId="0" applyNumberFormat="1" applyFont="1" applyFill="1" applyBorder="1" applyAlignment="1">
      <alignment vertical="center"/>
    </xf>
    <xf numFmtId="0" fontId="31" fillId="13" borderId="28" xfId="0" applyFont="1" applyFill="1" applyBorder="1" applyAlignment="1">
      <alignment horizontal="right" vertical="center"/>
    </xf>
    <xf numFmtId="0" fontId="31" fillId="4" borderId="26" xfId="0" applyFont="1" applyFill="1" applyBorder="1" applyAlignment="1">
      <alignment horizontal="right" vertical="center"/>
    </xf>
    <xf numFmtId="0" fontId="31" fillId="13" borderId="28" xfId="0" applyFont="1" applyFill="1" applyBorder="1" applyAlignment="1">
      <alignment horizontal="right" vertical="center" wrapText="1"/>
    </xf>
    <xf numFmtId="0" fontId="19" fillId="3" borderId="6" xfId="0" applyFont="1" applyFill="1" applyBorder="1"/>
    <xf numFmtId="0" fontId="19" fillId="14" borderId="8" xfId="0" applyFont="1" applyFill="1" applyBorder="1"/>
    <xf numFmtId="172" fontId="19" fillId="14" borderId="10" xfId="0" applyNumberFormat="1" applyFont="1" applyFill="1" applyBorder="1" applyAlignment="1">
      <alignment vertical="center"/>
    </xf>
    <xf numFmtId="173" fontId="44" fillId="3" borderId="3" xfId="1" applyNumberFormat="1" applyFont="1" applyFill="1" applyBorder="1" applyAlignment="1">
      <alignment horizontal="right" vertical="center"/>
    </xf>
    <xf numFmtId="173" fontId="46" fillId="3" borderId="3" xfId="0" applyNumberFormat="1" applyFont="1" applyFill="1" applyBorder="1" applyAlignment="1">
      <alignment vertical="center"/>
    </xf>
    <xf numFmtId="172" fontId="46" fillId="14" borderId="10" xfId="0" applyNumberFormat="1" applyFont="1" applyFill="1" applyBorder="1" applyAlignment="1">
      <alignment vertical="center"/>
    </xf>
    <xf numFmtId="172" fontId="19" fillId="14" borderId="19" xfId="0" applyNumberFormat="1" applyFont="1" applyFill="1" applyBorder="1" applyAlignment="1">
      <alignment vertical="center"/>
    </xf>
    <xf numFmtId="172" fontId="19" fillId="14" borderId="12" xfId="0" applyNumberFormat="1" applyFont="1" applyFill="1" applyBorder="1" applyAlignment="1">
      <alignment vertical="center"/>
    </xf>
    <xf numFmtId="173" fontId="19" fillId="14" borderId="10" xfId="0" applyNumberFormat="1" applyFont="1" applyFill="1" applyBorder="1" applyAlignment="1">
      <alignment vertical="center"/>
    </xf>
    <xf numFmtId="172" fontId="31" fillId="13" borderId="28" xfId="0" applyNumberFormat="1" applyFont="1" applyFill="1" applyBorder="1" applyAlignment="1">
      <alignment vertical="center"/>
    </xf>
    <xf numFmtId="174" fontId="19" fillId="14" borderId="12" xfId="0" applyNumberFormat="1" applyFont="1" applyFill="1" applyBorder="1" applyAlignment="1">
      <alignment vertical="center"/>
    </xf>
    <xf numFmtId="164" fontId="44" fillId="3" borderId="3" xfId="0" applyNumberFormat="1" applyFont="1" applyFill="1" applyBorder="1" applyAlignment="1">
      <alignment horizontal="right" vertical="center"/>
    </xf>
    <xf numFmtId="164" fontId="44" fillId="14" borderId="10" xfId="0" applyNumberFormat="1" applyFont="1" applyFill="1" applyBorder="1" applyAlignment="1">
      <alignment horizontal="right" vertical="center"/>
    </xf>
    <xf numFmtId="169" fontId="19" fillId="14" borderId="10" xfId="0" applyNumberFormat="1" applyFont="1" applyFill="1" applyBorder="1" applyAlignment="1">
      <alignment vertical="center"/>
    </xf>
    <xf numFmtId="176" fontId="19" fillId="14" borderId="10" xfId="0" applyNumberFormat="1" applyFont="1" applyFill="1" applyBorder="1" applyAlignment="1">
      <alignment vertical="center"/>
    </xf>
    <xf numFmtId="174" fontId="19" fillId="14" borderId="10" xfId="0" applyNumberFormat="1" applyFont="1" applyFill="1" applyBorder="1" applyAlignment="1">
      <alignment vertical="center"/>
    </xf>
    <xf numFmtId="174" fontId="46" fillId="14" borderId="10" xfId="0" applyNumberFormat="1" applyFont="1" applyFill="1" applyBorder="1" applyAlignment="1">
      <alignment vertical="center"/>
    </xf>
    <xf numFmtId="173" fontId="19" fillId="3" borderId="3" xfId="0" applyNumberFormat="1" applyFont="1" applyFill="1" applyBorder="1" applyAlignment="1">
      <alignment vertical="center"/>
    </xf>
    <xf numFmtId="173" fontId="46" fillId="14" borderId="10" xfId="0" applyNumberFormat="1" applyFont="1" applyFill="1" applyBorder="1" applyAlignment="1">
      <alignment vertical="center"/>
    </xf>
    <xf numFmtId="173" fontId="44" fillId="14" borderId="10" xfId="1" applyNumberFormat="1" applyFont="1" applyFill="1" applyBorder="1" applyAlignment="1">
      <alignment horizontal="right" vertical="center"/>
    </xf>
    <xf numFmtId="0" fontId="31" fillId="4" borderId="27" xfId="0" applyFont="1" applyFill="1" applyBorder="1" applyAlignment="1">
      <alignment horizontal="center" vertical="center" wrapText="1"/>
    </xf>
    <xf numFmtId="0" fontId="31" fillId="4" borderId="26" xfId="0" applyFont="1" applyFill="1" applyBorder="1" applyAlignment="1">
      <alignment horizontal="center" vertical="center" wrapText="1"/>
    </xf>
    <xf numFmtId="0" fontId="31" fillId="4" borderId="28" xfId="0" applyFont="1" applyFill="1" applyBorder="1" applyAlignment="1">
      <alignment horizontal="center" vertical="center" wrapText="1"/>
    </xf>
    <xf numFmtId="0" fontId="31" fillId="15" borderId="27" xfId="0" applyFont="1" applyFill="1" applyBorder="1" applyAlignment="1">
      <alignment horizontal="center" vertical="center" wrapText="1"/>
    </xf>
    <xf numFmtId="0" fontId="50" fillId="11" borderId="13" xfId="0" applyFont="1" applyFill="1" applyBorder="1" applyAlignment="1">
      <alignment horizontal="center" vertical="center"/>
    </xf>
    <xf numFmtId="0" fontId="50" fillId="11" borderId="0" xfId="0" applyFont="1" applyFill="1" applyBorder="1" applyAlignment="1">
      <alignment horizontal="center" vertical="center"/>
    </xf>
    <xf numFmtId="0" fontId="50" fillId="11" borderId="14" xfId="0" applyFont="1" applyFill="1" applyBorder="1" applyAlignment="1">
      <alignment horizontal="center" vertical="center"/>
    </xf>
    <xf numFmtId="0" fontId="50" fillId="11" borderId="11" xfId="0" applyFont="1" applyFill="1" applyBorder="1" applyAlignment="1">
      <alignment horizontal="center" vertical="center"/>
    </xf>
    <xf numFmtId="0" fontId="51" fillId="3" borderId="9" xfId="0" applyFont="1" applyFill="1" applyBorder="1" applyAlignment="1">
      <alignment horizontal="left" vertical="center" wrapText="1"/>
    </xf>
    <xf numFmtId="3" fontId="51" fillId="17" borderId="6" xfId="0" applyNumberFormat="1" applyFont="1" applyFill="1" applyBorder="1" applyAlignment="1">
      <alignment horizontal="center" vertical="center" wrapText="1"/>
    </xf>
    <xf numFmtId="3" fontId="51" fillId="17" borderId="7" xfId="0" applyNumberFormat="1" applyFont="1" applyFill="1" applyBorder="1" applyAlignment="1">
      <alignment horizontal="center" vertical="center" wrapText="1"/>
    </xf>
    <xf numFmtId="3" fontId="51" fillId="18" borderId="8" xfId="0" applyNumberFormat="1" applyFont="1" applyFill="1" applyBorder="1" applyAlignment="1">
      <alignment horizontal="center" vertical="center" wrapText="1"/>
    </xf>
    <xf numFmtId="3" fontId="51" fillId="3" borderId="6" xfId="0" applyNumberFormat="1" applyFont="1" applyFill="1" applyBorder="1" applyAlignment="1">
      <alignment horizontal="right" vertical="center" wrapText="1"/>
    </xf>
    <xf numFmtId="3" fontId="51" fillId="3" borderId="7" xfId="0" applyNumberFormat="1" applyFont="1" applyFill="1" applyBorder="1" applyAlignment="1">
      <alignment horizontal="right" vertical="center" wrapText="1"/>
    </xf>
    <xf numFmtId="0" fontId="53" fillId="2" borderId="3" xfId="0" applyFont="1" applyFill="1" applyBorder="1" applyAlignment="1">
      <alignment horizontal="left" vertical="center" wrapText="1"/>
    </xf>
    <xf numFmtId="3" fontId="28" fillId="2" borderId="3" xfId="0" applyNumberFormat="1" applyFont="1" applyFill="1" applyBorder="1" applyAlignment="1">
      <alignment horizontal="right" vertical="center" wrapText="1"/>
    </xf>
    <xf numFmtId="3" fontId="28" fillId="2" borderId="0" xfId="0" applyNumberFormat="1" applyFont="1" applyFill="1" applyBorder="1" applyAlignment="1">
      <alignment horizontal="right" vertical="center" wrapText="1"/>
    </xf>
    <xf numFmtId="3" fontId="28" fillId="19" borderId="0" xfId="0" applyNumberFormat="1" applyFont="1" applyFill="1" applyBorder="1" applyAlignment="1">
      <alignment horizontal="right" vertical="center" wrapText="1"/>
    </xf>
    <xf numFmtId="3" fontId="28" fillId="2" borderId="4" xfId="0" applyNumberFormat="1" applyFont="1" applyFill="1" applyBorder="1" applyAlignment="1">
      <alignment horizontal="right" vertical="center" wrapText="1"/>
    </xf>
    <xf numFmtId="168" fontId="28" fillId="2" borderId="3" xfId="6" applyNumberFormat="1" applyFont="1" applyFill="1" applyBorder="1" applyAlignment="1">
      <alignment horizontal="right" vertical="center" wrapText="1"/>
    </xf>
    <xf numFmtId="3" fontId="28" fillId="19" borderId="10" xfId="0" applyNumberFormat="1" applyFont="1" applyFill="1" applyBorder="1" applyAlignment="1">
      <alignment horizontal="right" vertical="center" wrapText="1"/>
    </xf>
    <xf numFmtId="0" fontId="26" fillId="3" borderId="3" xfId="0" applyFont="1" applyFill="1" applyBorder="1" applyAlignment="1">
      <alignment horizontal="left" vertical="center" wrapText="1"/>
    </xf>
    <xf numFmtId="3" fontId="51" fillId="3" borderId="3" xfId="0" applyNumberFormat="1" applyFont="1" applyFill="1" applyBorder="1" applyAlignment="1">
      <alignment horizontal="right" vertical="center" wrapText="1"/>
    </xf>
    <xf numFmtId="3" fontId="51" fillId="3" borderId="0" xfId="0" applyNumberFormat="1" applyFont="1" applyFill="1" applyBorder="1" applyAlignment="1">
      <alignment horizontal="right" vertical="center" wrapText="1"/>
    </xf>
    <xf numFmtId="3" fontId="51" fillId="18" borderId="0" xfId="0" applyNumberFormat="1" applyFont="1" applyFill="1" applyBorder="1" applyAlignment="1">
      <alignment horizontal="right" vertical="center" wrapText="1"/>
    </xf>
    <xf numFmtId="3" fontId="51" fillId="18" borderId="10" xfId="0" applyNumberFormat="1" applyFont="1" applyFill="1" applyBorder="1" applyAlignment="1">
      <alignment horizontal="right" vertical="center" wrapText="1"/>
    </xf>
    <xf numFmtId="0" fontId="54" fillId="3" borderId="3" xfId="0" applyFont="1" applyFill="1" applyBorder="1" applyAlignment="1">
      <alignment horizontal="left" vertical="center" wrapText="1" indent="1"/>
    </xf>
    <xf numFmtId="3" fontId="28" fillId="3" borderId="3" xfId="0" applyNumberFormat="1" applyFont="1" applyFill="1" applyBorder="1" applyAlignment="1">
      <alignment horizontal="right" vertical="center" wrapText="1"/>
    </xf>
    <xf numFmtId="3" fontId="28" fillId="3" borderId="0" xfId="0" applyNumberFormat="1" applyFont="1" applyFill="1" applyBorder="1" applyAlignment="1">
      <alignment horizontal="right" vertical="center" wrapText="1"/>
    </xf>
    <xf numFmtId="3" fontId="28" fillId="18" borderId="0" xfId="0" applyNumberFormat="1" applyFont="1" applyFill="1" applyBorder="1" applyAlignment="1">
      <alignment horizontal="right" vertical="center" wrapText="1"/>
    </xf>
    <xf numFmtId="3" fontId="41" fillId="3" borderId="0" xfId="0" applyNumberFormat="1" applyFont="1" applyFill="1" applyBorder="1" applyAlignment="1">
      <alignment horizontal="right" vertical="center" wrapText="1"/>
    </xf>
    <xf numFmtId="3" fontId="28" fillId="18" borderId="10" xfId="0" applyNumberFormat="1" applyFont="1" applyFill="1" applyBorder="1" applyAlignment="1">
      <alignment horizontal="right" vertical="center" wrapText="1"/>
    </xf>
    <xf numFmtId="0" fontId="55" fillId="3" borderId="3" xfId="0" applyFont="1" applyFill="1" applyBorder="1" applyAlignment="1">
      <alignment horizontal="left" vertical="center" wrapText="1" indent="3"/>
    </xf>
    <xf numFmtId="3" fontId="56" fillId="3" borderId="3" xfId="0" applyNumberFormat="1" applyFont="1" applyFill="1" applyBorder="1" applyAlignment="1">
      <alignment horizontal="right" vertical="center" wrapText="1"/>
    </xf>
    <xf numFmtId="3" fontId="56" fillId="3" borderId="0" xfId="0" applyNumberFormat="1" applyFont="1" applyFill="1" applyBorder="1" applyAlignment="1">
      <alignment horizontal="right" vertical="center" wrapText="1"/>
    </xf>
    <xf numFmtId="3" fontId="56" fillId="18" borderId="0" xfId="0" applyNumberFormat="1" applyFont="1" applyFill="1" applyBorder="1" applyAlignment="1">
      <alignment horizontal="right" vertical="center" wrapText="1"/>
    </xf>
    <xf numFmtId="3" fontId="20" fillId="3" borderId="0" xfId="0" applyNumberFormat="1" applyFont="1" applyFill="1" applyBorder="1" applyAlignment="1">
      <alignment horizontal="right" vertical="center" wrapText="1"/>
    </xf>
    <xf numFmtId="3" fontId="56" fillId="18" borderId="10" xfId="0" applyNumberFormat="1" applyFont="1" applyFill="1" applyBorder="1" applyAlignment="1">
      <alignment horizontal="right" vertical="center" wrapText="1"/>
    </xf>
    <xf numFmtId="3" fontId="56" fillId="0" borderId="0" xfId="0" applyNumberFormat="1" applyFont="1" applyFill="1" applyBorder="1" applyAlignment="1">
      <alignment horizontal="right" vertical="center" wrapText="1"/>
    </xf>
    <xf numFmtId="3" fontId="28" fillId="3" borderId="29" xfId="0" applyNumberFormat="1" applyFont="1" applyFill="1" applyBorder="1" applyAlignment="1">
      <alignment horizontal="right" vertical="center" wrapText="1"/>
    </xf>
    <xf numFmtId="3" fontId="28" fillId="3" borderId="30" xfId="0" applyNumberFormat="1" applyFont="1" applyFill="1" applyBorder="1" applyAlignment="1">
      <alignment horizontal="right" vertical="center" wrapText="1"/>
    </xf>
    <xf numFmtId="0" fontId="26" fillId="3" borderId="31" xfId="0" applyFont="1" applyFill="1" applyBorder="1" applyAlignment="1">
      <alignment horizontal="left" vertical="center" wrapText="1"/>
    </xf>
    <xf numFmtId="3" fontId="51" fillId="3" borderId="32" xfId="0" applyNumberFormat="1" applyFont="1" applyFill="1" applyBorder="1" applyAlignment="1">
      <alignment horizontal="right" vertical="center" wrapText="1"/>
    </xf>
    <xf numFmtId="3" fontId="51" fillId="3" borderId="33" xfId="0" applyNumberFormat="1" applyFont="1" applyFill="1" applyBorder="1" applyAlignment="1">
      <alignment horizontal="right" vertical="center" wrapText="1"/>
    </xf>
    <xf numFmtId="3" fontId="51" fillId="18" borderId="33" xfId="0" applyNumberFormat="1" applyFont="1" applyFill="1" applyBorder="1" applyAlignment="1">
      <alignment horizontal="right" vertical="center" wrapText="1"/>
    </xf>
    <xf numFmtId="3" fontId="27" fillId="3" borderId="33" xfId="0" applyNumberFormat="1" applyFont="1" applyFill="1" applyBorder="1" applyAlignment="1">
      <alignment horizontal="right" vertical="center" wrapText="1"/>
    </xf>
    <xf numFmtId="3" fontId="51" fillId="18" borderId="34" xfId="0" applyNumberFormat="1" applyFont="1" applyFill="1" applyBorder="1" applyAlignment="1">
      <alignment horizontal="right" vertical="center" wrapText="1"/>
    </xf>
    <xf numFmtId="166" fontId="28" fillId="3" borderId="4" xfId="0" applyNumberFormat="1" applyFont="1" applyFill="1" applyBorder="1" applyAlignment="1">
      <alignment horizontal="right" vertical="center" wrapText="1"/>
    </xf>
    <xf numFmtId="166" fontId="28" fillId="3" borderId="11" xfId="0" applyNumberFormat="1" applyFont="1" applyFill="1" applyBorder="1" applyAlignment="1">
      <alignment horizontal="right" vertical="center" wrapText="1"/>
    </xf>
    <xf numFmtId="166" fontId="28" fillId="18" borderId="11" xfId="0" applyNumberFormat="1" applyFont="1" applyFill="1" applyBorder="1" applyAlignment="1">
      <alignment horizontal="right" vertical="center" wrapText="1"/>
    </xf>
    <xf numFmtId="169" fontId="41" fillId="3" borderId="0" xfId="0" applyNumberFormat="1" applyFont="1" applyFill="1" applyBorder="1" applyAlignment="1">
      <alignment horizontal="right" vertical="center" wrapText="1"/>
    </xf>
    <xf numFmtId="166" fontId="28" fillId="18" borderId="12" xfId="0" applyNumberFormat="1" applyFont="1" applyFill="1" applyBorder="1" applyAlignment="1">
      <alignment horizontal="right" vertical="center" wrapText="1"/>
    </xf>
    <xf numFmtId="0" fontId="54" fillId="3" borderId="3" xfId="0" applyFont="1" applyFill="1" applyBorder="1" applyAlignment="1">
      <alignment horizontal="left" vertical="center" wrapText="1"/>
    </xf>
    <xf numFmtId="3" fontId="28" fillId="17" borderId="3" xfId="0" applyNumberFormat="1" applyFont="1" applyFill="1" applyBorder="1" applyAlignment="1">
      <alignment horizontal="right" vertical="center" wrapText="1"/>
    </xf>
    <xf numFmtId="3" fontId="28" fillId="17" borderId="0" xfId="0" applyNumberFormat="1" applyFont="1" applyFill="1" applyBorder="1" applyAlignment="1">
      <alignment horizontal="right" vertical="center" wrapText="1"/>
    </xf>
    <xf numFmtId="168" fontId="28" fillId="3" borderId="0" xfId="0" applyNumberFormat="1" applyFont="1" applyFill="1" applyBorder="1" applyAlignment="1">
      <alignment horizontal="right" vertical="center" wrapText="1"/>
    </xf>
    <xf numFmtId="168" fontId="28" fillId="18" borderId="0" xfId="0" applyNumberFormat="1" applyFont="1" applyFill="1" applyBorder="1" applyAlignment="1">
      <alignment horizontal="right" vertical="center" wrapText="1"/>
    </xf>
    <xf numFmtId="168" fontId="28" fillId="3" borderId="3" xfId="0" applyNumberFormat="1" applyFont="1" applyFill="1" applyBorder="1" applyAlignment="1">
      <alignment horizontal="right" vertical="center" wrapText="1"/>
    </xf>
    <xf numFmtId="168" fontId="41" fillId="3" borderId="0" xfId="0" applyNumberFormat="1" applyFont="1" applyFill="1" applyBorder="1" applyAlignment="1">
      <alignment horizontal="right" vertical="center" wrapText="1"/>
    </xf>
    <xf numFmtId="168" fontId="28" fillId="18" borderId="10" xfId="0" applyNumberFormat="1" applyFont="1" applyFill="1" applyBorder="1" applyAlignment="1">
      <alignment horizontal="right" vertical="center" wrapText="1"/>
    </xf>
    <xf numFmtId="2" fontId="28" fillId="3" borderId="5" xfId="0" applyNumberFormat="1" applyFont="1" applyFill="1" applyBorder="1" applyAlignment="1">
      <alignment horizontal="right" vertical="center" wrapText="1"/>
    </xf>
    <xf numFmtId="2" fontId="28" fillId="3" borderId="18" xfId="0" applyNumberFormat="1" applyFont="1" applyFill="1" applyBorder="1" applyAlignment="1">
      <alignment horizontal="right" vertical="center" wrapText="1"/>
    </xf>
    <xf numFmtId="2" fontId="28" fillId="18" borderId="19" xfId="0" applyNumberFormat="1" applyFont="1" applyFill="1" applyBorder="1" applyAlignment="1">
      <alignment horizontal="right" vertical="center" wrapText="1"/>
    </xf>
    <xf numFmtId="4" fontId="41" fillId="3" borderId="18" xfId="0" applyNumberFormat="1" applyFont="1" applyFill="1" applyBorder="1" applyAlignment="1">
      <alignment horizontal="right" vertical="center" wrapText="1"/>
    </xf>
    <xf numFmtId="0" fontId="26" fillId="3" borderId="4" xfId="0" applyFont="1" applyFill="1" applyBorder="1" applyAlignment="1">
      <alignment horizontal="left" vertical="center"/>
    </xf>
    <xf numFmtId="3" fontId="51" fillId="3" borderId="4" xfId="0" applyNumberFormat="1" applyFont="1" applyFill="1" applyBorder="1" applyAlignment="1">
      <alignment horizontal="right" vertical="center" wrapText="1"/>
    </xf>
    <xf numFmtId="3" fontId="51" fillId="3" borderId="11" xfId="0" applyNumberFormat="1" applyFont="1" applyFill="1" applyBorder="1" applyAlignment="1">
      <alignment horizontal="right" vertical="center" wrapText="1"/>
    </xf>
    <xf numFmtId="3" fontId="56" fillId="3" borderId="3" xfId="6" applyNumberFormat="1" applyFont="1" applyFill="1" applyBorder="1" applyAlignment="1">
      <alignment horizontal="right" vertical="center" wrapText="1"/>
    </xf>
    <xf numFmtId="3" fontId="28" fillId="3" borderId="3" xfId="6" applyNumberFormat="1" applyFont="1" applyFill="1" applyBorder="1" applyAlignment="1">
      <alignment horizontal="right" vertical="center" wrapText="1"/>
    </xf>
    <xf numFmtId="0" fontId="26" fillId="3" borderId="35" xfId="0" applyFont="1" applyFill="1" applyBorder="1" applyAlignment="1">
      <alignment horizontal="left" vertical="center" wrapText="1"/>
    </xf>
    <xf numFmtId="3" fontId="17" fillId="3" borderId="35" xfId="0" applyNumberFormat="1" applyFont="1" applyFill="1" applyBorder="1" applyAlignment="1">
      <alignment vertical="center"/>
    </xf>
    <xf numFmtId="3" fontId="17" fillId="3" borderId="33" xfId="0" applyNumberFormat="1" applyFont="1" applyFill="1" applyBorder="1" applyAlignment="1">
      <alignment vertical="center"/>
    </xf>
    <xf numFmtId="3" fontId="17" fillId="18" borderId="33" xfId="0" applyNumberFormat="1" applyFont="1" applyFill="1" applyBorder="1" applyAlignment="1">
      <alignment vertical="center"/>
    </xf>
    <xf numFmtId="3" fontId="17" fillId="3" borderId="32" xfId="0" applyNumberFormat="1" applyFont="1" applyFill="1" applyBorder="1" applyAlignment="1">
      <alignment vertical="center"/>
    </xf>
    <xf numFmtId="3" fontId="17" fillId="18" borderId="34" xfId="0" applyNumberFormat="1" applyFont="1" applyFill="1" applyBorder="1" applyAlignment="1">
      <alignment vertical="center"/>
    </xf>
    <xf numFmtId="0" fontId="25" fillId="2" borderId="4" xfId="0" applyFont="1" applyFill="1" applyBorder="1" applyAlignment="1">
      <alignment horizontal="left" vertical="center" wrapText="1"/>
    </xf>
    <xf numFmtId="3" fontId="25" fillId="20" borderId="4" xfId="0" applyNumberFormat="1" applyFont="1" applyFill="1" applyBorder="1" applyAlignment="1">
      <alignment horizontal="right" vertical="center" wrapText="1"/>
    </xf>
    <xf numFmtId="3" fontId="25" fillId="20" borderId="11" xfId="0" applyNumberFormat="1" applyFont="1" applyFill="1" applyBorder="1" applyAlignment="1">
      <alignment horizontal="right" vertical="center" wrapText="1"/>
    </xf>
    <xf numFmtId="3" fontId="25" fillId="19" borderId="12" xfId="0" applyNumberFormat="1" applyFont="1" applyFill="1" applyBorder="1" applyAlignment="1">
      <alignment horizontal="right" vertical="center" wrapText="1"/>
    </xf>
    <xf numFmtId="166" fontId="58" fillId="2" borderId="4" xfId="0" applyNumberFormat="1" applyFont="1" applyFill="1" applyBorder="1" applyAlignment="1">
      <alignment horizontal="right" vertical="center" wrapText="1"/>
    </xf>
    <xf numFmtId="166" fontId="58" fillId="2" borderId="11" xfId="0" applyNumberFormat="1" applyFont="1" applyFill="1" applyBorder="1" applyAlignment="1">
      <alignment horizontal="right" vertical="center" wrapText="1"/>
    </xf>
    <xf numFmtId="166" fontId="25" fillId="2" borderId="0" xfId="0" applyNumberFormat="1" applyFont="1" applyFill="1" applyBorder="1" applyAlignment="1">
      <alignment horizontal="right" vertical="center" wrapText="1"/>
    </xf>
    <xf numFmtId="3" fontId="51" fillId="17" borderId="3" xfId="0" applyNumberFormat="1" applyFont="1" applyFill="1" applyBorder="1" applyAlignment="1">
      <alignment horizontal="right" vertical="center" wrapText="1"/>
    </xf>
    <xf numFmtId="3" fontId="51" fillId="17" borderId="0" xfId="0" applyNumberFormat="1" applyFont="1" applyFill="1" applyBorder="1" applyAlignment="1">
      <alignment horizontal="right" vertical="center" wrapText="1"/>
    </xf>
    <xf numFmtId="3" fontId="28" fillId="17" borderId="5" xfId="0" applyNumberFormat="1" applyFont="1" applyFill="1" applyBorder="1" applyAlignment="1">
      <alignment horizontal="right" vertical="center" wrapText="1"/>
    </xf>
    <xf numFmtId="3" fontId="28" fillId="17" borderId="18" xfId="0" applyNumberFormat="1" applyFont="1" applyFill="1" applyBorder="1" applyAlignment="1">
      <alignment horizontal="right" vertical="center" wrapText="1"/>
    </xf>
    <xf numFmtId="0" fontId="54" fillId="3" borderId="6" xfId="0" applyFont="1" applyFill="1" applyBorder="1" applyAlignment="1">
      <alignment horizontal="left" vertical="center" wrapText="1"/>
    </xf>
    <xf numFmtId="3" fontId="28" fillId="17" borderId="6" xfId="0" applyNumberFormat="1" applyFont="1" applyFill="1" applyBorder="1" applyAlignment="1">
      <alignment horizontal="right" vertical="center" wrapText="1"/>
    </xf>
    <xf numFmtId="3" fontId="28" fillId="17" borderId="7" xfId="0" applyNumberFormat="1" applyFont="1" applyFill="1" applyBorder="1" applyAlignment="1">
      <alignment horizontal="right" vertical="center" wrapText="1"/>
    </xf>
    <xf numFmtId="3" fontId="28" fillId="18" borderId="8" xfId="0" applyNumberFormat="1" applyFont="1" applyFill="1" applyBorder="1" applyAlignment="1">
      <alignment horizontal="right" vertical="center" wrapText="1"/>
    </xf>
    <xf numFmtId="166" fontId="28" fillId="3" borderId="6" xfId="0" applyNumberFormat="1" applyFont="1" applyFill="1" applyBorder="1" applyAlignment="1">
      <alignment horizontal="right" vertical="center" wrapText="1"/>
    </xf>
    <xf numFmtId="166" fontId="28" fillId="3" borderId="7" xfId="0" applyNumberFormat="1" applyFont="1" applyFill="1" applyBorder="1" applyAlignment="1">
      <alignment horizontal="right" vertical="center" wrapText="1"/>
    </xf>
    <xf numFmtId="169" fontId="28" fillId="18" borderId="8" xfId="0" applyNumberFormat="1" applyFont="1" applyFill="1" applyBorder="1" applyAlignment="1">
      <alignment horizontal="right" vertical="center" wrapText="1"/>
    </xf>
    <xf numFmtId="0" fontId="28" fillId="3" borderId="7" xfId="0" applyFont="1" applyFill="1" applyBorder="1" applyAlignment="1">
      <alignment horizontal="right" vertical="center" wrapText="1"/>
    </xf>
    <xf numFmtId="0" fontId="26" fillId="3" borderId="4" xfId="0" applyFont="1" applyFill="1" applyBorder="1" applyAlignment="1">
      <alignment horizontal="left" vertical="center" wrapText="1"/>
    </xf>
    <xf numFmtId="3" fontId="51" fillId="17" borderId="4" xfId="0" applyNumberFormat="1" applyFont="1" applyFill="1" applyBorder="1" applyAlignment="1">
      <alignment horizontal="right" vertical="center" wrapText="1"/>
    </xf>
    <xf numFmtId="3" fontId="51" fillId="17" borderId="11" xfId="0" applyNumberFormat="1" applyFont="1" applyFill="1" applyBorder="1" applyAlignment="1">
      <alignment horizontal="right" vertical="center" wrapText="1"/>
    </xf>
    <xf numFmtId="3" fontId="51" fillId="18" borderId="12" xfId="0" applyNumberFormat="1" applyFont="1" applyFill="1" applyBorder="1" applyAlignment="1">
      <alignment horizontal="right" vertical="center" wrapText="1"/>
    </xf>
    <xf numFmtId="0" fontId="54" fillId="3" borderId="5" xfId="0" applyFont="1" applyFill="1" applyBorder="1" applyAlignment="1">
      <alignment horizontal="left" vertical="center" wrapText="1" indent="1"/>
    </xf>
    <xf numFmtId="3" fontId="28" fillId="18" borderId="19" xfId="0" applyNumberFormat="1" applyFont="1" applyFill="1" applyBorder="1" applyAlignment="1">
      <alignment horizontal="right" vertical="center" wrapText="1"/>
    </xf>
    <xf numFmtId="3" fontId="28" fillId="3" borderId="5" xfId="0" applyNumberFormat="1" applyFont="1" applyFill="1" applyBorder="1" applyAlignment="1">
      <alignment horizontal="right" vertical="center" wrapText="1"/>
    </xf>
    <xf numFmtId="3" fontId="28" fillId="3" borderId="18" xfId="0" applyNumberFormat="1" applyFont="1" applyFill="1" applyBorder="1" applyAlignment="1">
      <alignment horizontal="right" vertical="center" wrapText="1"/>
    </xf>
    <xf numFmtId="3" fontId="41" fillId="3" borderId="18" xfId="0" applyNumberFormat="1" applyFont="1" applyFill="1" applyBorder="1" applyAlignment="1">
      <alignment horizontal="right" vertical="center" wrapText="1"/>
    </xf>
    <xf numFmtId="0" fontId="15" fillId="3" borderId="0" xfId="0" applyFont="1" applyFill="1" applyAlignment="1">
      <alignment vertical="center"/>
    </xf>
    <xf numFmtId="0" fontId="15" fillId="3" borderId="0" xfId="0" applyFont="1" applyFill="1" applyBorder="1" applyAlignment="1">
      <alignment vertical="center"/>
    </xf>
    <xf numFmtId="0" fontId="15" fillId="3" borderId="0" xfId="0" applyFont="1" applyFill="1" applyBorder="1" applyAlignment="1">
      <alignment vertical="top"/>
    </xf>
    <xf numFmtId="0" fontId="15" fillId="3" borderId="0" xfId="0" applyFont="1" applyFill="1" applyAlignment="1">
      <alignment vertical="top"/>
    </xf>
    <xf numFmtId="0" fontId="22" fillId="3" borderId="22" xfId="0" applyFont="1" applyFill="1" applyBorder="1" applyAlignment="1">
      <alignment vertical="center" wrapText="1"/>
    </xf>
    <xf numFmtId="10" fontId="22" fillId="2" borderId="0" xfId="0" applyNumberFormat="1" applyFont="1" applyFill="1" applyAlignment="1">
      <alignment horizontal="right" vertical="center" wrapText="1" indent="1"/>
    </xf>
    <xf numFmtId="0" fontId="24" fillId="3" borderId="23" xfId="0" applyFont="1" applyFill="1" applyBorder="1" applyAlignment="1">
      <alignment vertical="center" wrapText="1"/>
    </xf>
    <xf numFmtId="0" fontId="0" fillId="3" borderId="0" xfId="0" applyFill="1" applyAlignment="1">
      <alignment wrapText="1"/>
    </xf>
    <xf numFmtId="0" fontId="0" fillId="3" borderId="0" xfId="0" applyFont="1" applyFill="1" applyAlignment="1">
      <alignment vertical="top"/>
    </xf>
    <xf numFmtId="0" fontId="34" fillId="5" borderId="18" xfId="0" applyFont="1" applyFill="1" applyBorder="1" applyAlignment="1">
      <alignment horizontal="right" vertical="center"/>
    </xf>
    <xf numFmtId="0" fontId="30" fillId="4" borderId="18" xfId="0" applyFont="1" applyFill="1" applyBorder="1" applyAlignment="1">
      <alignment horizontal="right" vertical="center" wrapText="1"/>
    </xf>
    <xf numFmtId="0" fontId="35" fillId="4" borderId="19" xfId="0" applyFont="1" applyFill="1" applyBorder="1" applyAlignment="1">
      <alignment horizontal="right" vertical="center" wrapText="1"/>
    </xf>
    <xf numFmtId="166" fontId="32" fillId="6" borderId="11" xfId="0" applyNumberFormat="1" applyFont="1" applyFill="1" applyBorder="1" applyAlignment="1">
      <alignment vertical="center" wrapText="1"/>
    </xf>
    <xf numFmtId="0" fontId="30" fillId="3" borderId="6" xfId="0" applyFont="1" applyFill="1" applyBorder="1" applyAlignment="1">
      <alignment vertical="center"/>
    </xf>
    <xf numFmtId="0" fontId="19" fillId="3" borderId="3" xfId="0" applyFont="1" applyFill="1" applyBorder="1" applyAlignment="1">
      <alignment vertical="center"/>
    </xf>
    <xf numFmtId="0" fontId="19" fillId="3" borderId="3" xfId="0" applyFont="1" applyFill="1" applyBorder="1" applyAlignment="1">
      <alignment vertical="center" wrapText="1"/>
    </xf>
    <xf numFmtId="0" fontId="31" fillId="3" borderId="15" xfId="0" applyFont="1" applyFill="1" applyBorder="1" applyAlignment="1">
      <alignment vertical="center"/>
    </xf>
    <xf numFmtId="0" fontId="59" fillId="5" borderId="6" xfId="0" applyFont="1" applyFill="1" applyBorder="1" applyAlignment="1">
      <alignment horizontal="right" vertical="center"/>
    </xf>
    <xf numFmtId="0" fontId="24" fillId="4" borderId="7" xfId="0" applyFont="1" applyFill="1" applyBorder="1" applyAlignment="1">
      <alignment horizontal="right" vertical="center" wrapText="1"/>
    </xf>
    <xf numFmtId="0" fontId="60" fillId="4" borderId="8" xfId="0" applyFont="1" applyFill="1" applyBorder="1" applyAlignment="1">
      <alignment horizontal="right" vertical="center" wrapText="1"/>
    </xf>
    <xf numFmtId="0" fontId="31" fillId="15" borderId="28" xfId="0" applyFont="1" applyFill="1" applyBorder="1" applyAlignment="1">
      <alignment horizontal="center" vertical="center" wrapText="1"/>
    </xf>
    <xf numFmtId="180" fontId="19" fillId="14" borderId="10" xfId="0" applyNumberFormat="1" applyFont="1" applyFill="1" applyBorder="1" applyAlignment="1">
      <alignment vertical="center"/>
    </xf>
    <xf numFmtId="180" fontId="46" fillId="14" borderId="10" xfId="0" applyNumberFormat="1" applyFont="1" applyFill="1" applyBorder="1" applyAlignment="1">
      <alignment vertical="center"/>
    </xf>
    <xf numFmtId="180" fontId="31" fillId="12" borderId="8" xfId="0" applyNumberFormat="1" applyFont="1" applyFill="1" applyBorder="1" applyAlignment="1">
      <alignment vertical="center"/>
    </xf>
    <xf numFmtId="180" fontId="31" fillId="4" borderId="28" xfId="0" applyNumberFormat="1" applyFont="1" applyFill="1" applyBorder="1" applyAlignment="1">
      <alignment vertical="center"/>
    </xf>
    <xf numFmtId="180" fontId="19" fillId="14" borderId="12" xfId="0" applyNumberFormat="1" applyFont="1" applyFill="1" applyBorder="1" applyAlignment="1">
      <alignment vertical="center"/>
    </xf>
    <xf numFmtId="181" fontId="31" fillId="12" borderId="8" xfId="0" applyNumberFormat="1" applyFont="1" applyFill="1" applyBorder="1" applyAlignment="1">
      <alignment vertical="center"/>
    </xf>
    <xf numFmtId="181" fontId="19" fillId="14" borderId="10" xfId="0" applyNumberFormat="1" applyFont="1" applyFill="1" applyBorder="1" applyAlignment="1">
      <alignment vertical="center"/>
    </xf>
    <xf numFmtId="181" fontId="33" fillId="14" borderId="10" xfId="0" applyNumberFormat="1" applyFont="1" applyFill="1" applyBorder="1" applyAlignment="1">
      <alignment horizontal="right" vertical="center"/>
    </xf>
    <xf numFmtId="181" fontId="31" fillId="4" borderId="28" xfId="0" applyNumberFormat="1" applyFont="1" applyFill="1" applyBorder="1" applyAlignment="1">
      <alignment vertical="center"/>
    </xf>
    <xf numFmtId="181" fontId="31" fillId="3" borderId="6" xfId="0" applyNumberFormat="1" applyFont="1" applyFill="1" applyBorder="1" applyAlignment="1">
      <alignment vertical="center"/>
    </xf>
    <xf numFmtId="181" fontId="31" fillId="3" borderId="7" xfId="0" applyNumberFormat="1" applyFont="1" applyFill="1" applyBorder="1" applyAlignment="1">
      <alignment vertical="center"/>
    </xf>
    <xf numFmtId="181" fontId="31" fillId="2" borderId="8" xfId="0" applyNumberFormat="1" applyFont="1" applyFill="1" applyBorder="1" applyAlignment="1">
      <alignment vertical="center"/>
    </xf>
    <xf numFmtId="181" fontId="19" fillId="3" borderId="3" xfId="0" applyNumberFormat="1" applyFont="1" applyFill="1" applyBorder="1" applyAlignment="1">
      <alignment vertical="center"/>
    </xf>
    <xf numFmtId="181" fontId="19" fillId="3" borderId="0" xfId="0" applyNumberFormat="1" applyFont="1" applyFill="1" applyBorder="1" applyAlignment="1">
      <alignment vertical="center"/>
    </xf>
    <xf numFmtId="181" fontId="19" fillId="2" borderId="10" xfId="0" applyNumberFormat="1" applyFont="1" applyFill="1" applyBorder="1" applyAlignment="1">
      <alignment vertical="center"/>
    </xf>
    <xf numFmtId="181" fontId="31" fillId="12" borderId="6" xfId="0" applyNumberFormat="1" applyFont="1" applyFill="1" applyBorder="1" applyAlignment="1">
      <alignment vertical="center"/>
    </xf>
    <xf numFmtId="181" fontId="31" fillId="12" borderId="7" xfId="0" applyNumberFormat="1" applyFont="1" applyFill="1" applyBorder="1" applyAlignment="1">
      <alignment vertical="center"/>
    </xf>
    <xf numFmtId="181" fontId="31" fillId="7" borderId="8" xfId="0" applyNumberFormat="1" applyFont="1" applyFill="1" applyBorder="1" applyAlignment="1">
      <alignment vertical="center"/>
    </xf>
    <xf numFmtId="181" fontId="31" fillId="3" borderId="15" xfId="0" applyNumberFormat="1" applyFont="1" applyFill="1" applyBorder="1" applyAlignment="1">
      <alignment vertical="center"/>
    </xf>
    <xf numFmtId="181" fontId="31" fillId="3" borderId="2" xfId="0" applyNumberFormat="1" applyFont="1" applyFill="1" applyBorder="1" applyAlignment="1">
      <alignment vertical="center"/>
    </xf>
    <xf numFmtId="181" fontId="31" fillId="2" borderId="16" xfId="0" applyNumberFormat="1" applyFont="1" applyFill="1" applyBorder="1" applyAlignment="1">
      <alignment vertical="center"/>
    </xf>
    <xf numFmtId="181" fontId="31" fillId="2" borderId="7" xfId="0" applyNumberFormat="1" applyFont="1" applyFill="1" applyBorder="1" applyAlignment="1">
      <alignment vertical="center"/>
    </xf>
    <xf numFmtId="181" fontId="19" fillId="3" borderId="0" xfId="0" applyNumberFormat="1" applyFont="1" applyFill="1" applyAlignment="1">
      <alignment vertical="center"/>
    </xf>
    <xf numFmtId="181" fontId="19" fillId="2" borderId="0" xfId="0" applyNumberFormat="1" applyFont="1" applyFill="1" applyAlignment="1">
      <alignment vertical="center"/>
    </xf>
    <xf numFmtId="181" fontId="31" fillId="7" borderId="7" xfId="0" applyNumberFormat="1" applyFont="1" applyFill="1" applyBorder="1" applyAlignment="1">
      <alignment vertical="center"/>
    </xf>
    <xf numFmtId="181" fontId="31" fillId="2" borderId="2" xfId="0" applyNumberFormat="1" applyFont="1" applyFill="1" applyBorder="1" applyAlignment="1">
      <alignment vertical="center"/>
    </xf>
    <xf numFmtId="181" fontId="19" fillId="2" borderId="0" xfId="0" applyNumberFormat="1" applyFont="1" applyFill="1" applyBorder="1" applyAlignment="1">
      <alignment vertical="center"/>
    </xf>
    <xf numFmtId="182" fontId="19" fillId="3" borderId="0" xfId="0" applyNumberFormat="1" applyFont="1" applyFill="1" applyBorder="1" applyAlignment="1">
      <alignment vertical="center"/>
    </xf>
    <xf numFmtId="182" fontId="19" fillId="3" borderId="10" xfId="0" applyNumberFormat="1" applyFont="1" applyFill="1" applyBorder="1" applyAlignment="1">
      <alignment vertical="center"/>
    </xf>
    <xf numFmtId="182" fontId="19" fillId="3" borderId="3" xfId="0" applyNumberFormat="1" applyFont="1" applyFill="1" applyBorder="1" applyAlignment="1">
      <alignment vertical="center"/>
    </xf>
    <xf numFmtId="182" fontId="19" fillId="3" borderId="0" xfId="0" applyNumberFormat="1" applyFont="1" applyFill="1" applyAlignment="1">
      <alignment vertical="center"/>
    </xf>
    <xf numFmtId="182" fontId="19" fillId="3" borderId="18" xfId="0" applyNumberFormat="1" applyFont="1" applyFill="1" applyBorder="1" applyAlignment="1">
      <alignment vertical="center"/>
    </xf>
    <xf numFmtId="181" fontId="19" fillId="0" borderId="0" xfId="0" applyNumberFormat="1" applyFont="1" applyFill="1" applyBorder="1" applyAlignment="1">
      <alignment vertical="center"/>
    </xf>
    <xf numFmtId="181" fontId="38" fillId="3" borderId="10" xfId="0" applyNumberFormat="1" applyFont="1" applyFill="1" applyBorder="1" applyAlignment="1">
      <alignment horizontal="right" vertical="center"/>
    </xf>
    <xf numFmtId="181" fontId="38" fillId="3" borderId="19" xfId="0" applyNumberFormat="1" applyFont="1" applyFill="1" applyBorder="1" applyAlignment="1">
      <alignment vertical="center"/>
    </xf>
    <xf numFmtId="181" fontId="38" fillId="3" borderId="10" xfId="0" applyNumberFormat="1" applyFont="1" applyFill="1" applyBorder="1" applyAlignment="1">
      <alignment horizontal="right" vertical="center" wrapText="1"/>
    </xf>
    <xf numFmtId="181" fontId="39" fillId="3" borderId="10" xfId="0" applyNumberFormat="1" applyFont="1" applyFill="1" applyBorder="1" applyAlignment="1">
      <alignment horizontal="right" vertical="center" wrapText="1"/>
    </xf>
    <xf numFmtId="181" fontId="38" fillId="3" borderId="12" xfId="0" applyNumberFormat="1" applyFont="1" applyFill="1" applyBorder="1" applyAlignment="1">
      <alignment horizontal="right" vertical="center" wrapText="1"/>
    </xf>
    <xf numFmtId="181" fontId="38" fillId="3" borderId="28" xfId="0" applyNumberFormat="1" applyFont="1" applyFill="1" applyBorder="1" applyAlignment="1">
      <alignment horizontal="right" vertical="center" wrapText="1"/>
    </xf>
    <xf numFmtId="180" fontId="19" fillId="3" borderId="0" xfId="0" applyNumberFormat="1" applyFont="1" applyFill="1" applyBorder="1" applyAlignment="1">
      <alignment vertical="center"/>
    </xf>
    <xf numFmtId="180" fontId="44" fillId="3" borderId="0" xfId="1" applyNumberFormat="1" applyFont="1" applyFill="1" applyBorder="1" applyAlignment="1">
      <alignment horizontal="right" vertical="center"/>
    </xf>
    <xf numFmtId="180" fontId="46" fillId="3" borderId="0" xfId="0" applyNumberFormat="1" applyFont="1" applyFill="1" applyBorder="1" applyAlignment="1">
      <alignment vertical="center"/>
    </xf>
    <xf numFmtId="180" fontId="19" fillId="3" borderId="18" xfId="0" applyNumberFormat="1" applyFont="1" applyFill="1" applyBorder="1" applyAlignment="1">
      <alignment vertical="center"/>
    </xf>
    <xf numFmtId="180" fontId="31" fillId="12" borderId="7" xfId="0" applyNumberFormat="1" applyFont="1" applyFill="1" applyBorder="1" applyAlignment="1">
      <alignment vertical="center"/>
    </xf>
    <xf numFmtId="180" fontId="19" fillId="3" borderId="11" xfId="0" applyNumberFormat="1" applyFont="1" applyFill="1" applyBorder="1" applyAlignment="1">
      <alignment vertical="center"/>
    </xf>
    <xf numFmtId="180" fontId="31" fillId="4" borderId="27" xfId="0" applyNumberFormat="1" applyFont="1" applyFill="1" applyBorder="1" applyAlignment="1">
      <alignment vertical="center"/>
    </xf>
    <xf numFmtId="180" fontId="19" fillId="3" borderId="7" xfId="0" applyNumberFormat="1" applyFont="1" applyFill="1" applyBorder="1"/>
    <xf numFmtId="180" fontId="44" fillId="3" borderId="0" xfId="0" applyNumberFormat="1" applyFont="1" applyFill="1" applyBorder="1" applyAlignment="1">
      <alignment horizontal="right" vertical="center"/>
    </xf>
    <xf numFmtId="180" fontId="19" fillId="3" borderId="0" xfId="0" applyNumberFormat="1" applyFont="1" applyFill="1" applyBorder="1" applyAlignment="1">
      <alignment horizontal="right" vertical="center"/>
    </xf>
    <xf numFmtId="180" fontId="47" fillId="3" borderId="0" xfId="0" applyNumberFormat="1" applyFont="1" applyFill="1" applyBorder="1" applyAlignment="1">
      <alignment horizontal="right" vertical="center"/>
    </xf>
    <xf numFmtId="180" fontId="33" fillId="3" borderId="0" xfId="0" applyNumberFormat="1" applyFont="1" applyFill="1" applyBorder="1" applyAlignment="1">
      <alignment horizontal="right" vertical="center"/>
    </xf>
    <xf numFmtId="0" fontId="66" fillId="3" borderId="0" xfId="0" applyFont="1" applyFill="1"/>
    <xf numFmtId="0" fontId="34" fillId="4" borderId="2" xfId="0" applyFont="1" applyFill="1" applyBorder="1" applyAlignment="1">
      <alignment horizontal="right" vertical="center"/>
    </xf>
    <xf numFmtId="170" fontId="34" fillId="6" borderId="7" xfId="0" applyNumberFormat="1" applyFont="1" applyFill="1" applyBorder="1" applyAlignment="1">
      <alignment vertical="center"/>
    </xf>
    <xf numFmtId="170" fontId="66" fillId="3" borderId="0" xfId="0" applyNumberFormat="1" applyFont="1" applyFill="1" applyBorder="1" applyAlignment="1">
      <alignment horizontal="right" vertical="center"/>
    </xf>
    <xf numFmtId="176" fontId="34" fillId="6" borderId="7" xfId="0" applyNumberFormat="1" applyFont="1" applyFill="1" applyBorder="1" applyAlignment="1">
      <alignment vertical="center"/>
    </xf>
    <xf numFmtId="176" fontId="66" fillId="3" borderId="0" xfId="0" applyNumberFormat="1" applyFont="1" applyFill="1" applyBorder="1" applyAlignment="1">
      <alignment horizontal="right" vertical="center"/>
    </xf>
    <xf numFmtId="178" fontId="34" fillId="3" borderId="0" xfId="0" applyNumberFormat="1" applyFont="1" applyFill="1" applyBorder="1" applyAlignment="1">
      <alignment vertical="center"/>
    </xf>
    <xf numFmtId="0" fontId="66" fillId="3" borderId="0" xfId="0" applyFont="1" applyFill="1" applyAlignment="1">
      <alignment vertical="center"/>
    </xf>
    <xf numFmtId="0" fontId="66" fillId="0" borderId="0" xfId="0" applyFont="1" applyAlignment="1">
      <alignment vertical="center"/>
    </xf>
    <xf numFmtId="172" fontId="19" fillId="14" borderId="10" xfId="0" applyNumberFormat="1" applyFont="1" applyFill="1" applyBorder="1" applyAlignment="1">
      <alignment horizontal="right" vertical="center"/>
    </xf>
    <xf numFmtId="172" fontId="19" fillId="14" borderId="0" xfId="0" applyNumberFormat="1" applyFont="1" applyFill="1" applyBorder="1" applyAlignment="1">
      <alignment horizontal="right" vertical="center"/>
    </xf>
    <xf numFmtId="172" fontId="19" fillId="3" borderId="3" xfId="0" applyNumberFormat="1" applyFont="1" applyFill="1" applyBorder="1" applyAlignment="1">
      <alignment horizontal="right" vertical="center"/>
    </xf>
    <xf numFmtId="172" fontId="31" fillId="12" borderId="6" xfId="0" applyNumberFormat="1" applyFont="1" applyFill="1" applyBorder="1" applyAlignment="1">
      <alignment vertical="center"/>
    </xf>
    <xf numFmtId="172" fontId="31" fillId="13" borderId="27" xfId="0" applyNumberFormat="1" applyFont="1" applyFill="1" applyBorder="1" applyAlignment="1">
      <alignment vertical="center"/>
    </xf>
    <xf numFmtId="172" fontId="31" fillId="4" borderId="26" xfId="0" applyNumberFormat="1" applyFont="1" applyFill="1" applyBorder="1" applyAlignment="1">
      <alignment vertical="center"/>
    </xf>
    <xf numFmtId="166" fontId="19" fillId="3" borderId="0" xfId="0" applyNumberFormat="1" applyFont="1" applyFill="1" applyBorder="1" applyAlignment="1">
      <alignment horizontal="right" vertical="center"/>
    </xf>
    <xf numFmtId="166" fontId="19" fillId="14" borderId="10" xfId="0" applyNumberFormat="1" applyFont="1" applyFill="1" applyBorder="1" applyAlignment="1">
      <alignment horizontal="right" vertical="center"/>
    </xf>
    <xf numFmtId="166" fontId="19" fillId="14" borderId="0" xfId="0" applyNumberFormat="1" applyFont="1" applyFill="1" applyBorder="1" applyAlignment="1">
      <alignment horizontal="right" vertical="center"/>
    </xf>
    <xf numFmtId="166" fontId="19" fillId="3" borderId="3" xfId="0" applyNumberFormat="1" applyFont="1" applyFill="1" applyBorder="1" applyAlignment="1">
      <alignment horizontal="right" vertical="center"/>
    </xf>
    <xf numFmtId="166" fontId="19" fillId="3" borderId="11" xfId="0" applyNumberFormat="1" applyFont="1" applyFill="1" applyBorder="1" applyAlignment="1">
      <alignment horizontal="right" vertical="center"/>
    </xf>
    <xf numFmtId="166" fontId="19" fillId="14" borderId="12" xfId="0" applyNumberFormat="1" applyFont="1" applyFill="1" applyBorder="1" applyAlignment="1">
      <alignment horizontal="right" vertical="center"/>
    </xf>
    <xf numFmtId="166" fontId="19" fillId="14" borderId="11" xfId="0" applyNumberFormat="1" applyFont="1" applyFill="1" applyBorder="1" applyAlignment="1">
      <alignment horizontal="right" vertical="center"/>
    </xf>
    <xf numFmtId="166" fontId="19" fillId="3" borderId="4" xfId="0" applyNumberFormat="1" applyFont="1" applyFill="1" applyBorder="1" applyAlignment="1">
      <alignment horizontal="right" vertical="center"/>
    </xf>
    <xf numFmtId="184" fontId="19" fillId="3" borderId="0" xfId="0" applyNumberFormat="1" applyFont="1" applyFill="1" applyBorder="1" applyAlignment="1">
      <alignment horizontal="right" vertical="center"/>
    </xf>
    <xf numFmtId="166" fontId="19" fillId="3" borderId="0" xfId="0" applyNumberFormat="1" applyFont="1" applyFill="1" applyBorder="1" applyAlignment="1">
      <alignment vertical="center"/>
    </xf>
    <xf numFmtId="166" fontId="19" fillId="14" borderId="10" xfId="0" applyNumberFormat="1" applyFont="1" applyFill="1" applyBorder="1" applyAlignment="1">
      <alignment vertical="center"/>
    </xf>
    <xf numFmtId="167" fontId="31" fillId="3" borderId="0" xfId="0" applyNumberFormat="1" applyFont="1" applyFill="1" applyBorder="1" applyAlignment="1">
      <alignment vertical="center"/>
    </xf>
    <xf numFmtId="167" fontId="31" fillId="14" borderId="0" xfId="0" applyNumberFormat="1" applyFont="1" applyFill="1" applyBorder="1" applyAlignment="1">
      <alignment vertical="center"/>
    </xf>
    <xf numFmtId="167" fontId="31" fillId="3" borderId="3" xfId="0" applyNumberFormat="1" applyFont="1" applyFill="1" applyBorder="1" applyAlignment="1">
      <alignment vertical="center"/>
    </xf>
    <xf numFmtId="181" fontId="31" fillId="3" borderId="8" xfId="0" applyNumberFormat="1" applyFont="1" applyFill="1" applyBorder="1" applyAlignment="1">
      <alignment vertical="center"/>
    </xf>
    <xf numFmtId="181" fontId="31" fillId="3" borderId="7" xfId="0" applyNumberFormat="1" applyFont="1" applyFill="1" applyBorder="1" applyAlignment="1">
      <alignment horizontal="right" vertical="center"/>
    </xf>
    <xf numFmtId="181" fontId="19" fillId="3" borderId="10" xfId="0" applyNumberFormat="1" applyFont="1" applyFill="1" applyBorder="1" applyAlignment="1">
      <alignment vertical="center"/>
    </xf>
    <xf numFmtId="181" fontId="31" fillId="3" borderId="16" xfId="0" applyNumberFormat="1" applyFont="1" applyFill="1" applyBorder="1" applyAlignment="1">
      <alignment vertical="center"/>
    </xf>
    <xf numFmtId="168" fontId="28" fillId="2" borderId="0" xfId="6" applyNumberFormat="1" applyFont="1" applyFill="1" applyBorder="1" applyAlignment="1">
      <alignment horizontal="right" vertical="center" wrapText="1"/>
    </xf>
    <xf numFmtId="3" fontId="56" fillId="3" borderId="0" xfId="6" applyNumberFormat="1" applyFont="1" applyFill="1" applyBorder="1" applyAlignment="1">
      <alignment horizontal="right" vertical="center" wrapText="1"/>
    </xf>
    <xf numFmtId="3" fontId="28" fillId="3" borderId="0" xfId="6" applyNumberFormat="1" applyFont="1" applyFill="1" applyBorder="1" applyAlignment="1">
      <alignment horizontal="right" vertical="center" wrapText="1"/>
    </xf>
    <xf numFmtId="0" fontId="50" fillId="11" borderId="7" xfId="0" applyFont="1" applyFill="1" applyBorder="1" applyAlignment="1">
      <alignment horizontal="center" vertical="center"/>
    </xf>
    <xf numFmtId="181" fontId="19" fillId="3" borderId="0" xfId="0" applyNumberFormat="1" applyFont="1" applyFill="1" applyBorder="1" applyAlignment="1">
      <alignment horizontal="right" vertical="center"/>
    </xf>
    <xf numFmtId="185" fontId="19" fillId="14" borderId="10" xfId="0" applyNumberFormat="1" applyFont="1" applyFill="1" applyBorder="1" applyAlignment="1">
      <alignment horizontal="right" vertical="center"/>
    </xf>
    <xf numFmtId="181" fontId="33" fillId="3" borderId="3" xfId="0" applyNumberFormat="1" applyFont="1" applyFill="1" applyBorder="1" applyAlignment="1">
      <alignment horizontal="right" vertical="center"/>
    </xf>
    <xf numFmtId="181" fontId="33" fillId="3" borderId="0" xfId="0" applyNumberFormat="1" applyFont="1" applyFill="1" applyBorder="1" applyAlignment="1">
      <alignment horizontal="right" vertical="center"/>
    </xf>
    <xf numFmtId="181" fontId="66" fillId="3" borderId="0" xfId="0" applyNumberFormat="1" applyFont="1" applyFill="1" applyBorder="1" applyAlignment="1">
      <alignment horizontal="right" vertical="center"/>
    </xf>
    <xf numFmtId="3" fontId="51" fillId="18" borderId="8" xfId="0" applyNumberFormat="1" applyFont="1" applyFill="1" applyBorder="1" applyAlignment="1">
      <alignment horizontal="right" vertical="center" wrapText="1"/>
    </xf>
    <xf numFmtId="0" fontId="67" fillId="3" borderId="0" xfId="0" applyFont="1" applyFill="1" applyAlignment="1">
      <alignment vertical="center"/>
    </xf>
    <xf numFmtId="0" fontId="19" fillId="3" borderId="0" xfId="0" applyFont="1" applyFill="1" applyBorder="1" applyAlignment="1">
      <alignment horizontal="right" vertical="center"/>
    </xf>
    <xf numFmtId="0" fontId="68" fillId="3" borderId="0" xfId="0" applyFont="1" applyFill="1"/>
    <xf numFmtId="0" fontId="11" fillId="3" borderId="0" xfId="0" applyFont="1" applyFill="1"/>
    <xf numFmtId="0" fontId="69" fillId="3" borderId="4" xfId="0" applyFont="1" applyFill="1" applyBorder="1" applyAlignment="1">
      <alignment vertical="center" wrapText="1"/>
    </xf>
    <xf numFmtId="0" fontId="69" fillId="3" borderId="5" xfId="0" applyFont="1" applyFill="1" applyBorder="1" applyAlignment="1">
      <alignment vertical="center" wrapText="1"/>
    </xf>
    <xf numFmtId="0" fontId="31" fillId="4" borderId="2" xfId="0" applyFont="1" applyFill="1" applyBorder="1" applyAlignment="1">
      <alignment horizontal="right" vertical="center"/>
    </xf>
    <xf numFmtId="0" fontId="31" fillId="4" borderId="15" xfId="0" applyFont="1" applyFill="1" applyBorder="1" applyAlignment="1">
      <alignment horizontal="right" vertical="center"/>
    </xf>
    <xf numFmtId="0" fontId="31" fillId="8" borderId="16" xfId="0" applyFont="1" applyFill="1" applyBorder="1" applyAlignment="1">
      <alignment horizontal="right" vertical="center"/>
    </xf>
    <xf numFmtId="0" fontId="71" fillId="6" borderId="6" xfId="0" applyFont="1" applyFill="1" applyBorder="1" applyAlignment="1">
      <alignment vertical="center" wrapText="1"/>
    </xf>
    <xf numFmtId="170" fontId="31" fillId="6" borderId="7" xfId="0" applyNumberFormat="1" applyFont="1" applyFill="1" applyBorder="1" applyAlignment="1">
      <alignment vertical="center"/>
    </xf>
    <xf numFmtId="170" fontId="31" fillId="9" borderId="7" xfId="0" applyNumberFormat="1" applyFont="1" applyFill="1" applyBorder="1" applyAlignment="1">
      <alignment horizontal="right" vertical="center"/>
    </xf>
    <xf numFmtId="170" fontId="31" fillId="6" borderId="6" xfId="0" applyNumberFormat="1" applyFont="1" applyFill="1" applyBorder="1" applyAlignment="1">
      <alignment vertical="center"/>
    </xf>
    <xf numFmtId="170" fontId="31" fillId="9" borderId="8" xfId="0" applyNumberFormat="1" applyFont="1" applyFill="1" applyBorder="1" applyAlignment="1">
      <alignment horizontal="right" vertical="center"/>
    </xf>
    <xf numFmtId="0" fontId="19" fillId="0" borderId="3" xfId="0" applyFont="1" applyFill="1" applyBorder="1" applyAlignment="1">
      <alignment horizontal="left" vertical="center" wrapText="1"/>
    </xf>
    <xf numFmtId="170" fontId="19" fillId="0" borderId="0" xfId="0" applyNumberFormat="1" applyFont="1" applyFill="1" applyBorder="1" applyAlignment="1">
      <alignment horizontal="right" vertical="center"/>
    </xf>
    <xf numFmtId="170" fontId="19" fillId="9" borderId="0" xfId="0" applyNumberFormat="1" applyFont="1" applyFill="1" applyBorder="1" applyAlignment="1">
      <alignment horizontal="right" vertical="center"/>
    </xf>
    <xf numFmtId="170" fontId="19" fillId="0" borderId="3" xfId="0" applyNumberFormat="1" applyFont="1" applyFill="1" applyBorder="1" applyAlignment="1">
      <alignment horizontal="right" vertical="center"/>
    </xf>
    <xf numFmtId="170" fontId="19" fillId="9" borderId="10" xfId="0" applyNumberFormat="1" applyFont="1" applyFill="1" applyBorder="1" applyAlignment="1">
      <alignment horizontal="right" vertical="center"/>
    </xf>
    <xf numFmtId="179" fontId="72" fillId="0" borderId="0" xfId="0" applyNumberFormat="1" applyFont="1" applyFill="1" applyAlignment="1">
      <alignment horizontal="right" vertical="center"/>
    </xf>
    <xf numFmtId="170" fontId="19" fillId="3" borderId="0" xfId="0" applyNumberFormat="1" applyFont="1" applyFill="1" applyBorder="1" applyAlignment="1">
      <alignment horizontal="right" vertical="center"/>
    </xf>
    <xf numFmtId="175" fontId="72" fillId="0" borderId="0" xfId="0" applyNumberFormat="1" applyFont="1" applyFill="1" applyAlignment="1">
      <alignment horizontal="right" vertical="center"/>
    </xf>
    <xf numFmtId="176" fontId="31" fillId="6" borderId="7" xfId="0" applyNumberFormat="1" applyFont="1" applyFill="1" applyBorder="1" applyAlignment="1">
      <alignment vertical="center"/>
    </xf>
    <xf numFmtId="176" fontId="31" fillId="7" borderId="7" xfId="0" applyNumberFormat="1" applyFont="1" applyFill="1" applyBorder="1" applyAlignment="1">
      <alignment vertical="center"/>
    </xf>
    <xf numFmtId="176" fontId="31" fillId="6" borderId="6" xfId="0" applyNumberFormat="1" applyFont="1" applyFill="1" applyBorder="1" applyAlignment="1">
      <alignment vertical="center"/>
    </xf>
    <xf numFmtId="176" fontId="31" fillId="7" borderId="8" xfId="0" applyNumberFormat="1" applyFont="1" applyFill="1" applyBorder="1" applyAlignment="1">
      <alignment vertical="center"/>
    </xf>
    <xf numFmtId="0" fontId="31" fillId="0" borderId="0" xfId="0" applyFont="1"/>
    <xf numFmtId="176" fontId="19" fillId="0" borderId="0" xfId="0" applyNumberFormat="1" applyFont="1" applyFill="1" applyBorder="1" applyAlignment="1">
      <alignment horizontal="right" vertical="center"/>
    </xf>
    <xf numFmtId="176" fontId="19" fillId="9" borderId="0" xfId="0" applyNumberFormat="1" applyFont="1" applyFill="1" applyBorder="1" applyAlignment="1">
      <alignment horizontal="right" vertical="center"/>
    </xf>
    <xf numFmtId="176" fontId="19" fillId="0" borderId="3" xfId="0" applyNumberFormat="1" applyFont="1" applyFill="1" applyBorder="1" applyAlignment="1">
      <alignment horizontal="right" vertical="center"/>
    </xf>
    <xf numFmtId="176" fontId="19" fillId="9" borderId="10" xfId="0" applyNumberFormat="1" applyFont="1" applyFill="1" applyBorder="1" applyAlignment="1">
      <alignment horizontal="right" vertical="center"/>
    </xf>
    <xf numFmtId="176" fontId="19" fillId="3" borderId="0" xfId="0" applyNumberFormat="1" applyFont="1" applyFill="1" applyBorder="1" applyAlignment="1">
      <alignment horizontal="right" vertical="center"/>
    </xf>
    <xf numFmtId="0" fontId="31" fillId="0" borderId="0" xfId="0" applyFont="1" applyFill="1"/>
    <xf numFmtId="170" fontId="31" fillId="7" borderId="7" xfId="0" applyNumberFormat="1" applyFont="1" applyFill="1" applyBorder="1" applyAlignment="1">
      <alignment horizontal="right" vertical="center"/>
    </xf>
    <xf numFmtId="170" fontId="31" fillId="7" borderId="8" xfId="0" applyNumberFormat="1" applyFont="1" applyFill="1" applyBorder="1" applyAlignment="1">
      <alignment horizontal="right" vertical="center"/>
    </xf>
    <xf numFmtId="181" fontId="19" fillId="9" borderId="10" xfId="0" applyNumberFormat="1" applyFont="1" applyFill="1" applyBorder="1" applyAlignment="1">
      <alignment horizontal="right" vertical="center"/>
    </xf>
    <xf numFmtId="175" fontId="44" fillId="0" borderId="0" xfId="0" applyNumberFormat="1" applyFont="1" applyFill="1" applyAlignment="1">
      <alignment horizontal="right" vertical="center"/>
    </xf>
    <xf numFmtId="0" fontId="71" fillId="0" borderId="3" xfId="0" applyFont="1" applyBorder="1" applyAlignment="1">
      <alignment vertical="center"/>
    </xf>
    <xf numFmtId="178" fontId="31" fillId="0" borderId="0" xfId="0" applyNumberFormat="1" applyFont="1" applyFill="1" applyBorder="1" applyAlignment="1">
      <alignment horizontal="right" vertical="center"/>
    </xf>
    <xf numFmtId="178" fontId="31" fillId="9" borderId="0" xfId="0" applyNumberFormat="1" applyFont="1" applyFill="1" applyBorder="1" applyAlignment="1">
      <alignment horizontal="right" vertical="center"/>
    </xf>
    <xf numFmtId="178" fontId="19" fillId="0" borderId="3" xfId="0" applyNumberFormat="1" applyFont="1" applyFill="1" applyBorder="1" applyAlignment="1">
      <alignment horizontal="right" vertical="center"/>
    </xf>
    <xf numFmtId="178" fontId="31" fillId="0" borderId="3" xfId="0" applyNumberFormat="1" applyFont="1" applyFill="1" applyBorder="1" applyAlignment="1">
      <alignment horizontal="right" vertical="center"/>
    </xf>
    <xf numFmtId="178" fontId="31" fillId="9" borderId="10" xfId="0" applyNumberFormat="1" applyFont="1" applyFill="1" applyBorder="1" applyAlignment="1">
      <alignment horizontal="right" vertical="center"/>
    </xf>
    <xf numFmtId="178" fontId="47" fillId="0" borderId="0" xfId="0" applyNumberFormat="1" applyFont="1" applyFill="1" applyAlignment="1">
      <alignment horizontal="right" vertical="center"/>
    </xf>
    <xf numFmtId="178" fontId="31" fillId="3" borderId="0" xfId="0" applyNumberFormat="1" applyFont="1" applyFill="1" applyBorder="1" applyAlignment="1">
      <alignment horizontal="right" vertical="center"/>
    </xf>
    <xf numFmtId="0" fontId="71" fillId="6" borderId="4" xfId="0" applyFont="1" applyFill="1" applyBorder="1" applyAlignment="1">
      <alignment vertical="center" wrapText="1"/>
    </xf>
    <xf numFmtId="0" fontId="71" fillId="6" borderId="11" xfId="0" applyFont="1" applyFill="1" applyBorder="1" applyAlignment="1">
      <alignment vertical="center" wrapText="1"/>
    </xf>
    <xf numFmtId="169" fontId="71" fillId="10" borderId="11" xfId="0" applyNumberFormat="1" applyFont="1" applyFill="1" applyBorder="1" applyAlignment="1">
      <alignment vertical="center" wrapText="1"/>
    </xf>
    <xf numFmtId="169" fontId="71" fillId="10" borderId="12" xfId="0" applyNumberFormat="1" applyFont="1" applyFill="1" applyBorder="1" applyAlignment="1">
      <alignment vertical="center" wrapText="1"/>
    </xf>
    <xf numFmtId="166" fontId="71" fillId="6" borderId="11" xfId="0" applyNumberFormat="1" applyFont="1" applyFill="1" applyBorder="1" applyAlignment="1">
      <alignment vertical="center" wrapText="1"/>
    </xf>
    <xf numFmtId="0" fontId="71" fillId="6" borderId="5" xfId="0" applyFont="1" applyFill="1" applyBorder="1" applyAlignment="1">
      <alignment vertical="center" wrapText="1"/>
    </xf>
    <xf numFmtId="168" fontId="71" fillId="6" borderId="5" xfId="2" applyNumberFormat="1" applyFont="1" applyFill="1" applyBorder="1" applyAlignment="1">
      <alignment vertical="center" wrapText="1"/>
    </xf>
    <xf numFmtId="168" fontId="71" fillId="6" borderId="18" xfId="2" applyNumberFormat="1" applyFont="1" applyFill="1" applyBorder="1" applyAlignment="1">
      <alignment vertical="center" wrapText="1"/>
    </xf>
    <xf numFmtId="168" fontId="71" fillId="10" borderId="19" xfId="2" applyNumberFormat="1" applyFont="1" applyFill="1" applyBorder="1" applyAlignment="1">
      <alignment vertical="center" wrapText="1"/>
    </xf>
    <xf numFmtId="168" fontId="71" fillId="10" borderId="18" xfId="2" applyNumberFormat="1" applyFont="1" applyFill="1" applyBorder="1" applyAlignment="1">
      <alignment vertical="center" wrapText="1"/>
    </xf>
    <xf numFmtId="168" fontId="32" fillId="6" borderId="18" xfId="2" applyNumberFormat="1" applyFont="1" applyFill="1" applyBorder="1" applyAlignment="1">
      <alignment vertical="center" wrapText="1"/>
    </xf>
    <xf numFmtId="0" fontId="19" fillId="0" borderId="0" xfId="0" applyFont="1" applyFill="1"/>
    <xf numFmtId="0" fontId="19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181" fontId="33" fillId="2" borderId="10" xfId="0" applyNumberFormat="1" applyFont="1" applyFill="1" applyBorder="1" applyAlignment="1">
      <alignment horizontal="right" vertical="center"/>
    </xf>
    <xf numFmtId="176" fontId="31" fillId="7" borderId="7" xfId="0" applyNumberFormat="1" applyFont="1" applyFill="1" applyBorder="1" applyAlignment="1">
      <alignment horizontal="right" vertical="center"/>
    </xf>
    <xf numFmtId="176" fontId="31" fillId="7" borderId="8" xfId="0" applyNumberFormat="1" applyFont="1" applyFill="1" applyBorder="1" applyAlignment="1">
      <alignment horizontal="right" vertical="center"/>
    </xf>
    <xf numFmtId="176" fontId="31" fillId="12" borderId="7" xfId="0" applyNumberFormat="1" applyFont="1" applyFill="1" applyBorder="1" applyAlignment="1">
      <alignment vertical="center"/>
    </xf>
    <xf numFmtId="181" fontId="34" fillId="12" borderId="7" xfId="0" applyNumberFormat="1" applyFont="1" applyFill="1" applyBorder="1" applyAlignment="1">
      <alignment vertical="center"/>
    </xf>
    <xf numFmtId="181" fontId="46" fillId="14" borderId="10" xfId="0" applyNumberFormat="1" applyFont="1" applyFill="1" applyBorder="1" applyAlignment="1">
      <alignment vertical="center"/>
    </xf>
    <xf numFmtId="0" fontId="41" fillId="3" borderId="0" xfId="0" applyFont="1" applyFill="1" applyAlignment="1">
      <alignment horizontal="left"/>
    </xf>
    <xf numFmtId="0" fontId="10" fillId="3" borderId="0" xfId="0" applyFont="1" applyFill="1"/>
    <xf numFmtId="0" fontId="10" fillId="0" borderId="0" xfId="0" applyFont="1"/>
    <xf numFmtId="0" fontId="10" fillId="3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0" fillId="3" borderId="0" xfId="0" applyFont="1" applyFill="1" applyBorder="1" applyAlignment="1">
      <alignment vertical="center"/>
    </xf>
    <xf numFmtId="0" fontId="36" fillId="3" borderId="0" xfId="0" applyFont="1" applyFill="1" applyBorder="1" applyAlignment="1">
      <alignment vertical="center"/>
    </xf>
    <xf numFmtId="0" fontId="36" fillId="0" borderId="0" xfId="0" applyFont="1" applyAlignment="1">
      <alignment vertical="center"/>
    </xf>
    <xf numFmtId="181" fontId="10" fillId="3" borderId="0" xfId="0" applyNumberFormat="1" applyFont="1" applyFill="1" applyBorder="1" applyAlignment="1">
      <alignment horizontal="right" vertical="center" wrapText="1"/>
    </xf>
    <xf numFmtId="181" fontId="10" fillId="3" borderId="11" xfId="0" applyNumberFormat="1" applyFont="1" applyFill="1" applyBorder="1" applyAlignment="1">
      <alignment horizontal="right" vertical="center" wrapText="1"/>
    </xf>
    <xf numFmtId="3" fontId="10" fillId="3" borderId="0" xfId="0" applyNumberFormat="1" applyFont="1" applyFill="1" applyBorder="1" applyAlignment="1">
      <alignment horizontal="right" vertical="center" wrapText="1"/>
    </xf>
    <xf numFmtId="0" fontId="10" fillId="3" borderId="23" xfId="0" applyFont="1" applyFill="1" applyBorder="1" applyAlignment="1">
      <alignment vertical="center" wrapText="1"/>
    </xf>
    <xf numFmtId="181" fontId="10" fillId="3" borderId="0" xfId="0" applyNumberFormat="1" applyFont="1" applyFill="1" applyBorder="1" applyAlignment="1">
      <alignment horizontal="right" vertical="center"/>
    </xf>
    <xf numFmtId="41" fontId="10" fillId="3" borderId="0" xfId="0" applyNumberFormat="1" applyFont="1" applyFill="1" applyBorder="1" applyAlignment="1">
      <alignment horizontal="right" vertical="center" wrapText="1"/>
    </xf>
    <xf numFmtId="0" fontId="22" fillId="3" borderId="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10" fillId="3" borderId="25" xfId="0" applyFont="1" applyFill="1" applyBorder="1" applyAlignment="1">
      <alignment vertical="center" wrapText="1"/>
    </xf>
    <xf numFmtId="181" fontId="10" fillId="3" borderId="27" xfId="0" applyNumberFormat="1" applyFont="1" applyFill="1" applyBorder="1" applyAlignment="1">
      <alignment horizontal="right" vertical="center" wrapText="1"/>
    </xf>
    <xf numFmtId="181" fontId="10" fillId="3" borderId="18" xfId="0" applyNumberFormat="1" applyFont="1" applyFill="1" applyBorder="1" applyAlignment="1">
      <alignment horizontal="right" vertical="center" wrapText="1"/>
    </xf>
    <xf numFmtId="186" fontId="39" fillId="21" borderId="12" xfId="7" applyNumberFormat="1" applyFont="1" applyFill="1" applyBorder="1" applyAlignment="1">
      <alignment horizontal="right" vertical="center" wrapText="1" indent="1"/>
    </xf>
    <xf numFmtId="187" fontId="38" fillId="21" borderId="10" xfId="0" applyNumberFormat="1" applyFont="1" applyFill="1" applyBorder="1" applyAlignment="1">
      <alignment horizontal="right" vertical="center" wrapText="1" indent="1"/>
    </xf>
    <xf numFmtId="0" fontId="0" fillId="0" borderId="0" xfId="0" applyFill="1"/>
    <xf numFmtId="10" fontId="9" fillId="2" borderId="0" xfId="0" applyNumberFormat="1" applyFont="1" applyFill="1" applyAlignment="1">
      <alignment horizontal="right" vertical="center" wrapText="1" indent="1"/>
    </xf>
    <xf numFmtId="10" fontId="9" fillId="3" borderId="0" xfId="0" applyNumberFormat="1" applyFont="1" applyFill="1" applyAlignment="1">
      <alignment horizontal="right" vertical="center" wrapText="1" indent="1"/>
    </xf>
    <xf numFmtId="0" fontId="62" fillId="0" borderId="6" xfId="0" applyFont="1" applyFill="1" applyBorder="1" applyAlignment="1">
      <alignment vertical="center" wrapText="1"/>
    </xf>
    <xf numFmtId="181" fontId="31" fillId="14" borderId="10" xfId="0" applyNumberFormat="1" applyFont="1" applyFill="1" applyBorder="1" applyAlignment="1">
      <alignment vertical="center"/>
    </xf>
    <xf numFmtId="0" fontId="12" fillId="0" borderId="23" xfId="0" applyFont="1" applyFill="1" applyBorder="1" applyAlignment="1">
      <alignment horizontal="left" indent="3"/>
    </xf>
    <xf numFmtId="0" fontId="24" fillId="0" borderId="23" xfId="0" applyFont="1" applyFill="1" applyBorder="1" applyAlignment="1">
      <alignment vertical="center" wrapText="1"/>
    </xf>
    <xf numFmtId="0" fontId="45" fillId="0" borderId="3" xfId="0" applyFont="1" applyFill="1" applyBorder="1" applyAlignment="1">
      <alignment horizontal="left" vertical="center" wrapText="1" indent="2"/>
    </xf>
    <xf numFmtId="173" fontId="46" fillId="0" borderId="0" xfId="0" applyNumberFormat="1" applyFont="1" applyFill="1" applyBorder="1" applyAlignment="1">
      <alignment vertical="center"/>
    </xf>
    <xf numFmtId="173" fontId="46" fillId="0" borderId="10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vertical="center"/>
    </xf>
    <xf numFmtId="181" fontId="19" fillId="0" borderId="10" xfId="0" applyNumberFormat="1" applyFont="1" applyFill="1" applyBorder="1" applyAlignment="1">
      <alignment vertical="center"/>
    </xf>
    <xf numFmtId="181" fontId="19" fillId="0" borderId="3" xfId="0" applyNumberFormat="1" applyFont="1" applyFill="1" applyBorder="1" applyAlignment="1">
      <alignment vertical="center"/>
    </xf>
    <xf numFmtId="181" fontId="19" fillId="0" borderId="0" xfId="0" applyNumberFormat="1" applyFont="1" applyFill="1" applyAlignment="1">
      <alignment vertical="center"/>
    </xf>
    <xf numFmtId="182" fontId="19" fillId="0" borderId="0" xfId="0" applyNumberFormat="1" applyFont="1" applyFill="1" applyBorder="1" applyAlignment="1">
      <alignment vertical="center"/>
    </xf>
    <xf numFmtId="182" fontId="19" fillId="0" borderId="10" xfId="0" applyNumberFormat="1" applyFont="1" applyFill="1" applyBorder="1" applyAlignment="1">
      <alignment vertical="center"/>
    </xf>
    <xf numFmtId="182" fontId="19" fillId="0" borderId="3" xfId="0" applyNumberFormat="1" applyFont="1" applyFill="1" applyBorder="1" applyAlignment="1">
      <alignment vertical="center"/>
    </xf>
    <xf numFmtId="181" fontId="33" fillId="0" borderId="3" xfId="0" applyNumberFormat="1" applyFont="1" applyFill="1" applyBorder="1" applyAlignment="1">
      <alignment horizontal="right" vertical="center"/>
    </xf>
    <xf numFmtId="181" fontId="33" fillId="0" borderId="0" xfId="0" applyNumberFormat="1" applyFont="1" applyFill="1" applyBorder="1" applyAlignment="1">
      <alignment horizontal="right" vertical="center"/>
    </xf>
    <xf numFmtId="182" fontId="19" fillId="0" borderId="0" xfId="0" applyNumberFormat="1" applyFont="1" applyFill="1" applyAlignment="1">
      <alignment vertical="center"/>
    </xf>
    <xf numFmtId="0" fontId="19" fillId="0" borderId="3" xfId="0" applyFont="1" applyFill="1" applyBorder="1" applyAlignment="1">
      <alignment vertical="center" wrapText="1"/>
    </xf>
    <xf numFmtId="0" fontId="19" fillId="3" borderId="0" xfId="0" applyFont="1" applyFill="1" applyAlignment="1">
      <alignment horizontal="left" vertical="center" wrapText="1"/>
    </xf>
    <xf numFmtId="0" fontId="41" fillId="3" borderId="0" xfId="0" applyFont="1" applyFill="1" applyAlignment="1">
      <alignment horizontal="left" vertical="top"/>
    </xf>
    <xf numFmtId="0" fontId="31" fillId="4" borderId="0" xfId="0" applyFont="1" applyFill="1" applyBorder="1" applyAlignment="1">
      <alignment horizontal="right" vertical="center"/>
    </xf>
    <xf numFmtId="0" fontId="31" fillId="8" borderId="0" xfId="0" applyFont="1" applyFill="1" applyBorder="1" applyAlignment="1">
      <alignment horizontal="right" vertical="center"/>
    </xf>
    <xf numFmtId="0" fontId="31" fillId="4" borderId="3" xfId="0" applyFont="1" applyFill="1" applyBorder="1" applyAlignment="1">
      <alignment horizontal="right" vertical="center"/>
    </xf>
    <xf numFmtId="0" fontId="31" fillId="8" borderId="10" xfId="0" applyFont="1" applyFill="1" applyBorder="1" applyAlignment="1">
      <alignment horizontal="right" vertical="center"/>
    </xf>
    <xf numFmtId="0" fontId="34" fillId="4" borderId="0" xfId="0" applyFont="1" applyFill="1" applyBorder="1" applyAlignment="1">
      <alignment horizontal="right" vertical="center"/>
    </xf>
    <xf numFmtId="166" fontId="71" fillId="6" borderId="4" xfId="0" applyNumberFormat="1" applyFont="1" applyFill="1" applyBorder="1" applyAlignment="1">
      <alignment vertical="center" wrapText="1"/>
    </xf>
    <xf numFmtId="0" fontId="8" fillId="3" borderId="0" xfId="0" applyFont="1" applyFill="1"/>
    <xf numFmtId="181" fontId="66" fillId="3" borderId="3" xfId="0" applyNumberFormat="1" applyFont="1" applyFill="1" applyBorder="1" applyAlignment="1">
      <alignment horizontal="right" vertical="center"/>
    </xf>
    <xf numFmtId="176" fontId="66" fillId="3" borderId="3" xfId="0" applyNumberFormat="1" applyFont="1" applyFill="1" applyBorder="1" applyAlignment="1">
      <alignment horizontal="right" vertical="center"/>
    </xf>
    <xf numFmtId="178" fontId="31" fillId="3" borderId="3" xfId="0" applyNumberFormat="1" applyFont="1" applyFill="1" applyBorder="1" applyAlignment="1">
      <alignment horizontal="right" vertical="center"/>
    </xf>
    <xf numFmtId="0" fontId="34" fillId="4" borderId="27" xfId="0" applyFont="1" applyFill="1" applyBorder="1" applyAlignment="1">
      <alignment horizontal="right" vertical="center"/>
    </xf>
    <xf numFmtId="0" fontId="19" fillId="0" borderId="8" xfId="0" applyFont="1" applyFill="1" applyBorder="1"/>
    <xf numFmtId="180" fontId="19" fillId="0" borderId="7" xfId="0" applyNumberFormat="1" applyFont="1" applyFill="1" applyBorder="1"/>
    <xf numFmtId="181" fontId="31" fillId="3" borderId="0" xfId="0" applyNumberFormat="1" applyFont="1" applyFill="1" applyBorder="1" applyAlignment="1">
      <alignment vertical="center"/>
    </xf>
    <xf numFmtId="0" fontId="62" fillId="0" borderId="0" xfId="0" applyFont="1" applyFill="1" applyBorder="1" applyAlignment="1">
      <alignment vertical="center" wrapText="1"/>
    </xf>
    <xf numFmtId="168" fontId="22" fillId="0" borderId="0" xfId="0" applyNumberFormat="1" applyFont="1" applyFill="1" applyBorder="1" applyAlignment="1">
      <alignment horizontal="right" vertical="center" wrapText="1" indent="1"/>
    </xf>
    <xf numFmtId="165" fontId="39" fillId="0" borderId="0" xfId="0" applyNumberFormat="1" applyFont="1" applyFill="1" applyBorder="1" applyAlignment="1">
      <alignment horizontal="right" vertical="center" wrapText="1" indent="1"/>
    </xf>
    <xf numFmtId="0" fontId="8" fillId="0" borderId="24" xfId="0" applyFont="1" applyFill="1" applyBorder="1" applyAlignment="1">
      <alignment horizontal="left" indent="3"/>
    </xf>
    <xf numFmtId="186" fontId="38" fillId="21" borderId="19" xfId="0" applyNumberFormat="1" applyFont="1" applyFill="1" applyBorder="1" applyAlignment="1">
      <alignment horizontal="right" vertical="center" wrapText="1" indent="1"/>
    </xf>
    <xf numFmtId="168" fontId="13" fillId="2" borderId="3" xfId="0" applyNumberFormat="1" applyFont="1" applyFill="1" applyBorder="1" applyAlignment="1">
      <alignment horizontal="right" vertical="center" wrapText="1" indent="1"/>
    </xf>
    <xf numFmtId="168" fontId="13" fillId="3" borderId="0" xfId="0" applyNumberFormat="1" applyFont="1" applyFill="1" applyBorder="1" applyAlignment="1">
      <alignment horizontal="right" vertical="center" wrapText="1" indent="1"/>
    </xf>
    <xf numFmtId="168" fontId="13" fillId="2" borderId="5" xfId="0" applyNumberFormat="1" applyFont="1" applyFill="1" applyBorder="1" applyAlignment="1">
      <alignment horizontal="right" vertical="center" wrapText="1" indent="1"/>
    </xf>
    <xf numFmtId="168" fontId="13" fillId="3" borderId="18" xfId="0" applyNumberFormat="1" applyFont="1" applyFill="1" applyBorder="1" applyAlignment="1">
      <alignment horizontal="right" vertical="center" wrapText="1" indent="1"/>
    </xf>
    <xf numFmtId="0" fontId="34" fillId="5" borderId="5" xfId="0" applyFont="1" applyFill="1" applyBorder="1" applyAlignment="1">
      <alignment horizontal="right" vertical="center" wrapText="1"/>
    </xf>
    <xf numFmtId="166" fontId="28" fillId="3" borderId="3" xfId="0" applyNumberFormat="1" applyFont="1" applyFill="1" applyBorder="1" applyAlignment="1">
      <alignment horizontal="right" vertical="center" wrapText="1"/>
    </xf>
    <xf numFmtId="166" fontId="28" fillId="3" borderId="0" xfId="0" applyNumberFormat="1" applyFont="1" applyFill="1" applyBorder="1" applyAlignment="1">
      <alignment horizontal="right" vertical="center" wrapText="1"/>
    </xf>
    <xf numFmtId="166" fontId="28" fillId="18" borderId="10" xfId="0" applyNumberFormat="1" applyFont="1" applyFill="1" applyBorder="1" applyAlignment="1">
      <alignment horizontal="right" vertical="center" wrapText="1"/>
    </xf>
    <xf numFmtId="0" fontId="15" fillId="0" borderId="2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54" fillId="3" borderId="22" xfId="0" applyFont="1" applyFill="1" applyBorder="1" applyAlignment="1">
      <alignment horizontal="left" vertical="center"/>
    </xf>
    <xf numFmtId="0" fontId="54" fillId="3" borderId="23" xfId="0" applyFont="1" applyFill="1" applyBorder="1" applyAlignment="1">
      <alignment horizontal="left" vertical="center"/>
    </xf>
    <xf numFmtId="181" fontId="66" fillId="0" borderId="0" xfId="0" applyNumberFormat="1" applyFont="1" applyFill="1" applyBorder="1" applyAlignment="1">
      <alignment horizontal="right" vertical="center"/>
    </xf>
    <xf numFmtId="166" fontId="28" fillId="0" borderId="0" xfId="0" applyNumberFormat="1" applyFont="1" applyFill="1" applyBorder="1" applyAlignment="1">
      <alignment horizontal="right" vertical="center" wrapText="1"/>
    </xf>
    <xf numFmtId="0" fontId="72" fillId="0" borderId="0" xfId="0" applyFont="1" applyFill="1" applyAlignment="1">
      <alignment vertical="center" wrapText="1"/>
    </xf>
    <xf numFmtId="168" fontId="19" fillId="3" borderId="0" xfId="7" applyNumberFormat="1" applyFont="1" applyFill="1" applyAlignment="1">
      <alignment vertical="center"/>
    </xf>
    <xf numFmtId="181" fontId="31" fillId="12" borderId="11" xfId="0" applyNumberFormat="1" applyFont="1" applyFill="1" applyBorder="1" applyAlignment="1">
      <alignment vertical="center"/>
    </xf>
    <xf numFmtId="181" fontId="7" fillId="2" borderId="11" xfId="0" applyNumberFormat="1" applyFont="1" applyFill="1" applyBorder="1" applyAlignment="1">
      <alignment horizontal="right" vertical="center" wrapText="1"/>
    </xf>
    <xf numFmtId="181" fontId="7" fillId="2" borderId="27" xfId="0" applyNumberFormat="1" applyFont="1" applyFill="1" applyBorder="1" applyAlignment="1">
      <alignment horizontal="right" vertical="center" wrapText="1"/>
    </xf>
    <xf numFmtId="3" fontId="51" fillId="0" borderId="0" xfId="0" applyNumberFormat="1" applyFont="1" applyFill="1" applyBorder="1" applyAlignment="1">
      <alignment horizontal="right" vertical="center" wrapText="1"/>
    </xf>
    <xf numFmtId="3" fontId="28" fillId="0" borderId="0" xfId="0" applyNumberFormat="1" applyFont="1" applyFill="1" applyBorder="1" applyAlignment="1">
      <alignment horizontal="right" vertical="center" wrapText="1"/>
    </xf>
    <xf numFmtId="3" fontId="28" fillId="0" borderId="30" xfId="0" applyNumberFormat="1" applyFont="1" applyFill="1" applyBorder="1" applyAlignment="1">
      <alignment horizontal="right" vertical="center" wrapText="1"/>
    </xf>
    <xf numFmtId="168" fontId="28" fillId="0" borderId="0" xfId="0" applyNumberFormat="1" applyFont="1" applyFill="1" applyBorder="1" applyAlignment="1">
      <alignment horizontal="right" vertical="center" wrapText="1"/>
    </xf>
    <xf numFmtId="2" fontId="28" fillId="0" borderId="18" xfId="0" applyNumberFormat="1" applyFont="1" applyFill="1" applyBorder="1" applyAlignment="1">
      <alignment horizontal="right" vertical="center" wrapText="1"/>
    </xf>
    <xf numFmtId="166" fontId="28" fillId="0" borderId="11" xfId="0" applyNumberFormat="1" applyFont="1" applyFill="1" applyBorder="1" applyAlignment="1">
      <alignment horizontal="right" vertical="center" wrapText="1"/>
    </xf>
    <xf numFmtId="3" fontId="56" fillId="0" borderId="0" xfId="6" applyNumberFormat="1" applyFont="1" applyFill="1" applyBorder="1" applyAlignment="1">
      <alignment horizontal="right" vertical="center" wrapText="1"/>
    </xf>
    <xf numFmtId="3" fontId="28" fillId="0" borderId="0" xfId="6" applyNumberFormat="1" applyFont="1" applyFill="1" applyBorder="1" applyAlignment="1">
      <alignment horizontal="right" vertical="center" wrapText="1"/>
    </xf>
    <xf numFmtId="3" fontId="17" fillId="0" borderId="33" xfId="0" applyNumberFormat="1" applyFont="1" applyFill="1" applyBorder="1" applyAlignment="1">
      <alignment vertical="center"/>
    </xf>
    <xf numFmtId="3" fontId="51" fillId="0" borderId="11" xfId="0" applyNumberFormat="1" applyFont="1" applyFill="1" applyBorder="1" applyAlignment="1">
      <alignment horizontal="right" vertical="center" wrapText="1"/>
    </xf>
    <xf numFmtId="166" fontId="28" fillId="0" borderId="7" xfId="0" applyNumberFormat="1" applyFont="1" applyFill="1" applyBorder="1" applyAlignment="1">
      <alignment horizontal="right" vertical="center" wrapText="1"/>
    </xf>
    <xf numFmtId="3" fontId="28" fillId="0" borderId="18" xfId="0" applyNumberFormat="1" applyFont="1" applyFill="1" applyBorder="1" applyAlignment="1">
      <alignment horizontal="right" vertical="center" wrapText="1"/>
    </xf>
    <xf numFmtId="3" fontId="51" fillId="0" borderId="30" xfId="0" applyNumberFormat="1" applyFont="1" applyFill="1" applyBorder="1" applyAlignment="1">
      <alignment horizontal="right" vertical="center" wrapText="1"/>
    </xf>
    <xf numFmtId="188" fontId="66" fillId="3" borderId="0" xfId="0" applyNumberFormat="1" applyFont="1" applyFill="1" applyBorder="1" applyAlignment="1">
      <alignment horizontal="right" vertical="center"/>
    </xf>
    <xf numFmtId="188" fontId="34" fillId="12" borderId="7" xfId="0" applyNumberFormat="1" applyFont="1" applyFill="1" applyBorder="1" applyAlignment="1">
      <alignment horizontal="right" vertical="center"/>
    </xf>
    <xf numFmtId="188" fontId="34" fillId="12" borderId="7" xfId="0" applyNumberFormat="1" applyFont="1" applyFill="1" applyBorder="1" applyAlignment="1">
      <alignment vertical="center"/>
    </xf>
    <xf numFmtId="188" fontId="66" fillId="3" borderId="0" xfId="0" applyNumberFormat="1" applyFont="1" applyFill="1" applyBorder="1" applyAlignment="1">
      <alignment vertical="center"/>
    </xf>
    <xf numFmtId="181" fontId="6" fillId="3" borderId="0" xfId="0" applyNumberFormat="1" applyFont="1" applyFill="1" applyBorder="1" applyAlignment="1">
      <alignment horizontal="right" vertical="center"/>
    </xf>
    <xf numFmtId="181" fontId="6" fillId="3" borderId="11" xfId="0" applyNumberFormat="1" applyFont="1" applyFill="1" applyBorder="1" applyAlignment="1">
      <alignment horizontal="right" vertical="center"/>
    </xf>
    <xf numFmtId="181" fontId="22" fillId="3" borderId="0" xfId="0" applyNumberFormat="1" applyFont="1" applyFill="1" applyBorder="1" applyAlignment="1">
      <alignment horizontal="right" vertical="center"/>
    </xf>
    <xf numFmtId="181" fontId="0" fillId="0" borderId="0" xfId="0" applyNumberFormat="1" applyAlignment="1">
      <alignment vertical="center"/>
    </xf>
    <xf numFmtId="181" fontId="6" fillId="3" borderId="18" xfId="0" applyNumberFormat="1" applyFont="1" applyFill="1" applyBorder="1" applyAlignment="1">
      <alignment vertical="center"/>
    </xf>
    <xf numFmtId="183" fontId="40" fillId="3" borderId="27" xfId="0" applyNumberFormat="1" applyFont="1" applyFill="1" applyBorder="1" applyAlignment="1">
      <alignment horizontal="right" vertical="center"/>
    </xf>
    <xf numFmtId="181" fontId="6" fillId="3" borderId="0" xfId="0" applyNumberFormat="1" applyFont="1" applyFill="1" applyBorder="1" applyAlignment="1">
      <alignment horizontal="right" vertical="center"/>
    </xf>
    <xf numFmtId="181" fontId="6" fillId="3" borderId="11" xfId="0" applyNumberFormat="1" applyFont="1" applyFill="1" applyBorder="1" applyAlignment="1">
      <alignment horizontal="right" vertical="center"/>
    </xf>
    <xf numFmtId="181" fontId="38" fillId="3" borderId="10" xfId="0" applyNumberFormat="1" applyFont="1" applyFill="1" applyBorder="1" applyAlignment="1">
      <alignment horizontal="right" vertical="center"/>
    </xf>
    <xf numFmtId="181" fontId="22" fillId="3" borderId="0" xfId="0" applyNumberFormat="1" applyFont="1" applyFill="1" applyBorder="1" applyAlignment="1">
      <alignment horizontal="right" vertical="center"/>
    </xf>
    <xf numFmtId="181" fontId="38" fillId="3" borderId="19" xfId="0" applyNumberFormat="1" applyFont="1" applyFill="1" applyBorder="1" applyAlignment="1">
      <alignment vertical="center"/>
    </xf>
    <xf numFmtId="183" fontId="40" fillId="3" borderId="0" xfId="0" applyNumberFormat="1" applyFont="1" applyFill="1" applyBorder="1" applyAlignment="1">
      <alignment vertical="center"/>
    </xf>
    <xf numFmtId="183" fontId="40" fillId="3" borderId="18" xfId="0" applyNumberFormat="1" applyFont="1" applyFill="1" applyBorder="1" applyAlignment="1">
      <alignment vertical="center"/>
    </xf>
    <xf numFmtId="169" fontId="22" fillId="2" borderId="0" xfId="0" applyNumberFormat="1" applyFont="1" applyFill="1" applyBorder="1" applyAlignment="1">
      <alignment horizontal="right" vertical="center"/>
    </xf>
    <xf numFmtId="0" fontId="40" fillId="2" borderId="0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169" fontId="6" fillId="2" borderId="11" xfId="0" applyNumberFormat="1" applyFont="1" applyFill="1" applyBorder="1" applyAlignment="1">
      <alignment horizontal="right" vertical="center"/>
    </xf>
    <xf numFmtId="169" fontId="6" fillId="2" borderId="0" xfId="0" applyNumberFormat="1" applyFont="1" applyFill="1" applyBorder="1" applyAlignment="1">
      <alignment horizontal="right" vertical="center"/>
    </xf>
    <xf numFmtId="181" fontId="6" fillId="3" borderId="0" xfId="0" applyNumberFormat="1" applyFont="1" applyFill="1" applyBorder="1" applyAlignment="1">
      <alignment horizontal="right" vertical="center"/>
    </xf>
    <xf numFmtId="181" fontId="6" fillId="2" borderId="3" xfId="0" applyNumberFormat="1" applyFont="1" applyFill="1" applyBorder="1" applyAlignment="1">
      <alignment horizontal="right" vertical="center" wrapText="1"/>
    </xf>
    <xf numFmtId="181" fontId="6" fillId="2" borderId="0" xfId="0" applyNumberFormat="1" applyFont="1" applyFill="1" applyBorder="1" applyAlignment="1">
      <alignment horizontal="right" vertical="center" wrapText="1"/>
    </xf>
    <xf numFmtId="181" fontId="6" fillId="3" borderId="0" xfId="0" applyNumberFormat="1" applyFont="1" applyFill="1" applyBorder="1" applyAlignment="1">
      <alignment horizontal="right" vertical="center" wrapText="1"/>
    </xf>
    <xf numFmtId="181" fontId="38" fillId="3" borderId="10" xfId="0" applyNumberFormat="1" applyFont="1" applyFill="1" applyBorder="1" applyAlignment="1">
      <alignment horizontal="right" vertical="center" wrapText="1"/>
    </xf>
    <xf numFmtId="181" fontId="6" fillId="2" borderId="11" xfId="0" applyNumberFormat="1" applyFont="1" applyFill="1" applyBorder="1" applyAlignment="1">
      <alignment horizontal="right" vertical="center" wrapText="1"/>
    </xf>
    <xf numFmtId="181" fontId="38" fillId="3" borderId="12" xfId="0" applyNumberFormat="1" applyFont="1" applyFill="1" applyBorder="1" applyAlignment="1">
      <alignment horizontal="right" vertical="center" wrapText="1"/>
    </xf>
    <xf numFmtId="181" fontId="22" fillId="2" borderId="3" xfId="0" applyNumberFormat="1" applyFont="1" applyFill="1" applyBorder="1" applyAlignment="1">
      <alignment horizontal="right" vertical="center"/>
    </xf>
    <xf numFmtId="181" fontId="22" fillId="2" borderId="0" xfId="0" applyNumberFormat="1" applyFont="1" applyFill="1" applyBorder="1" applyAlignment="1">
      <alignment horizontal="right" vertical="center"/>
    </xf>
    <xf numFmtId="181" fontId="22" fillId="3" borderId="0" xfId="0" applyNumberFormat="1" applyFont="1" applyFill="1" applyBorder="1" applyAlignment="1">
      <alignment horizontal="right" vertical="center"/>
    </xf>
    <xf numFmtId="181" fontId="39" fillId="3" borderId="10" xfId="0" applyNumberFormat="1" applyFont="1" applyFill="1" applyBorder="1" applyAlignment="1">
      <alignment horizontal="right" vertical="center" wrapText="1"/>
    </xf>
    <xf numFmtId="181" fontId="22" fillId="2" borderId="0" xfId="0" applyNumberFormat="1" applyFont="1" applyFill="1" applyBorder="1" applyAlignment="1">
      <alignment horizontal="right" vertical="center" wrapText="1"/>
    </xf>
    <xf numFmtId="181" fontId="22" fillId="3" borderId="0" xfId="0" applyNumberFormat="1" applyFont="1" applyFill="1" applyBorder="1" applyAlignment="1">
      <alignment horizontal="right" vertical="center" wrapText="1"/>
    </xf>
    <xf numFmtId="181" fontId="6" fillId="2" borderId="27" xfId="0" applyNumberFormat="1" applyFont="1" applyFill="1" applyBorder="1" applyAlignment="1">
      <alignment horizontal="right" vertical="center" wrapText="1"/>
    </xf>
    <xf numFmtId="181" fontId="6" fillId="3" borderId="2" xfId="0" applyNumberFormat="1" applyFont="1" applyFill="1" applyBorder="1" applyAlignment="1">
      <alignment horizontal="right" vertical="center" wrapText="1"/>
    </xf>
    <xf numFmtId="181" fontId="40" fillId="2" borderId="0" xfId="0" applyNumberFormat="1" applyFont="1" applyFill="1" applyBorder="1" applyAlignment="1">
      <alignment vertical="center"/>
    </xf>
    <xf numFmtId="181" fontId="40" fillId="3" borderId="0" xfId="0" applyNumberFormat="1" applyFont="1" applyFill="1" applyBorder="1" applyAlignment="1">
      <alignment vertical="center"/>
    </xf>
    <xf numFmtId="181" fontId="6" fillId="3" borderId="18" xfId="0" applyNumberFormat="1" applyFont="1" applyFill="1" applyBorder="1" applyAlignment="1">
      <alignment vertical="center"/>
    </xf>
    <xf numFmtId="181" fontId="6" fillId="2" borderId="18" xfId="0" applyNumberFormat="1" applyFont="1" applyFill="1" applyBorder="1" applyAlignment="1">
      <alignment horizontal="right" vertical="center" wrapText="1"/>
    </xf>
    <xf numFmtId="181" fontId="6" fillId="2" borderId="18" xfId="0" applyNumberFormat="1" applyFont="1" applyFill="1" applyBorder="1" applyAlignment="1">
      <alignment vertical="center"/>
    </xf>
    <xf numFmtId="181" fontId="6" fillId="2" borderId="0" xfId="0" applyNumberFormat="1" applyFont="1" applyFill="1" applyBorder="1" applyAlignment="1">
      <alignment horizontal="right" vertical="center"/>
    </xf>
    <xf numFmtId="180" fontId="19" fillId="3" borderId="0" xfId="0" applyNumberFormat="1" applyFont="1" applyFill="1" applyBorder="1" applyAlignment="1">
      <alignment vertical="center"/>
    </xf>
    <xf numFmtId="180" fontId="44" fillId="3" borderId="0" xfId="8" applyNumberFormat="1" applyFont="1" applyFill="1" applyBorder="1" applyAlignment="1">
      <alignment horizontal="right" vertical="center"/>
    </xf>
    <xf numFmtId="180" fontId="46" fillId="3" borderId="0" xfId="0" applyNumberFormat="1" applyFont="1" applyFill="1" applyBorder="1" applyAlignment="1">
      <alignment vertical="center"/>
    </xf>
    <xf numFmtId="180" fontId="19" fillId="3" borderId="18" xfId="0" applyNumberFormat="1" applyFont="1" applyFill="1" applyBorder="1" applyAlignment="1">
      <alignment vertical="center"/>
    </xf>
    <xf numFmtId="180" fontId="19" fillId="3" borderId="0" xfId="0" applyNumberFormat="1" applyFont="1" applyFill="1" applyBorder="1" applyAlignment="1">
      <alignment vertical="center"/>
    </xf>
    <xf numFmtId="180" fontId="44" fillId="3" borderId="0" xfId="8" applyNumberFormat="1" applyFont="1" applyFill="1" applyBorder="1" applyAlignment="1">
      <alignment horizontal="right" vertical="center"/>
    </xf>
    <xf numFmtId="180" fontId="46" fillId="3" borderId="0" xfId="0" applyNumberFormat="1" applyFont="1" applyFill="1" applyBorder="1" applyAlignment="1">
      <alignment vertical="center"/>
    </xf>
    <xf numFmtId="180" fontId="19" fillId="3" borderId="11" xfId="0" applyNumberFormat="1" applyFont="1" applyFill="1" applyBorder="1" applyAlignment="1">
      <alignment vertical="center"/>
    </xf>
    <xf numFmtId="180" fontId="19" fillId="3" borderId="0" xfId="0" applyNumberFormat="1" applyFont="1" applyFill="1" applyBorder="1" applyAlignment="1">
      <alignment vertical="center"/>
    </xf>
    <xf numFmtId="180" fontId="19" fillId="3" borderId="11" xfId="0" applyNumberFormat="1" applyFont="1" applyFill="1" applyBorder="1" applyAlignment="1">
      <alignment vertical="center"/>
    </xf>
    <xf numFmtId="180" fontId="44" fillId="3" borderId="0" xfId="0" applyNumberFormat="1" applyFont="1" applyFill="1" applyBorder="1" applyAlignment="1">
      <alignment horizontal="right" vertical="center"/>
    </xf>
    <xf numFmtId="180" fontId="19" fillId="3" borderId="0" xfId="0" applyNumberFormat="1" applyFont="1" applyFill="1" applyBorder="1" applyAlignment="1">
      <alignment horizontal="right" vertical="center"/>
    </xf>
    <xf numFmtId="180" fontId="47" fillId="3" borderId="0" xfId="0" applyNumberFormat="1" applyFont="1" applyFill="1" applyBorder="1" applyAlignment="1">
      <alignment horizontal="right" vertical="center"/>
    </xf>
    <xf numFmtId="180" fontId="19" fillId="3" borderId="0" xfId="0" applyNumberFormat="1" applyFont="1" applyFill="1" applyBorder="1" applyAlignment="1">
      <alignment vertical="center"/>
    </xf>
    <xf numFmtId="180" fontId="46" fillId="3" borderId="0" xfId="0" applyNumberFormat="1" applyFont="1" applyFill="1" applyBorder="1" applyAlignment="1">
      <alignment vertical="center"/>
    </xf>
    <xf numFmtId="180" fontId="19" fillId="3" borderId="0" xfId="0" applyNumberFormat="1" applyFont="1" applyFill="1" applyBorder="1" applyAlignment="1">
      <alignment horizontal="right" vertical="center"/>
    </xf>
    <xf numFmtId="180" fontId="19" fillId="3" borderId="0" xfId="0" applyNumberFormat="1" applyFont="1" applyFill="1" applyBorder="1" applyAlignment="1">
      <alignment vertical="center"/>
    </xf>
    <xf numFmtId="180" fontId="46" fillId="3" borderId="0" xfId="0" applyNumberFormat="1" applyFont="1" applyFill="1" applyBorder="1" applyAlignment="1">
      <alignment vertical="center"/>
    </xf>
    <xf numFmtId="180" fontId="31" fillId="12" borderId="7" xfId="0" applyNumberFormat="1" applyFont="1" applyFill="1" applyBorder="1" applyAlignment="1">
      <alignment vertical="center"/>
    </xf>
    <xf numFmtId="180" fontId="19" fillId="3" borderId="0" xfId="0" applyNumberFormat="1" applyFont="1" applyFill="1" applyBorder="1" applyAlignment="1">
      <alignment horizontal="right" vertical="center"/>
    </xf>
    <xf numFmtId="180" fontId="33" fillId="3" borderId="0" xfId="0" applyNumberFormat="1" applyFont="1" applyFill="1" applyBorder="1" applyAlignment="1">
      <alignment horizontal="right" vertical="center"/>
    </xf>
    <xf numFmtId="3" fontId="51" fillId="3" borderId="7" xfId="0" applyNumberFormat="1" applyFont="1" applyFill="1" applyBorder="1" applyAlignment="1">
      <alignment horizontal="right" vertical="center" wrapText="1"/>
    </xf>
    <xf numFmtId="3" fontId="56" fillId="0" borderId="0" xfId="0" applyNumberFormat="1" applyFont="1" applyFill="1" applyBorder="1" applyAlignment="1">
      <alignment horizontal="right" vertical="center" wrapText="1"/>
    </xf>
    <xf numFmtId="166" fontId="58" fillId="2" borderId="11" xfId="0" applyNumberFormat="1" applyFont="1" applyFill="1" applyBorder="1" applyAlignment="1">
      <alignment horizontal="right" vertical="center" wrapText="1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168" fontId="28" fillId="2" borderId="0" xfId="6" applyNumberFormat="1" applyFont="1" applyFill="1" applyBorder="1" applyAlignment="1">
      <alignment horizontal="right" vertical="center" wrapText="1"/>
    </xf>
    <xf numFmtId="166" fontId="28" fillId="0" borderId="11" xfId="0" applyNumberFormat="1" applyFont="1" applyFill="1" applyBorder="1" applyAlignment="1">
      <alignment horizontal="right" vertical="center" wrapText="1"/>
    </xf>
    <xf numFmtId="166" fontId="28" fillId="0" borderId="0" xfId="0" applyNumberFormat="1" applyFont="1" applyFill="1" applyBorder="1" applyAlignment="1">
      <alignment horizontal="right" vertical="center" wrapText="1"/>
    </xf>
    <xf numFmtId="0" fontId="0" fillId="0" borderId="0" xfId="0"/>
    <xf numFmtId="0" fontId="0" fillId="3" borderId="0" xfId="0" applyFill="1"/>
    <xf numFmtId="10" fontId="22" fillId="3" borderId="36" xfId="0" applyNumberFormat="1" applyFont="1" applyFill="1" applyBorder="1" applyAlignment="1">
      <alignment horizontal="right" vertical="center" wrapText="1" indent="1"/>
    </xf>
    <xf numFmtId="186" fontId="39" fillId="21" borderId="37" xfId="0" applyNumberFormat="1" applyFont="1" applyFill="1" applyBorder="1" applyAlignment="1">
      <alignment horizontal="right" vertical="center" wrapText="1" indent="1"/>
    </xf>
    <xf numFmtId="0" fontId="6" fillId="0" borderId="23" xfId="0" applyFont="1" applyFill="1" applyBorder="1" applyAlignment="1">
      <alignment horizontal="left" indent="3"/>
    </xf>
    <xf numFmtId="0" fontId="6" fillId="0" borderId="24" xfId="0" applyFont="1" applyFill="1" applyBorder="1" applyAlignment="1">
      <alignment horizontal="left" indent="3"/>
    </xf>
    <xf numFmtId="0" fontId="0" fillId="0" borderId="0" xfId="0" applyBorder="1"/>
    <xf numFmtId="0" fontId="0" fillId="0" borderId="0" xfId="0"/>
    <xf numFmtId="0" fontId="0" fillId="3" borderId="0" xfId="0" applyFill="1"/>
    <xf numFmtId="0" fontId="6" fillId="0" borderId="23" xfId="0" applyFont="1" applyFill="1" applyBorder="1" applyAlignment="1">
      <alignment horizontal="left" indent="3"/>
    </xf>
    <xf numFmtId="187" fontId="38" fillId="21" borderId="10" xfId="0" applyNumberFormat="1" applyFont="1" applyFill="1" applyBorder="1" applyAlignment="1">
      <alignment horizontal="right" vertical="center" wrapText="1" indent="1"/>
    </xf>
    <xf numFmtId="187" fontId="38" fillId="21" borderId="19" xfId="0" applyNumberFormat="1" applyFont="1" applyFill="1" applyBorder="1" applyAlignment="1">
      <alignment horizontal="right" vertical="center" wrapText="1" indent="1"/>
    </xf>
    <xf numFmtId="186" fontId="38" fillId="21" borderId="10" xfId="0" applyNumberFormat="1" applyFont="1" applyFill="1" applyBorder="1" applyAlignment="1">
      <alignment horizontal="right" vertical="center" wrapText="1" indent="1"/>
    </xf>
    <xf numFmtId="181" fontId="31" fillId="3" borderId="7" xfId="0" applyNumberFormat="1" applyFont="1" applyFill="1" applyBorder="1" applyAlignment="1">
      <alignment vertical="center"/>
    </xf>
    <xf numFmtId="181" fontId="19" fillId="3" borderId="0" xfId="0" applyNumberFormat="1" applyFont="1" applyFill="1" applyBorder="1" applyAlignment="1">
      <alignment vertical="center"/>
    </xf>
    <xf numFmtId="181" fontId="31" fillId="12" borderId="7" xfId="0" applyNumberFormat="1" applyFont="1" applyFill="1" applyBorder="1" applyAlignment="1">
      <alignment vertical="center"/>
    </xf>
    <xf numFmtId="181" fontId="31" fillId="3" borderId="2" xfId="0" applyNumberFormat="1" applyFont="1" applyFill="1" applyBorder="1" applyAlignment="1">
      <alignment vertical="center"/>
    </xf>
    <xf numFmtId="181" fontId="33" fillId="3" borderId="0" xfId="0" applyNumberFormat="1" applyFont="1" applyFill="1" applyBorder="1" applyAlignment="1">
      <alignment horizontal="right" vertical="center"/>
    </xf>
    <xf numFmtId="181" fontId="19" fillId="0" borderId="0" xfId="0" applyNumberFormat="1" applyFont="1" applyFill="1" applyBorder="1" applyAlignment="1">
      <alignment vertical="center"/>
    </xf>
    <xf numFmtId="181" fontId="33" fillId="0" borderId="0" xfId="0" applyNumberFormat="1" applyFont="1" applyFill="1" applyBorder="1" applyAlignment="1">
      <alignment horizontal="right" vertical="center"/>
    </xf>
    <xf numFmtId="181" fontId="31" fillId="0" borderId="0" xfId="0" applyNumberFormat="1" applyFont="1" applyFill="1" applyBorder="1" applyAlignment="1">
      <alignment vertical="center"/>
    </xf>
    <xf numFmtId="170" fontId="19" fillId="0" borderId="0" xfId="0" applyNumberFormat="1" applyFont="1"/>
    <xf numFmtId="188" fontId="19" fillId="0" borderId="0" xfId="0" applyNumberFormat="1" applyFont="1"/>
    <xf numFmtId="176" fontId="31" fillId="0" borderId="0" xfId="0" applyNumberFormat="1" applyFont="1"/>
    <xf numFmtId="176" fontId="19" fillId="0" borderId="0" xfId="0" applyNumberFormat="1" applyFont="1"/>
    <xf numFmtId="176" fontId="31" fillId="0" borderId="0" xfId="0" applyNumberFormat="1" applyFont="1" applyFill="1"/>
    <xf numFmtId="170" fontId="31" fillId="0" borderId="0" xfId="0" applyNumberFormat="1" applyFont="1"/>
    <xf numFmtId="181" fontId="19" fillId="0" borderId="0" xfId="0" applyNumberFormat="1" applyFont="1"/>
    <xf numFmtId="188" fontId="31" fillId="0" borderId="0" xfId="0" applyNumberFormat="1" applyFont="1"/>
    <xf numFmtId="166" fontId="31" fillId="0" borderId="0" xfId="0" applyNumberFormat="1" applyFont="1"/>
    <xf numFmtId="168" fontId="31" fillId="0" borderId="0" xfId="0" applyNumberFormat="1" applyFont="1"/>
    <xf numFmtId="0" fontId="76" fillId="3" borderId="0" xfId="0" applyFont="1" applyFill="1"/>
    <xf numFmtId="0" fontId="76" fillId="3" borderId="0" xfId="0" applyFont="1" applyFill="1" applyAlignment="1">
      <alignment vertical="center"/>
    </xf>
    <xf numFmtId="0" fontId="76" fillId="3" borderId="0" xfId="0" applyFont="1" applyFill="1" applyBorder="1" applyAlignment="1">
      <alignment vertical="center"/>
    </xf>
    <xf numFmtId="0" fontId="77" fillId="3" borderId="0" xfId="0" applyFont="1" applyFill="1" applyAlignment="1">
      <alignment vertical="center"/>
    </xf>
    <xf numFmtId="0" fontId="77" fillId="3" borderId="0" xfId="0" applyFont="1" applyFill="1" applyBorder="1" applyAlignment="1">
      <alignment vertical="center"/>
    </xf>
    <xf numFmtId="169" fontId="76" fillId="3" borderId="0" xfId="0" applyNumberFormat="1" applyFont="1" applyFill="1" applyAlignment="1">
      <alignment vertical="center"/>
    </xf>
    <xf numFmtId="3" fontId="76" fillId="3" borderId="0" xfId="0" applyNumberFormat="1" applyFont="1" applyFill="1" applyBorder="1" applyAlignment="1">
      <alignment horizontal="right" vertical="center" wrapText="1"/>
    </xf>
    <xf numFmtId="3" fontId="76" fillId="3" borderId="0" xfId="0" applyNumberFormat="1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5" fillId="0" borderId="23" xfId="0" applyFont="1" applyFill="1" applyBorder="1" applyAlignment="1">
      <alignment horizontal="left" indent="3"/>
    </xf>
    <xf numFmtId="170" fontId="47" fillId="7" borderId="8" xfId="0" applyNumberFormat="1" applyFont="1" applyFill="1" applyBorder="1" applyAlignment="1">
      <alignment horizontal="right" vertical="center"/>
    </xf>
    <xf numFmtId="176" fontId="77" fillId="3" borderId="0" xfId="0" applyNumberFormat="1" applyFont="1" applyFill="1" applyBorder="1" applyAlignment="1">
      <alignment horizontal="right" vertical="center"/>
    </xf>
    <xf numFmtId="189" fontId="34" fillId="3" borderId="0" xfId="0" applyNumberFormat="1" applyFont="1" applyFill="1" applyBorder="1" applyAlignment="1">
      <alignment horizontal="right" vertical="center"/>
    </xf>
    <xf numFmtId="0" fontId="10" fillId="3" borderId="23" xfId="0" applyFont="1" applyFill="1" applyBorder="1" applyAlignment="1">
      <alignment vertical="center"/>
    </xf>
    <xf numFmtId="0" fontId="10" fillId="3" borderId="24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horizontal="left" indent="3"/>
    </xf>
    <xf numFmtId="169" fontId="10" fillId="3" borderId="0" xfId="0" applyNumberFormat="1" applyFont="1" applyFill="1"/>
    <xf numFmtId="181" fontId="7" fillId="2" borderId="0" xfId="0" applyNumberFormat="1" applyFont="1" applyFill="1" applyBorder="1" applyAlignment="1">
      <alignment horizontal="right" vertical="center" wrapText="1"/>
    </xf>
    <xf numFmtId="181" fontId="7" fillId="2" borderId="18" xfId="0" applyNumberFormat="1" applyFont="1" applyFill="1" applyBorder="1" applyAlignment="1">
      <alignment vertical="center"/>
    </xf>
    <xf numFmtId="0" fontId="78" fillId="3" borderId="0" xfId="0" applyFont="1" applyFill="1"/>
    <xf numFmtId="0" fontId="47" fillId="8" borderId="16" xfId="0" applyFont="1" applyFill="1" applyBorder="1" applyAlignment="1">
      <alignment horizontal="right" vertical="center"/>
    </xf>
    <xf numFmtId="170" fontId="47" fillId="9" borderId="8" xfId="0" applyNumberFormat="1" applyFont="1" applyFill="1" applyBorder="1" applyAlignment="1">
      <alignment horizontal="right" vertical="center"/>
    </xf>
    <xf numFmtId="170" fontId="44" fillId="9" borderId="10" xfId="0" applyNumberFormat="1" applyFont="1" applyFill="1" applyBorder="1" applyAlignment="1">
      <alignment horizontal="right" vertical="center"/>
    </xf>
    <xf numFmtId="176" fontId="47" fillId="7" borderId="8" xfId="0" applyNumberFormat="1" applyFont="1" applyFill="1" applyBorder="1" applyAlignment="1">
      <alignment vertical="center"/>
    </xf>
    <xf numFmtId="176" fontId="44" fillId="9" borderId="10" xfId="0" applyNumberFormat="1" applyFont="1" applyFill="1" applyBorder="1" applyAlignment="1">
      <alignment horizontal="right" vertical="center"/>
    </xf>
    <xf numFmtId="176" fontId="47" fillId="7" borderId="8" xfId="0" applyNumberFormat="1" applyFont="1" applyFill="1" applyBorder="1" applyAlignment="1">
      <alignment horizontal="right" vertical="center"/>
    </xf>
    <xf numFmtId="181" fontId="44" fillId="9" borderId="10" xfId="0" applyNumberFormat="1" applyFont="1" applyFill="1" applyBorder="1" applyAlignment="1">
      <alignment horizontal="right" vertical="center"/>
    </xf>
    <xf numFmtId="178" fontId="47" fillId="9" borderId="10" xfId="0" applyNumberFormat="1" applyFont="1" applyFill="1" applyBorder="1" applyAlignment="1">
      <alignment horizontal="right" vertical="center"/>
    </xf>
    <xf numFmtId="169" fontId="47" fillId="10" borderId="12" xfId="0" applyNumberFormat="1" applyFont="1" applyFill="1" applyBorder="1" applyAlignment="1">
      <alignment vertical="center" wrapText="1"/>
    </xf>
    <xf numFmtId="168" fontId="47" fillId="10" borderId="19" xfId="2" applyNumberFormat="1" applyFont="1" applyFill="1" applyBorder="1" applyAlignment="1">
      <alignment vertical="center" wrapText="1"/>
    </xf>
    <xf numFmtId="0" fontId="44" fillId="3" borderId="0" xfId="0" applyFont="1" applyFill="1" applyAlignment="1">
      <alignment vertical="center"/>
    </xf>
    <xf numFmtId="0" fontId="44" fillId="3" borderId="0" xfId="0" applyFont="1" applyFill="1"/>
    <xf numFmtId="0" fontId="44" fillId="0" borderId="0" xfId="0" applyFont="1" applyAlignment="1">
      <alignment vertical="center"/>
    </xf>
    <xf numFmtId="0" fontId="19" fillId="3" borderId="0" xfId="0" applyFont="1" applyFill="1" applyAlignment="1">
      <alignment horizontal="left" vertical="center" wrapText="1"/>
    </xf>
    <xf numFmtId="0" fontId="2" fillId="3" borderId="22" xfId="0" applyFont="1" applyFill="1" applyBorder="1" applyAlignment="1">
      <alignment vertical="center" wrapText="1"/>
    </xf>
    <xf numFmtId="169" fontId="31" fillId="12" borderId="11" xfId="0" applyNumberFormat="1" applyFont="1" applyFill="1" applyBorder="1" applyAlignment="1">
      <alignment vertical="center"/>
    </xf>
    <xf numFmtId="216" fontId="19" fillId="0" borderId="0" xfId="0" applyNumberFormat="1" applyFont="1"/>
    <xf numFmtId="170" fontId="19" fillId="3" borderId="3" xfId="0" applyNumberFormat="1" applyFont="1" applyFill="1" applyBorder="1" applyAlignment="1">
      <alignment horizontal="right" vertical="center"/>
    </xf>
    <xf numFmtId="176" fontId="19" fillId="3" borderId="3" xfId="0" applyNumberFormat="1" applyFont="1" applyFill="1" applyBorder="1" applyAlignment="1">
      <alignment horizontal="right" vertical="center"/>
    </xf>
    <xf numFmtId="176" fontId="31" fillId="12" borderId="6" xfId="0" applyNumberFormat="1" applyFont="1" applyFill="1" applyBorder="1" applyAlignment="1">
      <alignment vertical="center"/>
    </xf>
    <xf numFmtId="170" fontId="66" fillId="3" borderId="4" xfId="0" applyNumberFormat="1" applyFont="1" applyFill="1" applyBorder="1" applyAlignment="1">
      <alignment horizontal="right" vertical="center"/>
    </xf>
    <xf numFmtId="170" fontId="66" fillId="3" borderId="3" xfId="0" applyNumberFormat="1" applyFont="1" applyFill="1" applyBorder="1" applyAlignment="1">
      <alignment horizontal="right" vertical="center"/>
    </xf>
    <xf numFmtId="170" fontId="66" fillId="3" borderId="5" xfId="0" applyNumberFormat="1" applyFont="1" applyFill="1" applyBorder="1" applyAlignment="1">
      <alignment horizontal="right" vertical="center"/>
    </xf>
    <xf numFmtId="181" fontId="6" fillId="3" borderId="27" xfId="0" applyNumberFormat="1" applyFont="1" applyFill="1" applyBorder="1" applyAlignment="1">
      <alignment horizontal="right" vertical="center" wrapText="1"/>
    </xf>
    <xf numFmtId="181" fontId="6" fillId="3" borderId="18" xfId="0" applyNumberFormat="1" applyFont="1" applyFill="1" applyBorder="1" applyAlignment="1">
      <alignment horizontal="right" vertical="center" wrapText="1"/>
    </xf>
    <xf numFmtId="181" fontId="6" fillId="2" borderId="67" xfId="0" applyNumberFormat="1" applyFont="1" applyFill="1" applyBorder="1" applyAlignment="1">
      <alignment horizontal="right" vertical="center"/>
    </xf>
    <xf numFmtId="183" fontId="40" fillId="2" borderId="27" xfId="0" applyNumberFormat="1" applyFont="1" applyFill="1" applyBorder="1" applyAlignment="1">
      <alignment horizontal="right" vertical="center"/>
    </xf>
    <xf numFmtId="181" fontId="0" fillId="2" borderId="0" xfId="0" applyNumberFormat="1" applyFill="1" applyBorder="1" applyAlignment="1">
      <alignment vertical="center"/>
    </xf>
    <xf numFmtId="181" fontId="6" fillId="3" borderId="67" xfId="0" applyNumberFormat="1" applyFont="1" applyFill="1" applyBorder="1" applyAlignment="1">
      <alignment horizontal="right" vertical="center" wrapText="1"/>
    </xf>
    <xf numFmtId="180" fontId="19" fillId="3" borderId="0" xfId="0" applyNumberFormat="1" applyFont="1" applyFill="1"/>
    <xf numFmtId="181" fontId="19" fillId="3" borderId="5" xfId="0" applyNumberFormat="1" applyFont="1" applyFill="1" applyBorder="1" applyAlignment="1">
      <alignment vertical="center"/>
    </xf>
    <xf numFmtId="3" fontId="15" fillId="0" borderId="0" xfId="0" applyNumberFormat="1" applyFont="1" applyAlignment="1">
      <alignment vertical="center"/>
    </xf>
    <xf numFmtId="0" fontId="41" fillId="3" borderId="0" xfId="0" applyFont="1" applyFill="1" applyAlignment="1">
      <alignment horizontal="left" vertical="top"/>
    </xf>
    <xf numFmtId="169" fontId="71" fillId="6" borderId="4" xfId="0" applyNumberFormat="1" applyFont="1" applyFill="1" applyBorder="1" applyAlignment="1">
      <alignment vertical="center" wrapText="1"/>
    </xf>
    <xf numFmtId="186" fontId="200" fillId="21" borderId="12" xfId="7" applyNumberFormat="1" applyFont="1" applyFill="1" applyBorder="1" applyAlignment="1">
      <alignment horizontal="right" vertical="center" wrapText="1" indent="1"/>
    </xf>
    <xf numFmtId="181" fontId="44" fillId="3" borderId="0" xfId="0" applyNumberFormat="1" applyFont="1" applyFill="1" applyBorder="1" applyAlignment="1">
      <alignment vertical="center"/>
    </xf>
    <xf numFmtId="0" fontId="44" fillId="0" borderId="3" xfId="0" applyFont="1" applyFill="1" applyBorder="1" applyAlignment="1">
      <alignment horizontal="left" vertical="center" wrapText="1"/>
    </xf>
    <xf numFmtId="176" fontId="44" fillId="0" borderId="0" xfId="0" applyNumberFormat="1" applyFont="1" applyFill="1" applyBorder="1" applyAlignment="1">
      <alignment horizontal="right" vertical="center"/>
    </xf>
    <xf numFmtId="176" fontId="44" fillId="9" borderId="0" xfId="0" applyNumberFormat="1" applyFont="1" applyFill="1" applyBorder="1" applyAlignment="1">
      <alignment horizontal="right" vertical="center"/>
    </xf>
    <xf numFmtId="176" fontId="44" fillId="0" borderId="3" xfId="0" applyNumberFormat="1" applyFont="1" applyFill="1" applyBorder="1" applyAlignment="1">
      <alignment horizontal="right" vertical="center"/>
    </xf>
    <xf numFmtId="176" fontId="44" fillId="3" borderId="0" xfId="0" applyNumberFormat="1" applyFont="1" applyFill="1" applyBorder="1" applyAlignment="1">
      <alignment horizontal="right" vertical="center"/>
    </xf>
    <xf numFmtId="188" fontId="44" fillId="0" borderId="0" xfId="0" applyNumberFormat="1" applyFont="1"/>
    <xf numFmtId="176" fontId="44" fillId="3" borderId="3" xfId="0" applyNumberFormat="1" applyFont="1" applyFill="1" applyBorder="1" applyAlignment="1">
      <alignment horizontal="right" vertical="center"/>
    </xf>
    <xf numFmtId="0" fontId="44" fillId="0" borderId="0" xfId="0" applyFont="1"/>
    <xf numFmtId="216" fontId="44" fillId="0" borderId="0" xfId="0" applyNumberFormat="1" applyFont="1"/>
    <xf numFmtId="0" fontId="201" fillId="3" borderId="22" xfId="0" applyFont="1" applyFill="1" applyBorder="1" applyAlignment="1">
      <alignment vertical="center"/>
    </xf>
    <xf numFmtId="181" fontId="202" fillId="2" borderId="67" xfId="0" applyNumberFormat="1" applyFont="1" applyFill="1" applyBorder="1" applyAlignment="1">
      <alignment vertical="center"/>
    </xf>
    <xf numFmtId="181" fontId="202" fillId="3" borderId="11" xfId="0" applyNumberFormat="1" applyFont="1" applyFill="1" applyBorder="1" applyAlignment="1">
      <alignment vertical="center"/>
    </xf>
    <xf numFmtId="181" fontId="201" fillId="3" borderId="12" xfId="0" applyNumberFormat="1" applyFont="1" applyFill="1" applyBorder="1" applyAlignment="1">
      <alignment vertical="center"/>
    </xf>
    <xf numFmtId="0" fontId="76" fillId="2" borderId="11" xfId="0" applyFont="1" applyFill="1" applyBorder="1" applyAlignment="1">
      <alignment vertical="center"/>
    </xf>
    <xf numFmtId="181" fontId="76" fillId="2" borderId="11" xfId="0" applyNumberFormat="1" applyFont="1" applyFill="1" applyBorder="1" applyAlignment="1">
      <alignment vertical="center"/>
    </xf>
    <xf numFmtId="181" fontId="202" fillId="2" borderId="11" xfId="0" applyNumberFormat="1" applyFont="1" applyFill="1" applyBorder="1" applyAlignment="1">
      <alignment vertical="center"/>
    </xf>
    <xf numFmtId="181" fontId="76" fillId="3" borderId="67" xfId="0" applyNumberFormat="1" applyFont="1" applyFill="1" applyBorder="1" applyAlignment="1">
      <alignment vertical="center"/>
    </xf>
    <xf numFmtId="181" fontId="76" fillId="3" borderId="11" xfId="0" applyNumberFormat="1" applyFont="1" applyFill="1" applyBorder="1" applyAlignment="1">
      <alignment vertical="center"/>
    </xf>
    <xf numFmtId="0" fontId="76" fillId="0" borderId="0" xfId="0" applyFont="1" applyAlignment="1">
      <alignment vertical="center"/>
    </xf>
    <xf numFmtId="0" fontId="44" fillId="3" borderId="3" xfId="0" applyFont="1" applyFill="1" applyBorder="1" applyAlignment="1">
      <alignment horizontal="left" vertical="center"/>
    </xf>
    <xf numFmtId="0" fontId="44" fillId="3" borderId="3" xfId="0" applyFont="1" applyFill="1" applyBorder="1" applyAlignment="1">
      <alignment vertical="center"/>
    </xf>
    <xf numFmtId="0" fontId="44" fillId="0" borderId="3" xfId="0" applyFont="1" applyFill="1" applyBorder="1" applyAlignment="1">
      <alignment vertical="center"/>
    </xf>
    <xf numFmtId="181" fontId="44" fillId="3" borderId="10" xfId="0" applyNumberFormat="1" applyFont="1" applyFill="1" applyBorder="1" applyAlignment="1">
      <alignment vertical="center"/>
    </xf>
    <xf numFmtId="181" fontId="44" fillId="3" borderId="3" xfId="0" applyNumberFormat="1" applyFont="1" applyFill="1" applyBorder="1" applyAlignment="1">
      <alignment vertical="center"/>
    </xf>
    <xf numFmtId="182" fontId="44" fillId="3" borderId="0" xfId="0" applyNumberFormat="1" applyFont="1" applyFill="1" applyAlignment="1">
      <alignment vertical="center"/>
    </xf>
    <xf numFmtId="181" fontId="44" fillId="3" borderId="0" xfId="0" applyNumberFormat="1" applyFont="1" applyFill="1" applyAlignment="1">
      <alignment vertical="center"/>
    </xf>
    <xf numFmtId="181" fontId="44" fillId="2" borderId="0" xfId="0" applyNumberFormat="1" applyFont="1" applyFill="1" applyAlignment="1">
      <alignment vertical="center"/>
    </xf>
    <xf numFmtId="181" fontId="44" fillId="2" borderId="10" xfId="0" applyNumberFormat="1" applyFont="1" applyFill="1" applyBorder="1" applyAlignment="1">
      <alignment vertical="center"/>
    </xf>
    <xf numFmtId="181" fontId="44" fillId="0" borderId="3" xfId="0" applyNumberFormat="1" applyFont="1" applyFill="1" applyBorder="1" applyAlignment="1">
      <alignment vertical="center"/>
    </xf>
    <xf numFmtId="182" fontId="44" fillId="3" borderId="0" xfId="0" applyNumberFormat="1" applyFont="1" applyFill="1" applyBorder="1" applyAlignment="1">
      <alignment vertical="center"/>
    </xf>
    <xf numFmtId="182" fontId="44" fillId="3" borderId="10" xfId="0" applyNumberFormat="1" applyFont="1" applyFill="1" applyBorder="1" applyAlignment="1">
      <alignment vertical="center"/>
    </xf>
    <xf numFmtId="182" fontId="44" fillId="3" borderId="3" xfId="0" applyNumberFormat="1" applyFont="1" applyFill="1" applyBorder="1" applyAlignment="1">
      <alignment vertical="center"/>
    </xf>
    <xf numFmtId="0" fontId="44" fillId="3" borderId="3" xfId="0" applyFont="1" applyFill="1" applyBorder="1" applyAlignment="1">
      <alignment vertical="center" wrapText="1"/>
    </xf>
    <xf numFmtId="181" fontId="48" fillId="3" borderId="0" xfId="0" applyNumberFormat="1" applyFont="1" applyFill="1" applyBorder="1" applyAlignment="1">
      <alignment horizontal="right" vertical="center"/>
    </xf>
    <xf numFmtId="169" fontId="71" fillId="6" borderId="67" xfId="0" applyNumberFormat="1" applyFont="1" applyFill="1" applyBorder="1" applyAlignment="1">
      <alignment vertical="center" wrapText="1"/>
    </xf>
    <xf numFmtId="180" fontId="46" fillId="3" borderId="0" xfId="0" applyNumberFormat="1" applyFont="1" applyFill="1" applyBorder="1" applyAlignment="1">
      <alignment horizontal="right" vertical="center"/>
    </xf>
    <xf numFmtId="183" fontId="40" fillId="3" borderId="68" xfId="0" applyNumberFormat="1" applyFont="1" applyFill="1" applyBorder="1" applyAlignment="1">
      <alignment vertical="center"/>
    </xf>
    <xf numFmtId="0" fontId="40" fillId="2" borderId="68" xfId="0" applyFont="1" applyFill="1" applyBorder="1" applyAlignment="1">
      <alignment vertical="center"/>
    </xf>
    <xf numFmtId="10" fontId="22" fillId="2" borderId="69" xfId="0" applyNumberFormat="1" applyFont="1" applyFill="1" applyBorder="1" applyAlignment="1">
      <alignment horizontal="right" vertical="center" wrapText="1" indent="1"/>
    </xf>
    <xf numFmtId="10" fontId="9" fillId="2" borderId="5" xfId="0" applyNumberFormat="1" applyFont="1" applyFill="1" applyBorder="1" applyAlignment="1">
      <alignment horizontal="right" vertical="center" wrapText="1" indent="1"/>
    </xf>
    <xf numFmtId="10" fontId="9" fillId="3" borderId="18" xfId="0" applyNumberFormat="1" applyFont="1" applyFill="1" applyBorder="1" applyAlignment="1">
      <alignment horizontal="right" vertical="center" wrapText="1" indent="1"/>
    </xf>
    <xf numFmtId="0" fontId="1" fillId="0" borderId="23" xfId="0" applyFont="1" applyFill="1" applyBorder="1" applyAlignment="1">
      <alignment horizontal="left" indent="3"/>
    </xf>
    <xf numFmtId="0" fontId="1" fillId="0" borderId="24" xfId="0" applyFont="1" applyFill="1" applyBorder="1" applyAlignment="1">
      <alignment horizontal="left" indent="3"/>
    </xf>
    <xf numFmtId="0" fontId="12" fillId="0" borderId="24" xfId="0" applyFont="1" applyFill="1" applyBorder="1" applyAlignment="1">
      <alignment horizontal="left" indent="3"/>
    </xf>
    <xf numFmtId="0" fontId="19" fillId="3" borderId="0" xfId="0" applyFont="1" applyFill="1" applyAlignment="1">
      <alignment horizontal="left" vertical="center" wrapText="1"/>
    </xf>
    <xf numFmtId="0" fontId="70" fillId="4" borderId="17" xfId="0" applyFont="1" applyFill="1" applyBorder="1" applyAlignment="1">
      <alignment horizontal="center" vertical="center" wrapText="1"/>
    </xf>
    <xf numFmtId="0" fontId="70" fillId="4" borderId="20" xfId="0" applyFont="1" applyFill="1" applyBorder="1" applyAlignment="1">
      <alignment horizontal="center" vertical="center" wrapText="1"/>
    </xf>
    <xf numFmtId="0" fontId="70" fillId="4" borderId="21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4" borderId="11" xfId="0" applyFont="1" applyFill="1" applyBorder="1" applyAlignment="1">
      <alignment horizontal="center" vertical="center" wrapText="1"/>
    </xf>
    <xf numFmtId="0" fontId="70" fillId="4" borderId="12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199" fillId="4" borderId="17" xfId="0" applyFont="1" applyFill="1" applyBorder="1" applyAlignment="1">
      <alignment horizontal="center" vertical="center" wrapText="1"/>
    </xf>
    <xf numFmtId="0" fontId="199" fillId="4" borderId="20" xfId="0" applyFont="1" applyFill="1" applyBorder="1" applyAlignment="1">
      <alignment horizontal="center" vertical="center" wrapText="1"/>
    </xf>
    <xf numFmtId="0" fontId="199" fillId="4" borderId="21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41" fillId="3" borderId="0" xfId="0" applyFont="1" applyFill="1" applyAlignment="1">
      <alignment horizontal="left"/>
    </xf>
    <xf numFmtId="0" fontId="24" fillId="3" borderId="22" xfId="0" applyFont="1" applyFill="1" applyBorder="1" applyAlignment="1">
      <alignment horizontal="left" vertical="center" wrapText="1"/>
    </xf>
    <xf numFmtId="0" fontId="24" fillId="3" borderId="23" xfId="0" applyFont="1" applyFill="1" applyBorder="1" applyAlignment="1">
      <alignment horizontal="left" vertical="center" wrapText="1"/>
    </xf>
    <xf numFmtId="0" fontId="24" fillId="3" borderId="24" xfId="0" applyFont="1" applyFill="1" applyBorder="1" applyAlignment="1">
      <alignment horizontal="left" vertical="center" wrapText="1"/>
    </xf>
    <xf numFmtId="0" fontId="32" fillId="4" borderId="17" xfId="0" applyFont="1" applyFill="1" applyBorder="1" applyAlignment="1">
      <alignment horizontal="center" vertical="center" wrapText="1"/>
    </xf>
    <xf numFmtId="0" fontId="32" fillId="4" borderId="20" xfId="0" applyFont="1" applyFill="1" applyBorder="1" applyAlignment="1">
      <alignment horizontal="center" vertical="center"/>
    </xf>
    <xf numFmtId="0" fontId="32" fillId="4" borderId="21" xfId="0" applyFont="1" applyFill="1" applyBorder="1" applyAlignment="1">
      <alignment horizontal="center" vertical="center"/>
    </xf>
    <xf numFmtId="0" fontId="32" fillId="4" borderId="20" xfId="0" applyFont="1" applyFill="1" applyBorder="1" applyAlignment="1">
      <alignment horizontal="center" vertical="center" wrapText="1"/>
    </xf>
    <xf numFmtId="0" fontId="32" fillId="4" borderId="21" xfId="0" applyFont="1" applyFill="1" applyBorder="1" applyAlignment="1">
      <alignment horizontal="center" vertical="center" wrapText="1"/>
    </xf>
    <xf numFmtId="0" fontId="32" fillId="4" borderId="11" xfId="0" applyFont="1" applyFill="1" applyBorder="1" applyAlignment="1">
      <alignment horizontal="center" vertical="center" wrapText="1"/>
    </xf>
    <xf numFmtId="0" fontId="32" fillId="4" borderId="12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 vertical="top" wrapText="1"/>
    </xf>
    <xf numFmtId="0" fontId="26" fillId="3" borderId="22" xfId="0" applyFont="1" applyFill="1" applyBorder="1" applyAlignment="1">
      <alignment horizontal="left" vertical="center" wrapText="1"/>
    </xf>
    <xf numFmtId="0" fontId="26" fillId="3" borderId="24" xfId="0" applyFont="1" applyFill="1" applyBorder="1" applyAlignment="1">
      <alignment horizontal="left" vertical="center" wrapText="1"/>
    </xf>
    <xf numFmtId="0" fontId="27" fillId="4" borderId="6" xfId="0" applyFont="1" applyFill="1" applyBorder="1" applyAlignment="1">
      <alignment horizontal="center" vertical="center" wrapText="1"/>
    </xf>
    <xf numFmtId="0" fontId="27" fillId="4" borderId="7" xfId="0" applyFont="1" applyFill="1" applyBorder="1" applyAlignment="1">
      <alignment horizontal="center" vertical="center" wrapText="1"/>
    </xf>
    <xf numFmtId="0" fontId="27" fillId="16" borderId="12" xfId="0" applyFont="1" applyFill="1" applyBorder="1" applyAlignment="1">
      <alignment horizontal="center" vertical="center" wrapText="1"/>
    </xf>
    <xf numFmtId="0" fontId="27" fillId="16" borderId="19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left" vertical="top"/>
    </xf>
    <xf numFmtId="0" fontId="15" fillId="3" borderId="0" xfId="0" applyFont="1" applyFill="1" applyBorder="1" applyAlignment="1">
      <alignment horizontal="left" vertical="top" wrapText="1"/>
    </xf>
    <xf numFmtId="0" fontId="62" fillId="0" borderId="6" xfId="0" applyFont="1" applyFill="1" applyBorder="1" applyAlignment="1">
      <alignment horizontal="left" vertical="center"/>
    </xf>
    <xf numFmtId="0" fontId="62" fillId="0" borderId="7" xfId="0" applyFont="1" applyFill="1" applyBorder="1" applyAlignment="1">
      <alignment horizontal="left" vertical="center"/>
    </xf>
    <xf numFmtId="0" fontId="62" fillId="0" borderId="8" xfId="0" applyFont="1" applyFill="1" applyBorder="1" applyAlignment="1">
      <alignment horizontal="left" vertical="center"/>
    </xf>
    <xf numFmtId="0" fontId="62" fillId="0" borderId="6" xfId="0" applyFont="1" applyFill="1" applyBorder="1" applyAlignment="1">
      <alignment horizontal="left" vertical="center" wrapText="1"/>
    </xf>
    <xf numFmtId="0" fontId="62" fillId="0" borderId="7" xfId="0" applyFont="1" applyFill="1" applyBorder="1" applyAlignment="1">
      <alignment horizontal="left" vertical="center" wrapText="1"/>
    </xf>
    <xf numFmtId="0" fontId="62" fillId="0" borderId="8" xfId="0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left" vertical="center" wrapText="1"/>
    </xf>
    <xf numFmtId="0" fontId="41" fillId="0" borderId="0" xfId="0" applyFont="1" applyFill="1" applyAlignment="1">
      <alignment horizontal="left" vertical="top" wrapText="1"/>
    </xf>
    <xf numFmtId="0" fontId="24" fillId="3" borderId="22" xfId="0" applyFont="1" applyFill="1" applyBorder="1" applyAlignment="1">
      <alignment horizontal="center" vertical="center" wrapText="1"/>
    </xf>
    <xf numFmtId="0" fontId="24" fillId="3" borderId="24" xfId="0" applyFont="1" applyFill="1" applyBorder="1" applyAlignment="1">
      <alignment horizontal="center" vertical="center" wrapText="1"/>
    </xf>
    <xf numFmtId="0" fontId="62" fillId="3" borderId="22" xfId="0" applyFont="1" applyFill="1" applyBorder="1" applyAlignment="1">
      <alignment horizontal="left" vertical="center" wrapText="1"/>
    </xf>
    <xf numFmtId="0" fontId="62" fillId="3" borderId="24" xfId="0" applyFont="1" applyFill="1" applyBorder="1" applyAlignment="1">
      <alignment horizontal="left" vertical="center" wrapText="1"/>
    </xf>
    <xf numFmtId="0" fontId="42" fillId="3" borderId="0" xfId="0" applyFont="1" applyFill="1" applyAlignment="1">
      <alignment horizontal="left" wrapText="1"/>
    </xf>
    <xf numFmtId="0" fontId="41" fillId="3" borderId="0" xfId="0" applyFont="1" applyFill="1" applyAlignment="1">
      <alignment horizontal="left" vertical="top"/>
    </xf>
    <xf numFmtId="0" fontId="41" fillId="3" borderId="0" xfId="0" applyFont="1" applyFill="1" applyAlignment="1">
      <alignment horizontal="left" vertical="top" wrapText="1"/>
    </xf>
    <xf numFmtId="168" fontId="22" fillId="0" borderId="6" xfId="0" applyNumberFormat="1" applyFont="1" applyFill="1" applyBorder="1" applyAlignment="1">
      <alignment horizontal="right" vertical="center" wrapText="1" indent="1"/>
    </xf>
    <xf numFmtId="168" fontId="22" fillId="0" borderId="7" xfId="0" applyNumberFormat="1" applyFont="1" applyFill="1" applyBorder="1" applyAlignment="1">
      <alignment horizontal="right" vertical="center" wrapText="1" indent="1"/>
    </xf>
    <xf numFmtId="165" fontId="39" fillId="0" borderId="8" xfId="0" applyNumberFormat="1" applyFont="1" applyFill="1" applyBorder="1" applyAlignment="1">
      <alignment horizontal="right" vertical="center" wrapText="1" indent="1"/>
    </xf>
  </cellXfs>
  <cellStyles count="42851">
    <cellStyle name="%" xfId="21"/>
    <cellStyle name="% 2" xfId="22"/>
    <cellStyle name=",000" xfId="23"/>
    <cellStyle name="_6440_Tax" xfId="24"/>
    <cellStyle name="=D:\WINNT\SYSTEM32\COMMAND.COM" xfId="25"/>
    <cellStyle name="0" xfId="26"/>
    <cellStyle name="0,0" xfId="27"/>
    <cellStyle name="0,00" xfId="28"/>
    <cellStyle name="0_BP2" xfId="29"/>
    <cellStyle name="0_BP3" xfId="30"/>
    <cellStyle name="0_BP3_Financial Statements_01_2010" xfId="31"/>
    <cellStyle name="0_BP3_Financial Statements_02_2010" xfId="32"/>
    <cellStyle name="0_BP3_Financial Statements_12_2009_NewBud" xfId="33"/>
    <cellStyle name="1000-sep_Ark1" xfId="34"/>
    <cellStyle name="1000-sep+,00_Slideshow" xfId="35"/>
    <cellStyle name="20% - 1. jelölőszín" xfId="36"/>
    <cellStyle name="20% - 2. jelölőszín" xfId="37"/>
    <cellStyle name="20% - 3. jelölőszín" xfId="38"/>
    <cellStyle name="20% - 4. jelölőszín" xfId="39"/>
    <cellStyle name="20% - 5. jelölőszín" xfId="40"/>
    <cellStyle name="20% - akcent 1 10" xfId="41"/>
    <cellStyle name="20% - akcent 1 100" xfId="42"/>
    <cellStyle name="20% - akcent 1 100 2" xfId="43"/>
    <cellStyle name="20% - akcent 1 101" xfId="44"/>
    <cellStyle name="20% - akcent 1 101 2" xfId="45"/>
    <cellStyle name="20% - akcent 1 102" xfId="46"/>
    <cellStyle name="20% - akcent 1 102 2" xfId="47"/>
    <cellStyle name="20% - akcent 1 103" xfId="48"/>
    <cellStyle name="20% - akcent 1 103 2" xfId="49"/>
    <cellStyle name="20% - akcent 1 104" xfId="50"/>
    <cellStyle name="20% - akcent 1 104 2" xfId="51"/>
    <cellStyle name="20% - akcent 1 105" xfId="52"/>
    <cellStyle name="20% - akcent 1 105 2" xfId="53"/>
    <cellStyle name="20% - akcent 1 106" xfId="54"/>
    <cellStyle name="20% - akcent 1 106 2" xfId="55"/>
    <cellStyle name="20% - akcent 1 107" xfId="56"/>
    <cellStyle name="20% - akcent 1 107 2" xfId="57"/>
    <cellStyle name="20% - akcent 1 108" xfId="58"/>
    <cellStyle name="20% - akcent 1 108 2" xfId="59"/>
    <cellStyle name="20% - akcent 1 109" xfId="60"/>
    <cellStyle name="20% - akcent 1 109 2" xfId="61"/>
    <cellStyle name="20% - akcent 1 11" xfId="62"/>
    <cellStyle name="20% - akcent 1 110" xfId="63"/>
    <cellStyle name="20% - akcent 1 110 2" xfId="64"/>
    <cellStyle name="20% - akcent 1 111" xfId="65"/>
    <cellStyle name="20% - akcent 1 111 2" xfId="66"/>
    <cellStyle name="20% - akcent 1 112" xfId="67"/>
    <cellStyle name="20% - akcent 1 112 2" xfId="68"/>
    <cellStyle name="20% - akcent 1 113" xfId="69"/>
    <cellStyle name="20% - akcent 1 113 2" xfId="70"/>
    <cellStyle name="20% - akcent 1 114" xfId="71"/>
    <cellStyle name="20% - akcent 1 114 2" xfId="72"/>
    <cellStyle name="20% - akcent 1 115" xfId="73"/>
    <cellStyle name="20% - akcent 1 115 2" xfId="74"/>
    <cellStyle name="20% - akcent 1 116" xfId="75"/>
    <cellStyle name="20% - akcent 1 116 2" xfId="76"/>
    <cellStyle name="20% - akcent 1 117" xfId="77"/>
    <cellStyle name="20% - akcent 1 117 2" xfId="78"/>
    <cellStyle name="20% - akcent 1 118" xfId="79"/>
    <cellStyle name="20% - akcent 1 118 2" xfId="80"/>
    <cellStyle name="20% - akcent 1 119" xfId="81"/>
    <cellStyle name="20% - akcent 1 119 2" xfId="82"/>
    <cellStyle name="20% - akcent 1 12" xfId="83"/>
    <cellStyle name="20% - akcent 1 120" xfId="84"/>
    <cellStyle name="20% - akcent 1 121" xfId="85"/>
    <cellStyle name="20% - akcent 1 13" xfId="86"/>
    <cellStyle name="20% - akcent 1 14" xfId="87"/>
    <cellStyle name="20% - akcent 1 15" xfId="88"/>
    <cellStyle name="20% - akcent 1 16" xfId="89"/>
    <cellStyle name="20% - akcent 1 17" xfId="90"/>
    <cellStyle name="20% - akcent 1 18" xfId="91"/>
    <cellStyle name="20% - akcent 1 19" xfId="92"/>
    <cellStyle name="20% - akcent 1 2" xfId="93"/>
    <cellStyle name="20% - akcent 1 2 2" xfId="94"/>
    <cellStyle name="20% - akcent 1 2 22" xfId="95"/>
    <cellStyle name="20% - akcent 1 2 22 2" xfId="96"/>
    <cellStyle name="20% - akcent 1 2 22 3" xfId="97"/>
    <cellStyle name="20% - akcent 1 2 22 4" xfId="98"/>
    <cellStyle name="20% - akcent 1 2 22 5" xfId="99"/>
    <cellStyle name="20% - akcent 1 2 22 6" xfId="100"/>
    <cellStyle name="20% - akcent 1 2 23" xfId="101"/>
    <cellStyle name="20% - akcent 1 2 23 2" xfId="102"/>
    <cellStyle name="20% - akcent 1 2 23 3" xfId="103"/>
    <cellStyle name="20% - akcent 1 2 23 4" xfId="104"/>
    <cellStyle name="20% - akcent 1 2 23 5" xfId="105"/>
    <cellStyle name="20% - akcent 1 2 23 6" xfId="106"/>
    <cellStyle name="20% - akcent 1 2 24" xfId="107"/>
    <cellStyle name="20% - akcent 1 2 24 2" xfId="108"/>
    <cellStyle name="20% - akcent 1 2 24 3" xfId="109"/>
    <cellStyle name="20% - akcent 1 2 24 4" xfId="110"/>
    <cellStyle name="20% - akcent 1 2 24 5" xfId="111"/>
    <cellStyle name="20% - akcent 1 2 24 6" xfId="112"/>
    <cellStyle name="20% - akcent 1 2 25" xfId="113"/>
    <cellStyle name="20% - akcent 1 2 25 2" xfId="114"/>
    <cellStyle name="20% - akcent 1 2 25 3" xfId="115"/>
    <cellStyle name="20% - akcent 1 2 25 4" xfId="116"/>
    <cellStyle name="20% - akcent 1 2 25 5" xfId="117"/>
    <cellStyle name="20% - akcent 1 2 25 6" xfId="118"/>
    <cellStyle name="20% - akcent 1 2 26" xfId="119"/>
    <cellStyle name="20% - akcent 1 2 26 2" xfId="120"/>
    <cellStyle name="20% - akcent 1 2 26 3" xfId="121"/>
    <cellStyle name="20% - akcent 1 2 26 4" xfId="122"/>
    <cellStyle name="20% - akcent 1 2 26 5" xfId="123"/>
    <cellStyle name="20% - akcent 1 2 26 6" xfId="124"/>
    <cellStyle name="20% - akcent 1 2 27" xfId="125"/>
    <cellStyle name="20% - akcent 1 2 27 2" xfId="126"/>
    <cellStyle name="20% - akcent 1 2 27 3" xfId="127"/>
    <cellStyle name="20% - akcent 1 2 27 4" xfId="128"/>
    <cellStyle name="20% - akcent 1 2 27 5" xfId="129"/>
    <cellStyle name="20% - akcent 1 2 27 6" xfId="130"/>
    <cellStyle name="20% - akcent 1 2 28" xfId="131"/>
    <cellStyle name="20% - akcent 1 2 28 2" xfId="132"/>
    <cellStyle name="20% - akcent 1 2 28 3" xfId="133"/>
    <cellStyle name="20% - akcent 1 2 28 4" xfId="134"/>
    <cellStyle name="20% - akcent 1 2 28 5" xfId="135"/>
    <cellStyle name="20% - akcent 1 2 28 6" xfId="136"/>
    <cellStyle name="20% - akcent 1 2 29" xfId="137"/>
    <cellStyle name="20% - akcent 1 2 29 2" xfId="138"/>
    <cellStyle name="20% - akcent 1 2 3" xfId="139"/>
    <cellStyle name="20% - akcent 1 2 3 2" xfId="140"/>
    <cellStyle name="20% - akcent 1 2 3 3" xfId="141"/>
    <cellStyle name="20% - akcent 1 2 3 4" xfId="142"/>
    <cellStyle name="20% - akcent 1 2 3 5" xfId="143"/>
    <cellStyle name="20% - akcent 1 2 3 6" xfId="144"/>
    <cellStyle name="20% - akcent 1 2 3 7" xfId="145"/>
    <cellStyle name="20% - akcent 1 2 30" xfId="146"/>
    <cellStyle name="20% - akcent 1 2 30 2" xfId="147"/>
    <cellStyle name="20% - akcent 1 2 31" xfId="148"/>
    <cellStyle name="20% - akcent 1 2 31 2" xfId="149"/>
    <cellStyle name="20% - akcent 1 2 32" xfId="150"/>
    <cellStyle name="20% - akcent 1 2 32 2" xfId="151"/>
    <cellStyle name="20% - akcent 1 2 33" xfId="152"/>
    <cellStyle name="20% - akcent 1 2 34" xfId="153"/>
    <cellStyle name="20% - akcent 1 2 35" xfId="154"/>
    <cellStyle name="20% - akcent 1 2 36" xfId="155"/>
    <cellStyle name="20% - akcent 1 2 37" xfId="156"/>
    <cellStyle name="20% - akcent 1 2 38" xfId="157"/>
    <cellStyle name="20% - akcent 1 2 39" xfId="158"/>
    <cellStyle name="20% - akcent 1 2 4" xfId="159"/>
    <cellStyle name="20% - akcent 1 2 4 2" xfId="160"/>
    <cellStyle name="20% - akcent 1 2 4 3" xfId="161"/>
    <cellStyle name="20% - akcent 1 2 4 4" xfId="162"/>
    <cellStyle name="20% - akcent 1 2 4 5" xfId="163"/>
    <cellStyle name="20% - akcent 1 2 4 6" xfId="164"/>
    <cellStyle name="20% - akcent 1 2 4 7" xfId="165"/>
    <cellStyle name="20% - akcent 1 2 48" xfId="166"/>
    <cellStyle name="20% - akcent 1 2 49" xfId="167"/>
    <cellStyle name="20% - akcent 1 2 5" xfId="168"/>
    <cellStyle name="20% - akcent 1 2 5 3" xfId="169"/>
    <cellStyle name="20% - akcent 1 2 5 4" xfId="170"/>
    <cellStyle name="20% - akcent 1 2 5 5" xfId="171"/>
    <cellStyle name="20% - akcent 1 2 5 6" xfId="172"/>
    <cellStyle name="20% - akcent 1 2 50" xfId="173"/>
    <cellStyle name="20% - akcent 1 2 51" xfId="174"/>
    <cellStyle name="20% - akcent 1 2 6" xfId="175"/>
    <cellStyle name="20% - akcent 1 2 6 2" xfId="176"/>
    <cellStyle name="20% - akcent 1 2 6 3" xfId="177"/>
    <cellStyle name="20% - akcent 1 2 6 4" xfId="178"/>
    <cellStyle name="20% - akcent 1 2 6 5" xfId="179"/>
    <cellStyle name="20% - akcent 1 2 6 6" xfId="180"/>
    <cellStyle name="20% - akcent 1 2 7" xfId="181"/>
    <cellStyle name="20% - akcent 1 2 7 2" xfId="182"/>
    <cellStyle name="20% - akcent 1 2 7 3" xfId="183"/>
    <cellStyle name="20% - akcent 1 2 7 4" xfId="184"/>
    <cellStyle name="20% - akcent 1 2 7 5" xfId="185"/>
    <cellStyle name="20% - akcent 1 2 7 6" xfId="186"/>
    <cellStyle name="20% - akcent 1 2 8" xfId="187"/>
    <cellStyle name="20% - akcent 1 2 8 2" xfId="188"/>
    <cellStyle name="20% - akcent 1 2 8 3" xfId="189"/>
    <cellStyle name="20% - akcent 1 2 8 4" xfId="190"/>
    <cellStyle name="20% - akcent 1 2 8 5" xfId="191"/>
    <cellStyle name="20% - akcent 1 2 8 6" xfId="192"/>
    <cellStyle name="20% - akcent 1 2 9" xfId="193"/>
    <cellStyle name="20% - akcent 1 2 9 2" xfId="194"/>
    <cellStyle name="20% - akcent 1 2 9 3" xfId="195"/>
    <cellStyle name="20% - akcent 1 2 9 4" xfId="196"/>
    <cellStyle name="20% - akcent 1 2 9 5" xfId="197"/>
    <cellStyle name="20% - akcent 1 2 9 6" xfId="198"/>
    <cellStyle name="20% - akcent 1 20" xfId="199"/>
    <cellStyle name="20% - akcent 1 21" xfId="200"/>
    <cellStyle name="20% - akcent 1 22" xfId="201"/>
    <cellStyle name="20% - akcent 1 23" xfId="202"/>
    <cellStyle name="20% - akcent 1 24" xfId="203"/>
    <cellStyle name="20% - akcent 1 25" xfId="204"/>
    <cellStyle name="20% - akcent 1 26" xfId="205"/>
    <cellStyle name="20% - akcent 1 27" xfId="206"/>
    <cellStyle name="20% - akcent 1 28" xfId="207"/>
    <cellStyle name="20% - akcent 1 29" xfId="208"/>
    <cellStyle name="20% - akcent 1 3" xfId="209"/>
    <cellStyle name="20% - akcent 1 3 2" xfId="210"/>
    <cellStyle name="20% - akcent 1 3 2 2" xfId="211"/>
    <cellStyle name="20% - akcent 1 3 3" xfId="212"/>
    <cellStyle name="20% - akcent 1 3 3 2" xfId="213"/>
    <cellStyle name="20% - akcent 1 3 4" xfId="214"/>
    <cellStyle name="20% - akcent 1 3 4 2" xfId="215"/>
    <cellStyle name="20% - akcent 1 3 5" xfId="216"/>
    <cellStyle name="20% - akcent 1 3 6" xfId="217"/>
    <cellStyle name="20% - akcent 1 3 7" xfId="218"/>
    <cellStyle name="20% - akcent 1 3 8" xfId="219"/>
    <cellStyle name="20% - akcent 1 30" xfId="220"/>
    <cellStyle name="20% - akcent 1 30 2" xfId="221"/>
    <cellStyle name="20% - akcent 1 31" xfId="222"/>
    <cellStyle name="20% - akcent 1 31 2" xfId="223"/>
    <cellStyle name="20% - akcent 1 32" xfId="224"/>
    <cellStyle name="20% - akcent 1 32 2" xfId="225"/>
    <cellStyle name="20% - akcent 1 33" xfId="226"/>
    <cellStyle name="20% - akcent 1 33 2" xfId="227"/>
    <cellStyle name="20% - akcent 1 34" xfId="228"/>
    <cellStyle name="20% - akcent 1 34 2" xfId="229"/>
    <cellStyle name="20% - akcent 1 35" xfId="230"/>
    <cellStyle name="20% - akcent 1 35 2" xfId="231"/>
    <cellStyle name="20% - akcent 1 36" xfId="232"/>
    <cellStyle name="20% - akcent 1 36 2" xfId="233"/>
    <cellStyle name="20% - akcent 1 37" xfId="234"/>
    <cellStyle name="20% - akcent 1 37 2" xfId="235"/>
    <cellStyle name="20% - akcent 1 38" xfId="236"/>
    <cellStyle name="20% - akcent 1 38 2" xfId="237"/>
    <cellStyle name="20% - akcent 1 39" xfId="238"/>
    <cellStyle name="20% - akcent 1 39 2" xfId="239"/>
    <cellStyle name="20% - akcent 1 4" xfId="240"/>
    <cellStyle name="20% - akcent 1 4 2" xfId="241"/>
    <cellStyle name="20% - akcent 1 4 2 2" xfId="242"/>
    <cellStyle name="20% - akcent 1 4 3" xfId="243"/>
    <cellStyle name="20% - akcent 1 4 3 2" xfId="244"/>
    <cellStyle name="20% - akcent 1 4 4" xfId="245"/>
    <cellStyle name="20% - akcent 1 4 4 2" xfId="246"/>
    <cellStyle name="20% - akcent 1 4 5" xfId="247"/>
    <cellStyle name="20% - akcent 1 4 6" xfId="248"/>
    <cellStyle name="20% - akcent 1 4 7" xfId="249"/>
    <cellStyle name="20% - akcent 1 4 8" xfId="250"/>
    <cellStyle name="20% - akcent 1 40" xfId="251"/>
    <cellStyle name="20% - akcent 1 40 2" xfId="252"/>
    <cellStyle name="20% - akcent 1 41" xfId="253"/>
    <cellStyle name="20% - akcent 1 41 2" xfId="254"/>
    <cellStyle name="20% - akcent 1 42" xfId="255"/>
    <cellStyle name="20% - akcent 1 42 2" xfId="256"/>
    <cellStyle name="20% - akcent 1 43" xfId="257"/>
    <cellStyle name="20% - akcent 1 43 2" xfId="258"/>
    <cellStyle name="20% - akcent 1 44" xfId="259"/>
    <cellStyle name="20% - akcent 1 44 2" xfId="260"/>
    <cellStyle name="20% - akcent 1 45" xfId="261"/>
    <cellStyle name="20% - akcent 1 45 2" xfId="262"/>
    <cellStyle name="20% - akcent 1 46" xfId="263"/>
    <cellStyle name="20% - akcent 1 46 2" xfId="264"/>
    <cellStyle name="20% - akcent 1 47" xfId="265"/>
    <cellStyle name="20% - akcent 1 47 2" xfId="266"/>
    <cellStyle name="20% - akcent 1 48" xfId="267"/>
    <cellStyle name="20% - akcent 1 48 2" xfId="268"/>
    <cellStyle name="20% - akcent 1 49" xfId="269"/>
    <cellStyle name="20% - akcent 1 49 2" xfId="270"/>
    <cellStyle name="20% - akcent 1 5" xfId="271"/>
    <cellStyle name="20% - akcent 1 5 2" xfId="272"/>
    <cellStyle name="20% - akcent 1 5 3" xfId="273"/>
    <cellStyle name="20% - akcent 1 50" xfId="274"/>
    <cellStyle name="20% - akcent 1 50 2" xfId="275"/>
    <cellStyle name="20% - akcent 1 51" xfId="276"/>
    <cellStyle name="20% - akcent 1 51 2" xfId="277"/>
    <cellStyle name="20% - akcent 1 52" xfId="278"/>
    <cellStyle name="20% - akcent 1 52 2" xfId="279"/>
    <cellStyle name="20% - akcent 1 53" xfId="280"/>
    <cellStyle name="20% - akcent 1 53 2" xfId="281"/>
    <cellStyle name="20% - akcent 1 54" xfId="282"/>
    <cellStyle name="20% - akcent 1 54 2" xfId="283"/>
    <cellStyle name="20% - akcent 1 55" xfId="284"/>
    <cellStyle name="20% - akcent 1 55 2" xfId="285"/>
    <cellStyle name="20% - akcent 1 56" xfId="286"/>
    <cellStyle name="20% - akcent 1 56 2" xfId="287"/>
    <cellStyle name="20% - akcent 1 57" xfId="288"/>
    <cellStyle name="20% - akcent 1 57 2" xfId="289"/>
    <cellStyle name="20% - akcent 1 58" xfId="290"/>
    <cellStyle name="20% - akcent 1 58 2" xfId="291"/>
    <cellStyle name="20% - akcent 1 59" xfId="292"/>
    <cellStyle name="20% - akcent 1 59 2" xfId="293"/>
    <cellStyle name="20% - akcent 1 6" xfId="294"/>
    <cellStyle name="20% - akcent 1 60" xfId="295"/>
    <cellStyle name="20% - akcent 1 60 2" xfId="296"/>
    <cellStyle name="20% - akcent 1 61" xfId="297"/>
    <cellStyle name="20% - akcent 1 61 2" xfId="298"/>
    <cellStyle name="20% - akcent 1 62" xfId="299"/>
    <cellStyle name="20% - akcent 1 62 2" xfId="300"/>
    <cellStyle name="20% - akcent 1 63" xfId="301"/>
    <cellStyle name="20% - akcent 1 63 2" xfId="302"/>
    <cellStyle name="20% - akcent 1 64" xfId="303"/>
    <cellStyle name="20% - akcent 1 64 2" xfId="304"/>
    <cellStyle name="20% - akcent 1 65" xfId="305"/>
    <cellStyle name="20% - akcent 1 65 2" xfId="306"/>
    <cellStyle name="20% - akcent 1 66" xfId="307"/>
    <cellStyle name="20% - akcent 1 66 2" xfId="308"/>
    <cellStyle name="20% - akcent 1 67" xfId="309"/>
    <cellStyle name="20% - akcent 1 67 2" xfId="310"/>
    <cellStyle name="20% - akcent 1 68" xfId="311"/>
    <cellStyle name="20% - akcent 1 68 2" xfId="312"/>
    <cellStyle name="20% - akcent 1 69" xfId="313"/>
    <cellStyle name="20% - akcent 1 69 2" xfId="314"/>
    <cellStyle name="20% - akcent 1 7" xfId="315"/>
    <cellStyle name="20% - akcent 1 70" xfId="316"/>
    <cellStyle name="20% - akcent 1 70 2" xfId="317"/>
    <cellStyle name="20% - akcent 1 71" xfId="318"/>
    <cellStyle name="20% - akcent 1 71 2" xfId="319"/>
    <cellStyle name="20% - akcent 1 72" xfId="320"/>
    <cellStyle name="20% - akcent 1 72 2" xfId="321"/>
    <cellStyle name="20% - akcent 1 73" xfId="322"/>
    <cellStyle name="20% - akcent 1 73 2" xfId="323"/>
    <cellStyle name="20% - akcent 1 74" xfId="324"/>
    <cellStyle name="20% - akcent 1 74 2" xfId="325"/>
    <cellStyle name="20% - akcent 1 75" xfId="326"/>
    <cellStyle name="20% - akcent 1 75 2" xfId="327"/>
    <cellStyle name="20% - akcent 1 76" xfId="328"/>
    <cellStyle name="20% - akcent 1 76 2" xfId="329"/>
    <cellStyle name="20% - akcent 1 77" xfId="330"/>
    <cellStyle name="20% - akcent 1 77 2" xfId="331"/>
    <cellStyle name="20% - akcent 1 78" xfId="332"/>
    <cellStyle name="20% - akcent 1 78 2" xfId="333"/>
    <cellStyle name="20% - akcent 1 79" xfId="334"/>
    <cellStyle name="20% - akcent 1 79 2" xfId="335"/>
    <cellStyle name="20% - akcent 1 8" xfId="336"/>
    <cellStyle name="20% - akcent 1 80" xfId="337"/>
    <cellStyle name="20% - akcent 1 80 2" xfId="338"/>
    <cellStyle name="20% - akcent 1 81" xfId="339"/>
    <cellStyle name="20% - akcent 1 81 2" xfId="340"/>
    <cellStyle name="20% - akcent 1 82" xfId="341"/>
    <cellStyle name="20% - akcent 1 82 2" xfId="342"/>
    <cellStyle name="20% - akcent 1 83" xfId="343"/>
    <cellStyle name="20% - akcent 1 83 2" xfId="344"/>
    <cellStyle name="20% - akcent 1 84" xfId="345"/>
    <cellStyle name="20% - akcent 1 84 2" xfId="346"/>
    <cellStyle name="20% - akcent 1 85" xfId="347"/>
    <cellStyle name="20% - akcent 1 85 2" xfId="348"/>
    <cellStyle name="20% - akcent 1 86" xfId="349"/>
    <cellStyle name="20% - akcent 1 86 2" xfId="350"/>
    <cellStyle name="20% - akcent 1 87" xfId="351"/>
    <cellStyle name="20% - akcent 1 87 2" xfId="352"/>
    <cellStyle name="20% - akcent 1 88" xfId="353"/>
    <cellStyle name="20% - akcent 1 88 2" xfId="354"/>
    <cellStyle name="20% - akcent 1 89" xfId="355"/>
    <cellStyle name="20% - akcent 1 89 2" xfId="356"/>
    <cellStyle name="20% - akcent 1 9" xfId="357"/>
    <cellStyle name="20% - akcent 1 90" xfId="358"/>
    <cellStyle name="20% - akcent 1 90 2" xfId="359"/>
    <cellStyle name="20% - akcent 1 91" xfId="360"/>
    <cellStyle name="20% - akcent 1 91 2" xfId="361"/>
    <cellStyle name="20% - akcent 1 92" xfId="362"/>
    <cellStyle name="20% - akcent 1 92 2" xfId="363"/>
    <cellStyle name="20% - akcent 1 93" xfId="364"/>
    <cellStyle name="20% - akcent 1 93 2" xfId="365"/>
    <cellStyle name="20% - akcent 1 94" xfId="366"/>
    <cellStyle name="20% - akcent 1 94 2" xfId="367"/>
    <cellStyle name="20% - akcent 1 95" xfId="368"/>
    <cellStyle name="20% - akcent 1 95 2" xfId="369"/>
    <cellStyle name="20% - akcent 1 96" xfId="370"/>
    <cellStyle name="20% - akcent 1 96 2" xfId="371"/>
    <cellStyle name="20% - akcent 1 97" xfId="372"/>
    <cellStyle name="20% - akcent 1 97 2" xfId="373"/>
    <cellStyle name="20% - akcent 1 98" xfId="374"/>
    <cellStyle name="20% - akcent 1 98 2" xfId="375"/>
    <cellStyle name="20% - akcent 1 99" xfId="376"/>
    <cellStyle name="20% - akcent 1 99 2" xfId="377"/>
    <cellStyle name="20% - akcent 2 10" xfId="378"/>
    <cellStyle name="20% - akcent 2 100" xfId="379"/>
    <cellStyle name="20% - akcent 2 100 2" xfId="380"/>
    <cellStyle name="20% - akcent 2 101" xfId="381"/>
    <cellStyle name="20% - akcent 2 101 2" xfId="382"/>
    <cellStyle name="20% - akcent 2 102" xfId="383"/>
    <cellStyle name="20% - akcent 2 102 2" xfId="384"/>
    <cellStyle name="20% - akcent 2 103" xfId="385"/>
    <cellStyle name="20% - akcent 2 103 2" xfId="386"/>
    <cellStyle name="20% - akcent 2 104" xfId="387"/>
    <cellStyle name="20% - akcent 2 104 2" xfId="388"/>
    <cellStyle name="20% - akcent 2 105" xfId="389"/>
    <cellStyle name="20% - akcent 2 105 2" xfId="390"/>
    <cellStyle name="20% - akcent 2 106" xfId="391"/>
    <cellStyle name="20% - akcent 2 106 2" xfId="392"/>
    <cellStyle name="20% - akcent 2 107" xfId="393"/>
    <cellStyle name="20% - akcent 2 107 2" xfId="394"/>
    <cellStyle name="20% - akcent 2 108" xfId="395"/>
    <cellStyle name="20% - akcent 2 108 2" xfId="396"/>
    <cellStyle name="20% - akcent 2 109" xfId="397"/>
    <cellStyle name="20% - akcent 2 109 2" xfId="398"/>
    <cellStyle name="20% - akcent 2 11" xfId="399"/>
    <cellStyle name="20% - akcent 2 110" xfId="400"/>
    <cellStyle name="20% - akcent 2 110 2" xfId="401"/>
    <cellStyle name="20% - akcent 2 111" xfId="402"/>
    <cellStyle name="20% - akcent 2 111 2" xfId="403"/>
    <cellStyle name="20% - akcent 2 112" xfId="404"/>
    <cellStyle name="20% - akcent 2 112 2" xfId="405"/>
    <cellStyle name="20% - akcent 2 113" xfId="406"/>
    <cellStyle name="20% - akcent 2 113 2" xfId="407"/>
    <cellStyle name="20% - akcent 2 114" xfId="408"/>
    <cellStyle name="20% - akcent 2 114 2" xfId="409"/>
    <cellStyle name="20% - akcent 2 115" xfId="410"/>
    <cellStyle name="20% - akcent 2 115 2" xfId="411"/>
    <cellStyle name="20% - akcent 2 116" xfId="412"/>
    <cellStyle name="20% - akcent 2 116 2" xfId="413"/>
    <cellStyle name="20% - akcent 2 117" xfId="414"/>
    <cellStyle name="20% - akcent 2 117 2" xfId="415"/>
    <cellStyle name="20% - akcent 2 118" xfId="416"/>
    <cellStyle name="20% - akcent 2 118 2" xfId="417"/>
    <cellStyle name="20% - akcent 2 119" xfId="418"/>
    <cellStyle name="20% - akcent 2 119 2" xfId="419"/>
    <cellStyle name="20% - akcent 2 12" xfId="420"/>
    <cellStyle name="20% - akcent 2 120" xfId="421"/>
    <cellStyle name="20% - akcent 2 121" xfId="422"/>
    <cellStyle name="20% - akcent 2 13" xfId="423"/>
    <cellStyle name="20% - akcent 2 14" xfId="424"/>
    <cellStyle name="20% - akcent 2 15" xfId="425"/>
    <cellStyle name="20% - akcent 2 16" xfId="426"/>
    <cellStyle name="20% - akcent 2 17" xfId="427"/>
    <cellStyle name="20% - akcent 2 18" xfId="428"/>
    <cellStyle name="20% - akcent 2 19" xfId="429"/>
    <cellStyle name="20% - akcent 2 2" xfId="430"/>
    <cellStyle name="20% - akcent 2 2 10" xfId="431"/>
    <cellStyle name="20% - akcent 2 2 10 2" xfId="432"/>
    <cellStyle name="20% - akcent 2 2 10 3" xfId="433"/>
    <cellStyle name="20% - akcent 2 2 10 4" xfId="434"/>
    <cellStyle name="20% - akcent 2 2 10 5" xfId="435"/>
    <cellStyle name="20% - akcent 2 2 10 6" xfId="436"/>
    <cellStyle name="20% - akcent 2 2 11" xfId="437"/>
    <cellStyle name="20% - akcent 2 2 11 2" xfId="438"/>
    <cellStyle name="20% - akcent 2 2 11 3" xfId="439"/>
    <cellStyle name="20% - akcent 2 2 11 4" xfId="440"/>
    <cellStyle name="20% - akcent 2 2 11 5" xfId="441"/>
    <cellStyle name="20% - akcent 2 2 11 6" xfId="442"/>
    <cellStyle name="20% - akcent 2 2 12" xfId="443"/>
    <cellStyle name="20% - akcent 2 2 12 2" xfId="444"/>
    <cellStyle name="20% - akcent 2 2 12 3" xfId="445"/>
    <cellStyle name="20% - akcent 2 2 12 4" xfId="446"/>
    <cellStyle name="20% - akcent 2 2 12 5" xfId="447"/>
    <cellStyle name="20% - akcent 2 2 12 6" xfId="448"/>
    <cellStyle name="20% - akcent 2 2 13" xfId="449"/>
    <cellStyle name="20% - akcent 2 2 13 2" xfId="450"/>
    <cellStyle name="20% - akcent 2 2 13 3" xfId="451"/>
    <cellStyle name="20% - akcent 2 2 13 4" xfId="452"/>
    <cellStyle name="20% - akcent 2 2 13 5" xfId="453"/>
    <cellStyle name="20% - akcent 2 2 13 6" xfId="454"/>
    <cellStyle name="20% - akcent 2 2 14" xfId="455"/>
    <cellStyle name="20% - akcent 2 2 14 2" xfId="456"/>
    <cellStyle name="20% - akcent 2 2 14 3" xfId="457"/>
    <cellStyle name="20% - akcent 2 2 14 4" xfId="458"/>
    <cellStyle name="20% - akcent 2 2 14 5" xfId="459"/>
    <cellStyle name="20% - akcent 2 2 14 6" xfId="460"/>
    <cellStyle name="20% - akcent 2 2 15" xfId="461"/>
    <cellStyle name="20% - akcent 2 2 15 2" xfId="462"/>
    <cellStyle name="20% - akcent 2 2 15 3" xfId="463"/>
    <cellStyle name="20% - akcent 2 2 15 4" xfId="464"/>
    <cellStyle name="20% - akcent 2 2 15 5" xfId="465"/>
    <cellStyle name="20% - akcent 2 2 15 6" xfId="466"/>
    <cellStyle name="20% - akcent 2 2 16" xfId="467"/>
    <cellStyle name="20% - akcent 2 2 16 2" xfId="468"/>
    <cellStyle name="20% - akcent 2 2 16 3" xfId="469"/>
    <cellStyle name="20% - akcent 2 2 16 4" xfId="470"/>
    <cellStyle name="20% - akcent 2 2 16 5" xfId="471"/>
    <cellStyle name="20% - akcent 2 2 16 6" xfId="472"/>
    <cellStyle name="20% - akcent 2 2 17" xfId="473"/>
    <cellStyle name="20% - akcent 2 2 17 2" xfId="474"/>
    <cellStyle name="20% - akcent 2 2 17 3" xfId="475"/>
    <cellStyle name="20% - akcent 2 2 17 4" xfId="476"/>
    <cellStyle name="20% - akcent 2 2 17 5" xfId="477"/>
    <cellStyle name="20% - akcent 2 2 17 6" xfId="478"/>
    <cellStyle name="20% - akcent 2 2 18" xfId="479"/>
    <cellStyle name="20% - akcent 2 2 18 2" xfId="480"/>
    <cellStyle name="20% - akcent 2 2 18 3" xfId="481"/>
    <cellStyle name="20% - akcent 2 2 18 4" xfId="482"/>
    <cellStyle name="20% - akcent 2 2 18 5" xfId="483"/>
    <cellStyle name="20% - akcent 2 2 18 6" xfId="484"/>
    <cellStyle name="20% - akcent 2 2 19" xfId="485"/>
    <cellStyle name="20% - akcent 2 2 19 2" xfId="486"/>
    <cellStyle name="20% - akcent 2 2 19 3" xfId="487"/>
    <cellStyle name="20% - akcent 2 2 19 4" xfId="488"/>
    <cellStyle name="20% - akcent 2 2 19 5" xfId="489"/>
    <cellStyle name="20% - akcent 2 2 19 6" xfId="490"/>
    <cellStyle name="20% - akcent 2 2 2" xfId="491"/>
    <cellStyle name="20% - akcent 2 2 2 2" xfId="492"/>
    <cellStyle name="20% - akcent 2 2 2 3" xfId="493"/>
    <cellStyle name="20% - akcent 2 2 2 4" xfId="494"/>
    <cellStyle name="20% - akcent 2 2 2 5" xfId="495"/>
    <cellStyle name="20% - akcent 2 2 2 6" xfId="496"/>
    <cellStyle name="20% - akcent 2 2 2 7" xfId="497"/>
    <cellStyle name="20% - akcent 2 2 20" xfId="498"/>
    <cellStyle name="20% - akcent 2 2 20 2" xfId="499"/>
    <cellStyle name="20% - akcent 2 2 20 3" xfId="500"/>
    <cellStyle name="20% - akcent 2 2 20 4" xfId="501"/>
    <cellStyle name="20% - akcent 2 2 20 5" xfId="502"/>
    <cellStyle name="20% - akcent 2 2 20 6" xfId="503"/>
    <cellStyle name="20% - akcent 2 2 21" xfId="504"/>
    <cellStyle name="20% - akcent 2 2 21 2" xfId="505"/>
    <cellStyle name="20% - akcent 2 2 21 3" xfId="506"/>
    <cellStyle name="20% - akcent 2 2 21 4" xfId="507"/>
    <cellStyle name="20% - akcent 2 2 21 5" xfId="508"/>
    <cellStyle name="20% - akcent 2 2 21 6" xfId="509"/>
    <cellStyle name="20% - akcent 2 2 22" xfId="510"/>
    <cellStyle name="20% - akcent 2 2 22 2" xfId="511"/>
    <cellStyle name="20% - akcent 2 2 22 3" xfId="512"/>
    <cellStyle name="20% - akcent 2 2 22 4" xfId="513"/>
    <cellStyle name="20% - akcent 2 2 22 5" xfId="514"/>
    <cellStyle name="20% - akcent 2 2 22 6" xfId="515"/>
    <cellStyle name="20% - akcent 2 2 23" xfId="516"/>
    <cellStyle name="20% - akcent 2 2 23 2" xfId="517"/>
    <cellStyle name="20% - akcent 2 2 23 3" xfId="518"/>
    <cellStyle name="20% - akcent 2 2 23 4" xfId="519"/>
    <cellStyle name="20% - akcent 2 2 23 5" xfId="520"/>
    <cellStyle name="20% - akcent 2 2 23 6" xfId="521"/>
    <cellStyle name="20% - akcent 2 2 24" xfId="522"/>
    <cellStyle name="20% - akcent 2 2 24 2" xfId="523"/>
    <cellStyle name="20% - akcent 2 2 24 3" xfId="524"/>
    <cellStyle name="20% - akcent 2 2 24 4" xfId="525"/>
    <cellStyle name="20% - akcent 2 2 24 5" xfId="526"/>
    <cellStyle name="20% - akcent 2 2 24 6" xfId="527"/>
    <cellStyle name="20% - akcent 2 2 25" xfId="528"/>
    <cellStyle name="20% - akcent 2 2 25 2" xfId="529"/>
    <cellStyle name="20% - akcent 2 2 25 3" xfId="530"/>
    <cellStyle name="20% - akcent 2 2 25 4" xfId="531"/>
    <cellStyle name="20% - akcent 2 2 25 5" xfId="532"/>
    <cellStyle name="20% - akcent 2 2 25 6" xfId="533"/>
    <cellStyle name="20% - akcent 2 2 26" xfId="534"/>
    <cellStyle name="20% - akcent 2 2 26 2" xfId="535"/>
    <cellStyle name="20% - akcent 2 2 26 3" xfId="536"/>
    <cellStyle name="20% - akcent 2 2 26 4" xfId="537"/>
    <cellStyle name="20% - akcent 2 2 26 5" xfId="538"/>
    <cellStyle name="20% - akcent 2 2 26 6" xfId="539"/>
    <cellStyle name="20% - akcent 2 2 27" xfId="540"/>
    <cellStyle name="20% - akcent 2 2 27 2" xfId="541"/>
    <cellStyle name="20% - akcent 2 2 27 3" xfId="542"/>
    <cellStyle name="20% - akcent 2 2 27 4" xfId="543"/>
    <cellStyle name="20% - akcent 2 2 27 5" xfId="544"/>
    <cellStyle name="20% - akcent 2 2 27 6" xfId="545"/>
    <cellStyle name="20% - akcent 2 2 28" xfId="546"/>
    <cellStyle name="20% - akcent 2 2 28 2" xfId="547"/>
    <cellStyle name="20% - akcent 2 2 28 3" xfId="548"/>
    <cellStyle name="20% - akcent 2 2 28 4" xfId="549"/>
    <cellStyle name="20% - akcent 2 2 28 5" xfId="550"/>
    <cellStyle name="20% - akcent 2 2 28 6" xfId="551"/>
    <cellStyle name="20% - akcent 2 2 29" xfId="552"/>
    <cellStyle name="20% - akcent 2 2 29 2" xfId="553"/>
    <cellStyle name="20% - akcent 2 2 3" xfId="554"/>
    <cellStyle name="20% - akcent 2 2 3 2" xfId="555"/>
    <cellStyle name="20% - akcent 2 2 3 3" xfId="556"/>
    <cellStyle name="20% - akcent 2 2 3 4" xfId="557"/>
    <cellStyle name="20% - akcent 2 2 3 5" xfId="558"/>
    <cellStyle name="20% - akcent 2 2 3 6" xfId="559"/>
    <cellStyle name="20% - akcent 2 2 3 7" xfId="560"/>
    <cellStyle name="20% - akcent 2 2 30" xfId="561"/>
    <cellStyle name="20% - akcent 2 2 30 2" xfId="562"/>
    <cellStyle name="20% - akcent 2 2 31" xfId="563"/>
    <cellStyle name="20% - akcent 2 2 31 2" xfId="564"/>
    <cellStyle name="20% - akcent 2 2 32" xfId="565"/>
    <cellStyle name="20% - akcent 2 2 32 2" xfId="566"/>
    <cellStyle name="20% - akcent 2 2 33" xfId="567"/>
    <cellStyle name="20% - akcent 2 2 34" xfId="568"/>
    <cellStyle name="20% - akcent 2 2 35" xfId="569"/>
    <cellStyle name="20% - akcent 2 2 36" xfId="570"/>
    <cellStyle name="20% - akcent 2 2 37" xfId="571"/>
    <cellStyle name="20% - akcent 2 2 38" xfId="572"/>
    <cellStyle name="20% - akcent 2 2 39" xfId="573"/>
    <cellStyle name="20% - akcent 2 2 4" xfId="574"/>
    <cellStyle name="20% - akcent 2 2 4 2" xfId="575"/>
    <cellStyle name="20% - akcent 2 2 4 3" xfId="576"/>
    <cellStyle name="20% - akcent 2 2 4 4" xfId="577"/>
    <cellStyle name="20% - akcent 2 2 4 5" xfId="578"/>
    <cellStyle name="20% - akcent 2 2 4 6" xfId="579"/>
    <cellStyle name="20% - akcent 2 2 4 7" xfId="580"/>
    <cellStyle name="20% - akcent 2 2 40" xfId="581"/>
    <cellStyle name="20% - akcent 2 2 41" xfId="582"/>
    <cellStyle name="20% - akcent 2 2 42" xfId="583"/>
    <cellStyle name="20% - akcent 2 2 43" xfId="584"/>
    <cellStyle name="20% - akcent 2 2 44" xfId="585"/>
    <cellStyle name="20% - akcent 2 2 45" xfId="586"/>
    <cellStyle name="20% - akcent 2 2 46" xfId="587"/>
    <cellStyle name="20% - akcent 2 2 47" xfId="588"/>
    <cellStyle name="20% - akcent 2 2 48" xfId="589"/>
    <cellStyle name="20% - akcent 2 2 49" xfId="590"/>
    <cellStyle name="20% - akcent 2 2 5" xfId="591"/>
    <cellStyle name="20% - akcent 2 2 5 2" xfId="592"/>
    <cellStyle name="20% - akcent 2 2 5 3" xfId="593"/>
    <cellStyle name="20% - akcent 2 2 5 4" xfId="594"/>
    <cellStyle name="20% - akcent 2 2 5 5" xfId="595"/>
    <cellStyle name="20% - akcent 2 2 5 6" xfId="596"/>
    <cellStyle name="20% - akcent 2 2 50" xfId="597"/>
    <cellStyle name="20% - akcent 2 2 51" xfId="598"/>
    <cellStyle name="20% - akcent 2 2 6" xfId="599"/>
    <cellStyle name="20% - akcent 2 2 6 2" xfId="600"/>
    <cellStyle name="20% - akcent 2 2 6 3" xfId="601"/>
    <cellStyle name="20% - akcent 2 2 6 4" xfId="602"/>
    <cellStyle name="20% - akcent 2 2 6 5" xfId="603"/>
    <cellStyle name="20% - akcent 2 2 6 6" xfId="604"/>
    <cellStyle name="20% - akcent 2 2 7" xfId="605"/>
    <cellStyle name="20% - akcent 2 2 7 2" xfId="606"/>
    <cellStyle name="20% - akcent 2 2 7 3" xfId="607"/>
    <cellStyle name="20% - akcent 2 2 7 4" xfId="608"/>
    <cellStyle name="20% - akcent 2 2 7 5" xfId="609"/>
    <cellStyle name="20% - akcent 2 2 7 6" xfId="610"/>
    <cellStyle name="20% - akcent 2 2 8" xfId="611"/>
    <cellStyle name="20% - akcent 2 2 8 2" xfId="612"/>
    <cellStyle name="20% - akcent 2 2 8 3" xfId="613"/>
    <cellStyle name="20% - akcent 2 2 8 4" xfId="614"/>
    <cellStyle name="20% - akcent 2 2 8 5" xfId="615"/>
    <cellStyle name="20% - akcent 2 2 8 6" xfId="616"/>
    <cellStyle name="20% - akcent 2 2 9" xfId="617"/>
    <cellStyle name="20% - akcent 2 2 9 2" xfId="618"/>
    <cellStyle name="20% - akcent 2 2 9 3" xfId="619"/>
    <cellStyle name="20% - akcent 2 2 9 4" xfId="620"/>
    <cellStyle name="20% - akcent 2 2 9 5" xfId="621"/>
    <cellStyle name="20% - akcent 2 2 9 6" xfId="622"/>
    <cellStyle name="20% - akcent 2 20" xfId="623"/>
    <cellStyle name="20% - akcent 2 21" xfId="624"/>
    <cellStyle name="20% - akcent 2 22" xfId="625"/>
    <cellStyle name="20% - akcent 2 23" xfId="626"/>
    <cellStyle name="20% - akcent 2 24" xfId="627"/>
    <cellStyle name="20% - akcent 2 25" xfId="628"/>
    <cellStyle name="20% - akcent 2 26" xfId="629"/>
    <cellStyle name="20% - akcent 2 27" xfId="630"/>
    <cellStyle name="20% - akcent 2 28" xfId="631"/>
    <cellStyle name="20% - akcent 2 29" xfId="632"/>
    <cellStyle name="20% - akcent 2 3" xfId="633"/>
    <cellStyle name="20% - akcent 2 3 2" xfId="634"/>
    <cellStyle name="20% - akcent 2 3 2 2" xfId="635"/>
    <cellStyle name="20% - akcent 2 3 3" xfId="636"/>
    <cellStyle name="20% - akcent 2 3 3 2" xfId="637"/>
    <cellStyle name="20% - akcent 2 3 4" xfId="638"/>
    <cellStyle name="20% - akcent 2 3 4 2" xfId="639"/>
    <cellStyle name="20% - akcent 2 3 5" xfId="640"/>
    <cellStyle name="20% - akcent 2 3 6" xfId="641"/>
    <cellStyle name="20% - akcent 2 3 7" xfId="642"/>
    <cellStyle name="20% - akcent 2 3 8" xfId="643"/>
    <cellStyle name="20% - akcent 2 30" xfId="644"/>
    <cellStyle name="20% - akcent 2 30 2" xfId="645"/>
    <cellStyle name="20% - akcent 2 31" xfId="646"/>
    <cellStyle name="20% - akcent 2 31 2" xfId="647"/>
    <cellStyle name="20% - akcent 2 32" xfId="648"/>
    <cellStyle name="20% - akcent 2 32 2" xfId="649"/>
    <cellStyle name="20% - akcent 2 33" xfId="650"/>
    <cellStyle name="20% - akcent 2 33 2" xfId="651"/>
    <cellStyle name="20% - akcent 2 34" xfId="652"/>
    <cellStyle name="20% - akcent 2 34 2" xfId="653"/>
    <cellStyle name="20% - akcent 2 35" xfId="654"/>
    <cellStyle name="20% - akcent 2 35 2" xfId="655"/>
    <cellStyle name="20% - akcent 2 36" xfId="656"/>
    <cellStyle name="20% - akcent 2 36 2" xfId="657"/>
    <cellStyle name="20% - akcent 2 37" xfId="658"/>
    <cellStyle name="20% - akcent 2 37 2" xfId="659"/>
    <cellStyle name="20% - akcent 2 38" xfId="660"/>
    <cellStyle name="20% - akcent 2 38 2" xfId="661"/>
    <cellStyle name="20% - akcent 2 39" xfId="662"/>
    <cellStyle name="20% - akcent 2 39 2" xfId="663"/>
    <cellStyle name="20% - akcent 2 4" xfId="664"/>
    <cellStyle name="20% - akcent 2 4 2" xfId="665"/>
    <cellStyle name="20% - akcent 2 4 2 2" xfId="666"/>
    <cellStyle name="20% - akcent 2 4 3" xfId="667"/>
    <cellStyle name="20% - akcent 2 4 3 2" xfId="668"/>
    <cellStyle name="20% - akcent 2 4 4" xfId="669"/>
    <cellStyle name="20% - akcent 2 4 4 2" xfId="670"/>
    <cellStyle name="20% - akcent 2 4 5" xfId="671"/>
    <cellStyle name="20% - akcent 2 4 6" xfId="672"/>
    <cellStyle name="20% - akcent 2 4 7" xfId="673"/>
    <cellStyle name="20% - akcent 2 4 8" xfId="674"/>
    <cellStyle name="20% - akcent 2 40" xfId="675"/>
    <cellStyle name="20% - akcent 2 40 2" xfId="676"/>
    <cellStyle name="20% - akcent 2 41" xfId="677"/>
    <cellStyle name="20% - akcent 2 41 2" xfId="678"/>
    <cellStyle name="20% - akcent 2 42" xfId="679"/>
    <cellStyle name="20% - akcent 2 42 2" xfId="680"/>
    <cellStyle name="20% - akcent 2 43" xfId="681"/>
    <cellStyle name="20% - akcent 2 43 2" xfId="682"/>
    <cellStyle name="20% - akcent 2 44" xfId="683"/>
    <cellStyle name="20% - akcent 2 44 2" xfId="684"/>
    <cellStyle name="20% - akcent 2 45" xfId="685"/>
    <cellStyle name="20% - akcent 2 45 2" xfId="686"/>
    <cellStyle name="20% - akcent 2 46" xfId="687"/>
    <cellStyle name="20% - akcent 2 46 2" xfId="688"/>
    <cellStyle name="20% - akcent 2 47" xfId="689"/>
    <cellStyle name="20% - akcent 2 47 2" xfId="690"/>
    <cellStyle name="20% - akcent 2 48" xfId="691"/>
    <cellStyle name="20% - akcent 2 48 2" xfId="692"/>
    <cellStyle name="20% - akcent 2 49" xfId="693"/>
    <cellStyle name="20% - akcent 2 49 2" xfId="694"/>
    <cellStyle name="20% - akcent 2 5" xfId="695"/>
    <cellStyle name="20% - akcent 2 5 2" xfId="696"/>
    <cellStyle name="20% - akcent 2 5 3" xfId="697"/>
    <cellStyle name="20% - akcent 2 50" xfId="698"/>
    <cellStyle name="20% - akcent 2 50 2" xfId="699"/>
    <cellStyle name="20% - akcent 2 51" xfId="700"/>
    <cellStyle name="20% - akcent 2 51 2" xfId="701"/>
    <cellStyle name="20% - akcent 2 52" xfId="702"/>
    <cellStyle name="20% - akcent 2 52 2" xfId="703"/>
    <cellStyle name="20% - akcent 2 53" xfId="704"/>
    <cellStyle name="20% - akcent 2 53 2" xfId="705"/>
    <cellStyle name="20% - akcent 2 54" xfId="706"/>
    <cellStyle name="20% - akcent 2 54 2" xfId="707"/>
    <cellStyle name="20% - akcent 2 55" xfId="708"/>
    <cellStyle name="20% - akcent 2 55 2" xfId="709"/>
    <cellStyle name="20% - akcent 2 56" xfId="710"/>
    <cellStyle name="20% - akcent 2 56 2" xfId="711"/>
    <cellStyle name="20% - akcent 2 57" xfId="712"/>
    <cellStyle name="20% - akcent 2 57 2" xfId="713"/>
    <cellStyle name="20% - akcent 2 58" xfId="714"/>
    <cellStyle name="20% - akcent 2 58 2" xfId="715"/>
    <cellStyle name="20% - akcent 2 59" xfId="716"/>
    <cellStyle name="20% - akcent 2 59 2" xfId="717"/>
    <cellStyle name="20% - akcent 2 6" xfId="718"/>
    <cellStyle name="20% - akcent 2 60" xfId="719"/>
    <cellStyle name="20% - akcent 2 60 2" xfId="720"/>
    <cellStyle name="20% - akcent 2 61" xfId="721"/>
    <cellStyle name="20% - akcent 2 61 2" xfId="722"/>
    <cellStyle name="20% - akcent 2 62" xfId="723"/>
    <cellStyle name="20% - akcent 2 62 2" xfId="724"/>
    <cellStyle name="20% - akcent 2 63" xfId="725"/>
    <cellStyle name="20% - akcent 2 63 2" xfId="726"/>
    <cellStyle name="20% - akcent 2 64" xfId="727"/>
    <cellStyle name="20% - akcent 2 64 2" xfId="728"/>
    <cellStyle name="20% - akcent 2 65" xfId="729"/>
    <cellStyle name="20% - akcent 2 65 2" xfId="730"/>
    <cellStyle name="20% - akcent 2 66" xfId="731"/>
    <cellStyle name="20% - akcent 2 66 2" xfId="732"/>
    <cellStyle name="20% - akcent 2 67" xfId="733"/>
    <cellStyle name="20% - akcent 2 67 2" xfId="734"/>
    <cellStyle name="20% - akcent 2 68" xfId="735"/>
    <cellStyle name="20% - akcent 2 68 2" xfId="736"/>
    <cellStyle name="20% - akcent 2 69" xfId="737"/>
    <cellStyle name="20% - akcent 2 69 2" xfId="738"/>
    <cellStyle name="20% - akcent 2 7" xfId="739"/>
    <cellStyle name="20% - akcent 2 70" xfId="740"/>
    <cellStyle name="20% - akcent 2 70 2" xfId="741"/>
    <cellStyle name="20% - akcent 2 71" xfId="742"/>
    <cellStyle name="20% - akcent 2 71 2" xfId="743"/>
    <cellStyle name="20% - akcent 2 72" xfId="744"/>
    <cellStyle name="20% - akcent 2 72 2" xfId="745"/>
    <cellStyle name="20% - akcent 2 73" xfId="746"/>
    <cellStyle name="20% - akcent 2 73 2" xfId="747"/>
    <cellStyle name="20% - akcent 2 74" xfId="748"/>
    <cellStyle name="20% - akcent 2 74 2" xfId="749"/>
    <cellStyle name="20% - akcent 2 75" xfId="750"/>
    <cellStyle name="20% - akcent 2 75 2" xfId="751"/>
    <cellStyle name="20% - akcent 2 76" xfId="752"/>
    <cellStyle name="20% - akcent 2 76 2" xfId="753"/>
    <cellStyle name="20% - akcent 2 77" xfId="754"/>
    <cellStyle name="20% - akcent 2 77 2" xfId="755"/>
    <cellStyle name="20% - akcent 2 78" xfId="756"/>
    <cellStyle name="20% - akcent 2 78 2" xfId="757"/>
    <cellStyle name="20% - akcent 2 79" xfId="758"/>
    <cellStyle name="20% - akcent 2 79 2" xfId="759"/>
    <cellStyle name="20% - akcent 2 8" xfId="760"/>
    <cellStyle name="20% - akcent 2 80" xfId="761"/>
    <cellStyle name="20% - akcent 2 80 2" xfId="762"/>
    <cellStyle name="20% - akcent 2 81" xfId="763"/>
    <cellStyle name="20% - akcent 2 81 2" xfId="764"/>
    <cellStyle name="20% - akcent 2 82" xfId="765"/>
    <cellStyle name="20% - akcent 2 82 2" xfId="766"/>
    <cellStyle name="20% - akcent 2 83" xfId="767"/>
    <cellStyle name="20% - akcent 2 83 2" xfId="768"/>
    <cellStyle name="20% - akcent 2 84" xfId="769"/>
    <cellStyle name="20% - akcent 2 84 2" xfId="770"/>
    <cellStyle name="20% - akcent 2 85" xfId="771"/>
    <cellStyle name="20% - akcent 2 85 2" xfId="772"/>
    <cellStyle name="20% - akcent 2 86" xfId="773"/>
    <cellStyle name="20% - akcent 2 86 2" xfId="774"/>
    <cellStyle name="20% - akcent 2 87" xfId="775"/>
    <cellStyle name="20% - akcent 2 87 2" xfId="776"/>
    <cellStyle name="20% - akcent 2 88" xfId="777"/>
    <cellStyle name="20% - akcent 2 88 2" xfId="778"/>
    <cellStyle name="20% - akcent 2 89" xfId="779"/>
    <cellStyle name="20% - akcent 2 89 2" xfId="780"/>
    <cellStyle name="20% - akcent 2 9" xfId="781"/>
    <cellStyle name="20% - akcent 2 90" xfId="782"/>
    <cellStyle name="20% - akcent 2 90 2" xfId="783"/>
    <cellStyle name="20% - akcent 2 91" xfId="784"/>
    <cellStyle name="20% - akcent 2 91 2" xfId="785"/>
    <cellStyle name="20% - akcent 2 92" xfId="786"/>
    <cellStyle name="20% - akcent 2 92 2" xfId="787"/>
    <cellStyle name="20% - akcent 2 93" xfId="788"/>
    <cellStyle name="20% - akcent 2 93 2" xfId="789"/>
    <cellStyle name="20% - akcent 2 94" xfId="790"/>
    <cellStyle name="20% - akcent 2 94 2" xfId="791"/>
    <cellStyle name="20% - akcent 2 95" xfId="792"/>
    <cellStyle name="20% - akcent 2 95 2" xfId="793"/>
    <cellStyle name="20% - akcent 2 96" xfId="794"/>
    <cellStyle name="20% - akcent 2 96 2" xfId="795"/>
    <cellStyle name="20% - akcent 2 97" xfId="796"/>
    <cellStyle name="20% - akcent 2 97 2" xfId="797"/>
    <cellStyle name="20% - akcent 2 98" xfId="798"/>
    <cellStyle name="20% - akcent 2 98 2" xfId="799"/>
    <cellStyle name="20% - akcent 2 99" xfId="800"/>
    <cellStyle name="20% - akcent 2 99 2" xfId="801"/>
    <cellStyle name="20% - akcent 3 10" xfId="802"/>
    <cellStyle name="20% - akcent 3 100" xfId="803"/>
    <cellStyle name="20% - akcent 3 100 2" xfId="804"/>
    <cellStyle name="20% - akcent 3 101" xfId="805"/>
    <cellStyle name="20% - akcent 3 101 2" xfId="806"/>
    <cellStyle name="20% - akcent 3 102" xfId="807"/>
    <cellStyle name="20% - akcent 3 102 2" xfId="808"/>
    <cellStyle name="20% - akcent 3 103" xfId="809"/>
    <cellStyle name="20% - akcent 3 103 2" xfId="810"/>
    <cellStyle name="20% - akcent 3 104" xfId="811"/>
    <cellStyle name="20% - akcent 3 104 2" xfId="812"/>
    <cellStyle name="20% - akcent 3 105" xfId="813"/>
    <cellStyle name="20% - akcent 3 105 2" xfId="814"/>
    <cellStyle name="20% - akcent 3 106" xfId="815"/>
    <cellStyle name="20% - akcent 3 106 2" xfId="816"/>
    <cellStyle name="20% - akcent 3 107" xfId="817"/>
    <cellStyle name="20% - akcent 3 107 2" xfId="818"/>
    <cellStyle name="20% - akcent 3 108" xfId="819"/>
    <cellStyle name="20% - akcent 3 108 2" xfId="820"/>
    <cellStyle name="20% - akcent 3 109" xfId="821"/>
    <cellStyle name="20% - akcent 3 109 2" xfId="822"/>
    <cellStyle name="20% - akcent 3 11" xfId="823"/>
    <cellStyle name="20% - akcent 3 110" xfId="824"/>
    <cellStyle name="20% - akcent 3 110 2" xfId="825"/>
    <cellStyle name="20% - akcent 3 111" xfId="826"/>
    <cellStyle name="20% - akcent 3 111 2" xfId="827"/>
    <cellStyle name="20% - akcent 3 112" xfId="828"/>
    <cellStyle name="20% - akcent 3 112 2" xfId="829"/>
    <cellStyle name="20% - akcent 3 113" xfId="830"/>
    <cellStyle name="20% - akcent 3 113 2" xfId="831"/>
    <cellStyle name="20% - akcent 3 114" xfId="832"/>
    <cellStyle name="20% - akcent 3 114 2" xfId="833"/>
    <cellStyle name="20% - akcent 3 115" xfId="834"/>
    <cellStyle name="20% - akcent 3 115 2" xfId="835"/>
    <cellStyle name="20% - akcent 3 116" xfId="836"/>
    <cellStyle name="20% - akcent 3 116 2" xfId="837"/>
    <cellStyle name="20% - akcent 3 117" xfId="838"/>
    <cellStyle name="20% - akcent 3 117 2" xfId="839"/>
    <cellStyle name="20% - akcent 3 118" xfId="840"/>
    <cellStyle name="20% - akcent 3 118 2" xfId="841"/>
    <cellStyle name="20% - akcent 3 119" xfId="842"/>
    <cellStyle name="20% - akcent 3 119 2" xfId="843"/>
    <cellStyle name="20% - akcent 3 12" xfId="844"/>
    <cellStyle name="20% - akcent 3 120" xfId="845"/>
    <cellStyle name="20% - akcent 3 121" xfId="846"/>
    <cellStyle name="20% - akcent 3 13" xfId="847"/>
    <cellStyle name="20% - akcent 3 14" xfId="848"/>
    <cellStyle name="20% - akcent 3 15" xfId="849"/>
    <cellStyle name="20% - akcent 3 16" xfId="850"/>
    <cellStyle name="20% - akcent 3 17" xfId="851"/>
    <cellStyle name="20% - akcent 3 18" xfId="852"/>
    <cellStyle name="20% - akcent 3 19" xfId="853"/>
    <cellStyle name="20% - akcent 3 2" xfId="854"/>
    <cellStyle name="20% - akcent 3 2 10" xfId="855"/>
    <cellStyle name="20% - akcent 3 2 10 2" xfId="856"/>
    <cellStyle name="20% - akcent 3 2 10 3" xfId="857"/>
    <cellStyle name="20% - akcent 3 2 10 4" xfId="858"/>
    <cellStyle name="20% - akcent 3 2 10 5" xfId="859"/>
    <cellStyle name="20% - akcent 3 2 10 6" xfId="860"/>
    <cellStyle name="20% - akcent 3 2 11" xfId="861"/>
    <cellStyle name="20% - akcent 3 2 11 2" xfId="862"/>
    <cellStyle name="20% - akcent 3 2 11 3" xfId="863"/>
    <cellStyle name="20% - akcent 3 2 11 4" xfId="864"/>
    <cellStyle name="20% - akcent 3 2 11 5" xfId="865"/>
    <cellStyle name="20% - akcent 3 2 11 6" xfId="866"/>
    <cellStyle name="20% - akcent 3 2 12" xfId="867"/>
    <cellStyle name="20% - akcent 3 2 12 2" xfId="868"/>
    <cellStyle name="20% - akcent 3 2 12 3" xfId="869"/>
    <cellStyle name="20% - akcent 3 2 12 4" xfId="870"/>
    <cellStyle name="20% - akcent 3 2 12 5" xfId="871"/>
    <cellStyle name="20% - akcent 3 2 12 6" xfId="872"/>
    <cellStyle name="20% - akcent 3 2 13" xfId="873"/>
    <cellStyle name="20% - akcent 3 2 13 2" xfId="874"/>
    <cellStyle name="20% - akcent 3 2 13 3" xfId="875"/>
    <cellStyle name="20% - akcent 3 2 13 4" xfId="876"/>
    <cellStyle name="20% - akcent 3 2 13 5" xfId="877"/>
    <cellStyle name="20% - akcent 3 2 13 6" xfId="878"/>
    <cellStyle name="20% - akcent 3 2 14" xfId="879"/>
    <cellStyle name="20% - akcent 3 2 14 2" xfId="880"/>
    <cellStyle name="20% - akcent 3 2 14 3" xfId="881"/>
    <cellStyle name="20% - akcent 3 2 14 4" xfId="882"/>
    <cellStyle name="20% - akcent 3 2 14 5" xfId="883"/>
    <cellStyle name="20% - akcent 3 2 14 6" xfId="884"/>
    <cellStyle name="20% - akcent 3 2 15" xfId="885"/>
    <cellStyle name="20% - akcent 3 2 15 2" xfId="886"/>
    <cellStyle name="20% - akcent 3 2 15 3" xfId="887"/>
    <cellStyle name="20% - akcent 3 2 15 4" xfId="888"/>
    <cellStyle name="20% - akcent 3 2 15 5" xfId="889"/>
    <cellStyle name="20% - akcent 3 2 15 6" xfId="890"/>
    <cellStyle name="20% - akcent 3 2 16" xfId="891"/>
    <cellStyle name="20% - akcent 3 2 16 2" xfId="892"/>
    <cellStyle name="20% - akcent 3 2 16 3" xfId="893"/>
    <cellStyle name="20% - akcent 3 2 16 4" xfId="894"/>
    <cellStyle name="20% - akcent 3 2 16 5" xfId="895"/>
    <cellStyle name="20% - akcent 3 2 16 6" xfId="896"/>
    <cellStyle name="20% - akcent 3 2 17" xfId="897"/>
    <cellStyle name="20% - akcent 3 2 17 2" xfId="898"/>
    <cellStyle name="20% - akcent 3 2 17 3" xfId="899"/>
    <cellStyle name="20% - akcent 3 2 17 4" xfId="900"/>
    <cellStyle name="20% - akcent 3 2 17 5" xfId="901"/>
    <cellStyle name="20% - akcent 3 2 17 6" xfId="902"/>
    <cellStyle name="20% - akcent 3 2 18" xfId="903"/>
    <cellStyle name="20% - akcent 3 2 18 2" xfId="904"/>
    <cellStyle name="20% - akcent 3 2 18 3" xfId="905"/>
    <cellStyle name="20% - akcent 3 2 18 4" xfId="906"/>
    <cellStyle name="20% - akcent 3 2 18 5" xfId="907"/>
    <cellStyle name="20% - akcent 3 2 18 6" xfId="908"/>
    <cellStyle name="20% - akcent 3 2 19" xfId="909"/>
    <cellStyle name="20% - akcent 3 2 19 2" xfId="910"/>
    <cellStyle name="20% - akcent 3 2 19 3" xfId="911"/>
    <cellStyle name="20% - akcent 3 2 19 4" xfId="912"/>
    <cellStyle name="20% - akcent 3 2 19 5" xfId="913"/>
    <cellStyle name="20% - akcent 3 2 19 6" xfId="914"/>
    <cellStyle name="20% - akcent 3 2 2" xfId="915"/>
    <cellStyle name="20% - akcent 3 2 2 2" xfId="916"/>
    <cellStyle name="20% - akcent 3 2 2 3" xfId="917"/>
    <cellStyle name="20% - akcent 3 2 2 4" xfId="918"/>
    <cellStyle name="20% - akcent 3 2 2 5" xfId="919"/>
    <cellStyle name="20% - akcent 3 2 2 6" xfId="920"/>
    <cellStyle name="20% - akcent 3 2 2 7" xfId="921"/>
    <cellStyle name="20% - akcent 3 2 20" xfId="922"/>
    <cellStyle name="20% - akcent 3 2 20 2" xfId="923"/>
    <cellStyle name="20% - akcent 3 2 20 3" xfId="924"/>
    <cellStyle name="20% - akcent 3 2 20 4" xfId="925"/>
    <cellStyle name="20% - akcent 3 2 20 5" xfId="926"/>
    <cellStyle name="20% - akcent 3 2 20 6" xfId="927"/>
    <cellStyle name="20% - akcent 3 2 21" xfId="928"/>
    <cellStyle name="20% - akcent 3 2 21 2" xfId="929"/>
    <cellStyle name="20% - akcent 3 2 21 3" xfId="930"/>
    <cellStyle name="20% - akcent 3 2 21 4" xfId="931"/>
    <cellStyle name="20% - akcent 3 2 21 5" xfId="932"/>
    <cellStyle name="20% - akcent 3 2 21 6" xfId="933"/>
    <cellStyle name="20% - akcent 3 2 22" xfId="934"/>
    <cellStyle name="20% - akcent 3 2 22 2" xfId="935"/>
    <cellStyle name="20% - akcent 3 2 22 3" xfId="936"/>
    <cellStyle name="20% - akcent 3 2 22 4" xfId="937"/>
    <cellStyle name="20% - akcent 3 2 22 5" xfId="938"/>
    <cellStyle name="20% - akcent 3 2 22 6" xfId="939"/>
    <cellStyle name="20% - akcent 3 2 23" xfId="940"/>
    <cellStyle name="20% - akcent 3 2 23 2" xfId="941"/>
    <cellStyle name="20% - akcent 3 2 23 3" xfId="942"/>
    <cellStyle name="20% - akcent 3 2 23 4" xfId="943"/>
    <cellStyle name="20% - akcent 3 2 23 5" xfId="944"/>
    <cellStyle name="20% - akcent 3 2 23 6" xfId="945"/>
    <cellStyle name="20% - akcent 3 2 24" xfId="946"/>
    <cellStyle name="20% - akcent 3 2 24 2" xfId="947"/>
    <cellStyle name="20% - akcent 3 2 24 3" xfId="948"/>
    <cellStyle name="20% - akcent 3 2 24 4" xfId="949"/>
    <cellStyle name="20% - akcent 3 2 24 5" xfId="950"/>
    <cellStyle name="20% - akcent 3 2 24 6" xfId="951"/>
    <cellStyle name="20% - akcent 3 2 25" xfId="952"/>
    <cellStyle name="20% - akcent 3 2 25 2" xfId="953"/>
    <cellStyle name="20% - akcent 3 2 25 3" xfId="954"/>
    <cellStyle name="20% - akcent 3 2 25 4" xfId="955"/>
    <cellStyle name="20% - akcent 3 2 25 5" xfId="956"/>
    <cellStyle name="20% - akcent 3 2 25 6" xfId="957"/>
    <cellStyle name="20% - akcent 3 2 26" xfId="958"/>
    <cellStyle name="20% - akcent 3 2 26 2" xfId="959"/>
    <cellStyle name="20% - akcent 3 2 26 3" xfId="960"/>
    <cellStyle name="20% - akcent 3 2 26 4" xfId="961"/>
    <cellStyle name="20% - akcent 3 2 26 5" xfId="962"/>
    <cellStyle name="20% - akcent 3 2 26 6" xfId="963"/>
    <cellStyle name="20% - akcent 3 2 27" xfId="964"/>
    <cellStyle name="20% - akcent 3 2 27 2" xfId="965"/>
    <cellStyle name="20% - akcent 3 2 27 3" xfId="966"/>
    <cellStyle name="20% - akcent 3 2 27 4" xfId="967"/>
    <cellStyle name="20% - akcent 3 2 27 5" xfId="968"/>
    <cellStyle name="20% - akcent 3 2 27 6" xfId="969"/>
    <cellStyle name="20% - akcent 3 2 28" xfId="970"/>
    <cellStyle name="20% - akcent 3 2 28 2" xfId="971"/>
    <cellStyle name="20% - akcent 3 2 28 3" xfId="972"/>
    <cellStyle name="20% - akcent 3 2 28 4" xfId="973"/>
    <cellStyle name="20% - akcent 3 2 28 5" xfId="974"/>
    <cellStyle name="20% - akcent 3 2 28 6" xfId="975"/>
    <cellStyle name="20% - akcent 3 2 29" xfId="976"/>
    <cellStyle name="20% - akcent 3 2 29 2" xfId="977"/>
    <cellStyle name="20% - akcent 3 2 3" xfId="978"/>
    <cellStyle name="20% - akcent 3 2 3 2" xfId="979"/>
    <cellStyle name="20% - akcent 3 2 3 3" xfId="980"/>
    <cellStyle name="20% - akcent 3 2 3 4" xfId="981"/>
    <cellStyle name="20% - akcent 3 2 3 5" xfId="982"/>
    <cellStyle name="20% - akcent 3 2 3 6" xfId="983"/>
    <cellStyle name="20% - akcent 3 2 3 7" xfId="984"/>
    <cellStyle name="20% - akcent 3 2 30" xfId="985"/>
    <cellStyle name="20% - akcent 3 2 30 2" xfId="986"/>
    <cellStyle name="20% - akcent 3 2 31" xfId="987"/>
    <cellStyle name="20% - akcent 3 2 31 2" xfId="988"/>
    <cellStyle name="20% - akcent 3 2 32" xfId="989"/>
    <cellStyle name="20% - akcent 3 2 32 2" xfId="990"/>
    <cellStyle name="20% - akcent 3 2 33" xfId="991"/>
    <cellStyle name="20% - akcent 3 2 34" xfId="992"/>
    <cellStyle name="20% - akcent 3 2 35" xfId="993"/>
    <cellStyle name="20% - akcent 3 2 36" xfId="994"/>
    <cellStyle name="20% - akcent 3 2 37" xfId="995"/>
    <cellStyle name="20% - akcent 3 2 38" xfId="996"/>
    <cellStyle name="20% - akcent 3 2 39" xfId="997"/>
    <cellStyle name="20% - akcent 3 2 4" xfId="998"/>
    <cellStyle name="20% - akcent 3 2 4 2" xfId="999"/>
    <cellStyle name="20% - akcent 3 2 4 3" xfId="1000"/>
    <cellStyle name="20% - akcent 3 2 4 4" xfId="1001"/>
    <cellStyle name="20% - akcent 3 2 4 5" xfId="1002"/>
    <cellStyle name="20% - akcent 3 2 4 6" xfId="1003"/>
    <cellStyle name="20% - akcent 3 2 4 7" xfId="1004"/>
    <cellStyle name="20% - akcent 3 2 40" xfId="1005"/>
    <cellStyle name="20% - akcent 3 2 41" xfId="1006"/>
    <cellStyle name="20% - akcent 3 2 42" xfId="1007"/>
    <cellStyle name="20% - akcent 3 2 43" xfId="1008"/>
    <cellStyle name="20% - akcent 3 2 44" xfId="1009"/>
    <cellStyle name="20% - akcent 3 2 45" xfId="1010"/>
    <cellStyle name="20% - akcent 3 2 46" xfId="1011"/>
    <cellStyle name="20% - akcent 3 2 47" xfId="1012"/>
    <cellStyle name="20% - akcent 3 2 48" xfId="1013"/>
    <cellStyle name="20% - akcent 3 2 49" xfId="1014"/>
    <cellStyle name="20% - akcent 3 2 5" xfId="1015"/>
    <cellStyle name="20% - akcent 3 2 5 2" xfId="1016"/>
    <cellStyle name="20% - akcent 3 2 5 3" xfId="1017"/>
    <cellStyle name="20% - akcent 3 2 5 4" xfId="1018"/>
    <cellStyle name="20% - akcent 3 2 5 5" xfId="1019"/>
    <cellStyle name="20% - akcent 3 2 5 6" xfId="1020"/>
    <cellStyle name="20% - akcent 3 2 50" xfId="1021"/>
    <cellStyle name="20% - akcent 3 2 51" xfId="1022"/>
    <cellStyle name="20% - akcent 3 2 6" xfId="1023"/>
    <cellStyle name="20% - akcent 3 2 6 2" xfId="1024"/>
    <cellStyle name="20% - akcent 3 2 6 3" xfId="1025"/>
    <cellStyle name="20% - akcent 3 2 6 4" xfId="1026"/>
    <cellStyle name="20% - akcent 3 2 6 5" xfId="1027"/>
    <cellStyle name="20% - akcent 3 2 6 6" xfId="1028"/>
    <cellStyle name="20% - akcent 3 2 7" xfId="1029"/>
    <cellStyle name="20% - akcent 3 2 7 2" xfId="1030"/>
    <cellStyle name="20% - akcent 3 2 7 3" xfId="1031"/>
    <cellStyle name="20% - akcent 3 2 7 4" xfId="1032"/>
    <cellStyle name="20% - akcent 3 2 7 5" xfId="1033"/>
    <cellStyle name="20% - akcent 3 2 7 6" xfId="1034"/>
    <cellStyle name="20% - akcent 3 2 8" xfId="1035"/>
    <cellStyle name="20% - akcent 3 2 8 2" xfId="1036"/>
    <cellStyle name="20% - akcent 3 2 8 3" xfId="1037"/>
    <cellStyle name="20% - akcent 3 2 8 4" xfId="1038"/>
    <cellStyle name="20% - akcent 3 2 8 5" xfId="1039"/>
    <cellStyle name="20% - akcent 3 2 8 6" xfId="1040"/>
    <cellStyle name="20% - akcent 3 2 9" xfId="1041"/>
    <cellStyle name="20% - akcent 3 2 9 2" xfId="1042"/>
    <cellStyle name="20% - akcent 3 2 9 3" xfId="1043"/>
    <cellStyle name="20% - akcent 3 2 9 4" xfId="1044"/>
    <cellStyle name="20% - akcent 3 2 9 5" xfId="1045"/>
    <cellStyle name="20% - akcent 3 2 9 6" xfId="1046"/>
    <cellStyle name="20% - akcent 3 20" xfId="1047"/>
    <cellStyle name="20% - akcent 3 21" xfId="1048"/>
    <cellStyle name="20% - akcent 3 22" xfId="1049"/>
    <cellStyle name="20% - akcent 3 23" xfId="1050"/>
    <cellStyle name="20% - akcent 3 24" xfId="1051"/>
    <cellStyle name="20% - akcent 3 25" xfId="1052"/>
    <cellStyle name="20% - akcent 3 26" xfId="1053"/>
    <cellStyle name="20% - akcent 3 27" xfId="1054"/>
    <cellStyle name="20% - akcent 3 28" xfId="1055"/>
    <cellStyle name="20% - akcent 3 29" xfId="1056"/>
    <cellStyle name="20% - akcent 3 3" xfId="1057"/>
    <cellStyle name="20% - akcent 3 3 2" xfId="1058"/>
    <cellStyle name="20% - akcent 3 3 2 2" xfId="1059"/>
    <cellStyle name="20% - akcent 3 3 3" xfId="1060"/>
    <cellStyle name="20% - akcent 3 3 3 2" xfId="1061"/>
    <cellStyle name="20% - akcent 3 3 4" xfId="1062"/>
    <cellStyle name="20% - akcent 3 3 4 2" xfId="1063"/>
    <cellStyle name="20% - akcent 3 3 5" xfId="1064"/>
    <cellStyle name="20% - akcent 3 3 6" xfId="1065"/>
    <cellStyle name="20% - akcent 3 3 7" xfId="1066"/>
    <cellStyle name="20% - akcent 3 3 8" xfId="1067"/>
    <cellStyle name="20% - akcent 3 30" xfId="1068"/>
    <cellStyle name="20% - akcent 3 30 2" xfId="1069"/>
    <cellStyle name="20% - akcent 3 31" xfId="1070"/>
    <cellStyle name="20% - akcent 3 31 2" xfId="1071"/>
    <cellStyle name="20% - akcent 3 32" xfId="1072"/>
    <cellStyle name="20% - akcent 3 32 2" xfId="1073"/>
    <cellStyle name="20% - akcent 3 33" xfId="1074"/>
    <cellStyle name="20% - akcent 3 33 2" xfId="1075"/>
    <cellStyle name="20% - akcent 3 34" xfId="1076"/>
    <cellStyle name="20% - akcent 3 34 2" xfId="1077"/>
    <cellStyle name="20% - akcent 3 35" xfId="1078"/>
    <cellStyle name="20% - akcent 3 35 2" xfId="1079"/>
    <cellStyle name="20% - akcent 3 36" xfId="1080"/>
    <cellStyle name="20% - akcent 3 36 2" xfId="1081"/>
    <cellStyle name="20% - akcent 3 37" xfId="1082"/>
    <cellStyle name="20% - akcent 3 37 2" xfId="1083"/>
    <cellStyle name="20% - akcent 3 38" xfId="1084"/>
    <cellStyle name="20% - akcent 3 38 2" xfId="1085"/>
    <cellStyle name="20% - akcent 3 39" xfId="1086"/>
    <cellStyle name="20% - akcent 3 39 2" xfId="1087"/>
    <cellStyle name="20% - akcent 3 4" xfId="1088"/>
    <cellStyle name="20% - akcent 3 4 2" xfId="1089"/>
    <cellStyle name="20% - akcent 3 4 2 2" xfId="1090"/>
    <cellStyle name="20% - akcent 3 4 3" xfId="1091"/>
    <cellStyle name="20% - akcent 3 4 3 2" xfId="1092"/>
    <cellStyle name="20% - akcent 3 4 4" xfId="1093"/>
    <cellStyle name="20% - akcent 3 4 4 2" xfId="1094"/>
    <cellStyle name="20% - akcent 3 4 5" xfId="1095"/>
    <cellStyle name="20% - akcent 3 4 6" xfId="1096"/>
    <cellStyle name="20% - akcent 3 4 7" xfId="1097"/>
    <cellStyle name="20% - akcent 3 4 8" xfId="1098"/>
    <cellStyle name="20% - akcent 3 40" xfId="1099"/>
    <cellStyle name="20% - akcent 3 40 2" xfId="1100"/>
    <cellStyle name="20% - akcent 3 41" xfId="1101"/>
    <cellStyle name="20% - akcent 3 41 2" xfId="1102"/>
    <cellStyle name="20% - akcent 3 42" xfId="1103"/>
    <cellStyle name="20% - akcent 3 42 2" xfId="1104"/>
    <cellStyle name="20% - akcent 3 43" xfId="1105"/>
    <cellStyle name="20% - akcent 3 43 2" xfId="1106"/>
    <cellStyle name="20% - akcent 3 44" xfId="1107"/>
    <cellStyle name="20% - akcent 3 44 2" xfId="1108"/>
    <cellStyle name="20% - akcent 3 45" xfId="1109"/>
    <cellStyle name="20% - akcent 3 45 2" xfId="1110"/>
    <cellStyle name="20% - akcent 3 46" xfId="1111"/>
    <cellStyle name="20% - akcent 3 46 2" xfId="1112"/>
    <cellStyle name="20% - akcent 3 47" xfId="1113"/>
    <cellStyle name="20% - akcent 3 47 2" xfId="1114"/>
    <cellStyle name="20% - akcent 3 48" xfId="1115"/>
    <cellStyle name="20% - akcent 3 48 2" xfId="1116"/>
    <cellStyle name="20% - akcent 3 49" xfId="1117"/>
    <cellStyle name="20% - akcent 3 49 2" xfId="1118"/>
    <cellStyle name="20% - akcent 3 5" xfId="1119"/>
    <cellStyle name="20% - akcent 3 5 2" xfId="1120"/>
    <cellStyle name="20% - akcent 3 5 3" xfId="1121"/>
    <cellStyle name="20% - akcent 3 50" xfId="1122"/>
    <cellStyle name="20% - akcent 3 50 2" xfId="1123"/>
    <cellStyle name="20% - akcent 3 51" xfId="1124"/>
    <cellStyle name="20% - akcent 3 51 2" xfId="1125"/>
    <cellStyle name="20% - akcent 3 52" xfId="1126"/>
    <cellStyle name="20% - akcent 3 52 2" xfId="1127"/>
    <cellStyle name="20% - akcent 3 53" xfId="1128"/>
    <cellStyle name="20% - akcent 3 53 2" xfId="1129"/>
    <cellStyle name="20% - akcent 3 54" xfId="1130"/>
    <cellStyle name="20% - akcent 3 54 2" xfId="1131"/>
    <cellStyle name="20% - akcent 3 55" xfId="1132"/>
    <cellStyle name="20% - akcent 3 55 2" xfId="1133"/>
    <cellStyle name="20% - akcent 3 56" xfId="1134"/>
    <cellStyle name="20% - akcent 3 56 2" xfId="1135"/>
    <cellStyle name="20% - akcent 3 57" xfId="1136"/>
    <cellStyle name="20% - akcent 3 57 2" xfId="1137"/>
    <cellStyle name="20% - akcent 3 58" xfId="1138"/>
    <cellStyle name="20% - akcent 3 58 2" xfId="1139"/>
    <cellStyle name="20% - akcent 3 59" xfId="1140"/>
    <cellStyle name="20% - akcent 3 59 2" xfId="1141"/>
    <cellStyle name="20% - akcent 3 6" xfId="1142"/>
    <cellStyle name="20% - akcent 3 60" xfId="1143"/>
    <cellStyle name="20% - akcent 3 60 2" xfId="1144"/>
    <cellStyle name="20% - akcent 3 61" xfId="1145"/>
    <cellStyle name="20% - akcent 3 61 2" xfId="1146"/>
    <cellStyle name="20% - akcent 3 62" xfId="1147"/>
    <cellStyle name="20% - akcent 3 62 2" xfId="1148"/>
    <cellStyle name="20% - akcent 3 63" xfId="1149"/>
    <cellStyle name="20% - akcent 3 63 2" xfId="1150"/>
    <cellStyle name="20% - akcent 3 64" xfId="1151"/>
    <cellStyle name="20% - akcent 3 64 2" xfId="1152"/>
    <cellStyle name="20% - akcent 3 65" xfId="1153"/>
    <cellStyle name="20% - akcent 3 65 2" xfId="1154"/>
    <cellStyle name="20% - akcent 3 66" xfId="1155"/>
    <cellStyle name="20% - akcent 3 66 2" xfId="1156"/>
    <cellStyle name="20% - akcent 3 67" xfId="1157"/>
    <cellStyle name="20% - akcent 3 67 2" xfId="1158"/>
    <cellStyle name="20% - akcent 3 68" xfId="1159"/>
    <cellStyle name="20% - akcent 3 68 2" xfId="1160"/>
    <cellStyle name="20% - akcent 3 69" xfId="1161"/>
    <cellStyle name="20% - akcent 3 69 2" xfId="1162"/>
    <cellStyle name="20% - akcent 3 7" xfId="1163"/>
    <cellStyle name="20% - akcent 3 70" xfId="1164"/>
    <cellStyle name="20% - akcent 3 70 2" xfId="1165"/>
    <cellStyle name="20% - akcent 3 71" xfId="1166"/>
    <cellStyle name="20% - akcent 3 71 2" xfId="1167"/>
    <cellStyle name="20% - akcent 3 72" xfId="1168"/>
    <cellStyle name="20% - akcent 3 72 2" xfId="1169"/>
    <cellStyle name="20% - akcent 3 73" xfId="1170"/>
    <cellStyle name="20% - akcent 3 73 2" xfId="1171"/>
    <cellStyle name="20% - akcent 3 74" xfId="1172"/>
    <cellStyle name="20% - akcent 3 74 2" xfId="1173"/>
    <cellStyle name="20% - akcent 3 75" xfId="1174"/>
    <cellStyle name="20% - akcent 3 75 2" xfId="1175"/>
    <cellStyle name="20% - akcent 3 76" xfId="1176"/>
    <cellStyle name="20% - akcent 3 76 2" xfId="1177"/>
    <cellStyle name="20% - akcent 3 77" xfId="1178"/>
    <cellStyle name="20% - akcent 3 77 2" xfId="1179"/>
    <cellStyle name="20% - akcent 3 78" xfId="1180"/>
    <cellStyle name="20% - akcent 3 78 2" xfId="1181"/>
    <cellStyle name="20% - akcent 3 79" xfId="1182"/>
    <cellStyle name="20% - akcent 3 79 2" xfId="1183"/>
    <cellStyle name="20% - akcent 3 8" xfId="1184"/>
    <cellStyle name="20% - akcent 3 80" xfId="1185"/>
    <cellStyle name="20% - akcent 3 80 2" xfId="1186"/>
    <cellStyle name="20% - akcent 3 81" xfId="1187"/>
    <cellStyle name="20% - akcent 3 81 2" xfId="1188"/>
    <cellStyle name="20% - akcent 3 82" xfId="1189"/>
    <cellStyle name="20% - akcent 3 82 2" xfId="1190"/>
    <cellStyle name="20% - akcent 3 83" xfId="1191"/>
    <cellStyle name="20% - akcent 3 83 2" xfId="1192"/>
    <cellStyle name="20% - akcent 3 84" xfId="1193"/>
    <cellStyle name="20% - akcent 3 84 2" xfId="1194"/>
    <cellStyle name="20% - akcent 3 85" xfId="1195"/>
    <cellStyle name="20% - akcent 3 85 2" xfId="1196"/>
    <cellStyle name="20% - akcent 3 86" xfId="1197"/>
    <cellStyle name="20% - akcent 3 86 2" xfId="1198"/>
    <cellStyle name="20% - akcent 3 87" xfId="1199"/>
    <cellStyle name="20% - akcent 3 87 2" xfId="1200"/>
    <cellStyle name="20% - akcent 3 88" xfId="1201"/>
    <cellStyle name="20% - akcent 3 88 2" xfId="1202"/>
    <cellStyle name="20% - akcent 3 89" xfId="1203"/>
    <cellStyle name="20% - akcent 3 89 2" xfId="1204"/>
    <cellStyle name="20% - akcent 3 9" xfId="1205"/>
    <cellStyle name="20% - akcent 3 90" xfId="1206"/>
    <cellStyle name="20% - akcent 3 90 2" xfId="1207"/>
    <cellStyle name="20% - akcent 3 91" xfId="1208"/>
    <cellStyle name="20% - akcent 3 91 2" xfId="1209"/>
    <cellStyle name="20% - akcent 3 92" xfId="1210"/>
    <cellStyle name="20% - akcent 3 92 2" xfId="1211"/>
    <cellStyle name="20% - akcent 3 93" xfId="1212"/>
    <cellStyle name="20% - akcent 3 93 2" xfId="1213"/>
    <cellStyle name="20% - akcent 3 94" xfId="1214"/>
    <cellStyle name="20% - akcent 3 94 2" xfId="1215"/>
    <cellStyle name="20% - akcent 3 95" xfId="1216"/>
    <cellStyle name="20% - akcent 3 95 2" xfId="1217"/>
    <cellStyle name="20% - akcent 3 96" xfId="1218"/>
    <cellStyle name="20% - akcent 3 96 2" xfId="1219"/>
    <cellStyle name="20% - akcent 3 97" xfId="1220"/>
    <cellStyle name="20% - akcent 3 97 2" xfId="1221"/>
    <cellStyle name="20% - akcent 3 98" xfId="1222"/>
    <cellStyle name="20% - akcent 3 98 2" xfId="1223"/>
    <cellStyle name="20% - akcent 3 99" xfId="1224"/>
    <cellStyle name="20% - akcent 3 99 2" xfId="1225"/>
    <cellStyle name="20% - akcent 4 10" xfId="1226"/>
    <cellStyle name="20% - akcent 4 100" xfId="1227"/>
    <cellStyle name="20% - akcent 4 100 2" xfId="1228"/>
    <cellStyle name="20% - akcent 4 101" xfId="1229"/>
    <cellStyle name="20% - akcent 4 101 2" xfId="1230"/>
    <cellStyle name="20% - akcent 4 102" xfId="1231"/>
    <cellStyle name="20% - akcent 4 102 2" xfId="1232"/>
    <cellStyle name="20% - akcent 4 103" xfId="1233"/>
    <cellStyle name="20% - akcent 4 103 2" xfId="1234"/>
    <cellStyle name="20% - akcent 4 104" xfId="1235"/>
    <cellStyle name="20% - akcent 4 104 2" xfId="1236"/>
    <cellStyle name="20% - akcent 4 105" xfId="1237"/>
    <cellStyle name="20% - akcent 4 105 2" xfId="1238"/>
    <cellStyle name="20% - akcent 4 106" xfId="1239"/>
    <cellStyle name="20% - akcent 4 106 2" xfId="1240"/>
    <cellStyle name="20% - akcent 4 107" xfId="1241"/>
    <cellStyle name="20% - akcent 4 107 2" xfId="1242"/>
    <cellStyle name="20% - akcent 4 108" xfId="1243"/>
    <cellStyle name="20% - akcent 4 108 2" xfId="1244"/>
    <cellStyle name="20% - akcent 4 109" xfId="1245"/>
    <cellStyle name="20% - akcent 4 109 2" xfId="1246"/>
    <cellStyle name="20% - akcent 4 11" xfId="1247"/>
    <cellStyle name="20% - akcent 4 110" xfId="1248"/>
    <cellStyle name="20% - akcent 4 110 2" xfId="1249"/>
    <cellStyle name="20% - akcent 4 111" xfId="1250"/>
    <cellStyle name="20% - akcent 4 111 2" xfId="1251"/>
    <cellStyle name="20% - akcent 4 112" xfId="1252"/>
    <cellStyle name="20% - akcent 4 112 2" xfId="1253"/>
    <cellStyle name="20% - akcent 4 113" xfId="1254"/>
    <cellStyle name="20% - akcent 4 113 2" xfId="1255"/>
    <cellStyle name="20% - akcent 4 114" xfId="1256"/>
    <cellStyle name="20% - akcent 4 114 2" xfId="1257"/>
    <cellStyle name="20% - akcent 4 115" xfId="1258"/>
    <cellStyle name="20% - akcent 4 115 2" xfId="1259"/>
    <cellStyle name="20% - akcent 4 116" xfId="1260"/>
    <cellStyle name="20% - akcent 4 116 2" xfId="1261"/>
    <cellStyle name="20% - akcent 4 117" xfId="1262"/>
    <cellStyle name="20% - akcent 4 117 2" xfId="1263"/>
    <cellStyle name="20% - akcent 4 118" xfId="1264"/>
    <cellStyle name="20% - akcent 4 118 2" xfId="1265"/>
    <cellStyle name="20% - akcent 4 119" xfId="1266"/>
    <cellStyle name="20% - akcent 4 119 2" xfId="1267"/>
    <cellStyle name="20% - akcent 4 12" xfId="1268"/>
    <cellStyle name="20% - akcent 4 120" xfId="1269"/>
    <cellStyle name="20% - akcent 4 121" xfId="1270"/>
    <cellStyle name="20% - akcent 4 13" xfId="1271"/>
    <cellStyle name="20% - akcent 4 14" xfId="1272"/>
    <cellStyle name="20% - akcent 4 15" xfId="1273"/>
    <cellStyle name="20% - akcent 4 16" xfId="1274"/>
    <cellStyle name="20% - akcent 4 17" xfId="1275"/>
    <cellStyle name="20% - akcent 4 18" xfId="1276"/>
    <cellStyle name="20% - akcent 4 19" xfId="1277"/>
    <cellStyle name="20% - akcent 4 2" xfId="1278"/>
    <cellStyle name="20% - akcent 4 2 10" xfId="1279"/>
    <cellStyle name="20% - akcent 4 2 10 2" xfId="1280"/>
    <cellStyle name="20% - akcent 4 2 10 3" xfId="1281"/>
    <cellStyle name="20% - akcent 4 2 10 4" xfId="1282"/>
    <cellStyle name="20% - akcent 4 2 10 5" xfId="1283"/>
    <cellStyle name="20% - akcent 4 2 10 6" xfId="1284"/>
    <cellStyle name="20% - akcent 4 2 11" xfId="1285"/>
    <cellStyle name="20% - akcent 4 2 11 2" xfId="1286"/>
    <cellStyle name="20% - akcent 4 2 11 3" xfId="1287"/>
    <cellStyle name="20% - akcent 4 2 11 4" xfId="1288"/>
    <cellStyle name="20% - akcent 4 2 11 5" xfId="1289"/>
    <cellStyle name="20% - akcent 4 2 11 6" xfId="1290"/>
    <cellStyle name="20% - akcent 4 2 12" xfId="1291"/>
    <cellStyle name="20% - akcent 4 2 12 2" xfId="1292"/>
    <cellStyle name="20% - akcent 4 2 12 3" xfId="1293"/>
    <cellStyle name="20% - akcent 4 2 12 4" xfId="1294"/>
    <cellStyle name="20% - akcent 4 2 12 5" xfId="1295"/>
    <cellStyle name="20% - akcent 4 2 12 6" xfId="1296"/>
    <cellStyle name="20% - akcent 4 2 13" xfId="1297"/>
    <cellStyle name="20% - akcent 4 2 13 2" xfId="1298"/>
    <cellStyle name="20% - akcent 4 2 13 3" xfId="1299"/>
    <cellStyle name="20% - akcent 4 2 13 4" xfId="1300"/>
    <cellStyle name="20% - akcent 4 2 13 5" xfId="1301"/>
    <cellStyle name="20% - akcent 4 2 13 6" xfId="1302"/>
    <cellStyle name="20% - akcent 4 2 14" xfId="1303"/>
    <cellStyle name="20% - akcent 4 2 14 2" xfId="1304"/>
    <cellStyle name="20% - akcent 4 2 14 3" xfId="1305"/>
    <cellStyle name="20% - akcent 4 2 14 4" xfId="1306"/>
    <cellStyle name="20% - akcent 4 2 14 5" xfId="1307"/>
    <cellStyle name="20% - akcent 4 2 14 6" xfId="1308"/>
    <cellStyle name="20% - akcent 4 2 15" xfId="1309"/>
    <cellStyle name="20% - akcent 4 2 15 2" xfId="1310"/>
    <cellStyle name="20% - akcent 4 2 15 3" xfId="1311"/>
    <cellStyle name="20% - akcent 4 2 15 4" xfId="1312"/>
    <cellStyle name="20% - akcent 4 2 15 5" xfId="1313"/>
    <cellStyle name="20% - akcent 4 2 15 6" xfId="1314"/>
    <cellStyle name="20% - akcent 4 2 16" xfId="1315"/>
    <cellStyle name="20% - akcent 4 2 16 2" xfId="1316"/>
    <cellStyle name="20% - akcent 4 2 16 3" xfId="1317"/>
    <cellStyle name="20% - akcent 4 2 16 4" xfId="1318"/>
    <cellStyle name="20% - akcent 4 2 16 5" xfId="1319"/>
    <cellStyle name="20% - akcent 4 2 16 6" xfId="1320"/>
    <cellStyle name="20% - akcent 4 2 17" xfId="1321"/>
    <cellStyle name="20% - akcent 4 2 17 2" xfId="1322"/>
    <cellStyle name="20% - akcent 4 2 17 3" xfId="1323"/>
    <cellStyle name="20% - akcent 4 2 17 4" xfId="1324"/>
    <cellStyle name="20% - akcent 4 2 17 5" xfId="1325"/>
    <cellStyle name="20% - akcent 4 2 17 6" xfId="1326"/>
    <cellStyle name="20% - akcent 4 2 18" xfId="1327"/>
    <cellStyle name="20% - akcent 4 2 18 2" xfId="1328"/>
    <cellStyle name="20% - akcent 4 2 18 3" xfId="1329"/>
    <cellStyle name="20% - akcent 4 2 18 4" xfId="1330"/>
    <cellStyle name="20% - akcent 4 2 18 5" xfId="1331"/>
    <cellStyle name="20% - akcent 4 2 18 6" xfId="1332"/>
    <cellStyle name="20% - akcent 4 2 19" xfId="1333"/>
    <cellStyle name="20% - akcent 4 2 19 2" xfId="1334"/>
    <cellStyle name="20% - akcent 4 2 19 3" xfId="1335"/>
    <cellStyle name="20% - akcent 4 2 19 4" xfId="1336"/>
    <cellStyle name="20% - akcent 4 2 19 5" xfId="1337"/>
    <cellStyle name="20% - akcent 4 2 19 6" xfId="1338"/>
    <cellStyle name="20% - akcent 4 2 2" xfId="1339"/>
    <cellStyle name="20% - akcent 4 2 2 2" xfId="1340"/>
    <cellStyle name="20% - akcent 4 2 2 3" xfId="1341"/>
    <cellStyle name="20% - akcent 4 2 2 4" xfId="1342"/>
    <cellStyle name="20% - akcent 4 2 2 5" xfId="1343"/>
    <cellStyle name="20% - akcent 4 2 2 6" xfId="1344"/>
    <cellStyle name="20% - akcent 4 2 2 7" xfId="1345"/>
    <cellStyle name="20% - akcent 4 2 20" xfId="1346"/>
    <cellStyle name="20% - akcent 4 2 20 2" xfId="1347"/>
    <cellStyle name="20% - akcent 4 2 20 3" xfId="1348"/>
    <cellStyle name="20% - akcent 4 2 20 4" xfId="1349"/>
    <cellStyle name="20% - akcent 4 2 20 5" xfId="1350"/>
    <cellStyle name="20% - akcent 4 2 20 6" xfId="1351"/>
    <cellStyle name="20% - akcent 4 2 21" xfId="1352"/>
    <cellStyle name="20% - akcent 4 2 21 2" xfId="1353"/>
    <cellStyle name="20% - akcent 4 2 21 3" xfId="1354"/>
    <cellStyle name="20% - akcent 4 2 21 4" xfId="1355"/>
    <cellStyle name="20% - akcent 4 2 21 5" xfId="1356"/>
    <cellStyle name="20% - akcent 4 2 21 6" xfId="1357"/>
    <cellStyle name="20% - akcent 4 2 22" xfId="1358"/>
    <cellStyle name="20% - akcent 4 2 22 2" xfId="1359"/>
    <cellStyle name="20% - akcent 4 2 22 3" xfId="1360"/>
    <cellStyle name="20% - akcent 4 2 22 4" xfId="1361"/>
    <cellStyle name="20% - akcent 4 2 22 5" xfId="1362"/>
    <cellStyle name="20% - akcent 4 2 22 6" xfId="1363"/>
    <cellStyle name="20% - akcent 4 2 23" xfId="1364"/>
    <cellStyle name="20% - akcent 4 2 23 2" xfId="1365"/>
    <cellStyle name="20% - akcent 4 2 23 3" xfId="1366"/>
    <cellStyle name="20% - akcent 4 2 23 4" xfId="1367"/>
    <cellStyle name="20% - akcent 4 2 23 5" xfId="1368"/>
    <cellStyle name="20% - akcent 4 2 23 6" xfId="1369"/>
    <cellStyle name="20% - akcent 4 2 24" xfId="1370"/>
    <cellStyle name="20% - akcent 4 2 24 2" xfId="1371"/>
    <cellStyle name="20% - akcent 4 2 24 3" xfId="1372"/>
    <cellStyle name="20% - akcent 4 2 24 4" xfId="1373"/>
    <cellStyle name="20% - akcent 4 2 24 5" xfId="1374"/>
    <cellStyle name="20% - akcent 4 2 24 6" xfId="1375"/>
    <cellStyle name="20% - akcent 4 2 25" xfId="1376"/>
    <cellStyle name="20% - akcent 4 2 25 2" xfId="1377"/>
    <cellStyle name="20% - akcent 4 2 25 3" xfId="1378"/>
    <cellStyle name="20% - akcent 4 2 25 4" xfId="1379"/>
    <cellStyle name="20% - akcent 4 2 25 5" xfId="1380"/>
    <cellStyle name="20% - akcent 4 2 25 6" xfId="1381"/>
    <cellStyle name="20% - akcent 4 2 26" xfId="1382"/>
    <cellStyle name="20% - akcent 4 2 26 2" xfId="1383"/>
    <cellStyle name="20% - akcent 4 2 26 3" xfId="1384"/>
    <cellStyle name="20% - akcent 4 2 26 4" xfId="1385"/>
    <cellStyle name="20% - akcent 4 2 26 5" xfId="1386"/>
    <cellStyle name="20% - akcent 4 2 26 6" xfId="1387"/>
    <cellStyle name="20% - akcent 4 2 27" xfId="1388"/>
    <cellStyle name="20% - akcent 4 2 27 2" xfId="1389"/>
    <cellStyle name="20% - akcent 4 2 27 3" xfId="1390"/>
    <cellStyle name="20% - akcent 4 2 27 4" xfId="1391"/>
    <cellStyle name="20% - akcent 4 2 27 5" xfId="1392"/>
    <cellStyle name="20% - akcent 4 2 27 6" xfId="1393"/>
    <cellStyle name="20% - akcent 4 2 28" xfId="1394"/>
    <cellStyle name="20% - akcent 4 2 28 2" xfId="1395"/>
    <cellStyle name="20% - akcent 4 2 28 3" xfId="1396"/>
    <cellStyle name="20% - akcent 4 2 28 4" xfId="1397"/>
    <cellStyle name="20% - akcent 4 2 28 5" xfId="1398"/>
    <cellStyle name="20% - akcent 4 2 28 6" xfId="1399"/>
    <cellStyle name="20% - akcent 4 2 29" xfId="1400"/>
    <cellStyle name="20% - akcent 4 2 29 2" xfId="1401"/>
    <cellStyle name="20% - akcent 4 2 3" xfId="1402"/>
    <cellStyle name="20% - akcent 4 2 3 2" xfId="1403"/>
    <cellStyle name="20% - akcent 4 2 3 3" xfId="1404"/>
    <cellStyle name="20% - akcent 4 2 3 4" xfId="1405"/>
    <cellStyle name="20% - akcent 4 2 3 5" xfId="1406"/>
    <cellStyle name="20% - akcent 4 2 3 6" xfId="1407"/>
    <cellStyle name="20% - akcent 4 2 3 7" xfId="1408"/>
    <cellStyle name="20% - akcent 4 2 30" xfId="1409"/>
    <cellStyle name="20% - akcent 4 2 30 2" xfId="1410"/>
    <cellStyle name="20% - akcent 4 2 31" xfId="1411"/>
    <cellStyle name="20% - akcent 4 2 31 2" xfId="1412"/>
    <cellStyle name="20% - akcent 4 2 32" xfId="1413"/>
    <cellStyle name="20% - akcent 4 2 32 2" xfId="1414"/>
    <cellStyle name="20% - akcent 4 2 33" xfId="1415"/>
    <cellStyle name="20% - akcent 4 2 34" xfId="1416"/>
    <cellStyle name="20% - akcent 4 2 35" xfId="1417"/>
    <cellStyle name="20% - akcent 4 2 36" xfId="1418"/>
    <cellStyle name="20% - akcent 4 2 37" xfId="1419"/>
    <cellStyle name="20% - akcent 4 2 38" xfId="1420"/>
    <cellStyle name="20% - akcent 4 2 39" xfId="1421"/>
    <cellStyle name="20% - akcent 4 2 4" xfId="1422"/>
    <cellStyle name="20% - akcent 4 2 4 2" xfId="1423"/>
    <cellStyle name="20% - akcent 4 2 4 3" xfId="1424"/>
    <cellStyle name="20% - akcent 4 2 4 4" xfId="1425"/>
    <cellStyle name="20% - akcent 4 2 4 5" xfId="1426"/>
    <cellStyle name="20% - akcent 4 2 4 6" xfId="1427"/>
    <cellStyle name="20% - akcent 4 2 4 7" xfId="1428"/>
    <cellStyle name="20% - akcent 4 2 40" xfId="1429"/>
    <cellStyle name="20% - akcent 4 2 41" xfId="1430"/>
    <cellStyle name="20% - akcent 4 2 42" xfId="1431"/>
    <cellStyle name="20% - akcent 4 2 43" xfId="1432"/>
    <cellStyle name="20% - akcent 4 2 44" xfId="1433"/>
    <cellStyle name="20% - akcent 4 2 45" xfId="1434"/>
    <cellStyle name="20% - akcent 4 2 46" xfId="1435"/>
    <cellStyle name="20% - akcent 4 2 47" xfId="1436"/>
    <cellStyle name="20% - akcent 4 2 48" xfId="1437"/>
    <cellStyle name="20% - akcent 4 2 49" xfId="1438"/>
    <cellStyle name="20% - akcent 4 2 5" xfId="1439"/>
    <cellStyle name="20% - akcent 4 2 5 2" xfId="1440"/>
    <cellStyle name="20% - akcent 4 2 5 3" xfId="1441"/>
    <cellStyle name="20% - akcent 4 2 5 4" xfId="1442"/>
    <cellStyle name="20% - akcent 4 2 5 5" xfId="1443"/>
    <cellStyle name="20% - akcent 4 2 5 6" xfId="1444"/>
    <cellStyle name="20% - akcent 4 2 50" xfId="1445"/>
    <cellStyle name="20% - akcent 4 2 51" xfId="1446"/>
    <cellStyle name="20% - akcent 4 2 6" xfId="1447"/>
    <cellStyle name="20% - akcent 4 2 6 2" xfId="1448"/>
    <cellStyle name="20% - akcent 4 2 6 3" xfId="1449"/>
    <cellStyle name="20% - akcent 4 2 6 4" xfId="1450"/>
    <cellStyle name="20% - akcent 4 2 6 5" xfId="1451"/>
    <cellStyle name="20% - akcent 4 2 6 6" xfId="1452"/>
    <cellStyle name="20% - akcent 4 2 7" xfId="1453"/>
    <cellStyle name="20% - akcent 4 2 7 2" xfId="1454"/>
    <cellStyle name="20% - akcent 4 2 7 3" xfId="1455"/>
    <cellStyle name="20% - akcent 4 2 7 4" xfId="1456"/>
    <cellStyle name="20% - akcent 4 2 7 5" xfId="1457"/>
    <cellStyle name="20% - akcent 4 2 7 6" xfId="1458"/>
    <cellStyle name="20% - akcent 4 2 8" xfId="1459"/>
    <cellStyle name="20% - akcent 4 2 8 2" xfId="1460"/>
    <cellStyle name="20% - akcent 4 2 8 3" xfId="1461"/>
    <cellStyle name="20% - akcent 4 2 8 4" xfId="1462"/>
    <cellStyle name="20% - akcent 4 2 8 5" xfId="1463"/>
    <cellStyle name="20% - akcent 4 2 8 6" xfId="1464"/>
    <cellStyle name="20% - akcent 4 2 9" xfId="1465"/>
    <cellStyle name="20% - akcent 4 2 9 2" xfId="1466"/>
    <cellStyle name="20% - akcent 4 2 9 3" xfId="1467"/>
    <cellStyle name="20% - akcent 4 2 9 4" xfId="1468"/>
    <cellStyle name="20% - akcent 4 2 9 5" xfId="1469"/>
    <cellStyle name="20% - akcent 4 2 9 6" xfId="1470"/>
    <cellStyle name="20% - akcent 4 20" xfId="1471"/>
    <cellStyle name="20% - akcent 4 21" xfId="1472"/>
    <cellStyle name="20% - akcent 4 22" xfId="1473"/>
    <cellStyle name="20% - akcent 4 23" xfId="1474"/>
    <cellStyle name="20% - akcent 4 24" xfId="1475"/>
    <cellStyle name="20% - akcent 4 25" xfId="1476"/>
    <cellStyle name="20% - akcent 4 26" xfId="1477"/>
    <cellStyle name="20% - akcent 4 27" xfId="1478"/>
    <cellStyle name="20% - akcent 4 28" xfId="1479"/>
    <cellStyle name="20% - akcent 4 29" xfId="1480"/>
    <cellStyle name="20% - akcent 4 3" xfId="1481"/>
    <cellStyle name="20% - akcent 4 3 2" xfId="1482"/>
    <cellStyle name="20% - akcent 4 3 2 2" xfId="1483"/>
    <cellStyle name="20% - akcent 4 3 3" xfId="1484"/>
    <cellStyle name="20% - akcent 4 3 3 2" xfId="1485"/>
    <cellStyle name="20% - akcent 4 3 4" xfId="1486"/>
    <cellStyle name="20% - akcent 4 3 4 2" xfId="1487"/>
    <cellStyle name="20% - akcent 4 3 5" xfId="1488"/>
    <cellStyle name="20% - akcent 4 3 6" xfId="1489"/>
    <cellStyle name="20% - akcent 4 3 7" xfId="1490"/>
    <cellStyle name="20% - akcent 4 3 8" xfId="1491"/>
    <cellStyle name="20% - akcent 4 30" xfId="1492"/>
    <cellStyle name="20% - akcent 4 30 2" xfId="1493"/>
    <cellStyle name="20% - akcent 4 31" xfId="1494"/>
    <cellStyle name="20% - akcent 4 31 2" xfId="1495"/>
    <cellStyle name="20% - akcent 4 32" xfId="1496"/>
    <cellStyle name="20% - akcent 4 32 2" xfId="1497"/>
    <cellStyle name="20% - akcent 4 33" xfId="1498"/>
    <cellStyle name="20% - akcent 4 33 2" xfId="1499"/>
    <cellStyle name="20% - akcent 4 34" xfId="1500"/>
    <cellStyle name="20% - akcent 4 34 2" xfId="1501"/>
    <cellStyle name="20% - akcent 4 35" xfId="1502"/>
    <cellStyle name="20% - akcent 4 35 2" xfId="1503"/>
    <cellStyle name="20% - akcent 4 36" xfId="1504"/>
    <cellStyle name="20% - akcent 4 36 2" xfId="1505"/>
    <cellStyle name="20% - akcent 4 37" xfId="1506"/>
    <cellStyle name="20% - akcent 4 37 2" xfId="1507"/>
    <cellStyle name="20% - akcent 4 38" xfId="1508"/>
    <cellStyle name="20% - akcent 4 38 2" xfId="1509"/>
    <cellStyle name="20% - akcent 4 39" xfId="1510"/>
    <cellStyle name="20% - akcent 4 39 2" xfId="1511"/>
    <cellStyle name="20% - akcent 4 4" xfId="1512"/>
    <cellStyle name="20% - akcent 4 4 2" xfId="1513"/>
    <cellStyle name="20% - akcent 4 4 2 2" xfId="1514"/>
    <cellStyle name="20% - akcent 4 4 3" xfId="1515"/>
    <cellStyle name="20% - akcent 4 4 3 2" xfId="1516"/>
    <cellStyle name="20% - akcent 4 4 4" xfId="1517"/>
    <cellStyle name="20% - akcent 4 4 4 2" xfId="1518"/>
    <cellStyle name="20% - akcent 4 4 5" xfId="1519"/>
    <cellStyle name="20% - akcent 4 4 6" xfId="1520"/>
    <cellStyle name="20% - akcent 4 4 7" xfId="1521"/>
    <cellStyle name="20% - akcent 4 4 8" xfId="1522"/>
    <cellStyle name="20% - akcent 4 40" xfId="1523"/>
    <cellStyle name="20% - akcent 4 40 2" xfId="1524"/>
    <cellStyle name="20% - akcent 4 41" xfId="1525"/>
    <cellStyle name="20% - akcent 4 41 2" xfId="1526"/>
    <cellStyle name="20% - akcent 4 42" xfId="1527"/>
    <cellStyle name="20% - akcent 4 42 2" xfId="1528"/>
    <cellStyle name="20% - akcent 4 43" xfId="1529"/>
    <cellStyle name="20% - akcent 4 43 2" xfId="1530"/>
    <cellStyle name="20% - akcent 4 44" xfId="1531"/>
    <cellStyle name="20% - akcent 4 44 2" xfId="1532"/>
    <cellStyle name="20% - akcent 4 45" xfId="1533"/>
    <cellStyle name="20% - akcent 4 45 2" xfId="1534"/>
    <cellStyle name="20% - akcent 4 46" xfId="1535"/>
    <cellStyle name="20% - akcent 4 46 2" xfId="1536"/>
    <cellStyle name="20% - akcent 4 47" xfId="1537"/>
    <cellStyle name="20% - akcent 4 47 2" xfId="1538"/>
    <cellStyle name="20% - akcent 4 48" xfId="1539"/>
    <cellStyle name="20% - akcent 4 48 2" xfId="1540"/>
    <cellStyle name="20% - akcent 4 49" xfId="1541"/>
    <cellStyle name="20% - akcent 4 49 2" xfId="1542"/>
    <cellStyle name="20% - akcent 4 5" xfId="1543"/>
    <cellStyle name="20% - akcent 4 5 2" xfId="1544"/>
    <cellStyle name="20% - akcent 4 5 3" xfId="1545"/>
    <cellStyle name="20% - akcent 4 50" xfId="1546"/>
    <cellStyle name="20% - akcent 4 50 2" xfId="1547"/>
    <cellStyle name="20% - akcent 4 51" xfId="1548"/>
    <cellStyle name="20% - akcent 4 51 2" xfId="1549"/>
    <cellStyle name="20% - akcent 4 52" xfId="1550"/>
    <cellStyle name="20% - akcent 4 52 2" xfId="1551"/>
    <cellStyle name="20% - akcent 4 53" xfId="1552"/>
    <cellStyle name="20% - akcent 4 53 2" xfId="1553"/>
    <cellStyle name="20% - akcent 4 54" xfId="1554"/>
    <cellStyle name="20% - akcent 4 54 2" xfId="1555"/>
    <cellStyle name="20% - akcent 4 55" xfId="1556"/>
    <cellStyle name="20% - akcent 4 55 2" xfId="1557"/>
    <cellStyle name="20% - akcent 4 56" xfId="1558"/>
    <cellStyle name="20% - akcent 4 56 2" xfId="1559"/>
    <cellStyle name="20% - akcent 4 57" xfId="1560"/>
    <cellStyle name="20% - akcent 4 57 2" xfId="1561"/>
    <cellStyle name="20% - akcent 4 58" xfId="1562"/>
    <cellStyle name="20% - akcent 4 58 2" xfId="1563"/>
    <cellStyle name="20% - akcent 4 59" xfId="1564"/>
    <cellStyle name="20% - akcent 4 59 2" xfId="1565"/>
    <cellStyle name="20% - akcent 4 6" xfId="1566"/>
    <cellStyle name="20% - akcent 4 60" xfId="1567"/>
    <cellStyle name="20% - akcent 4 60 2" xfId="1568"/>
    <cellStyle name="20% - akcent 4 61" xfId="1569"/>
    <cellStyle name="20% - akcent 4 61 2" xfId="1570"/>
    <cellStyle name="20% - akcent 4 62" xfId="1571"/>
    <cellStyle name="20% - akcent 4 62 2" xfId="1572"/>
    <cellStyle name="20% - akcent 4 63" xfId="1573"/>
    <cellStyle name="20% - akcent 4 63 2" xfId="1574"/>
    <cellStyle name="20% - akcent 4 64" xfId="1575"/>
    <cellStyle name="20% - akcent 4 64 2" xfId="1576"/>
    <cellStyle name="20% - akcent 4 65" xfId="1577"/>
    <cellStyle name="20% - akcent 4 65 2" xfId="1578"/>
    <cellStyle name="20% - akcent 4 66" xfId="1579"/>
    <cellStyle name="20% - akcent 4 66 2" xfId="1580"/>
    <cellStyle name="20% - akcent 4 67" xfId="1581"/>
    <cellStyle name="20% - akcent 4 67 2" xfId="1582"/>
    <cellStyle name="20% - akcent 4 68" xfId="1583"/>
    <cellStyle name="20% - akcent 4 68 2" xfId="1584"/>
    <cellStyle name="20% - akcent 4 69" xfId="1585"/>
    <cellStyle name="20% - akcent 4 69 2" xfId="1586"/>
    <cellStyle name="20% - akcent 4 7" xfId="1587"/>
    <cellStyle name="20% - akcent 4 70" xfId="1588"/>
    <cellStyle name="20% - akcent 4 70 2" xfId="1589"/>
    <cellStyle name="20% - akcent 4 71" xfId="1590"/>
    <cellStyle name="20% - akcent 4 71 2" xfId="1591"/>
    <cellStyle name="20% - akcent 4 72" xfId="1592"/>
    <cellStyle name="20% - akcent 4 72 2" xfId="1593"/>
    <cellStyle name="20% - akcent 4 73" xfId="1594"/>
    <cellStyle name="20% - akcent 4 73 2" xfId="1595"/>
    <cellStyle name="20% - akcent 4 74" xfId="1596"/>
    <cellStyle name="20% - akcent 4 74 2" xfId="1597"/>
    <cellStyle name="20% - akcent 4 75" xfId="1598"/>
    <cellStyle name="20% - akcent 4 75 2" xfId="1599"/>
    <cellStyle name="20% - akcent 4 76" xfId="1600"/>
    <cellStyle name="20% - akcent 4 76 2" xfId="1601"/>
    <cellStyle name="20% - akcent 4 77" xfId="1602"/>
    <cellStyle name="20% - akcent 4 77 2" xfId="1603"/>
    <cellStyle name="20% - akcent 4 78" xfId="1604"/>
    <cellStyle name="20% - akcent 4 78 2" xfId="1605"/>
    <cellStyle name="20% - akcent 4 79" xfId="1606"/>
    <cellStyle name="20% - akcent 4 79 2" xfId="1607"/>
    <cellStyle name="20% - akcent 4 8" xfId="1608"/>
    <cellStyle name="20% - akcent 4 80" xfId="1609"/>
    <cellStyle name="20% - akcent 4 80 2" xfId="1610"/>
    <cellStyle name="20% - akcent 4 81" xfId="1611"/>
    <cellStyle name="20% - akcent 4 81 2" xfId="1612"/>
    <cellStyle name="20% - akcent 4 82" xfId="1613"/>
    <cellStyle name="20% - akcent 4 82 2" xfId="1614"/>
    <cellStyle name="20% - akcent 4 83" xfId="1615"/>
    <cellStyle name="20% - akcent 4 83 2" xfId="1616"/>
    <cellStyle name="20% - akcent 4 84" xfId="1617"/>
    <cellStyle name="20% - akcent 4 84 2" xfId="1618"/>
    <cellStyle name="20% - akcent 4 85" xfId="1619"/>
    <cellStyle name="20% - akcent 4 85 2" xfId="1620"/>
    <cellStyle name="20% - akcent 4 86" xfId="1621"/>
    <cellStyle name="20% - akcent 4 86 2" xfId="1622"/>
    <cellStyle name="20% - akcent 4 87" xfId="1623"/>
    <cellStyle name="20% - akcent 4 87 2" xfId="1624"/>
    <cellStyle name="20% - akcent 4 88" xfId="1625"/>
    <cellStyle name="20% - akcent 4 88 2" xfId="1626"/>
    <cellStyle name="20% - akcent 4 89" xfId="1627"/>
    <cellStyle name="20% - akcent 4 89 2" xfId="1628"/>
    <cellStyle name="20% - akcent 4 9" xfId="1629"/>
    <cellStyle name="20% - akcent 4 90" xfId="1630"/>
    <cellStyle name="20% - akcent 4 90 2" xfId="1631"/>
    <cellStyle name="20% - akcent 4 91" xfId="1632"/>
    <cellStyle name="20% - akcent 4 91 2" xfId="1633"/>
    <cellStyle name="20% - akcent 4 92" xfId="1634"/>
    <cellStyle name="20% - akcent 4 92 2" xfId="1635"/>
    <cellStyle name="20% - akcent 4 93" xfId="1636"/>
    <cellStyle name="20% - akcent 4 93 2" xfId="1637"/>
    <cellStyle name="20% - akcent 4 94" xfId="1638"/>
    <cellStyle name="20% - akcent 4 94 2" xfId="1639"/>
    <cellStyle name="20% - akcent 4 95" xfId="1640"/>
    <cellStyle name="20% - akcent 4 95 2" xfId="1641"/>
    <cellStyle name="20% - akcent 4 96" xfId="1642"/>
    <cellStyle name="20% - akcent 4 96 2" xfId="1643"/>
    <cellStyle name="20% - akcent 4 97" xfId="1644"/>
    <cellStyle name="20% - akcent 4 97 2" xfId="1645"/>
    <cellStyle name="20% - akcent 4 98" xfId="1646"/>
    <cellStyle name="20% - akcent 4 98 2" xfId="1647"/>
    <cellStyle name="20% - akcent 4 99" xfId="1648"/>
    <cellStyle name="20% - akcent 4 99 2" xfId="1649"/>
    <cellStyle name="20% - akcent 5 10" xfId="1650"/>
    <cellStyle name="20% - akcent 5 100" xfId="1651"/>
    <cellStyle name="20% - akcent 5 100 2" xfId="1652"/>
    <cellStyle name="20% - akcent 5 101" xfId="1653"/>
    <cellStyle name="20% - akcent 5 101 2" xfId="1654"/>
    <cellStyle name="20% - akcent 5 102" xfId="1655"/>
    <cellStyle name="20% - akcent 5 102 2" xfId="1656"/>
    <cellStyle name="20% - akcent 5 103" xfId="1657"/>
    <cellStyle name="20% - akcent 5 103 2" xfId="1658"/>
    <cellStyle name="20% - akcent 5 104" xfId="1659"/>
    <cellStyle name="20% - akcent 5 104 2" xfId="1660"/>
    <cellStyle name="20% - akcent 5 105" xfId="1661"/>
    <cellStyle name="20% - akcent 5 105 2" xfId="1662"/>
    <cellStyle name="20% - akcent 5 106" xfId="1663"/>
    <cellStyle name="20% - akcent 5 106 2" xfId="1664"/>
    <cellStyle name="20% - akcent 5 107" xfId="1665"/>
    <cellStyle name="20% - akcent 5 107 2" xfId="1666"/>
    <cellStyle name="20% - akcent 5 108" xfId="1667"/>
    <cellStyle name="20% - akcent 5 108 2" xfId="1668"/>
    <cellStyle name="20% - akcent 5 109" xfId="1669"/>
    <cellStyle name="20% - akcent 5 109 2" xfId="1670"/>
    <cellStyle name="20% - akcent 5 11" xfId="1671"/>
    <cellStyle name="20% - akcent 5 110" xfId="1672"/>
    <cellStyle name="20% - akcent 5 110 2" xfId="1673"/>
    <cellStyle name="20% - akcent 5 111" xfId="1674"/>
    <cellStyle name="20% - akcent 5 111 2" xfId="1675"/>
    <cellStyle name="20% - akcent 5 112" xfId="1676"/>
    <cellStyle name="20% - akcent 5 112 2" xfId="1677"/>
    <cellStyle name="20% - akcent 5 113" xfId="1678"/>
    <cellStyle name="20% - akcent 5 113 2" xfId="1679"/>
    <cellStyle name="20% - akcent 5 114" xfId="1680"/>
    <cellStyle name="20% - akcent 5 114 2" xfId="1681"/>
    <cellStyle name="20% - akcent 5 115" xfId="1682"/>
    <cellStyle name="20% - akcent 5 115 2" xfId="1683"/>
    <cellStyle name="20% - akcent 5 116" xfId="1684"/>
    <cellStyle name="20% - akcent 5 116 2" xfId="1685"/>
    <cellStyle name="20% - akcent 5 117" xfId="1686"/>
    <cellStyle name="20% - akcent 5 117 2" xfId="1687"/>
    <cellStyle name="20% - akcent 5 118" xfId="1688"/>
    <cellStyle name="20% - akcent 5 118 2" xfId="1689"/>
    <cellStyle name="20% - akcent 5 119" xfId="1690"/>
    <cellStyle name="20% - akcent 5 119 2" xfId="1691"/>
    <cellStyle name="20% - akcent 5 12" xfId="1692"/>
    <cellStyle name="20% - akcent 5 120" xfId="1693"/>
    <cellStyle name="20% - akcent 5 121" xfId="1694"/>
    <cellStyle name="20% - akcent 5 13" xfId="1695"/>
    <cellStyle name="20% - akcent 5 14" xfId="1696"/>
    <cellStyle name="20% - akcent 5 15" xfId="1697"/>
    <cellStyle name="20% - akcent 5 16" xfId="1698"/>
    <cellStyle name="20% - akcent 5 17" xfId="1699"/>
    <cellStyle name="20% - akcent 5 18" xfId="1700"/>
    <cellStyle name="20% - akcent 5 19" xfId="1701"/>
    <cellStyle name="20% - akcent 5 2" xfId="1702"/>
    <cellStyle name="20% - akcent 5 2 10" xfId="1703"/>
    <cellStyle name="20% - akcent 5 2 10 2" xfId="1704"/>
    <cellStyle name="20% - akcent 5 2 10 3" xfId="1705"/>
    <cellStyle name="20% - akcent 5 2 10 4" xfId="1706"/>
    <cellStyle name="20% - akcent 5 2 10 5" xfId="1707"/>
    <cellStyle name="20% - akcent 5 2 10 6" xfId="1708"/>
    <cellStyle name="20% - akcent 5 2 11" xfId="1709"/>
    <cellStyle name="20% - akcent 5 2 11 2" xfId="1710"/>
    <cellStyle name="20% - akcent 5 2 11 3" xfId="1711"/>
    <cellStyle name="20% - akcent 5 2 11 4" xfId="1712"/>
    <cellStyle name="20% - akcent 5 2 11 5" xfId="1713"/>
    <cellStyle name="20% - akcent 5 2 11 6" xfId="1714"/>
    <cellStyle name="20% - akcent 5 2 12" xfId="1715"/>
    <cellStyle name="20% - akcent 5 2 12 2" xfId="1716"/>
    <cellStyle name="20% - akcent 5 2 12 3" xfId="1717"/>
    <cellStyle name="20% - akcent 5 2 12 4" xfId="1718"/>
    <cellStyle name="20% - akcent 5 2 12 5" xfId="1719"/>
    <cellStyle name="20% - akcent 5 2 12 6" xfId="1720"/>
    <cellStyle name="20% - akcent 5 2 13" xfId="1721"/>
    <cellStyle name="20% - akcent 5 2 13 2" xfId="1722"/>
    <cellStyle name="20% - akcent 5 2 13 3" xfId="1723"/>
    <cellStyle name="20% - akcent 5 2 13 4" xfId="1724"/>
    <cellStyle name="20% - akcent 5 2 13 5" xfId="1725"/>
    <cellStyle name="20% - akcent 5 2 13 6" xfId="1726"/>
    <cellStyle name="20% - akcent 5 2 14" xfId="1727"/>
    <cellStyle name="20% - akcent 5 2 14 2" xfId="1728"/>
    <cellStyle name="20% - akcent 5 2 14 3" xfId="1729"/>
    <cellStyle name="20% - akcent 5 2 14 4" xfId="1730"/>
    <cellStyle name="20% - akcent 5 2 14 5" xfId="1731"/>
    <cellStyle name="20% - akcent 5 2 14 6" xfId="1732"/>
    <cellStyle name="20% - akcent 5 2 15" xfId="1733"/>
    <cellStyle name="20% - akcent 5 2 15 2" xfId="1734"/>
    <cellStyle name="20% - akcent 5 2 15 3" xfId="1735"/>
    <cellStyle name="20% - akcent 5 2 15 4" xfId="1736"/>
    <cellStyle name="20% - akcent 5 2 15 5" xfId="1737"/>
    <cellStyle name="20% - akcent 5 2 15 6" xfId="1738"/>
    <cellStyle name="20% - akcent 5 2 16" xfId="1739"/>
    <cellStyle name="20% - akcent 5 2 16 2" xfId="1740"/>
    <cellStyle name="20% - akcent 5 2 16 3" xfId="1741"/>
    <cellStyle name="20% - akcent 5 2 16 4" xfId="1742"/>
    <cellStyle name="20% - akcent 5 2 16 5" xfId="1743"/>
    <cellStyle name="20% - akcent 5 2 16 6" xfId="1744"/>
    <cellStyle name="20% - akcent 5 2 17" xfId="1745"/>
    <cellStyle name="20% - akcent 5 2 17 2" xfId="1746"/>
    <cellStyle name="20% - akcent 5 2 17 3" xfId="1747"/>
    <cellStyle name="20% - akcent 5 2 17 4" xfId="1748"/>
    <cellStyle name="20% - akcent 5 2 17 5" xfId="1749"/>
    <cellStyle name="20% - akcent 5 2 17 6" xfId="1750"/>
    <cellStyle name="20% - akcent 5 2 18" xfId="1751"/>
    <cellStyle name="20% - akcent 5 2 18 2" xfId="1752"/>
    <cellStyle name="20% - akcent 5 2 18 3" xfId="1753"/>
    <cellStyle name="20% - akcent 5 2 18 4" xfId="1754"/>
    <cellStyle name="20% - akcent 5 2 18 5" xfId="1755"/>
    <cellStyle name="20% - akcent 5 2 18 6" xfId="1756"/>
    <cellStyle name="20% - akcent 5 2 19" xfId="1757"/>
    <cellStyle name="20% - akcent 5 2 19 2" xfId="1758"/>
    <cellStyle name="20% - akcent 5 2 19 3" xfId="1759"/>
    <cellStyle name="20% - akcent 5 2 19 4" xfId="1760"/>
    <cellStyle name="20% - akcent 5 2 19 5" xfId="1761"/>
    <cellStyle name="20% - akcent 5 2 19 6" xfId="1762"/>
    <cellStyle name="20% - akcent 5 2 2" xfId="1763"/>
    <cellStyle name="20% - akcent 5 2 2 2" xfId="1764"/>
    <cellStyle name="20% - akcent 5 2 2 3" xfId="1765"/>
    <cellStyle name="20% - akcent 5 2 2 4" xfId="1766"/>
    <cellStyle name="20% - akcent 5 2 2 5" xfId="1767"/>
    <cellStyle name="20% - akcent 5 2 2 6" xfId="1768"/>
    <cellStyle name="20% - akcent 5 2 2 7" xfId="1769"/>
    <cellStyle name="20% - akcent 5 2 20" xfId="1770"/>
    <cellStyle name="20% - akcent 5 2 20 2" xfId="1771"/>
    <cellStyle name="20% - akcent 5 2 20 3" xfId="1772"/>
    <cellStyle name="20% - akcent 5 2 20 4" xfId="1773"/>
    <cellStyle name="20% - akcent 5 2 20 5" xfId="1774"/>
    <cellStyle name="20% - akcent 5 2 20 6" xfId="1775"/>
    <cellStyle name="20% - akcent 5 2 21" xfId="1776"/>
    <cellStyle name="20% - akcent 5 2 21 2" xfId="1777"/>
    <cellStyle name="20% - akcent 5 2 21 3" xfId="1778"/>
    <cellStyle name="20% - akcent 5 2 21 4" xfId="1779"/>
    <cellStyle name="20% - akcent 5 2 21 5" xfId="1780"/>
    <cellStyle name="20% - akcent 5 2 21 6" xfId="1781"/>
    <cellStyle name="20% - akcent 5 2 22" xfId="1782"/>
    <cellStyle name="20% - akcent 5 2 22 2" xfId="1783"/>
    <cellStyle name="20% - akcent 5 2 22 3" xfId="1784"/>
    <cellStyle name="20% - akcent 5 2 22 4" xfId="1785"/>
    <cellStyle name="20% - akcent 5 2 22 5" xfId="1786"/>
    <cellStyle name="20% - akcent 5 2 22 6" xfId="1787"/>
    <cellStyle name="20% - akcent 5 2 23" xfId="1788"/>
    <cellStyle name="20% - akcent 5 2 23 2" xfId="1789"/>
    <cellStyle name="20% - akcent 5 2 23 3" xfId="1790"/>
    <cellStyle name="20% - akcent 5 2 23 4" xfId="1791"/>
    <cellStyle name="20% - akcent 5 2 23 5" xfId="1792"/>
    <cellStyle name="20% - akcent 5 2 23 6" xfId="1793"/>
    <cellStyle name="20% - akcent 5 2 24" xfId="1794"/>
    <cellStyle name="20% - akcent 5 2 24 2" xfId="1795"/>
    <cellStyle name="20% - akcent 5 2 24 3" xfId="1796"/>
    <cellStyle name="20% - akcent 5 2 24 4" xfId="1797"/>
    <cellStyle name="20% - akcent 5 2 24 5" xfId="1798"/>
    <cellStyle name="20% - akcent 5 2 24 6" xfId="1799"/>
    <cellStyle name="20% - akcent 5 2 25" xfId="1800"/>
    <cellStyle name="20% - akcent 5 2 25 2" xfId="1801"/>
    <cellStyle name="20% - akcent 5 2 25 3" xfId="1802"/>
    <cellStyle name="20% - akcent 5 2 25 4" xfId="1803"/>
    <cellStyle name="20% - akcent 5 2 25 5" xfId="1804"/>
    <cellStyle name="20% - akcent 5 2 25 6" xfId="1805"/>
    <cellStyle name="20% - akcent 5 2 26" xfId="1806"/>
    <cellStyle name="20% - akcent 5 2 26 2" xfId="1807"/>
    <cellStyle name="20% - akcent 5 2 26 3" xfId="1808"/>
    <cellStyle name="20% - akcent 5 2 26 4" xfId="1809"/>
    <cellStyle name="20% - akcent 5 2 26 5" xfId="1810"/>
    <cellStyle name="20% - akcent 5 2 26 6" xfId="1811"/>
    <cellStyle name="20% - akcent 5 2 27" xfId="1812"/>
    <cellStyle name="20% - akcent 5 2 27 2" xfId="1813"/>
    <cellStyle name="20% - akcent 5 2 27 3" xfId="1814"/>
    <cellStyle name="20% - akcent 5 2 27 4" xfId="1815"/>
    <cellStyle name="20% - akcent 5 2 27 5" xfId="1816"/>
    <cellStyle name="20% - akcent 5 2 27 6" xfId="1817"/>
    <cellStyle name="20% - akcent 5 2 28" xfId="1818"/>
    <cellStyle name="20% - akcent 5 2 28 2" xfId="1819"/>
    <cellStyle name="20% - akcent 5 2 28 3" xfId="1820"/>
    <cellStyle name="20% - akcent 5 2 28 4" xfId="1821"/>
    <cellStyle name="20% - akcent 5 2 28 5" xfId="1822"/>
    <cellStyle name="20% - akcent 5 2 28 6" xfId="1823"/>
    <cellStyle name="20% - akcent 5 2 29" xfId="1824"/>
    <cellStyle name="20% - akcent 5 2 29 2" xfId="1825"/>
    <cellStyle name="20% - akcent 5 2 3" xfId="1826"/>
    <cellStyle name="20% - akcent 5 2 3 2" xfId="1827"/>
    <cellStyle name="20% - akcent 5 2 3 3" xfId="1828"/>
    <cellStyle name="20% - akcent 5 2 3 4" xfId="1829"/>
    <cellStyle name="20% - akcent 5 2 3 5" xfId="1830"/>
    <cellStyle name="20% - akcent 5 2 3 6" xfId="1831"/>
    <cellStyle name="20% - akcent 5 2 3 7" xfId="1832"/>
    <cellStyle name="20% - akcent 5 2 30" xfId="1833"/>
    <cellStyle name="20% - akcent 5 2 30 2" xfId="1834"/>
    <cellStyle name="20% - akcent 5 2 31" xfId="1835"/>
    <cellStyle name="20% - akcent 5 2 31 2" xfId="1836"/>
    <cellStyle name="20% - akcent 5 2 32" xfId="1837"/>
    <cellStyle name="20% - akcent 5 2 32 2" xfId="1838"/>
    <cellStyle name="20% - akcent 5 2 33" xfId="1839"/>
    <cellStyle name="20% - akcent 5 2 34" xfId="1840"/>
    <cellStyle name="20% - akcent 5 2 35" xfId="1841"/>
    <cellStyle name="20% - akcent 5 2 36" xfId="1842"/>
    <cellStyle name="20% - akcent 5 2 37" xfId="1843"/>
    <cellStyle name="20% - akcent 5 2 38" xfId="1844"/>
    <cellStyle name="20% - akcent 5 2 39" xfId="1845"/>
    <cellStyle name="20% - akcent 5 2 4" xfId="1846"/>
    <cellStyle name="20% - akcent 5 2 4 2" xfId="1847"/>
    <cellStyle name="20% - akcent 5 2 4 3" xfId="1848"/>
    <cellStyle name="20% - akcent 5 2 4 4" xfId="1849"/>
    <cellStyle name="20% - akcent 5 2 4 5" xfId="1850"/>
    <cellStyle name="20% - akcent 5 2 4 6" xfId="1851"/>
    <cellStyle name="20% - akcent 5 2 4 7" xfId="1852"/>
    <cellStyle name="20% - akcent 5 2 40" xfId="1853"/>
    <cellStyle name="20% - akcent 5 2 41" xfId="1854"/>
    <cellStyle name="20% - akcent 5 2 42" xfId="1855"/>
    <cellStyle name="20% - akcent 5 2 43" xfId="1856"/>
    <cellStyle name="20% - akcent 5 2 44" xfId="1857"/>
    <cellStyle name="20% - akcent 5 2 45" xfId="1858"/>
    <cellStyle name="20% - akcent 5 2 46" xfId="1859"/>
    <cellStyle name="20% - akcent 5 2 47" xfId="1860"/>
    <cellStyle name="20% - akcent 5 2 48" xfId="1861"/>
    <cellStyle name="20% - akcent 5 2 49" xfId="1862"/>
    <cellStyle name="20% - akcent 5 2 5" xfId="1863"/>
    <cellStyle name="20% - akcent 5 2 5 2" xfId="1864"/>
    <cellStyle name="20% - akcent 5 2 5 3" xfId="1865"/>
    <cellStyle name="20% - akcent 5 2 5 4" xfId="1866"/>
    <cellStyle name="20% - akcent 5 2 5 5" xfId="1867"/>
    <cellStyle name="20% - akcent 5 2 5 6" xfId="1868"/>
    <cellStyle name="20% - akcent 5 2 50" xfId="1869"/>
    <cellStyle name="20% - akcent 5 2 51" xfId="1870"/>
    <cellStyle name="20% - akcent 5 2 6" xfId="1871"/>
    <cellStyle name="20% - akcent 5 2 6 2" xfId="1872"/>
    <cellStyle name="20% - akcent 5 2 6 3" xfId="1873"/>
    <cellStyle name="20% - akcent 5 2 6 4" xfId="1874"/>
    <cellStyle name="20% - akcent 5 2 6 5" xfId="1875"/>
    <cellStyle name="20% - akcent 5 2 6 6" xfId="1876"/>
    <cellStyle name="20% - akcent 5 2 7" xfId="1877"/>
    <cellStyle name="20% - akcent 5 2 7 2" xfId="1878"/>
    <cellStyle name="20% - akcent 5 2 7 3" xfId="1879"/>
    <cellStyle name="20% - akcent 5 2 7 4" xfId="1880"/>
    <cellStyle name="20% - akcent 5 2 7 5" xfId="1881"/>
    <cellStyle name="20% - akcent 5 2 7 6" xfId="1882"/>
    <cellStyle name="20% - akcent 5 2 8" xfId="1883"/>
    <cellStyle name="20% - akcent 5 2 8 2" xfId="1884"/>
    <cellStyle name="20% - akcent 5 2 8 3" xfId="1885"/>
    <cellStyle name="20% - akcent 5 2 8 4" xfId="1886"/>
    <cellStyle name="20% - akcent 5 2 8 5" xfId="1887"/>
    <cellStyle name="20% - akcent 5 2 8 6" xfId="1888"/>
    <cellStyle name="20% - akcent 5 2 9" xfId="1889"/>
    <cellStyle name="20% - akcent 5 2 9 2" xfId="1890"/>
    <cellStyle name="20% - akcent 5 2 9 3" xfId="1891"/>
    <cellStyle name="20% - akcent 5 2 9 4" xfId="1892"/>
    <cellStyle name="20% - akcent 5 2 9 5" xfId="1893"/>
    <cellStyle name="20% - akcent 5 2 9 6" xfId="1894"/>
    <cellStyle name="20% - akcent 5 20" xfId="1895"/>
    <cellStyle name="20% - akcent 5 21" xfId="1896"/>
    <cellStyle name="20% - akcent 5 22" xfId="1897"/>
    <cellStyle name="20% - akcent 5 23" xfId="1898"/>
    <cellStyle name="20% - akcent 5 24" xfId="1899"/>
    <cellStyle name="20% - akcent 5 25" xfId="1900"/>
    <cellStyle name="20% - akcent 5 26" xfId="1901"/>
    <cellStyle name="20% - akcent 5 27" xfId="1902"/>
    <cellStyle name="20% - akcent 5 28" xfId="1903"/>
    <cellStyle name="20% - akcent 5 29" xfId="1904"/>
    <cellStyle name="20% - akcent 5 3" xfId="1905"/>
    <cellStyle name="20% - akcent 5 3 2" xfId="1906"/>
    <cellStyle name="20% - akcent 5 3 2 2" xfId="1907"/>
    <cellStyle name="20% - akcent 5 3 3" xfId="1908"/>
    <cellStyle name="20% - akcent 5 3 3 2" xfId="1909"/>
    <cellStyle name="20% - akcent 5 3 4" xfId="1910"/>
    <cellStyle name="20% - akcent 5 3 4 2" xfId="1911"/>
    <cellStyle name="20% - akcent 5 3 5" xfId="1912"/>
    <cellStyle name="20% - akcent 5 3 6" xfId="1913"/>
    <cellStyle name="20% - akcent 5 3 7" xfId="1914"/>
    <cellStyle name="20% - akcent 5 3 8" xfId="1915"/>
    <cellStyle name="20% - akcent 5 30" xfId="1916"/>
    <cellStyle name="20% - akcent 5 30 2" xfId="1917"/>
    <cellStyle name="20% - akcent 5 31" xfId="1918"/>
    <cellStyle name="20% - akcent 5 31 2" xfId="1919"/>
    <cellStyle name="20% - akcent 5 32" xfId="1920"/>
    <cellStyle name="20% - akcent 5 32 2" xfId="1921"/>
    <cellStyle name="20% - akcent 5 33" xfId="1922"/>
    <cellStyle name="20% - akcent 5 33 2" xfId="1923"/>
    <cellStyle name="20% - akcent 5 34" xfId="1924"/>
    <cellStyle name="20% - akcent 5 34 2" xfId="1925"/>
    <cellStyle name="20% - akcent 5 35" xfId="1926"/>
    <cellStyle name="20% - akcent 5 35 2" xfId="1927"/>
    <cellStyle name="20% - akcent 5 36" xfId="1928"/>
    <cellStyle name="20% - akcent 5 36 2" xfId="1929"/>
    <cellStyle name="20% - akcent 5 37" xfId="1930"/>
    <cellStyle name="20% - akcent 5 37 2" xfId="1931"/>
    <cellStyle name="20% - akcent 5 38" xfId="1932"/>
    <cellStyle name="20% - akcent 5 38 2" xfId="1933"/>
    <cellStyle name="20% - akcent 5 39" xfId="1934"/>
    <cellStyle name="20% - akcent 5 39 2" xfId="1935"/>
    <cellStyle name="20% - akcent 5 4" xfId="1936"/>
    <cellStyle name="20% - akcent 5 4 2" xfId="1937"/>
    <cellStyle name="20% - akcent 5 4 2 2" xfId="1938"/>
    <cellStyle name="20% - akcent 5 4 3" xfId="1939"/>
    <cellStyle name="20% - akcent 5 4 3 2" xfId="1940"/>
    <cellStyle name="20% - akcent 5 4 4" xfId="1941"/>
    <cellStyle name="20% - akcent 5 4 4 2" xfId="1942"/>
    <cellStyle name="20% - akcent 5 4 5" xfId="1943"/>
    <cellStyle name="20% - akcent 5 4 6" xfId="1944"/>
    <cellStyle name="20% - akcent 5 4 7" xfId="1945"/>
    <cellStyle name="20% - akcent 5 4 8" xfId="1946"/>
    <cellStyle name="20% - akcent 5 40" xfId="1947"/>
    <cellStyle name="20% - akcent 5 40 2" xfId="1948"/>
    <cellStyle name="20% - akcent 5 41" xfId="1949"/>
    <cellStyle name="20% - akcent 5 41 2" xfId="1950"/>
    <cellStyle name="20% - akcent 5 42" xfId="1951"/>
    <cellStyle name="20% - akcent 5 42 2" xfId="1952"/>
    <cellStyle name="20% - akcent 5 43" xfId="1953"/>
    <cellStyle name="20% - akcent 5 43 2" xfId="1954"/>
    <cellStyle name="20% - akcent 5 44" xfId="1955"/>
    <cellStyle name="20% - akcent 5 44 2" xfId="1956"/>
    <cellStyle name="20% - akcent 5 45" xfId="1957"/>
    <cellStyle name="20% - akcent 5 45 2" xfId="1958"/>
    <cellStyle name="20% - akcent 5 46" xfId="1959"/>
    <cellStyle name="20% - akcent 5 46 2" xfId="1960"/>
    <cellStyle name="20% - akcent 5 47" xfId="1961"/>
    <cellStyle name="20% - akcent 5 47 2" xfId="1962"/>
    <cellStyle name="20% - akcent 5 48" xfId="1963"/>
    <cellStyle name="20% - akcent 5 48 2" xfId="1964"/>
    <cellStyle name="20% - akcent 5 49" xfId="1965"/>
    <cellStyle name="20% - akcent 5 49 2" xfId="1966"/>
    <cellStyle name="20% - akcent 5 5" xfId="1967"/>
    <cellStyle name="20% - akcent 5 5 2" xfId="1968"/>
    <cellStyle name="20% - akcent 5 5 3" xfId="1969"/>
    <cellStyle name="20% - akcent 5 50" xfId="1970"/>
    <cellStyle name="20% - akcent 5 50 2" xfId="1971"/>
    <cellStyle name="20% - akcent 5 51" xfId="1972"/>
    <cellStyle name="20% - akcent 5 51 2" xfId="1973"/>
    <cellStyle name="20% - akcent 5 52" xfId="1974"/>
    <cellStyle name="20% - akcent 5 52 2" xfId="1975"/>
    <cellStyle name="20% - akcent 5 53" xfId="1976"/>
    <cellStyle name="20% - akcent 5 53 2" xfId="1977"/>
    <cellStyle name="20% - akcent 5 54" xfId="1978"/>
    <cellStyle name="20% - akcent 5 54 2" xfId="1979"/>
    <cellStyle name="20% - akcent 5 55" xfId="1980"/>
    <cellStyle name="20% - akcent 5 55 2" xfId="1981"/>
    <cellStyle name="20% - akcent 5 56" xfId="1982"/>
    <cellStyle name="20% - akcent 5 56 2" xfId="1983"/>
    <cellStyle name="20% - akcent 5 57" xfId="1984"/>
    <cellStyle name="20% - akcent 5 57 2" xfId="1985"/>
    <cellStyle name="20% - akcent 5 58" xfId="1986"/>
    <cellStyle name="20% - akcent 5 58 2" xfId="1987"/>
    <cellStyle name="20% - akcent 5 59" xfId="1988"/>
    <cellStyle name="20% - akcent 5 59 2" xfId="1989"/>
    <cellStyle name="20% - akcent 5 6" xfId="1990"/>
    <cellStyle name="20% - akcent 5 60" xfId="1991"/>
    <cellStyle name="20% - akcent 5 60 2" xfId="1992"/>
    <cellStyle name="20% - akcent 5 61" xfId="1993"/>
    <cellStyle name="20% - akcent 5 61 2" xfId="1994"/>
    <cellStyle name="20% - akcent 5 62" xfId="1995"/>
    <cellStyle name="20% - akcent 5 62 2" xfId="1996"/>
    <cellStyle name="20% - akcent 5 63" xfId="1997"/>
    <cellStyle name="20% - akcent 5 63 2" xfId="1998"/>
    <cellStyle name="20% - akcent 5 64" xfId="1999"/>
    <cellStyle name="20% - akcent 5 64 2" xfId="2000"/>
    <cellStyle name="20% - akcent 5 65" xfId="2001"/>
    <cellStyle name="20% - akcent 5 65 2" xfId="2002"/>
    <cellStyle name="20% - akcent 5 66" xfId="2003"/>
    <cellStyle name="20% - akcent 5 66 2" xfId="2004"/>
    <cellStyle name="20% - akcent 5 67" xfId="2005"/>
    <cellStyle name="20% - akcent 5 67 2" xfId="2006"/>
    <cellStyle name="20% - akcent 5 68" xfId="2007"/>
    <cellStyle name="20% - akcent 5 68 2" xfId="2008"/>
    <cellStyle name="20% - akcent 5 69" xfId="2009"/>
    <cellStyle name="20% - akcent 5 69 2" xfId="2010"/>
    <cellStyle name="20% - akcent 5 7" xfId="2011"/>
    <cellStyle name="20% - akcent 5 70" xfId="2012"/>
    <cellStyle name="20% - akcent 5 70 2" xfId="2013"/>
    <cellStyle name="20% - akcent 5 71" xfId="2014"/>
    <cellStyle name="20% - akcent 5 71 2" xfId="2015"/>
    <cellStyle name="20% - akcent 5 72" xfId="2016"/>
    <cellStyle name="20% - akcent 5 72 2" xfId="2017"/>
    <cellStyle name="20% - akcent 5 73" xfId="2018"/>
    <cellStyle name="20% - akcent 5 73 2" xfId="2019"/>
    <cellStyle name="20% - akcent 5 74" xfId="2020"/>
    <cellStyle name="20% - akcent 5 74 2" xfId="2021"/>
    <cellStyle name="20% - akcent 5 75" xfId="2022"/>
    <cellStyle name="20% - akcent 5 75 2" xfId="2023"/>
    <cellStyle name="20% - akcent 5 76" xfId="2024"/>
    <cellStyle name="20% - akcent 5 76 2" xfId="2025"/>
    <cellStyle name="20% - akcent 5 77" xfId="2026"/>
    <cellStyle name="20% - akcent 5 77 2" xfId="2027"/>
    <cellStyle name="20% - akcent 5 78" xfId="2028"/>
    <cellStyle name="20% - akcent 5 78 2" xfId="2029"/>
    <cellStyle name="20% - akcent 5 79" xfId="2030"/>
    <cellStyle name="20% - akcent 5 79 2" xfId="2031"/>
    <cellStyle name="20% - akcent 5 8" xfId="2032"/>
    <cellStyle name="20% - akcent 5 80" xfId="2033"/>
    <cellStyle name="20% - akcent 5 80 2" xfId="2034"/>
    <cellStyle name="20% - akcent 5 81" xfId="2035"/>
    <cellStyle name="20% - akcent 5 81 2" xfId="2036"/>
    <cellStyle name="20% - akcent 5 82" xfId="2037"/>
    <cellStyle name="20% - akcent 5 82 2" xfId="2038"/>
    <cellStyle name="20% - akcent 5 83" xfId="2039"/>
    <cellStyle name="20% - akcent 5 83 2" xfId="2040"/>
    <cellStyle name="20% - akcent 5 84" xfId="2041"/>
    <cellStyle name="20% - akcent 5 84 2" xfId="2042"/>
    <cellStyle name="20% - akcent 5 85" xfId="2043"/>
    <cellStyle name="20% - akcent 5 85 2" xfId="2044"/>
    <cellStyle name="20% - akcent 5 86" xfId="2045"/>
    <cellStyle name="20% - akcent 5 86 2" xfId="2046"/>
    <cellStyle name="20% - akcent 5 87" xfId="2047"/>
    <cellStyle name="20% - akcent 5 87 2" xfId="2048"/>
    <cellStyle name="20% - akcent 5 88" xfId="2049"/>
    <cellStyle name="20% - akcent 5 88 2" xfId="2050"/>
    <cellStyle name="20% - akcent 5 89" xfId="2051"/>
    <cellStyle name="20% - akcent 5 89 2" xfId="2052"/>
    <cellStyle name="20% - akcent 5 9" xfId="2053"/>
    <cellStyle name="20% - akcent 5 90" xfId="2054"/>
    <cellStyle name="20% - akcent 5 90 2" xfId="2055"/>
    <cellStyle name="20% - akcent 5 91" xfId="2056"/>
    <cellStyle name="20% - akcent 5 91 2" xfId="2057"/>
    <cellStyle name="20% - akcent 5 92" xfId="2058"/>
    <cellStyle name="20% - akcent 5 92 2" xfId="2059"/>
    <cellStyle name="20% - akcent 5 93" xfId="2060"/>
    <cellStyle name="20% - akcent 5 93 2" xfId="2061"/>
    <cellStyle name="20% - akcent 5 94" xfId="2062"/>
    <cellStyle name="20% - akcent 5 94 2" xfId="2063"/>
    <cellStyle name="20% - akcent 5 95" xfId="2064"/>
    <cellStyle name="20% - akcent 5 95 2" xfId="2065"/>
    <cellStyle name="20% - akcent 5 96" xfId="2066"/>
    <cellStyle name="20% - akcent 5 96 2" xfId="2067"/>
    <cellStyle name="20% - akcent 5 97" xfId="2068"/>
    <cellStyle name="20% - akcent 5 97 2" xfId="2069"/>
    <cellStyle name="20% - akcent 5 98" xfId="2070"/>
    <cellStyle name="20% - akcent 5 98 2" xfId="2071"/>
    <cellStyle name="20% - akcent 5 99" xfId="2072"/>
    <cellStyle name="20% - akcent 5 99 2" xfId="2073"/>
    <cellStyle name="20% - akcent 6 10" xfId="2074"/>
    <cellStyle name="20% - akcent 6 100" xfId="2075"/>
    <cellStyle name="20% - akcent 6 100 2" xfId="2076"/>
    <cellStyle name="20% - akcent 6 101" xfId="2077"/>
    <cellStyle name="20% - akcent 6 101 2" xfId="2078"/>
    <cellStyle name="20% - akcent 6 102" xfId="2079"/>
    <cellStyle name="20% - akcent 6 102 2" xfId="2080"/>
    <cellStyle name="20% - akcent 6 103" xfId="2081"/>
    <cellStyle name="20% - akcent 6 103 2" xfId="2082"/>
    <cellStyle name="20% - akcent 6 104" xfId="2083"/>
    <cellStyle name="20% - akcent 6 104 2" xfId="2084"/>
    <cellStyle name="20% - akcent 6 105" xfId="2085"/>
    <cellStyle name="20% - akcent 6 105 2" xfId="2086"/>
    <cellStyle name="20% - akcent 6 106" xfId="2087"/>
    <cellStyle name="20% - akcent 6 106 2" xfId="2088"/>
    <cellStyle name="20% - akcent 6 107" xfId="2089"/>
    <cellStyle name="20% - akcent 6 107 2" xfId="2090"/>
    <cellStyle name="20% - akcent 6 108" xfId="2091"/>
    <cellStyle name="20% - akcent 6 108 2" xfId="2092"/>
    <cellStyle name="20% - akcent 6 109" xfId="2093"/>
    <cellStyle name="20% - akcent 6 109 2" xfId="2094"/>
    <cellStyle name="20% - akcent 6 11" xfId="2095"/>
    <cellStyle name="20% - akcent 6 110" xfId="2096"/>
    <cellStyle name="20% - akcent 6 110 2" xfId="2097"/>
    <cellStyle name="20% - akcent 6 111" xfId="2098"/>
    <cellStyle name="20% - akcent 6 111 2" xfId="2099"/>
    <cellStyle name="20% - akcent 6 112" xfId="2100"/>
    <cellStyle name="20% - akcent 6 112 2" xfId="2101"/>
    <cellStyle name="20% - akcent 6 113" xfId="2102"/>
    <cellStyle name="20% - akcent 6 113 2" xfId="2103"/>
    <cellStyle name="20% - akcent 6 114" xfId="2104"/>
    <cellStyle name="20% - akcent 6 114 2" xfId="2105"/>
    <cellStyle name="20% - akcent 6 115" xfId="2106"/>
    <cellStyle name="20% - akcent 6 115 2" xfId="2107"/>
    <cellStyle name="20% - akcent 6 116" xfId="2108"/>
    <cellStyle name="20% - akcent 6 116 2" xfId="2109"/>
    <cellStyle name="20% - akcent 6 117" xfId="2110"/>
    <cellStyle name="20% - akcent 6 117 2" xfId="2111"/>
    <cellStyle name="20% - akcent 6 118" xfId="2112"/>
    <cellStyle name="20% - akcent 6 118 2" xfId="2113"/>
    <cellStyle name="20% - akcent 6 119" xfId="2114"/>
    <cellStyle name="20% - akcent 6 119 2" xfId="2115"/>
    <cellStyle name="20% - akcent 6 12" xfId="2116"/>
    <cellStyle name="20% - akcent 6 120" xfId="2117"/>
    <cellStyle name="20% - akcent 6 121" xfId="2118"/>
    <cellStyle name="20% - akcent 6 13" xfId="2119"/>
    <cellStyle name="20% - akcent 6 14" xfId="2120"/>
    <cellStyle name="20% - akcent 6 15" xfId="2121"/>
    <cellStyle name="20% - akcent 6 16" xfId="2122"/>
    <cellStyle name="20% - akcent 6 17" xfId="2123"/>
    <cellStyle name="20% - akcent 6 18" xfId="2124"/>
    <cellStyle name="20% - akcent 6 19" xfId="2125"/>
    <cellStyle name="20% - akcent 6 2" xfId="2126"/>
    <cellStyle name="20% - akcent 6 2 10" xfId="2127"/>
    <cellStyle name="20% - akcent 6 2 10 2" xfId="2128"/>
    <cellStyle name="20% - akcent 6 2 10 3" xfId="2129"/>
    <cellStyle name="20% - akcent 6 2 10 4" xfId="2130"/>
    <cellStyle name="20% - akcent 6 2 10 5" xfId="2131"/>
    <cellStyle name="20% - akcent 6 2 10 6" xfId="2132"/>
    <cellStyle name="20% - akcent 6 2 11" xfId="2133"/>
    <cellStyle name="20% - akcent 6 2 11 2" xfId="2134"/>
    <cellStyle name="20% - akcent 6 2 11 3" xfId="2135"/>
    <cellStyle name="20% - akcent 6 2 11 4" xfId="2136"/>
    <cellStyle name="20% - akcent 6 2 11 5" xfId="2137"/>
    <cellStyle name="20% - akcent 6 2 11 6" xfId="2138"/>
    <cellStyle name="20% - akcent 6 2 12" xfId="2139"/>
    <cellStyle name="20% - akcent 6 2 12 2" xfId="2140"/>
    <cellStyle name="20% - akcent 6 2 12 3" xfId="2141"/>
    <cellStyle name="20% - akcent 6 2 12 4" xfId="2142"/>
    <cellStyle name="20% - akcent 6 2 12 5" xfId="2143"/>
    <cellStyle name="20% - akcent 6 2 12 6" xfId="2144"/>
    <cellStyle name="20% - akcent 6 2 13" xfId="2145"/>
    <cellStyle name="20% - akcent 6 2 13 2" xfId="2146"/>
    <cellStyle name="20% - akcent 6 2 13 3" xfId="2147"/>
    <cellStyle name="20% - akcent 6 2 13 4" xfId="2148"/>
    <cellStyle name="20% - akcent 6 2 13 5" xfId="2149"/>
    <cellStyle name="20% - akcent 6 2 13 6" xfId="2150"/>
    <cellStyle name="20% - akcent 6 2 14" xfId="2151"/>
    <cellStyle name="20% - akcent 6 2 14 2" xfId="2152"/>
    <cellStyle name="20% - akcent 6 2 14 3" xfId="2153"/>
    <cellStyle name="20% - akcent 6 2 14 4" xfId="2154"/>
    <cellStyle name="20% - akcent 6 2 14 5" xfId="2155"/>
    <cellStyle name="20% - akcent 6 2 14 6" xfId="2156"/>
    <cellStyle name="20% - akcent 6 2 15" xfId="2157"/>
    <cellStyle name="20% - akcent 6 2 15 2" xfId="2158"/>
    <cellStyle name="20% - akcent 6 2 15 3" xfId="2159"/>
    <cellStyle name="20% - akcent 6 2 15 4" xfId="2160"/>
    <cellStyle name="20% - akcent 6 2 15 5" xfId="2161"/>
    <cellStyle name="20% - akcent 6 2 15 6" xfId="2162"/>
    <cellStyle name="20% - akcent 6 2 16" xfId="2163"/>
    <cellStyle name="20% - akcent 6 2 16 2" xfId="2164"/>
    <cellStyle name="20% - akcent 6 2 16 3" xfId="2165"/>
    <cellStyle name="20% - akcent 6 2 16 4" xfId="2166"/>
    <cellStyle name="20% - akcent 6 2 16 5" xfId="2167"/>
    <cellStyle name="20% - akcent 6 2 16 6" xfId="2168"/>
    <cellStyle name="20% - akcent 6 2 17" xfId="2169"/>
    <cellStyle name="20% - akcent 6 2 17 2" xfId="2170"/>
    <cellStyle name="20% - akcent 6 2 17 3" xfId="2171"/>
    <cellStyle name="20% - akcent 6 2 17 4" xfId="2172"/>
    <cellStyle name="20% - akcent 6 2 17 5" xfId="2173"/>
    <cellStyle name="20% - akcent 6 2 17 6" xfId="2174"/>
    <cellStyle name="20% - akcent 6 2 18" xfId="2175"/>
    <cellStyle name="20% - akcent 6 2 18 2" xfId="2176"/>
    <cellStyle name="20% - akcent 6 2 18 3" xfId="2177"/>
    <cellStyle name="20% - akcent 6 2 18 4" xfId="2178"/>
    <cellStyle name="20% - akcent 6 2 18 5" xfId="2179"/>
    <cellStyle name="20% - akcent 6 2 18 6" xfId="2180"/>
    <cellStyle name="20% - akcent 6 2 19" xfId="2181"/>
    <cellStyle name="20% - akcent 6 2 19 2" xfId="2182"/>
    <cellStyle name="20% - akcent 6 2 19 3" xfId="2183"/>
    <cellStyle name="20% - akcent 6 2 19 4" xfId="2184"/>
    <cellStyle name="20% - akcent 6 2 19 5" xfId="2185"/>
    <cellStyle name="20% - akcent 6 2 19 6" xfId="2186"/>
    <cellStyle name="20% - akcent 6 2 2" xfId="2187"/>
    <cellStyle name="20% - akcent 6 2 2 2" xfId="2188"/>
    <cellStyle name="20% - akcent 6 2 2 3" xfId="2189"/>
    <cellStyle name="20% - akcent 6 2 2 4" xfId="2190"/>
    <cellStyle name="20% - akcent 6 2 2 5" xfId="2191"/>
    <cellStyle name="20% - akcent 6 2 2 6" xfId="2192"/>
    <cellStyle name="20% - akcent 6 2 2 7" xfId="2193"/>
    <cellStyle name="20% - akcent 6 2 20" xfId="2194"/>
    <cellStyle name="20% - akcent 6 2 20 2" xfId="2195"/>
    <cellStyle name="20% - akcent 6 2 20 3" xfId="2196"/>
    <cellStyle name="20% - akcent 6 2 20 4" xfId="2197"/>
    <cellStyle name="20% - akcent 6 2 20 5" xfId="2198"/>
    <cellStyle name="20% - akcent 6 2 20 6" xfId="2199"/>
    <cellStyle name="20% - akcent 6 2 21" xfId="2200"/>
    <cellStyle name="20% - akcent 6 2 21 2" xfId="2201"/>
    <cellStyle name="20% - akcent 6 2 21 3" xfId="2202"/>
    <cellStyle name="20% - akcent 6 2 21 4" xfId="2203"/>
    <cellStyle name="20% - akcent 6 2 21 5" xfId="2204"/>
    <cellStyle name="20% - akcent 6 2 21 6" xfId="2205"/>
    <cellStyle name="20% - akcent 6 2 22" xfId="2206"/>
    <cellStyle name="20% - akcent 6 2 22 2" xfId="2207"/>
    <cellStyle name="20% - akcent 6 2 22 3" xfId="2208"/>
    <cellStyle name="20% - akcent 6 2 22 4" xfId="2209"/>
    <cellStyle name="20% - akcent 6 2 22 5" xfId="2210"/>
    <cellStyle name="20% - akcent 6 2 22 6" xfId="2211"/>
    <cellStyle name="20% - akcent 6 2 23" xfId="2212"/>
    <cellStyle name="20% - akcent 6 2 23 2" xfId="2213"/>
    <cellStyle name="20% - akcent 6 2 23 3" xfId="2214"/>
    <cellStyle name="20% - akcent 6 2 23 4" xfId="2215"/>
    <cellStyle name="20% - akcent 6 2 23 5" xfId="2216"/>
    <cellStyle name="20% - akcent 6 2 23 6" xfId="2217"/>
    <cellStyle name="20% - akcent 6 2 24" xfId="2218"/>
    <cellStyle name="20% - akcent 6 2 24 2" xfId="2219"/>
    <cellStyle name="20% - akcent 6 2 24 3" xfId="2220"/>
    <cellStyle name="20% - akcent 6 2 24 4" xfId="2221"/>
    <cellStyle name="20% - akcent 6 2 24 5" xfId="2222"/>
    <cellStyle name="20% - akcent 6 2 24 6" xfId="2223"/>
    <cellStyle name="20% - akcent 6 2 25" xfId="2224"/>
    <cellStyle name="20% - akcent 6 2 25 2" xfId="2225"/>
    <cellStyle name="20% - akcent 6 2 25 3" xfId="2226"/>
    <cellStyle name="20% - akcent 6 2 25 4" xfId="2227"/>
    <cellStyle name="20% - akcent 6 2 25 5" xfId="2228"/>
    <cellStyle name="20% - akcent 6 2 25 6" xfId="2229"/>
    <cellStyle name="20% - akcent 6 2 26" xfId="2230"/>
    <cellStyle name="20% - akcent 6 2 26 2" xfId="2231"/>
    <cellStyle name="20% - akcent 6 2 26 3" xfId="2232"/>
    <cellStyle name="20% - akcent 6 2 26 4" xfId="2233"/>
    <cellStyle name="20% - akcent 6 2 26 5" xfId="2234"/>
    <cellStyle name="20% - akcent 6 2 26 6" xfId="2235"/>
    <cellStyle name="20% - akcent 6 2 27" xfId="2236"/>
    <cellStyle name="20% - akcent 6 2 27 2" xfId="2237"/>
    <cellStyle name="20% - akcent 6 2 27 3" xfId="2238"/>
    <cellStyle name="20% - akcent 6 2 27 4" xfId="2239"/>
    <cellStyle name="20% - akcent 6 2 27 5" xfId="2240"/>
    <cellStyle name="20% - akcent 6 2 27 6" xfId="2241"/>
    <cellStyle name="20% - akcent 6 2 28" xfId="2242"/>
    <cellStyle name="20% - akcent 6 2 28 2" xfId="2243"/>
    <cellStyle name="20% - akcent 6 2 28 3" xfId="2244"/>
    <cellStyle name="20% - akcent 6 2 28 4" xfId="2245"/>
    <cellStyle name="20% - akcent 6 2 28 5" xfId="2246"/>
    <cellStyle name="20% - akcent 6 2 28 6" xfId="2247"/>
    <cellStyle name="20% - akcent 6 2 29" xfId="2248"/>
    <cellStyle name="20% - akcent 6 2 29 2" xfId="2249"/>
    <cellStyle name="20% - akcent 6 2 3" xfId="2250"/>
    <cellStyle name="20% - akcent 6 2 3 2" xfId="2251"/>
    <cellStyle name="20% - akcent 6 2 3 3" xfId="2252"/>
    <cellStyle name="20% - akcent 6 2 3 4" xfId="2253"/>
    <cellStyle name="20% - akcent 6 2 3 5" xfId="2254"/>
    <cellStyle name="20% - akcent 6 2 3 6" xfId="2255"/>
    <cellStyle name="20% - akcent 6 2 3 7" xfId="2256"/>
    <cellStyle name="20% - akcent 6 2 30" xfId="2257"/>
    <cellStyle name="20% - akcent 6 2 30 2" xfId="2258"/>
    <cellStyle name="20% - akcent 6 2 31" xfId="2259"/>
    <cellStyle name="20% - akcent 6 2 31 2" xfId="2260"/>
    <cellStyle name="20% - akcent 6 2 32" xfId="2261"/>
    <cellStyle name="20% - akcent 6 2 32 2" xfId="2262"/>
    <cellStyle name="20% - akcent 6 2 33" xfId="2263"/>
    <cellStyle name="20% - akcent 6 2 34" xfId="2264"/>
    <cellStyle name="20% - akcent 6 2 35" xfId="2265"/>
    <cellStyle name="20% - akcent 6 2 36" xfId="2266"/>
    <cellStyle name="20% - akcent 6 2 37" xfId="2267"/>
    <cellStyle name="20% - akcent 6 2 38" xfId="2268"/>
    <cellStyle name="20% - akcent 6 2 39" xfId="2269"/>
    <cellStyle name="20% - akcent 6 2 4" xfId="2270"/>
    <cellStyle name="20% - akcent 6 2 4 2" xfId="2271"/>
    <cellStyle name="20% - akcent 6 2 4 3" xfId="2272"/>
    <cellStyle name="20% - akcent 6 2 4 4" xfId="2273"/>
    <cellStyle name="20% - akcent 6 2 4 5" xfId="2274"/>
    <cellStyle name="20% - akcent 6 2 4 6" xfId="2275"/>
    <cellStyle name="20% - akcent 6 2 4 7" xfId="2276"/>
    <cellStyle name="20% - akcent 6 2 40" xfId="2277"/>
    <cellStyle name="20% - akcent 6 2 41" xfId="2278"/>
    <cellStyle name="20% - akcent 6 2 42" xfId="2279"/>
    <cellStyle name="20% - akcent 6 2 43" xfId="2280"/>
    <cellStyle name="20% - akcent 6 2 44" xfId="2281"/>
    <cellStyle name="20% - akcent 6 2 45" xfId="2282"/>
    <cellStyle name="20% - akcent 6 2 46" xfId="2283"/>
    <cellStyle name="20% - akcent 6 2 47" xfId="2284"/>
    <cellStyle name="20% - akcent 6 2 48" xfId="2285"/>
    <cellStyle name="20% - akcent 6 2 49" xfId="2286"/>
    <cellStyle name="20% - akcent 6 2 5" xfId="2287"/>
    <cellStyle name="20% - akcent 6 2 5 2" xfId="2288"/>
    <cellStyle name="20% - akcent 6 2 5 3" xfId="2289"/>
    <cellStyle name="20% - akcent 6 2 5 4" xfId="2290"/>
    <cellStyle name="20% - akcent 6 2 5 5" xfId="2291"/>
    <cellStyle name="20% - akcent 6 2 5 6" xfId="2292"/>
    <cellStyle name="20% - akcent 6 2 50" xfId="2293"/>
    <cellStyle name="20% - akcent 6 2 51" xfId="2294"/>
    <cellStyle name="20% - akcent 6 2 6" xfId="2295"/>
    <cellStyle name="20% - akcent 6 2 6 2" xfId="2296"/>
    <cellStyle name="20% - akcent 6 2 6 3" xfId="2297"/>
    <cellStyle name="20% - akcent 6 2 6 4" xfId="2298"/>
    <cellStyle name="20% - akcent 6 2 6 5" xfId="2299"/>
    <cellStyle name="20% - akcent 6 2 6 6" xfId="2300"/>
    <cellStyle name="20% - akcent 6 2 7" xfId="2301"/>
    <cellStyle name="20% - akcent 6 2 7 2" xfId="2302"/>
    <cellStyle name="20% - akcent 6 2 7 3" xfId="2303"/>
    <cellStyle name="20% - akcent 6 2 7 4" xfId="2304"/>
    <cellStyle name="20% - akcent 6 2 7 5" xfId="2305"/>
    <cellStyle name="20% - akcent 6 2 7 6" xfId="2306"/>
    <cellStyle name="20% - akcent 6 2 8" xfId="2307"/>
    <cellStyle name="20% - akcent 6 2 8 2" xfId="2308"/>
    <cellStyle name="20% - akcent 6 2 8 3" xfId="2309"/>
    <cellStyle name="20% - akcent 6 2 8 4" xfId="2310"/>
    <cellStyle name="20% - akcent 6 2 8 5" xfId="2311"/>
    <cellStyle name="20% - akcent 6 2 8 6" xfId="2312"/>
    <cellStyle name="20% - akcent 6 2 9" xfId="2313"/>
    <cellStyle name="20% - akcent 6 2 9 2" xfId="2314"/>
    <cellStyle name="20% - akcent 6 2 9 3" xfId="2315"/>
    <cellStyle name="20% - akcent 6 2 9 4" xfId="2316"/>
    <cellStyle name="20% - akcent 6 2 9 5" xfId="2317"/>
    <cellStyle name="20% - akcent 6 2 9 6" xfId="2318"/>
    <cellStyle name="20% - akcent 6 20" xfId="2319"/>
    <cellStyle name="20% - akcent 6 21" xfId="2320"/>
    <cellStyle name="20% - akcent 6 22" xfId="2321"/>
    <cellStyle name="20% - akcent 6 23" xfId="2322"/>
    <cellStyle name="20% - akcent 6 24" xfId="2323"/>
    <cellStyle name="20% - akcent 6 25" xfId="2324"/>
    <cellStyle name="20% - akcent 6 26" xfId="2325"/>
    <cellStyle name="20% - akcent 6 27" xfId="2326"/>
    <cellStyle name="20% - akcent 6 28" xfId="2327"/>
    <cellStyle name="20% - akcent 6 29" xfId="2328"/>
    <cellStyle name="20% - akcent 6 3" xfId="2329"/>
    <cellStyle name="20% - akcent 6 3 2" xfId="2330"/>
    <cellStyle name="20% - akcent 6 3 2 2" xfId="2331"/>
    <cellStyle name="20% - akcent 6 3 3" xfId="2332"/>
    <cellStyle name="20% - akcent 6 3 3 2" xfId="2333"/>
    <cellStyle name="20% - akcent 6 3 4" xfId="2334"/>
    <cellStyle name="20% - akcent 6 3 4 2" xfId="2335"/>
    <cellStyle name="20% - akcent 6 3 5" xfId="2336"/>
    <cellStyle name="20% - akcent 6 3 6" xfId="2337"/>
    <cellStyle name="20% - akcent 6 3 7" xfId="2338"/>
    <cellStyle name="20% - akcent 6 3 8" xfId="2339"/>
    <cellStyle name="20% - akcent 6 30" xfId="2340"/>
    <cellStyle name="20% - akcent 6 30 2" xfId="2341"/>
    <cellStyle name="20% - akcent 6 31" xfId="2342"/>
    <cellStyle name="20% - akcent 6 31 2" xfId="2343"/>
    <cellStyle name="20% - akcent 6 32" xfId="2344"/>
    <cellStyle name="20% - akcent 6 32 2" xfId="2345"/>
    <cellStyle name="20% - akcent 6 33" xfId="2346"/>
    <cellStyle name="20% - akcent 6 33 2" xfId="2347"/>
    <cellStyle name="20% - akcent 6 34" xfId="2348"/>
    <cellStyle name="20% - akcent 6 34 2" xfId="2349"/>
    <cellStyle name="20% - akcent 6 35" xfId="2350"/>
    <cellStyle name="20% - akcent 6 35 2" xfId="2351"/>
    <cellStyle name="20% - akcent 6 36" xfId="2352"/>
    <cellStyle name="20% - akcent 6 36 2" xfId="2353"/>
    <cellStyle name="20% - akcent 6 37" xfId="2354"/>
    <cellStyle name="20% - akcent 6 37 2" xfId="2355"/>
    <cellStyle name="20% - akcent 6 38" xfId="2356"/>
    <cellStyle name="20% - akcent 6 38 2" xfId="2357"/>
    <cellStyle name="20% - akcent 6 39" xfId="2358"/>
    <cellStyle name="20% - akcent 6 39 2" xfId="2359"/>
    <cellStyle name="20% - akcent 6 4" xfId="2360"/>
    <cellStyle name="20% - akcent 6 4 2" xfId="2361"/>
    <cellStyle name="20% - akcent 6 4 2 2" xfId="2362"/>
    <cellStyle name="20% - akcent 6 4 3" xfId="2363"/>
    <cellStyle name="20% - akcent 6 4 3 2" xfId="2364"/>
    <cellStyle name="20% - akcent 6 4 4" xfId="2365"/>
    <cellStyle name="20% - akcent 6 4 4 2" xfId="2366"/>
    <cellStyle name="20% - akcent 6 4 5" xfId="2367"/>
    <cellStyle name="20% - akcent 6 4 6" xfId="2368"/>
    <cellStyle name="20% - akcent 6 4 7" xfId="2369"/>
    <cellStyle name="20% - akcent 6 4 8" xfId="2370"/>
    <cellStyle name="20% - akcent 6 40" xfId="2371"/>
    <cellStyle name="20% - akcent 6 40 2" xfId="2372"/>
    <cellStyle name="20% - akcent 6 41" xfId="2373"/>
    <cellStyle name="20% - akcent 6 41 2" xfId="2374"/>
    <cellStyle name="20% - akcent 6 42" xfId="2375"/>
    <cellStyle name="20% - akcent 6 42 2" xfId="2376"/>
    <cellStyle name="20% - akcent 6 43" xfId="2377"/>
    <cellStyle name="20% - akcent 6 43 2" xfId="2378"/>
    <cellStyle name="20% - akcent 6 44" xfId="2379"/>
    <cellStyle name="20% - akcent 6 44 2" xfId="2380"/>
    <cellStyle name="20% - akcent 6 45" xfId="2381"/>
    <cellStyle name="20% - akcent 6 45 2" xfId="2382"/>
    <cellStyle name="20% - akcent 6 46" xfId="2383"/>
    <cellStyle name="20% - akcent 6 46 2" xfId="2384"/>
    <cellStyle name="20% - akcent 6 47" xfId="2385"/>
    <cellStyle name="20% - akcent 6 47 2" xfId="2386"/>
    <cellStyle name="20% - akcent 6 48" xfId="2387"/>
    <cellStyle name="20% - akcent 6 48 2" xfId="2388"/>
    <cellStyle name="20% - akcent 6 49" xfId="2389"/>
    <cellStyle name="20% - akcent 6 49 2" xfId="2390"/>
    <cellStyle name="20% - akcent 6 5" xfId="2391"/>
    <cellStyle name="20% - akcent 6 5 2" xfId="2392"/>
    <cellStyle name="20% - akcent 6 5 3" xfId="2393"/>
    <cellStyle name="20% - akcent 6 50" xfId="2394"/>
    <cellStyle name="20% - akcent 6 50 2" xfId="2395"/>
    <cellStyle name="20% - akcent 6 51" xfId="2396"/>
    <cellStyle name="20% - akcent 6 51 2" xfId="2397"/>
    <cellStyle name="20% - akcent 6 52" xfId="2398"/>
    <cellStyle name="20% - akcent 6 52 2" xfId="2399"/>
    <cellStyle name="20% - akcent 6 53" xfId="2400"/>
    <cellStyle name="20% - akcent 6 53 2" xfId="2401"/>
    <cellStyle name="20% - akcent 6 54" xfId="2402"/>
    <cellStyle name="20% - akcent 6 54 2" xfId="2403"/>
    <cellStyle name="20% - akcent 6 55" xfId="2404"/>
    <cellStyle name="20% - akcent 6 55 2" xfId="2405"/>
    <cellStyle name="20% - akcent 6 56" xfId="2406"/>
    <cellStyle name="20% - akcent 6 56 2" xfId="2407"/>
    <cellStyle name="20% - akcent 6 57" xfId="2408"/>
    <cellStyle name="20% - akcent 6 57 2" xfId="2409"/>
    <cellStyle name="20% - akcent 6 58" xfId="2410"/>
    <cellStyle name="20% - akcent 6 58 2" xfId="2411"/>
    <cellStyle name="20% - akcent 6 59" xfId="2412"/>
    <cellStyle name="20% - akcent 6 59 2" xfId="2413"/>
    <cellStyle name="20% - akcent 6 6" xfId="2414"/>
    <cellStyle name="20% - akcent 6 60" xfId="2415"/>
    <cellStyle name="20% - akcent 6 60 2" xfId="2416"/>
    <cellStyle name="20% - akcent 6 61" xfId="2417"/>
    <cellStyle name="20% - akcent 6 61 2" xfId="2418"/>
    <cellStyle name="20% - akcent 6 62" xfId="2419"/>
    <cellStyle name="20% - akcent 6 62 2" xfId="2420"/>
    <cellStyle name="20% - akcent 6 63" xfId="2421"/>
    <cellStyle name="20% - akcent 6 63 2" xfId="2422"/>
    <cellStyle name="20% - akcent 6 64" xfId="2423"/>
    <cellStyle name="20% - akcent 6 64 2" xfId="2424"/>
    <cellStyle name="20% - akcent 6 65" xfId="2425"/>
    <cellStyle name="20% - akcent 6 65 2" xfId="2426"/>
    <cellStyle name="20% - akcent 6 66" xfId="2427"/>
    <cellStyle name="20% - akcent 6 66 2" xfId="2428"/>
    <cellStyle name="20% - akcent 6 67" xfId="2429"/>
    <cellStyle name="20% - akcent 6 67 2" xfId="2430"/>
    <cellStyle name="20% - akcent 6 68" xfId="2431"/>
    <cellStyle name="20% - akcent 6 68 2" xfId="2432"/>
    <cellStyle name="20% - akcent 6 69" xfId="2433"/>
    <cellStyle name="20% - akcent 6 69 2" xfId="2434"/>
    <cellStyle name="20% - akcent 6 7" xfId="2435"/>
    <cellStyle name="20% - akcent 6 70" xfId="2436"/>
    <cellStyle name="20% - akcent 6 70 2" xfId="2437"/>
    <cellStyle name="20% - akcent 6 71" xfId="2438"/>
    <cellStyle name="20% - akcent 6 71 2" xfId="2439"/>
    <cellStyle name="20% - akcent 6 72" xfId="2440"/>
    <cellStyle name="20% - akcent 6 72 2" xfId="2441"/>
    <cellStyle name="20% - akcent 6 73" xfId="2442"/>
    <cellStyle name="20% - akcent 6 73 2" xfId="2443"/>
    <cellStyle name="20% - akcent 6 74" xfId="2444"/>
    <cellStyle name="20% - akcent 6 74 2" xfId="2445"/>
    <cellStyle name="20% - akcent 6 75" xfId="2446"/>
    <cellStyle name="20% - akcent 6 75 2" xfId="2447"/>
    <cellStyle name="20% - akcent 6 76" xfId="2448"/>
    <cellStyle name="20% - akcent 6 76 2" xfId="2449"/>
    <cellStyle name="20% - akcent 6 77" xfId="2450"/>
    <cellStyle name="20% - akcent 6 77 2" xfId="2451"/>
    <cellStyle name="20% - akcent 6 78" xfId="2452"/>
    <cellStyle name="20% - akcent 6 78 2" xfId="2453"/>
    <cellStyle name="20% - akcent 6 79" xfId="2454"/>
    <cellStyle name="20% - akcent 6 79 2" xfId="2455"/>
    <cellStyle name="20% - akcent 6 8" xfId="2456"/>
    <cellStyle name="20% - akcent 6 80" xfId="2457"/>
    <cellStyle name="20% - akcent 6 80 2" xfId="2458"/>
    <cellStyle name="20% - akcent 6 81" xfId="2459"/>
    <cellStyle name="20% - akcent 6 81 2" xfId="2460"/>
    <cellStyle name="20% - akcent 6 82" xfId="2461"/>
    <cellStyle name="20% - akcent 6 82 2" xfId="2462"/>
    <cellStyle name="20% - akcent 6 83" xfId="2463"/>
    <cellStyle name="20% - akcent 6 83 2" xfId="2464"/>
    <cellStyle name="20% - akcent 6 84" xfId="2465"/>
    <cellStyle name="20% - akcent 6 84 2" xfId="2466"/>
    <cellStyle name="20% - akcent 6 85" xfId="2467"/>
    <cellStyle name="20% - akcent 6 85 2" xfId="2468"/>
    <cellStyle name="20% - akcent 6 86" xfId="2469"/>
    <cellStyle name="20% - akcent 6 86 2" xfId="2470"/>
    <cellStyle name="20% - akcent 6 87" xfId="2471"/>
    <cellStyle name="20% - akcent 6 87 2" xfId="2472"/>
    <cellStyle name="20% - akcent 6 88" xfId="2473"/>
    <cellStyle name="20% - akcent 6 88 2" xfId="2474"/>
    <cellStyle name="20% - akcent 6 89" xfId="2475"/>
    <cellStyle name="20% - akcent 6 89 2" xfId="2476"/>
    <cellStyle name="20% - akcent 6 9" xfId="2477"/>
    <cellStyle name="20% - akcent 6 90" xfId="2478"/>
    <cellStyle name="20% - akcent 6 90 2" xfId="2479"/>
    <cellStyle name="20% - akcent 6 91" xfId="2480"/>
    <cellStyle name="20% - akcent 6 91 2" xfId="2481"/>
    <cellStyle name="20% - akcent 6 92" xfId="2482"/>
    <cellStyle name="20% - akcent 6 92 2" xfId="2483"/>
    <cellStyle name="20% - akcent 6 93" xfId="2484"/>
    <cellStyle name="20% - akcent 6 93 2" xfId="2485"/>
    <cellStyle name="20% - akcent 6 94" xfId="2486"/>
    <cellStyle name="20% - akcent 6 94 2" xfId="2487"/>
    <cellStyle name="20% - akcent 6 95" xfId="2488"/>
    <cellStyle name="20% - akcent 6 95 2" xfId="2489"/>
    <cellStyle name="20% - akcent 6 96" xfId="2490"/>
    <cellStyle name="20% - akcent 6 96 2" xfId="2491"/>
    <cellStyle name="20% - akcent 6 97" xfId="2492"/>
    <cellStyle name="20% - akcent 6 97 2" xfId="2493"/>
    <cellStyle name="20% - akcent 6 98" xfId="2494"/>
    <cellStyle name="20% - akcent 6 98 2" xfId="2495"/>
    <cellStyle name="20% - akcent 6 99" xfId="2496"/>
    <cellStyle name="20% - akcent 6 99 2" xfId="2497"/>
    <cellStyle name="40% - akcent 1 10" xfId="2498"/>
    <cellStyle name="40% - akcent 1 100" xfId="2499"/>
    <cellStyle name="40% - akcent 1 100 2" xfId="2500"/>
    <cellStyle name="40% - akcent 1 101" xfId="2501"/>
    <cellStyle name="40% - akcent 1 101 2" xfId="2502"/>
    <cellStyle name="40% - akcent 1 102" xfId="2503"/>
    <cellStyle name="40% - akcent 1 102 2" xfId="2504"/>
    <cellStyle name="40% - akcent 1 103" xfId="2505"/>
    <cellStyle name="40% - akcent 1 103 2" xfId="2506"/>
    <cellStyle name="40% - akcent 1 104" xfId="2507"/>
    <cellStyle name="40% - akcent 1 104 2" xfId="2508"/>
    <cellStyle name="40% - akcent 1 105" xfId="2509"/>
    <cellStyle name="40% - akcent 1 105 2" xfId="2510"/>
    <cellStyle name="40% - akcent 1 106" xfId="2511"/>
    <cellStyle name="40% - akcent 1 106 2" xfId="2512"/>
    <cellStyle name="40% - akcent 1 107" xfId="2513"/>
    <cellStyle name="40% - akcent 1 107 2" xfId="2514"/>
    <cellStyle name="40% - akcent 1 108" xfId="2515"/>
    <cellStyle name="40% - akcent 1 108 2" xfId="2516"/>
    <cellStyle name="40% - akcent 1 109" xfId="2517"/>
    <cellStyle name="40% - akcent 1 109 2" xfId="2518"/>
    <cellStyle name="40% - akcent 1 11" xfId="2519"/>
    <cellStyle name="40% - akcent 1 110" xfId="2520"/>
    <cellStyle name="40% - akcent 1 110 2" xfId="2521"/>
    <cellStyle name="40% - akcent 1 111" xfId="2522"/>
    <cellStyle name="40% - akcent 1 111 2" xfId="2523"/>
    <cellStyle name="40% - akcent 1 112" xfId="2524"/>
    <cellStyle name="40% - akcent 1 112 2" xfId="2525"/>
    <cellStyle name="40% - akcent 1 113" xfId="2526"/>
    <cellStyle name="40% - akcent 1 113 2" xfId="2527"/>
    <cellStyle name="40% - akcent 1 114" xfId="2528"/>
    <cellStyle name="40% - akcent 1 114 2" xfId="2529"/>
    <cellStyle name="40% - akcent 1 115" xfId="2530"/>
    <cellStyle name="40% - akcent 1 115 2" xfId="2531"/>
    <cellStyle name="40% - akcent 1 116" xfId="2532"/>
    <cellStyle name="40% - akcent 1 116 2" xfId="2533"/>
    <cellStyle name="40% - akcent 1 117" xfId="2534"/>
    <cellStyle name="40% - akcent 1 117 2" xfId="2535"/>
    <cellStyle name="40% - akcent 1 118" xfId="2536"/>
    <cellStyle name="40% - akcent 1 118 2" xfId="2537"/>
    <cellStyle name="40% - akcent 1 119" xfId="2538"/>
    <cellStyle name="40% - akcent 1 119 2" xfId="2539"/>
    <cellStyle name="40% - akcent 1 12" xfId="2540"/>
    <cellStyle name="40% - akcent 1 120" xfId="2541"/>
    <cellStyle name="40% - akcent 1 121" xfId="2542"/>
    <cellStyle name="40% - akcent 1 13" xfId="2543"/>
    <cellStyle name="40% - akcent 1 14" xfId="2544"/>
    <cellStyle name="40% - akcent 1 15" xfId="2545"/>
    <cellStyle name="40% - akcent 1 16" xfId="2546"/>
    <cellStyle name="40% - akcent 1 17" xfId="2547"/>
    <cellStyle name="40% - akcent 1 18" xfId="2548"/>
    <cellStyle name="40% - akcent 1 19" xfId="2549"/>
    <cellStyle name="40% - akcent 1 2" xfId="2550"/>
    <cellStyle name="40% - akcent 1 2 10" xfId="2551"/>
    <cellStyle name="40% - akcent 1 2 10 2" xfId="2552"/>
    <cellStyle name="40% - akcent 1 2 10 3" xfId="2553"/>
    <cellStyle name="40% - akcent 1 2 10 4" xfId="2554"/>
    <cellStyle name="40% - akcent 1 2 10 5" xfId="2555"/>
    <cellStyle name="40% - akcent 1 2 10 6" xfId="2556"/>
    <cellStyle name="40% - akcent 1 2 11" xfId="2557"/>
    <cellStyle name="40% - akcent 1 2 11 2" xfId="2558"/>
    <cellStyle name="40% - akcent 1 2 11 3" xfId="2559"/>
    <cellStyle name="40% - akcent 1 2 11 4" xfId="2560"/>
    <cellStyle name="40% - akcent 1 2 11 5" xfId="2561"/>
    <cellStyle name="40% - akcent 1 2 11 6" xfId="2562"/>
    <cellStyle name="40% - akcent 1 2 12" xfId="2563"/>
    <cellStyle name="40% - akcent 1 2 12 2" xfId="2564"/>
    <cellStyle name="40% - akcent 1 2 12 3" xfId="2565"/>
    <cellStyle name="40% - akcent 1 2 12 4" xfId="2566"/>
    <cellStyle name="40% - akcent 1 2 12 5" xfId="2567"/>
    <cellStyle name="40% - akcent 1 2 12 6" xfId="2568"/>
    <cellStyle name="40% - akcent 1 2 13" xfId="2569"/>
    <cellStyle name="40% - akcent 1 2 13 2" xfId="2570"/>
    <cellStyle name="40% - akcent 1 2 13 3" xfId="2571"/>
    <cellStyle name="40% - akcent 1 2 13 4" xfId="2572"/>
    <cellStyle name="40% - akcent 1 2 13 5" xfId="2573"/>
    <cellStyle name="40% - akcent 1 2 13 6" xfId="2574"/>
    <cellStyle name="40% - akcent 1 2 14" xfId="2575"/>
    <cellStyle name="40% - akcent 1 2 14 2" xfId="2576"/>
    <cellStyle name="40% - akcent 1 2 14 3" xfId="2577"/>
    <cellStyle name="40% - akcent 1 2 14 4" xfId="2578"/>
    <cellStyle name="40% - akcent 1 2 14 5" xfId="2579"/>
    <cellStyle name="40% - akcent 1 2 14 6" xfId="2580"/>
    <cellStyle name="40% - akcent 1 2 15" xfId="2581"/>
    <cellStyle name="40% - akcent 1 2 15 2" xfId="2582"/>
    <cellStyle name="40% - akcent 1 2 15 3" xfId="2583"/>
    <cellStyle name="40% - akcent 1 2 15 4" xfId="2584"/>
    <cellStyle name="40% - akcent 1 2 15 5" xfId="2585"/>
    <cellStyle name="40% - akcent 1 2 15 6" xfId="2586"/>
    <cellStyle name="40% - akcent 1 2 16" xfId="2587"/>
    <cellStyle name="40% - akcent 1 2 16 2" xfId="2588"/>
    <cellStyle name="40% - akcent 1 2 16 3" xfId="2589"/>
    <cellStyle name="40% - akcent 1 2 16 4" xfId="2590"/>
    <cellStyle name="40% - akcent 1 2 16 5" xfId="2591"/>
    <cellStyle name="40% - akcent 1 2 16 6" xfId="2592"/>
    <cellStyle name="40% - akcent 1 2 17" xfId="2593"/>
    <cellStyle name="40% - akcent 1 2 17 2" xfId="2594"/>
    <cellStyle name="40% - akcent 1 2 17 3" xfId="2595"/>
    <cellStyle name="40% - akcent 1 2 17 4" xfId="2596"/>
    <cellStyle name="40% - akcent 1 2 17 5" xfId="2597"/>
    <cellStyle name="40% - akcent 1 2 17 6" xfId="2598"/>
    <cellStyle name="40% - akcent 1 2 18" xfId="2599"/>
    <cellStyle name="40% - akcent 1 2 18 2" xfId="2600"/>
    <cellStyle name="40% - akcent 1 2 18 3" xfId="2601"/>
    <cellStyle name="40% - akcent 1 2 18 4" xfId="2602"/>
    <cellStyle name="40% - akcent 1 2 18 5" xfId="2603"/>
    <cellStyle name="40% - akcent 1 2 18 6" xfId="2604"/>
    <cellStyle name="40% - akcent 1 2 19" xfId="2605"/>
    <cellStyle name="40% - akcent 1 2 19 2" xfId="2606"/>
    <cellStyle name="40% - akcent 1 2 19 3" xfId="2607"/>
    <cellStyle name="40% - akcent 1 2 19 4" xfId="2608"/>
    <cellStyle name="40% - akcent 1 2 19 5" xfId="2609"/>
    <cellStyle name="40% - akcent 1 2 19 6" xfId="2610"/>
    <cellStyle name="40% - akcent 1 2 2" xfId="2611"/>
    <cellStyle name="40% - akcent 1 2 2 2" xfId="2612"/>
    <cellStyle name="40% - akcent 1 2 2 3" xfId="2613"/>
    <cellStyle name="40% - akcent 1 2 2 4" xfId="2614"/>
    <cellStyle name="40% - akcent 1 2 2 5" xfId="2615"/>
    <cellStyle name="40% - akcent 1 2 2 6" xfId="2616"/>
    <cellStyle name="40% - akcent 1 2 2 7" xfId="2617"/>
    <cellStyle name="40% - akcent 1 2 20" xfId="2618"/>
    <cellStyle name="40% - akcent 1 2 20 2" xfId="2619"/>
    <cellStyle name="40% - akcent 1 2 20 3" xfId="2620"/>
    <cellStyle name="40% - akcent 1 2 20 4" xfId="2621"/>
    <cellStyle name="40% - akcent 1 2 20 5" xfId="2622"/>
    <cellStyle name="40% - akcent 1 2 20 6" xfId="2623"/>
    <cellStyle name="40% - akcent 1 2 21" xfId="2624"/>
    <cellStyle name="40% - akcent 1 2 21 2" xfId="2625"/>
    <cellStyle name="40% - akcent 1 2 21 3" xfId="2626"/>
    <cellStyle name="40% - akcent 1 2 21 4" xfId="2627"/>
    <cellStyle name="40% - akcent 1 2 21 5" xfId="2628"/>
    <cellStyle name="40% - akcent 1 2 21 6" xfId="2629"/>
    <cellStyle name="40% - akcent 1 2 22" xfId="2630"/>
    <cellStyle name="40% - akcent 1 2 22 2" xfId="2631"/>
    <cellStyle name="40% - akcent 1 2 22 3" xfId="2632"/>
    <cellStyle name="40% - akcent 1 2 22 4" xfId="2633"/>
    <cellStyle name="40% - akcent 1 2 22 5" xfId="2634"/>
    <cellStyle name="40% - akcent 1 2 22 6" xfId="2635"/>
    <cellStyle name="40% - akcent 1 2 23" xfId="2636"/>
    <cellStyle name="40% - akcent 1 2 23 2" xfId="2637"/>
    <cellStyle name="40% - akcent 1 2 23 3" xfId="2638"/>
    <cellStyle name="40% - akcent 1 2 23 4" xfId="2639"/>
    <cellStyle name="40% - akcent 1 2 23 5" xfId="2640"/>
    <cellStyle name="40% - akcent 1 2 23 6" xfId="2641"/>
    <cellStyle name="40% - akcent 1 2 24" xfId="2642"/>
    <cellStyle name="40% - akcent 1 2 24 2" xfId="2643"/>
    <cellStyle name="40% - akcent 1 2 24 3" xfId="2644"/>
    <cellStyle name="40% - akcent 1 2 24 4" xfId="2645"/>
    <cellStyle name="40% - akcent 1 2 24 5" xfId="2646"/>
    <cellStyle name="40% - akcent 1 2 24 6" xfId="2647"/>
    <cellStyle name="40% - akcent 1 2 25" xfId="2648"/>
    <cellStyle name="40% - akcent 1 2 25 2" xfId="2649"/>
    <cellStyle name="40% - akcent 1 2 25 3" xfId="2650"/>
    <cellStyle name="40% - akcent 1 2 25 4" xfId="2651"/>
    <cellStyle name="40% - akcent 1 2 25 5" xfId="2652"/>
    <cellStyle name="40% - akcent 1 2 25 6" xfId="2653"/>
    <cellStyle name="40% - akcent 1 2 26" xfId="2654"/>
    <cellStyle name="40% - akcent 1 2 26 2" xfId="2655"/>
    <cellStyle name="40% - akcent 1 2 26 3" xfId="2656"/>
    <cellStyle name="40% - akcent 1 2 26 4" xfId="2657"/>
    <cellStyle name="40% - akcent 1 2 26 5" xfId="2658"/>
    <cellStyle name="40% - akcent 1 2 26 6" xfId="2659"/>
    <cellStyle name="40% - akcent 1 2 27" xfId="2660"/>
    <cellStyle name="40% - akcent 1 2 27 2" xfId="2661"/>
    <cellStyle name="40% - akcent 1 2 27 3" xfId="2662"/>
    <cellStyle name="40% - akcent 1 2 27 4" xfId="2663"/>
    <cellStyle name="40% - akcent 1 2 27 5" xfId="2664"/>
    <cellStyle name="40% - akcent 1 2 27 6" xfId="2665"/>
    <cellStyle name="40% - akcent 1 2 28" xfId="2666"/>
    <cellStyle name="40% - akcent 1 2 28 2" xfId="2667"/>
    <cellStyle name="40% - akcent 1 2 28 3" xfId="2668"/>
    <cellStyle name="40% - akcent 1 2 28 4" xfId="2669"/>
    <cellStyle name="40% - akcent 1 2 28 5" xfId="2670"/>
    <cellStyle name="40% - akcent 1 2 28 6" xfId="2671"/>
    <cellStyle name="40% - akcent 1 2 29" xfId="2672"/>
    <cellStyle name="40% - akcent 1 2 29 2" xfId="2673"/>
    <cellStyle name="40% - akcent 1 2 3" xfId="2674"/>
    <cellStyle name="40% - akcent 1 2 3 2" xfId="2675"/>
    <cellStyle name="40% - akcent 1 2 3 3" xfId="2676"/>
    <cellStyle name="40% - akcent 1 2 3 4" xfId="2677"/>
    <cellStyle name="40% - akcent 1 2 3 5" xfId="2678"/>
    <cellStyle name="40% - akcent 1 2 3 6" xfId="2679"/>
    <cellStyle name="40% - akcent 1 2 3 7" xfId="2680"/>
    <cellStyle name="40% - akcent 1 2 30" xfId="2681"/>
    <cellStyle name="40% - akcent 1 2 30 2" xfId="2682"/>
    <cellStyle name="40% - akcent 1 2 31" xfId="2683"/>
    <cellStyle name="40% - akcent 1 2 31 2" xfId="2684"/>
    <cellStyle name="40% - akcent 1 2 32" xfId="2685"/>
    <cellStyle name="40% - akcent 1 2 32 2" xfId="2686"/>
    <cellStyle name="40% - akcent 1 2 33" xfId="2687"/>
    <cellStyle name="40% - akcent 1 2 34" xfId="2688"/>
    <cellStyle name="40% - akcent 1 2 35" xfId="2689"/>
    <cellStyle name="40% - akcent 1 2 36" xfId="2690"/>
    <cellStyle name="40% - akcent 1 2 37" xfId="2691"/>
    <cellStyle name="40% - akcent 1 2 38" xfId="2692"/>
    <cellStyle name="40% - akcent 1 2 39" xfId="2693"/>
    <cellStyle name="40% - akcent 1 2 4" xfId="2694"/>
    <cellStyle name="40% - akcent 1 2 4 2" xfId="2695"/>
    <cellStyle name="40% - akcent 1 2 4 3" xfId="2696"/>
    <cellStyle name="40% - akcent 1 2 4 4" xfId="2697"/>
    <cellStyle name="40% - akcent 1 2 4 5" xfId="2698"/>
    <cellStyle name="40% - akcent 1 2 4 6" xfId="2699"/>
    <cellStyle name="40% - akcent 1 2 4 7" xfId="2700"/>
    <cellStyle name="40% - akcent 1 2 40" xfId="2701"/>
    <cellStyle name="40% - akcent 1 2 41" xfId="2702"/>
    <cellStyle name="40% - akcent 1 2 42" xfId="2703"/>
    <cellStyle name="40% - akcent 1 2 43" xfId="2704"/>
    <cellStyle name="40% - akcent 1 2 44" xfId="2705"/>
    <cellStyle name="40% - akcent 1 2 45" xfId="2706"/>
    <cellStyle name="40% - akcent 1 2 46" xfId="2707"/>
    <cellStyle name="40% - akcent 1 2 47" xfId="2708"/>
    <cellStyle name="40% - akcent 1 2 48" xfId="2709"/>
    <cellStyle name="40% - akcent 1 2 49" xfId="2710"/>
    <cellStyle name="40% - akcent 1 2 5" xfId="2711"/>
    <cellStyle name="40% - akcent 1 2 5 2" xfId="2712"/>
    <cellStyle name="40% - akcent 1 2 5 3" xfId="2713"/>
    <cellStyle name="40% - akcent 1 2 5 4" xfId="2714"/>
    <cellStyle name="40% - akcent 1 2 5 5" xfId="2715"/>
    <cellStyle name="40% - akcent 1 2 5 6" xfId="2716"/>
    <cellStyle name="40% - akcent 1 2 50" xfId="2717"/>
    <cellStyle name="40% - akcent 1 2 51" xfId="2718"/>
    <cellStyle name="40% - akcent 1 2 6" xfId="2719"/>
    <cellStyle name="40% - akcent 1 2 6 2" xfId="2720"/>
    <cellStyle name="40% - akcent 1 2 6 3" xfId="2721"/>
    <cellStyle name="40% - akcent 1 2 6 4" xfId="2722"/>
    <cellStyle name="40% - akcent 1 2 6 5" xfId="2723"/>
    <cellStyle name="40% - akcent 1 2 6 6" xfId="2724"/>
    <cellStyle name="40% - akcent 1 2 7" xfId="2725"/>
    <cellStyle name="40% - akcent 1 2 7 2" xfId="2726"/>
    <cellStyle name="40% - akcent 1 2 7 3" xfId="2727"/>
    <cellStyle name="40% - akcent 1 2 7 4" xfId="2728"/>
    <cellStyle name="40% - akcent 1 2 7 5" xfId="2729"/>
    <cellStyle name="40% - akcent 1 2 7 6" xfId="2730"/>
    <cellStyle name="40% - akcent 1 2 8" xfId="2731"/>
    <cellStyle name="40% - akcent 1 2 8 2" xfId="2732"/>
    <cellStyle name="40% - akcent 1 2 8 3" xfId="2733"/>
    <cellStyle name="40% - akcent 1 2 8 4" xfId="2734"/>
    <cellStyle name="40% - akcent 1 2 8 5" xfId="2735"/>
    <cellStyle name="40% - akcent 1 2 8 6" xfId="2736"/>
    <cellStyle name="40% - akcent 1 2 9" xfId="2737"/>
    <cellStyle name="40% - akcent 1 2 9 2" xfId="2738"/>
    <cellStyle name="40% - akcent 1 2 9 3" xfId="2739"/>
    <cellStyle name="40% - akcent 1 2 9 4" xfId="2740"/>
    <cellStyle name="40% - akcent 1 2 9 5" xfId="2741"/>
    <cellStyle name="40% - akcent 1 2 9 6" xfId="2742"/>
    <cellStyle name="40% - akcent 1 20" xfId="2743"/>
    <cellStyle name="40% - akcent 1 21" xfId="2744"/>
    <cellStyle name="40% - akcent 1 22" xfId="2745"/>
    <cellStyle name="40% - akcent 1 23" xfId="2746"/>
    <cellStyle name="40% - akcent 1 24" xfId="2747"/>
    <cellStyle name="40% - akcent 1 25" xfId="2748"/>
    <cellStyle name="40% - akcent 1 26" xfId="2749"/>
    <cellStyle name="40% - akcent 1 27" xfId="2750"/>
    <cellStyle name="40% - akcent 1 28" xfId="2751"/>
    <cellStyle name="40% - akcent 1 29" xfId="2752"/>
    <cellStyle name="40% - akcent 1 3" xfId="2753"/>
    <cellStyle name="40% - akcent 1 3 2" xfId="2754"/>
    <cellStyle name="40% - akcent 1 3 2 2" xfId="2755"/>
    <cellStyle name="40% - akcent 1 3 3" xfId="2756"/>
    <cellStyle name="40% - akcent 1 3 3 2" xfId="2757"/>
    <cellStyle name="40% - akcent 1 3 4" xfId="2758"/>
    <cellStyle name="40% - akcent 1 3 4 2" xfId="2759"/>
    <cellStyle name="40% - akcent 1 3 5" xfId="2760"/>
    <cellStyle name="40% - akcent 1 3 6" xfId="2761"/>
    <cellStyle name="40% - akcent 1 3 7" xfId="2762"/>
    <cellStyle name="40% - akcent 1 3 8" xfId="2763"/>
    <cellStyle name="40% - akcent 1 30" xfId="2764"/>
    <cellStyle name="40% - akcent 1 30 2" xfId="2765"/>
    <cellStyle name="40% - akcent 1 31" xfId="2766"/>
    <cellStyle name="40% - akcent 1 31 2" xfId="2767"/>
    <cellStyle name="40% - akcent 1 32" xfId="2768"/>
    <cellStyle name="40% - akcent 1 32 2" xfId="2769"/>
    <cellStyle name="40% - akcent 1 33" xfId="2770"/>
    <cellStyle name="40% - akcent 1 33 2" xfId="2771"/>
    <cellStyle name="40% - akcent 1 34" xfId="2772"/>
    <cellStyle name="40% - akcent 1 34 2" xfId="2773"/>
    <cellStyle name="40% - akcent 1 35" xfId="2774"/>
    <cellStyle name="40% - akcent 1 35 2" xfId="2775"/>
    <cellStyle name="40% - akcent 1 36" xfId="2776"/>
    <cellStyle name="40% - akcent 1 36 2" xfId="2777"/>
    <cellStyle name="40% - akcent 1 37" xfId="2778"/>
    <cellStyle name="40% - akcent 1 37 2" xfId="2779"/>
    <cellStyle name="40% - akcent 1 38" xfId="2780"/>
    <cellStyle name="40% - akcent 1 38 2" xfId="2781"/>
    <cellStyle name="40% - akcent 1 39" xfId="2782"/>
    <cellStyle name="40% - akcent 1 39 2" xfId="2783"/>
    <cellStyle name="40% - akcent 1 4" xfId="2784"/>
    <cellStyle name="40% - akcent 1 4 2" xfId="2785"/>
    <cellStyle name="40% - akcent 1 4 2 2" xfId="2786"/>
    <cellStyle name="40% - akcent 1 4 3" xfId="2787"/>
    <cellStyle name="40% - akcent 1 4 3 2" xfId="2788"/>
    <cellStyle name="40% - akcent 1 4 4" xfId="2789"/>
    <cellStyle name="40% - akcent 1 4 4 2" xfId="2790"/>
    <cellStyle name="40% - akcent 1 4 5" xfId="2791"/>
    <cellStyle name="40% - akcent 1 4 6" xfId="2792"/>
    <cellStyle name="40% - akcent 1 4 7" xfId="2793"/>
    <cellStyle name="40% - akcent 1 4 8" xfId="2794"/>
    <cellStyle name="40% - akcent 1 40" xfId="2795"/>
    <cellStyle name="40% - akcent 1 40 2" xfId="2796"/>
    <cellStyle name="40% - akcent 1 41" xfId="2797"/>
    <cellStyle name="40% - akcent 1 41 2" xfId="2798"/>
    <cellStyle name="40% - akcent 1 42" xfId="2799"/>
    <cellStyle name="40% - akcent 1 42 2" xfId="2800"/>
    <cellStyle name="40% - akcent 1 43" xfId="2801"/>
    <cellStyle name="40% - akcent 1 43 2" xfId="2802"/>
    <cellStyle name="40% - akcent 1 44" xfId="2803"/>
    <cellStyle name="40% - akcent 1 44 2" xfId="2804"/>
    <cellStyle name="40% - akcent 1 45" xfId="2805"/>
    <cellStyle name="40% - akcent 1 45 2" xfId="2806"/>
    <cellStyle name="40% - akcent 1 46" xfId="2807"/>
    <cellStyle name="40% - akcent 1 46 2" xfId="2808"/>
    <cellStyle name="40% - akcent 1 47" xfId="2809"/>
    <cellStyle name="40% - akcent 1 47 2" xfId="2810"/>
    <cellStyle name="40% - akcent 1 48" xfId="2811"/>
    <cellStyle name="40% - akcent 1 48 2" xfId="2812"/>
    <cellStyle name="40% - akcent 1 49" xfId="2813"/>
    <cellStyle name="40% - akcent 1 49 2" xfId="2814"/>
    <cellStyle name="40% - akcent 1 5" xfId="2815"/>
    <cellStyle name="40% - akcent 1 5 2" xfId="2816"/>
    <cellStyle name="40% - akcent 1 5 3" xfId="2817"/>
    <cellStyle name="40% - akcent 1 50" xfId="2818"/>
    <cellStyle name="40% - akcent 1 50 2" xfId="2819"/>
    <cellStyle name="40% - akcent 1 51" xfId="2820"/>
    <cellStyle name="40% - akcent 1 51 2" xfId="2821"/>
    <cellStyle name="40% - akcent 1 52" xfId="2822"/>
    <cellStyle name="40% - akcent 1 52 2" xfId="2823"/>
    <cellStyle name="40% - akcent 1 53" xfId="2824"/>
    <cellStyle name="40% - akcent 1 53 2" xfId="2825"/>
    <cellStyle name="40% - akcent 1 54" xfId="2826"/>
    <cellStyle name="40% - akcent 1 54 2" xfId="2827"/>
    <cellStyle name="40% - akcent 1 55" xfId="2828"/>
    <cellStyle name="40% - akcent 1 55 2" xfId="2829"/>
    <cellStyle name="40% - akcent 1 56" xfId="2830"/>
    <cellStyle name="40% - akcent 1 56 2" xfId="2831"/>
    <cellStyle name="40% - akcent 1 57" xfId="2832"/>
    <cellStyle name="40% - akcent 1 57 2" xfId="2833"/>
    <cellStyle name="40% - akcent 1 58" xfId="2834"/>
    <cellStyle name="40% - akcent 1 58 2" xfId="2835"/>
    <cellStyle name="40% - akcent 1 59" xfId="2836"/>
    <cellStyle name="40% - akcent 1 59 2" xfId="2837"/>
    <cellStyle name="40% - akcent 1 6" xfId="2838"/>
    <cellStyle name="40% - akcent 1 60" xfId="2839"/>
    <cellStyle name="40% - akcent 1 60 2" xfId="2840"/>
    <cellStyle name="40% - akcent 1 61" xfId="2841"/>
    <cellStyle name="40% - akcent 1 61 2" xfId="2842"/>
    <cellStyle name="40% - akcent 1 62" xfId="2843"/>
    <cellStyle name="40% - akcent 1 62 2" xfId="2844"/>
    <cellStyle name="40% - akcent 1 63" xfId="2845"/>
    <cellStyle name="40% - akcent 1 63 2" xfId="2846"/>
    <cellStyle name="40% - akcent 1 64" xfId="2847"/>
    <cellStyle name="40% - akcent 1 64 2" xfId="2848"/>
    <cellStyle name="40% - akcent 1 65" xfId="2849"/>
    <cellStyle name="40% - akcent 1 65 2" xfId="2850"/>
    <cellStyle name="40% - akcent 1 66" xfId="2851"/>
    <cellStyle name="40% - akcent 1 66 2" xfId="2852"/>
    <cellStyle name="40% - akcent 1 67" xfId="2853"/>
    <cellStyle name="40% - akcent 1 67 2" xfId="2854"/>
    <cellStyle name="40% - akcent 1 68" xfId="2855"/>
    <cellStyle name="40% - akcent 1 68 2" xfId="2856"/>
    <cellStyle name="40% - akcent 1 69" xfId="2857"/>
    <cellStyle name="40% - akcent 1 69 2" xfId="2858"/>
    <cellStyle name="40% - akcent 1 7" xfId="2859"/>
    <cellStyle name="40% - akcent 1 70" xfId="2860"/>
    <cellStyle name="40% - akcent 1 70 2" xfId="2861"/>
    <cellStyle name="40% - akcent 1 71" xfId="2862"/>
    <cellStyle name="40% - akcent 1 71 2" xfId="2863"/>
    <cellStyle name="40% - akcent 1 72" xfId="2864"/>
    <cellStyle name="40% - akcent 1 72 2" xfId="2865"/>
    <cellStyle name="40% - akcent 1 73" xfId="2866"/>
    <cellStyle name="40% - akcent 1 73 2" xfId="2867"/>
    <cellStyle name="40% - akcent 1 74" xfId="2868"/>
    <cellStyle name="40% - akcent 1 74 2" xfId="2869"/>
    <cellStyle name="40% - akcent 1 75" xfId="2870"/>
    <cellStyle name="40% - akcent 1 75 2" xfId="2871"/>
    <cellStyle name="40% - akcent 1 76" xfId="2872"/>
    <cellStyle name="40% - akcent 1 76 2" xfId="2873"/>
    <cellStyle name="40% - akcent 1 77" xfId="2874"/>
    <cellStyle name="40% - akcent 1 77 2" xfId="2875"/>
    <cellStyle name="40% - akcent 1 78" xfId="2876"/>
    <cellStyle name="40% - akcent 1 78 2" xfId="2877"/>
    <cellStyle name="40% - akcent 1 79" xfId="2878"/>
    <cellStyle name="40% - akcent 1 79 2" xfId="2879"/>
    <cellStyle name="40% - akcent 1 8" xfId="2880"/>
    <cellStyle name="40% - akcent 1 80" xfId="2881"/>
    <cellStyle name="40% - akcent 1 80 2" xfId="2882"/>
    <cellStyle name="40% - akcent 1 81" xfId="2883"/>
    <cellStyle name="40% - akcent 1 81 2" xfId="2884"/>
    <cellStyle name="40% - akcent 1 82" xfId="2885"/>
    <cellStyle name="40% - akcent 1 82 2" xfId="2886"/>
    <cellStyle name="40% - akcent 1 83" xfId="2887"/>
    <cellStyle name="40% - akcent 1 83 2" xfId="2888"/>
    <cellStyle name="40% - akcent 1 84" xfId="2889"/>
    <cellStyle name="40% - akcent 1 84 2" xfId="2890"/>
    <cellStyle name="40% - akcent 1 85" xfId="2891"/>
    <cellStyle name="40% - akcent 1 85 2" xfId="2892"/>
    <cellStyle name="40% - akcent 1 86" xfId="2893"/>
    <cellStyle name="40% - akcent 1 86 2" xfId="2894"/>
    <cellStyle name="40% - akcent 1 87" xfId="2895"/>
    <cellStyle name="40% - akcent 1 87 2" xfId="2896"/>
    <cellStyle name="40% - akcent 1 88" xfId="2897"/>
    <cellStyle name="40% - akcent 1 88 2" xfId="2898"/>
    <cellStyle name="40% - akcent 1 89" xfId="2899"/>
    <cellStyle name="40% - akcent 1 89 2" xfId="2900"/>
    <cellStyle name="40% - akcent 1 9" xfId="2901"/>
    <cellStyle name="40% - akcent 1 90" xfId="2902"/>
    <cellStyle name="40% - akcent 1 90 2" xfId="2903"/>
    <cellStyle name="40% - akcent 1 91" xfId="2904"/>
    <cellStyle name="40% - akcent 1 91 2" xfId="2905"/>
    <cellStyle name="40% - akcent 1 92" xfId="2906"/>
    <cellStyle name="40% - akcent 1 92 2" xfId="2907"/>
    <cellStyle name="40% - akcent 1 93" xfId="2908"/>
    <cellStyle name="40% - akcent 1 93 2" xfId="2909"/>
    <cellStyle name="40% - akcent 1 94" xfId="2910"/>
    <cellStyle name="40% - akcent 1 94 2" xfId="2911"/>
    <cellStyle name="40% - akcent 1 95" xfId="2912"/>
    <cellStyle name="40% - akcent 1 95 2" xfId="2913"/>
    <cellStyle name="40% - akcent 1 96" xfId="2914"/>
    <cellStyle name="40% - akcent 1 96 2" xfId="2915"/>
    <cellStyle name="40% - akcent 1 97" xfId="2916"/>
    <cellStyle name="40% - akcent 1 97 2" xfId="2917"/>
    <cellStyle name="40% - akcent 1 98" xfId="2918"/>
    <cellStyle name="40% - akcent 1 98 2" xfId="2919"/>
    <cellStyle name="40% - akcent 1 99" xfId="2920"/>
    <cellStyle name="40% - akcent 1 99 2" xfId="2921"/>
    <cellStyle name="40% - akcent 2 10" xfId="2922"/>
    <cellStyle name="40% - akcent 2 100" xfId="2923"/>
    <cellStyle name="40% - akcent 2 100 2" xfId="2924"/>
    <cellStyle name="40% - akcent 2 101" xfId="2925"/>
    <cellStyle name="40% - akcent 2 101 2" xfId="2926"/>
    <cellStyle name="40% - akcent 2 102" xfId="2927"/>
    <cellStyle name="40% - akcent 2 102 2" xfId="2928"/>
    <cellStyle name="40% - akcent 2 103" xfId="2929"/>
    <cellStyle name="40% - akcent 2 103 2" xfId="2930"/>
    <cellStyle name="40% - akcent 2 104" xfId="2931"/>
    <cellStyle name="40% - akcent 2 104 2" xfId="2932"/>
    <cellStyle name="40% - akcent 2 105" xfId="2933"/>
    <cellStyle name="40% - akcent 2 105 2" xfId="2934"/>
    <cellStyle name="40% - akcent 2 106" xfId="2935"/>
    <cellStyle name="40% - akcent 2 106 2" xfId="2936"/>
    <cellStyle name="40% - akcent 2 107" xfId="2937"/>
    <cellStyle name="40% - akcent 2 107 2" xfId="2938"/>
    <cellStyle name="40% - akcent 2 108" xfId="2939"/>
    <cellStyle name="40% - akcent 2 108 2" xfId="2940"/>
    <cellStyle name="40% - akcent 2 109" xfId="2941"/>
    <cellStyle name="40% - akcent 2 109 2" xfId="2942"/>
    <cellStyle name="40% - akcent 2 11" xfId="2943"/>
    <cellStyle name="40% - akcent 2 110" xfId="2944"/>
    <cellStyle name="40% - akcent 2 110 2" xfId="2945"/>
    <cellStyle name="40% - akcent 2 111" xfId="2946"/>
    <cellStyle name="40% - akcent 2 111 2" xfId="2947"/>
    <cellStyle name="40% - akcent 2 112" xfId="2948"/>
    <cellStyle name="40% - akcent 2 112 2" xfId="2949"/>
    <cellStyle name="40% - akcent 2 113" xfId="2950"/>
    <cellStyle name="40% - akcent 2 113 2" xfId="2951"/>
    <cellStyle name="40% - akcent 2 114" xfId="2952"/>
    <cellStyle name="40% - akcent 2 114 2" xfId="2953"/>
    <cellStyle name="40% - akcent 2 115" xfId="2954"/>
    <cellStyle name="40% - akcent 2 115 2" xfId="2955"/>
    <cellStyle name="40% - akcent 2 116" xfId="2956"/>
    <cellStyle name="40% - akcent 2 116 2" xfId="2957"/>
    <cellStyle name="40% - akcent 2 117" xfId="2958"/>
    <cellStyle name="40% - akcent 2 117 2" xfId="2959"/>
    <cellStyle name="40% - akcent 2 118" xfId="2960"/>
    <cellStyle name="40% - akcent 2 118 2" xfId="2961"/>
    <cellStyle name="40% - akcent 2 119" xfId="2962"/>
    <cellStyle name="40% - akcent 2 119 2" xfId="2963"/>
    <cellStyle name="40% - akcent 2 12" xfId="2964"/>
    <cellStyle name="40% - akcent 2 120" xfId="2965"/>
    <cellStyle name="40% - akcent 2 121" xfId="2966"/>
    <cellStyle name="40% - akcent 2 13" xfId="2967"/>
    <cellStyle name="40% - akcent 2 14" xfId="2968"/>
    <cellStyle name="40% - akcent 2 15" xfId="2969"/>
    <cellStyle name="40% - akcent 2 16" xfId="2970"/>
    <cellStyle name="40% - akcent 2 17" xfId="2971"/>
    <cellStyle name="40% - akcent 2 18" xfId="2972"/>
    <cellStyle name="40% - akcent 2 19" xfId="2973"/>
    <cellStyle name="40% - akcent 2 2" xfId="2974"/>
    <cellStyle name="40% - akcent 2 2 10" xfId="2975"/>
    <cellStyle name="40% - akcent 2 2 10 2" xfId="2976"/>
    <cellStyle name="40% - akcent 2 2 10 3" xfId="2977"/>
    <cellStyle name="40% - akcent 2 2 10 4" xfId="2978"/>
    <cellStyle name="40% - akcent 2 2 10 5" xfId="2979"/>
    <cellStyle name="40% - akcent 2 2 10 6" xfId="2980"/>
    <cellStyle name="40% - akcent 2 2 11" xfId="2981"/>
    <cellStyle name="40% - akcent 2 2 11 2" xfId="2982"/>
    <cellStyle name="40% - akcent 2 2 11 3" xfId="2983"/>
    <cellStyle name="40% - akcent 2 2 11 4" xfId="2984"/>
    <cellStyle name="40% - akcent 2 2 11 5" xfId="2985"/>
    <cellStyle name="40% - akcent 2 2 11 6" xfId="2986"/>
    <cellStyle name="40% - akcent 2 2 12" xfId="2987"/>
    <cellStyle name="40% - akcent 2 2 12 2" xfId="2988"/>
    <cellStyle name="40% - akcent 2 2 12 3" xfId="2989"/>
    <cellStyle name="40% - akcent 2 2 12 4" xfId="2990"/>
    <cellStyle name="40% - akcent 2 2 12 5" xfId="2991"/>
    <cellStyle name="40% - akcent 2 2 12 6" xfId="2992"/>
    <cellStyle name="40% - akcent 2 2 13" xfId="2993"/>
    <cellStyle name="40% - akcent 2 2 13 2" xfId="2994"/>
    <cellStyle name="40% - akcent 2 2 13 3" xfId="2995"/>
    <cellStyle name="40% - akcent 2 2 13 4" xfId="2996"/>
    <cellStyle name="40% - akcent 2 2 13 5" xfId="2997"/>
    <cellStyle name="40% - akcent 2 2 13 6" xfId="2998"/>
    <cellStyle name="40% - akcent 2 2 14" xfId="2999"/>
    <cellStyle name="40% - akcent 2 2 14 2" xfId="3000"/>
    <cellStyle name="40% - akcent 2 2 14 3" xfId="3001"/>
    <cellStyle name="40% - akcent 2 2 14 4" xfId="3002"/>
    <cellStyle name="40% - akcent 2 2 14 5" xfId="3003"/>
    <cellStyle name="40% - akcent 2 2 14 6" xfId="3004"/>
    <cellStyle name="40% - akcent 2 2 15" xfId="3005"/>
    <cellStyle name="40% - akcent 2 2 15 2" xfId="3006"/>
    <cellStyle name="40% - akcent 2 2 15 3" xfId="3007"/>
    <cellStyle name="40% - akcent 2 2 15 4" xfId="3008"/>
    <cellStyle name="40% - akcent 2 2 15 5" xfId="3009"/>
    <cellStyle name="40% - akcent 2 2 15 6" xfId="3010"/>
    <cellStyle name="40% - akcent 2 2 16" xfId="3011"/>
    <cellStyle name="40% - akcent 2 2 16 2" xfId="3012"/>
    <cellStyle name="40% - akcent 2 2 16 3" xfId="3013"/>
    <cellStyle name="40% - akcent 2 2 16 4" xfId="3014"/>
    <cellStyle name="40% - akcent 2 2 16 5" xfId="3015"/>
    <cellStyle name="40% - akcent 2 2 16 6" xfId="3016"/>
    <cellStyle name="40% - akcent 2 2 17" xfId="3017"/>
    <cellStyle name="40% - akcent 2 2 17 2" xfId="3018"/>
    <cellStyle name="40% - akcent 2 2 17 3" xfId="3019"/>
    <cellStyle name="40% - akcent 2 2 17 4" xfId="3020"/>
    <cellStyle name="40% - akcent 2 2 17 5" xfId="3021"/>
    <cellStyle name="40% - akcent 2 2 17 6" xfId="3022"/>
    <cellStyle name="40% - akcent 2 2 18" xfId="3023"/>
    <cellStyle name="40% - akcent 2 2 18 2" xfId="3024"/>
    <cellStyle name="40% - akcent 2 2 18 3" xfId="3025"/>
    <cellStyle name="40% - akcent 2 2 18 4" xfId="3026"/>
    <cellStyle name="40% - akcent 2 2 18 5" xfId="3027"/>
    <cellStyle name="40% - akcent 2 2 18 6" xfId="3028"/>
    <cellStyle name="40% - akcent 2 2 19" xfId="3029"/>
    <cellStyle name="40% - akcent 2 2 19 2" xfId="3030"/>
    <cellStyle name="40% - akcent 2 2 19 3" xfId="3031"/>
    <cellStyle name="40% - akcent 2 2 19 4" xfId="3032"/>
    <cellStyle name="40% - akcent 2 2 19 5" xfId="3033"/>
    <cellStyle name="40% - akcent 2 2 19 6" xfId="3034"/>
    <cellStyle name="40% - akcent 2 2 2" xfId="3035"/>
    <cellStyle name="40% - akcent 2 2 2 2" xfId="3036"/>
    <cellStyle name="40% - akcent 2 2 2 3" xfId="3037"/>
    <cellStyle name="40% - akcent 2 2 2 4" xfId="3038"/>
    <cellStyle name="40% - akcent 2 2 2 5" xfId="3039"/>
    <cellStyle name="40% - akcent 2 2 2 6" xfId="3040"/>
    <cellStyle name="40% - akcent 2 2 2 7" xfId="3041"/>
    <cellStyle name="40% - akcent 2 2 20" xfId="3042"/>
    <cellStyle name="40% - akcent 2 2 20 2" xfId="3043"/>
    <cellStyle name="40% - akcent 2 2 20 3" xfId="3044"/>
    <cellStyle name="40% - akcent 2 2 20 4" xfId="3045"/>
    <cellStyle name="40% - akcent 2 2 20 5" xfId="3046"/>
    <cellStyle name="40% - akcent 2 2 20 6" xfId="3047"/>
    <cellStyle name="40% - akcent 2 2 21" xfId="3048"/>
    <cellStyle name="40% - akcent 2 2 21 2" xfId="3049"/>
    <cellStyle name="40% - akcent 2 2 21 3" xfId="3050"/>
    <cellStyle name="40% - akcent 2 2 21 4" xfId="3051"/>
    <cellStyle name="40% - akcent 2 2 21 5" xfId="3052"/>
    <cellStyle name="40% - akcent 2 2 21 6" xfId="3053"/>
    <cellStyle name="40% - akcent 2 2 22" xfId="3054"/>
    <cellStyle name="40% - akcent 2 2 22 2" xfId="3055"/>
    <cellStyle name="40% - akcent 2 2 22 3" xfId="3056"/>
    <cellStyle name="40% - akcent 2 2 22 4" xfId="3057"/>
    <cellStyle name="40% - akcent 2 2 22 5" xfId="3058"/>
    <cellStyle name="40% - akcent 2 2 22 6" xfId="3059"/>
    <cellStyle name="40% - akcent 2 2 23" xfId="3060"/>
    <cellStyle name="40% - akcent 2 2 23 2" xfId="3061"/>
    <cellStyle name="40% - akcent 2 2 23 3" xfId="3062"/>
    <cellStyle name="40% - akcent 2 2 23 4" xfId="3063"/>
    <cellStyle name="40% - akcent 2 2 23 5" xfId="3064"/>
    <cellStyle name="40% - akcent 2 2 23 6" xfId="3065"/>
    <cellStyle name="40% - akcent 2 2 24" xfId="3066"/>
    <cellStyle name="40% - akcent 2 2 24 2" xfId="3067"/>
    <cellStyle name="40% - akcent 2 2 24 3" xfId="3068"/>
    <cellStyle name="40% - akcent 2 2 24 4" xfId="3069"/>
    <cellStyle name="40% - akcent 2 2 24 5" xfId="3070"/>
    <cellStyle name="40% - akcent 2 2 24 6" xfId="3071"/>
    <cellStyle name="40% - akcent 2 2 25" xfId="3072"/>
    <cellStyle name="40% - akcent 2 2 25 2" xfId="3073"/>
    <cellStyle name="40% - akcent 2 2 25 3" xfId="3074"/>
    <cellStyle name="40% - akcent 2 2 25 4" xfId="3075"/>
    <cellStyle name="40% - akcent 2 2 25 5" xfId="3076"/>
    <cellStyle name="40% - akcent 2 2 25 6" xfId="3077"/>
    <cellStyle name="40% - akcent 2 2 26" xfId="3078"/>
    <cellStyle name="40% - akcent 2 2 26 2" xfId="3079"/>
    <cellStyle name="40% - akcent 2 2 26 3" xfId="3080"/>
    <cellStyle name="40% - akcent 2 2 26 4" xfId="3081"/>
    <cellStyle name="40% - akcent 2 2 26 5" xfId="3082"/>
    <cellStyle name="40% - akcent 2 2 26 6" xfId="3083"/>
    <cellStyle name="40% - akcent 2 2 27" xfId="3084"/>
    <cellStyle name="40% - akcent 2 2 27 2" xfId="3085"/>
    <cellStyle name="40% - akcent 2 2 27 3" xfId="3086"/>
    <cellStyle name="40% - akcent 2 2 27 4" xfId="3087"/>
    <cellStyle name="40% - akcent 2 2 27 5" xfId="3088"/>
    <cellStyle name="40% - akcent 2 2 27 6" xfId="3089"/>
    <cellStyle name="40% - akcent 2 2 28" xfId="3090"/>
    <cellStyle name="40% - akcent 2 2 28 2" xfId="3091"/>
    <cellStyle name="40% - akcent 2 2 28 3" xfId="3092"/>
    <cellStyle name="40% - akcent 2 2 28 4" xfId="3093"/>
    <cellStyle name="40% - akcent 2 2 28 5" xfId="3094"/>
    <cellStyle name="40% - akcent 2 2 28 6" xfId="3095"/>
    <cellStyle name="40% - akcent 2 2 29" xfId="3096"/>
    <cellStyle name="40% - akcent 2 2 29 2" xfId="3097"/>
    <cellStyle name="40% - akcent 2 2 3" xfId="3098"/>
    <cellStyle name="40% - akcent 2 2 3 2" xfId="3099"/>
    <cellStyle name="40% - akcent 2 2 3 3" xfId="3100"/>
    <cellStyle name="40% - akcent 2 2 3 4" xfId="3101"/>
    <cellStyle name="40% - akcent 2 2 3 5" xfId="3102"/>
    <cellStyle name="40% - akcent 2 2 3 6" xfId="3103"/>
    <cellStyle name="40% - akcent 2 2 3 7" xfId="3104"/>
    <cellStyle name="40% - akcent 2 2 30" xfId="3105"/>
    <cellStyle name="40% - akcent 2 2 30 2" xfId="3106"/>
    <cellStyle name="40% - akcent 2 2 31" xfId="3107"/>
    <cellStyle name="40% - akcent 2 2 31 2" xfId="3108"/>
    <cellStyle name="40% - akcent 2 2 32" xfId="3109"/>
    <cellStyle name="40% - akcent 2 2 32 2" xfId="3110"/>
    <cellStyle name="40% - akcent 2 2 33" xfId="3111"/>
    <cellStyle name="40% - akcent 2 2 34" xfId="3112"/>
    <cellStyle name="40% - akcent 2 2 35" xfId="3113"/>
    <cellStyle name="40% - akcent 2 2 36" xfId="3114"/>
    <cellStyle name="40% - akcent 2 2 37" xfId="3115"/>
    <cellStyle name="40% - akcent 2 2 38" xfId="3116"/>
    <cellStyle name="40% - akcent 2 2 39" xfId="3117"/>
    <cellStyle name="40% - akcent 2 2 4" xfId="3118"/>
    <cellStyle name="40% - akcent 2 2 4 2" xfId="3119"/>
    <cellStyle name="40% - akcent 2 2 4 3" xfId="3120"/>
    <cellStyle name="40% - akcent 2 2 4 4" xfId="3121"/>
    <cellStyle name="40% - akcent 2 2 4 5" xfId="3122"/>
    <cellStyle name="40% - akcent 2 2 4 6" xfId="3123"/>
    <cellStyle name="40% - akcent 2 2 4 7" xfId="3124"/>
    <cellStyle name="40% - akcent 2 2 40" xfId="3125"/>
    <cellStyle name="40% - akcent 2 2 41" xfId="3126"/>
    <cellStyle name="40% - akcent 2 2 42" xfId="3127"/>
    <cellStyle name="40% - akcent 2 2 43" xfId="3128"/>
    <cellStyle name="40% - akcent 2 2 44" xfId="3129"/>
    <cellStyle name="40% - akcent 2 2 45" xfId="3130"/>
    <cellStyle name="40% - akcent 2 2 46" xfId="3131"/>
    <cellStyle name="40% - akcent 2 2 47" xfId="3132"/>
    <cellStyle name="40% - akcent 2 2 48" xfId="3133"/>
    <cellStyle name="40% - akcent 2 2 49" xfId="3134"/>
    <cellStyle name="40% - akcent 2 2 5" xfId="3135"/>
    <cellStyle name="40% - akcent 2 2 5 2" xfId="3136"/>
    <cellStyle name="40% - akcent 2 2 5 3" xfId="3137"/>
    <cellStyle name="40% - akcent 2 2 5 4" xfId="3138"/>
    <cellStyle name="40% - akcent 2 2 5 5" xfId="3139"/>
    <cellStyle name="40% - akcent 2 2 5 6" xfId="3140"/>
    <cellStyle name="40% - akcent 2 2 50" xfId="3141"/>
    <cellStyle name="40% - akcent 2 2 51" xfId="3142"/>
    <cellStyle name="40% - akcent 2 2 6" xfId="3143"/>
    <cellStyle name="40% - akcent 2 2 6 2" xfId="3144"/>
    <cellStyle name="40% - akcent 2 2 6 3" xfId="3145"/>
    <cellStyle name="40% - akcent 2 2 6 4" xfId="3146"/>
    <cellStyle name="40% - akcent 2 2 6 5" xfId="3147"/>
    <cellStyle name="40% - akcent 2 2 6 6" xfId="3148"/>
    <cellStyle name="40% - akcent 2 2 7" xfId="3149"/>
    <cellStyle name="40% - akcent 2 2 7 2" xfId="3150"/>
    <cellStyle name="40% - akcent 2 2 7 3" xfId="3151"/>
    <cellStyle name="40% - akcent 2 2 7 4" xfId="3152"/>
    <cellStyle name="40% - akcent 2 2 7 5" xfId="3153"/>
    <cellStyle name="40% - akcent 2 2 7 6" xfId="3154"/>
    <cellStyle name="40% - akcent 2 2 8" xfId="3155"/>
    <cellStyle name="40% - akcent 2 2 8 2" xfId="3156"/>
    <cellStyle name="40% - akcent 2 2 8 3" xfId="3157"/>
    <cellStyle name="40% - akcent 2 2 8 4" xfId="3158"/>
    <cellStyle name="40% - akcent 2 2 8 5" xfId="3159"/>
    <cellStyle name="40% - akcent 2 2 8 6" xfId="3160"/>
    <cellStyle name="40% - akcent 2 2 9" xfId="3161"/>
    <cellStyle name="40% - akcent 2 2 9 2" xfId="3162"/>
    <cellStyle name="40% - akcent 2 2 9 3" xfId="3163"/>
    <cellStyle name="40% - akcent 2 2 9 4" xfId="3164"/>
    <cellStyle name="40% - akcent 2 2 9 5" xfId="3165"/>
    <cellStyle name="40% - akcent 2 2 9 6" xfId="3166"/>
    <cellStyle name="40% - akcent 2 20" xfId="3167"/>
    <cellStyle name="40% - akcent 2 21" xfId="3168"/>
    <cellStyle name="40% - akcent 2 22" xfId="3169"/>
    <cellStyle name="40% - akcent 2 23" xfId="3170"/>
    <cellStyle name="40% - akcent 2 24" xfId="3171"/>
    <cellStyle name="40% - akcent 2 25" xfId="3172"/>
    <cellStyle name="40% - akcent 2 26" xfId="3173"/>
    <cellStyle name="40% - akcent 2 27" xfId="3174"/>
    <cellStyle name="40% - akcent 2 28" xfId="3175"/>
    <cellStyle name="40% - akcent 2 29" xfId="3176"/>
    <cellStyle name="40% - akcent 2 3" xfId="3177"/>
    <cellStyle name="40% - akcent 2 3 2" xfId="3178"/>
    <cellStyle name="40% - akcent 2 3 2 2" xfId="3179"/>
    <cellStyle name="40% - akcent 2 3 3" xfId="3180"/>
    <cellStyle name="40% - akcent 2 3 3 2" xfId="3181"/>
    <cellStyle name="40% - akcent 2 3 4" xfId="3182"/>
    <cellStyle name="40% - akcent 2 3 4 2" xfId="3183"/>
    <cellStyle name="40% - akcent 2 3 5" xfId="3184"/>
    <cellStyle name="40% - akcent 2 3 6" xfId="3185"/>
    <cellStyle name="40% - akcent 2 3 7" xfId="3186"/>
    <cellStyle name="40% - akcent 2 3 8" xfId="3187"/>
    <cellStyle name="40% - akcent 2 30" xfId="3188"/>
    <cellStyle name="40% - akcent 2 30 2" xfId="3189"/>
    <cellStyle name="40% - akcent 2 31" xfId="3190"/>
    <cellStyle name="40% - akcent 2 31 2" xfId="3191"/>
    <cellStyle name="40% - akcent 2 32" xfId="3192"/>
    <cellStyle name="40% - akcent 2 32 2" xfId="3193"/>
    <cellStyle name="40% - akcent 2 33" xfId="3194"/>
    <cellStyle name="40% - akcent 2 33 2" xfId="3195"/>
    <cellStyle name="40% - akcent 2 34" xfId="3196"/>
    <cellStyle name="40% - akcent 2 34 2" xfId="3197"/>
    <cellStyle name="40% - akcent 2 35" xfId="3198"/>
    <cellStyle name="40% - akcent 2 35 2" xfId="3199"/>
    <cellStyle name="40% - akcent 2 36" xfId="3200"/>
    <cellStyle name="40% - akcent 2 36 2" xfId="3201"/>
    <cellStyle name="40% - akcent 2 37" xfId="3202"/>
    <cellStyle name="40% - akcent 2 37 2" xfId="3203"/>
    <cellStyle name="40% - akcent 2 38" xfId="3204"/>
    <cellStyle name="40% - akcent 2 38 2" xfId="3205"/>
    <cellStyle name="40% - akcent 2 39" xfId="3206"/>
    <cellStyle name="40% - akcent 2 39 2" xfId="3207"/>
    <cellStyle name="40% - akcent 2 4" xfId="3208"/>
    <cellStyle name="40% - akcent 2 4 2" xfId="3209"/>
    <cellStyle name="40% - akcent 2 4 2 2" xfId="3210"/>
    <cellStyle name="40% - akcent 2 4 3" xfId="3211"/>
    <cellStyle name="40% - akcent 2 4 3 2" xfId="3212"/>
    <cellStyle name="40% - akcent 2 4 4" xfId="3213"/>
    <cellStyle name="40% - akcent 2 4 4 2" xfId="3214"/>
    <cellStyle name="40% - akcent 2 4 5" xfId="3215"/>
    <cellStyle name="40% - akcent 2 4 6" xfId="3216"/>
    <cellStyle name="40% - akcent 2 4 7" xfId="3217"/>
    <cellStyle name="40% - akcent 2 4 8" xfId="3218"/>
    <cellStyle name="40% - akcent 2 40" xfId="3219"/>
    <cellStyle name="40% - akcent 2 40 2" xfId="3220"/>
    <cellStyle name="40% - akcent 2 41" xfId="3221"/>
    <cellStyle name="40% - akcent 2 41 2" xfId="3222"/>
    <cellStyle name="40% - akcent 2 42" xfId="3223"/>
    <cellStyle name="40% - akcent 2 42 2" xfId="3224"/>
    <cellStyle name="40% - akcent 2 43" xfId="3225"/>
    <cellStyle name="40% - akcent 2 43 2" xfId="3226"/>
    <cellStyle name="40% - akcent 2 44" xfId="3227"/>
    <cellStyle name="40% - akcent 2 44 2" xfId="3228"/>
    <cellStyle name="40% - akcent 2 45" xfId="3229"/>
    <cellStyle name="40% - akcent 2 45 2" xfId="3230"/>
    <cellStyle name="40% - akcent 2 46" xfId="3231"/>
    <cellStyle name="40% - akcent 2 46 2" xfId="3232"/>
    <cellStyle name="40% - akcent 2 47" xfId="3233"/>
    <cellStyle name="40% - akcent 2 47 2" xfId="3234"/>
    <cellStyle name="40% - akcent 2 48" xfId="3235"/>
    <cellStyle name="40% - akcent 2 48 2" xfId="3236"/>
    <cellStyle name="40% - akcent 2 49" xfId="3237"/>
    <cellStyle name="40% - akcent 2 49 2" xfId="3238"/>
    <cellStyle name="40% - akcent 2 5" xfId="3239"/>
    <cellStyle name="40% - akcent 2 5 2" xfId="3240"/>
    <cellStyle name="40% - akcent 2 5 3" xfId="3241"/>
    <cellStyle name="40% - akcent 2 50" xfId="3242"/>
    <cellStyle name="40% - akcent 2 50 2" xfId="3243"/>
    <cellStyle name="40% - akcent 2 51" xfId="3244"/>
    <cellStyle name="40% - akcent 2 51 2" xfId="3245"/>
    <cellStyle name="40% - akcent 2 52" xfId="3246"/>
    <cellStyle name="40% - akcent 2 52 2" xfId="3247"/>
    <cellStyle name="40% - akcent 2 53" xfId="3248"/>
    <cellStyle name="40% - akcent 2 53 2" xfId="3249"/>
    <cellStyle name="40% - akcent 2 54" xfId="3250"/>
    <cellStyle name="40% - akcent 2 54 2" xfId="3251"/>
    <cellStyle name="40% - akcent 2 55" xfId="3252"/>
    <cellStyle name="40% - akcent 2 55 2" xfId="3253"/>
    <cellStyle name="40% - akcent 2 56" xfId="3254"/>
    <cellStyle name="40% - akcent 2 56 2" xfId="3255"/>
    <cellStyle name="40% - akcent 2 57" xfId="3256"/>
    <cellStyle name="40% - akcent 2 57 2" xfId="3257"/>
    <cellStyle name="40% - akcent 2 58" xfId="3258"/>
    <cellStyle name="40% - akcent 2 58 2" xfId="3259"/>
    <cellStyle name="40% - akcent 2 59" xfId="3260"/>
    <cellStyle name="40% - akcent 2 59 2" xfId="3261"/>
    <cellStyle name="40% - akcent 2 6" xfId="3262"/>
    <cellStyle name="40% - akcent 2 60" xfId="3263"/>
    <cellStyle name="40% - akcent 2 60 2" xfId="3264"/>
    <cellStyle name="40% - akcent 2 61" xfId="3265"/>
    <cellStyle name="40% - akcent 2 61 2" xfId="3266"/>
    <cellStyle name="40% - akcent 2 62" xfId="3267"/>
    <cellStyle name="40% - akcent 2 62 2" xfId="3268"/>
    <cellStyle name="40% - akcent 2 63" xfId="3269"/>
    <cellStyle name="40% - akcent 2 63 2" xfId="3270"/>
    <cellStyle name="40% - akcent 2 64" xfId="3271"/>
    <cellStyle name="40% - akcent 2 64 2" xfId="3272"/>
    <cellStyle name="40% - akcent 2 65" xfId="3273"/>
    <cellStyle name="40% - akcent 2 65 2" xfId="3274"/>
    <cellStyle name="40% - akcent 2 66" xfId="3275"/>
    <cellStyle name="40% - akcent 2 66 2" xfId="3276"/>
    <cellStyle name="40% - akcent 2 67" xfId="3277"/>
    <cellStyle name="40% - akcent 2 67 2" xfId="3278"/>
    <cellStyle name="40% - akcent 2 68" xfId="3279"/>
    <cellStyle name="40% - akcent 2 68 2" xfId="3280"/>
    <cellStyle name="40% - akcent 2 69" xfId="3281"/>
    <cellStyle name="40% - akcent 2 69 2" xfId="3282"/>
    <cellStyle name="40% - akcent 2 7" xfId="3283"/>
    <cellStyle name="40% - akcent 2 70" xfId="3284"/>
    <cellStyle name="40% - akcent 2 70 2" xfId="3285"/>
    <cellStyle name="40% - akcent 2 71" xfId="3286"/>
    <cellStyle name="40% - akcent 2 71 2" xfId="3287"/>
    <cellStyle name="40% - akcent 2 72" xfId="3288"/>
    <cellStyle name="40% - akcent 2 72 2" xfId="3289"/>
    <cellStyle name="40% - akcent 2 73" xfId="3290"/>
    <cellStyle name="40% - akcent 2 73 2" xfId="3291"/>
    <cellStyle name="40% - akcent 2 74" xfId="3292"/>
    <cellStyle name="40% - akcent 2 74 2" xfId="3293"/>
    <cellStyle name="40% - akcent 2 75" xfId="3294"/>
    <cellStyle name="40% - akcent 2 75 2" xfId="3295"/>
    <cellStyle name="40% - akcent 2 76" xfId="3296"/>
    <cellStyle name="40% - akcent 2 76 2" xfId="3297"/>
    <cellStyle name="40% - akcent 2 77" xfId="3298"/>
    <cellStyle name="40% - akcent 2 77 2" xfId="3299"/>
    <cellStyle name="40% - akcent 2 78" xfId="3300"/>
    <cellStyle name="40% - akcent 2 78 2" xfId="3301"/>
    <cellStyle name="40% - akcent 2 79" xfId="3302"/>
    <cellStyle name="40% - akcent 2 79 2" xfId="3303"/>
    <cellStyle name="40% - akcent 2 8" xfId="3304"/>
    <cellStyle name="40% - akcent 2 80" xfId="3305"/>
    <cellStyle name="40% - akcent 2 80 2" xfId="3306"/>
    <cellStyle name="40% - akcent 2 81" xfId="3307"/>
    <cellStyle name="40% - akcent 2 81 2" xfId="3308"/>
    <cellStyle name="40% - akcent 2 82" xfId="3309"/>
    <cellStyle name="40% - akcent 2 82 2" xfId="3310"/>
    <cellStyle name="40% - akcent 2 83" xfId="3311"/>
    <cellStyle name="40% - akcent 2 83 2" xfId="3312"/>
    <cellStyle name="40% - akcent 2 84" xfId="3313"/>
    <cellStyle name="40% - akcent 2 84 2" xfId="3314"/>
    <cellStyle name="40% - akcent 2 85" xfId="3315"/>
    <cellStyle name="40% - akcent 2 85 2" xfId="3316"/>
    <cellStyle name="40% - akcent 2 86" xfId="3317"/>
    <cellStyle name="40% - akcent 2 86 2" xfId="3318"/>
    <cellStyle name="40% - akcent 2 87" xfId="3319"/>
    <cellStyle name="40% - akcent 2 87 2" xfId="3320"/>
    <cellStyle name="40% - akcent 2 88" xfId="3321"/>
    <cellStyle name="40% - akcent 2 88 2" xfId="3322"/>
    <cellStyle name="40% - akcent 2 89" xfId="3323"/>
    <cellStyle name="40% - akcent 2 89 2" xfId="3324"/>
    <cellStyle name="40% - akcent 2 9" xfId="3325"/>
    <cellStyle name="40% - akcent 2 90" xfId="3326"/>
    <cellStyle name="40% - akcent 2 90 2" xfId="3327"/>
    <cellStyle name="40% - akcent 2 91" xfId="3328"/>
    <cellStyle name="40% - akcent 2 91 2" xfId="3329"/>
    <cellStyle name="40% - akcent 2 92" xfId="3330"/>
    <cellStyle name="40% - akcent 2 92 2" xfId="3331"/>
    <cellStyle name="40% - akcent 2 93" xfId="3332"/>
    <cellStyle name="40% - akcent 2 93 2" xfId="3333"/>
    <cellStyle name="40% - akcent 2 94" xfId="3334"/>
    <cellStyle name="40% - akcent 2 94 2" xfId="3335"/>
    <cellStyle name="40% - akcent 2 95" xfId="3336"/>
    <cellStyle name="40% - akcent 2 95 2" xfId="3337"/>
    <cellStyle name="40% - akcent 2 96" xfId="3338"/>
    <cellStyle name="40% - akcent 2 96 2" xfId="3339"/>
    <cellStyle name="40% - akcent 2 97" xfId="3340"/>
    <cellStyle name="40% - akcent 2 97 2" xfId="3341"/>
    <cellStyle name="40% - akcent 2 98" xfId="3342"/>
    <cellStyle name="40% - akcent 2 98 2" xfId="3343"/>
    <cellStyle name="40% - akcent 2 99" xfId="3344"/>
    <cellStyle name="40% - akcent 2 99 2" xfId="3345"/>
    <cellStyle name="40% - akcent 3 10" xfId="3346"/>
    <cellStyle name="40% - akcent 3 100" xfId="3347"/>
    <cellStyle name="40% - akcent 3 100 2" xfId="3348"/>
    <cellStyle name="40% - akcent 3 101" xfId="3349"/>
    <cellStyle name="40% - akcent 3 101 2" xfId="3350"/>
    <cellStyle name="40% - akcent 3 102" xfId="3351"/>
    <cellStyle name="40% - akcent 3 102 2" xfId="3352"/>
    <cellStyle name="40% - akcent 3 103" xfId="3353"/>
    <cellStyle name="40% - akcent 3 103 2" xfId="3354"/>
    <cellStyle name="40% - akcent 3 104" xfId="3355"/>
    <cellStyle name="40% - akcent 3 104 2" xfId="3356"/>
    <cellStyle name="40% - akcent 3 105" xfId="3357"/>
    <cellStyle name="40% - akcent 3 105 2" xfId="3358"/>
    <cellStyle name="40% - akcent 3 106" xfId="3359"/>
    <cellStyle name="40% - akcent 3 106 2" xfId="3360"/>
    <cellStyle name="40% - akcent 3 107" xfId="3361"/>
    <cellStyle name="40% - akcent 3 107 2" xfId="3362"/>
    <cellStyle name="40% - akcent 3 108" xfId="3363"/>
    <cellStyle name="40% - akcent 3 108 2" xfId="3364"/>
    <cellStyle name="40% - akcent 3 109" xfId="3365"/>
    <cellStyle name="40% - akcent 3 109 2" xfId="3366"/>
    <cellStyle name="40% - akcent 3 11" xfId="3367"/>
    <cellStyle name="40% - akcent 3 110" xfId="3368"/>
    <cellStyle name="40% - akcent 3 110 2" xfId="3369"/>
    <cellStyle name="40% - akcent 3 111" xfId="3370"/>
    <cellStyle name="40% - akcent 3 111 2" xfId="3371"/>
    <cellStyle name="40% - akcent 3 112" xfId="3372"/>
    <cellStyle name="40% - akcent 3 112 2" xfId="3373"/>
    <cellStyle name="40% - akcent 3 113" xfId="3374"/>
    <cellStyle name="40% - akcent 3 113 2" xfId="3375"/>
    <cellStyle name="40% - akcent 3 114" xfId="3376"/>
    <cellStyle name="40% - akcent 3 114 2" xfId="3377"/>
    <cellStyle name="40% - akcent 3 115" xfId="3378"/>
    <cellStyle name="40% - akcent 3 115 2" xfId="3379"/>
    <cellStyle name="40% - akcent 3 116" xfId="3380"/>
    <cellStyle name="40% - akcent 3 116 2" xfId="3381"/>
    <cellStyle name="40% - akcent 3 117" xfId="3382"/>
    <cellStyle name="40% - akcent 3 117 2" xfId="3383"/>
    <cellStyle name="40% - akcent 3 118" xfId="3384"/>
    <cellStyle name="40% - akcent 3 118 2" xfId="3385"/>
    <cellStyle name="40% - akcent 3 119" xfId="3386"/>
    <cellStyle name="40% - akcent 3 119 2" xfId="3387"/>
    <cellStyle name="40% - akcent 3 12" xfId="3388"/>
    <cellStyle name="40% - akcent 3 120" xfId="3389"/>
    <cellStyle name="40% - akcent 3 121" xfId="3390"/>
    <cellStyle name="40% - akcent 3 13" xfId="3391"/>
    <cellStyle name="40% - akcent 3 14" xfId="3392"/>
    <cellStyle name="40% - akcent 3 15" xfId="3393"/>
    <cellStyle name="40% - akcent 3 16" xfId="3394"/>
    <cellStyle name="40% - akcent 3 17" xfId="3395"/>
    <cellStyle name="40% - akcent 3 18" xfId="3396"/>
    <cellStyle name="40% - akcent 3 19" xfId="3397"/>
    <cellStyle name="40% - akcent 3 2" xfId="3398"/>
    <cellStyle name="40% - akcent 3 2 10" xfId="3399"/>
    <cellStyle name="40% - akcent 3 2 10 2" xfId="3400"/>
    <cellStyle name="40% - akcent 3 2 10 3" xfId="3401"/>
    <cellStyle name="40% - akcent 3 2 10 4" xfId="3402"/>
    <cellStyle name="40% - akcent 3 2 10 5" xfId="3403"/>
    <cellStyle name="40% - akcent 3 2 10 6" xfId="3404"/>
    <cellStyle name="40% - akcent 3 2 11" xfId="3405"/>
    <cellStyle name="40% - akcent 3 2 11 2" xfId="3406"/>
    <cellStyle name="40% - akcent 3 2 11 3" xfId="3407"/>
    <cellStyle name="40% - akcent 3 2 11 4" xfId="3408"/>
    <cellStyle name="40% - akcent 3 2 11 5" xfId="3409"/>
    <cellStyle name="40% - akcent 3 2 11 6" xfId="3410"/>
    <cellStyle name="40% - akcent 3 2 12" xfId="3411"/>
    <cellStyle name="40% - akcent 3 2 12 2" xfId="3412"/>
    <cellStyle name="40% - akcent 3 2 12 3" xfId="3413"/>
    <cellStyle name="40% - akcent 3 2 12 4" xfId="3414"/>
    <cellStyle name="40% - akcent 3 2 12 5" xfId="3415"/>
    <cellStyle name="40% - akcent 3 2 12 6" xfId="3416"/>
    <cellStyle name="40% - akcent 3 2 13" xfId="3417"/>
    <cellStyle name="40% - akcent 3 2 13 2" xfId="3418"/>
    <cellStyle name="40% - akcent 3 2 13 3" xfId="3419"/>
    <cellStyle name="40% - akcent 3 2 13 4" xfId="3420"/>
    <cellStyle name="40% - akcent 3 2 13 5" xfId="3421"/>
    <cellStyle name="40% - akcent 3 2 13 6" xfId="3422"/>
    <cellStyle name="40% - akcent 3 2 14" xfId="3423"/>
    <cellStyle name="40% - akcent 3 2 14 2" xfId="3424"/>
    <cellStyle name="40% - akcent 3 2 14 3" xfId="3425"/>
    <cellStyle name="40% - akcent 3 2 14 4" xfId="3426"/>
    <cellStyle name="40% - akcent 3 2 14 5" xfId="3427"/>
    <cellStyle name="40% - akcent 3 2 14 6" xfId="3428"/>
    <cellStyle name="40% - akcent 3 2 15" xfId="3429"/>
    <cellStyle name="40% - akcent 3 2 15 2" xfId="3430"/>
    <cellStyle name="40% - akcent 3 2 15 3" xfId="3431"/>
    <cellStyle name="40% - akcent 3 2 15 4" xfId="3432"/>
    <cellStyle name="40% - akcent 3 2 15 5" xfId="3433"/>
    <cellStyle name="40% - akcent 3 2 15 6" xfId="3434"/>
    <cellStyle name="40% - akcent 3 2 16" xfId="3435"/>
    <cellStyle name="40% - akcent 3 2 16 2" xfId="3436"/>
    <cellStyle name="40% - akcent 3 2 16 3" xfId="3437"/>
    <cellStyle name="40% - akcent 3 2 16 4" xfId="3438"/>
    <cellStyle name="40% - akcent 3 2 16 5" xfId="3439"/>
    <cellStyle name="40% - akcent 3 2 16 6" xfId="3440"/>
    <cellStyle name="40% - akcent 3 2 17" xfId="3441"/>
    <cellStyle name="40% - akcent 3 2 17 2" xfId="3442"/>
    <cellStyle name="40% - akcent 3 2 17 3" xfId="3443"/>
    <cellStyle name="40% - akcent 3 2 17 4" xfId="3444"/>
    <cellStyle name="40% - akcent 3 2 17 5" xfId="3445"/>
    <cellStyle name="40% - akcent 3 2 17 6" xfId="3446"/>
    <cellStyle name="40% - akcent 3 2 18" xfId="3447"/>
    <cellStyle name="40% - akcent 3 2 18 2" xfId="3448"/>
    <cellStyle name="40% - akcent 3 2 18 3" xfId="3449"/>
    <cellStyle name="40% - akcent 3 2 18 4" xfId="3450"/>
    <cellStyle name="40% - akcent 3 2 18 5" xfId="3451"/>
    <cellStyle name="40% - akcent 3 2 18 6" xfId="3452"/>
    <cellStyle name="40% - akcent 3 2 19" xfId="3453"/>
    <cellStyle name="40% - akcent 3 2 19 2" xfId="3454"/>
    <cellStyle name="40% - akcent 3 2 19 3" xfId="3455"/>
    <cellStyle name="40% - akcent 3 2 19 4" xfId="3456"/>
    <cellStyle name="40% - akcent 3 2 19 5" xfId="3457"/>
    <cellStyle name="40% - akcent 3 2 19 6" xfId="3458"/>
    <cellStyle name="40% - akcent 3 2 2" xfId="3459"/>
    <cellStyle name="40% - akcent 3 2 2 2" xfId="3460"/>
    <cellStyle name="40% - akcent 3 2 2 3" xfId="3461"/>
    <cellStyle name="40% - akcent 3 2 2 4" xfId="3462"/>
    <cellStyle name="40% - akcent 3 2 2 5" xfId="3463"/>
    <cellStyle name="40% - akcent 3 2 2 6" xfId="3464"/>
    <cellStyle name="40% - akcent 3 2 2 7" xfId="3465"/>
    <cellStyle name="40% - akcent 3 2 20" xfId="3466"/>
    <cellStyle name="40% - akcent 3 2 20 2" xfId="3467"/>
    <cellStyle name="40% - akcent 3 2 20 3" xfId="3468"/>
    <cellStyle name="40% - akcent 3 2 20 4" xfId="3469"/>
    <cellStyle name="40% - akcent 3 2 20 5" xfId="3470"/>
    <cellStyle name="40% - akcent 3 2 20 6" xfId="3471"/>
    <cellStyle name="40% - akcent 3 2 21" xfId="3472"/>
    <cellStyle name="40% - akcent 3 2 21 2" xfId="3473"/>
    <cellStyle name="40% - akcent 3 2 21 3" xfId="3474"/>
    <cellStyle name="40% - akcent 3 2 21 4" xfId="3475"/>
    <cellStyle name="40% - akcent 3 2 21 5" xfId="3476"/>
    <cellStyle name="40% - akcent 3 2 21 6" xfId="3477"/>
    <cellStyle name="40% - akcent 3 2 22" xfId="3478"/>
    <cellStyle name="40% - akcent 3 2 22 2" xfId="3479"/>
    <cellStyle name="40% - akcent 3 2 22 3" xfId="3480"/>
    <cellStyle name="40% - akcent 3 2 22 4" xfId="3481"/>
    <cellStyle name="40% - akcent 3 2 22 5" xfId="3482"/>
    <cellStyle name="40% - akcent 3 2 22 6" xfId="3483"/>
    <cellStyle name="40% - akcent 3 2 23" xfId="3484"/>
    <cellStyle name="40% - akcent 3 2 23 2" xfId="3485"/>
    <cellStyle name="40% - akcent 3 2 23 3" xfId="3486"/>
    <cellStyle name="40% - akcent 3 2 23 4" xfId="3487"/>
    <cellStyle name="40% - akcent 3 2 23 5" xfId="3488"/>
    <cellStyle name="40% - akcent 3 2 23 6" xfId="3489"/>
    <cellStyle name="40% - akcent 3 2 24" xfId="3490"/>
    <cellStyle name="40% - akcent 3 2 24 2" xfId="3491"/>
    <cellStyle name="40% - akcent 3 2 24 3" xfId="3492"/>
    <cellStyle name="40% - akcent 3 2 24 4" xfId="3493"/>
    <cellStyle name="40% - akcent 3 2 24 5" xfId="3494"/>
    <cellStyle name="40% - akcent 3 2 24 6" xfId="3495"/>
    <cellStyle name="40% - akcent 3 2 25" xfId="3496"/>
    <cellStyle name="40% - akcent 3 2 25 2" xfId="3497"/>
    <cellStyle name="40% - akcent 3 2 25 3" xfId="3498"/>
    <cellStyle name="40% - akcent 3 2 25 4" xfId="3499"/>
    <cellStyle name="40% - akcent 3 2 25 5" xfId="3500"/>
    <cellStyle name="40% - akcent 3 2 25 6" xfId="3501"/>
    <cellStyle name="40% - akcent 3 2 26" xfId="3502"/>
    <cellStyle name="40% - akcent 3 2 26 2" xfId="3503"/>
    <cellStyle name="40% - akcent 3 2 26 3" xfId="3504"/>
    <cellStyle name="40% - akcent 3 2 26 4" xfId="3505"/>
    <cellStyle name="40% - akcent 3 2 26 5" xfId="3506"/>
    <cellStyle name="40% - akcent 3 2 26 6" xfId="3507"/>
    <cellStyle name="40% - akcent 3 2 27" xfId="3508"/>
    <cellStyle name="40% - akcent 3 2 27 2" xfId="3509"/>
    <cellStyle name="40% - akcent 3 2 27 3" xfId="3510"/>
    <cellStyle name="40% - akcent 3 2 27 4" xfId="3511"/>
    <cellStyle name="40% - akcent 3 2 27 5" xfId="3512"/>
    <cellStyle name="40% - akcent 3 2 27 6" xfId="3513"/>
    <cellStyle name="40% - akcent 3 2 28" xfId="3514"/>
    <cellStyle name="40% - akcent 3 2 28 2" xfId="3515"/>
    <cellStyle name="40% - akcent 3 2 28 3" xfId="3516"/>
    <cellStyle name="40% - akcent 3 2 28 4" xfId="3517"/>
    <cellStyle name="40% - akcent 3 2 28 5" xfId="3518"/>
    <cellStyle name="40% - akcent 3 2 28 6" xfId="3519"/>
    <cellStyle name="40% - akcent 3 2 29" xfId="3520"/>
    <cellStyle name="40% - akcent 3 2 29 2" xfId="3521"/>
    <cellStyle name="40% - akcent 3 2 3" xfId="3522"/>
    <cellStyle name="40% - akcent 3 2 3 2" xfId="3523"/>
    <cellStyle name="40% - akcent 3 2 3 3" xfId="3524"/>
    <cellStyle name="40% - akcent 3 2 3 4" xfId="3525"/>
    <cellStyle name="40% - akcent 3 2 3 5" xfId="3526"/>
    <cellStyle name="40% - akcent 3 2 3 6" xfId="3527"/>
    <cellStyle name="40% - akcent 3 2 3 7" xfId="3528"/>
    <cellStyle name="40% - akcent 3 2 30" xfId="3529"/>
    <cellStyle name="40% - akcent 3 2 30 2" xfId="3530"/>
    <cellStyle name="40% - akcent 3 2 31" xfId="3531"/>
    <cellStyle name="40% - akcent 3 2 31 2" xfId="3532"/>
    <cellStyle name="40% - akcent 3 2 32" xfId="3533"/>
    <cellStyle name="40% - akcent 3 2 32 2" xfId="3534"/>
    <cellStyle name="40% - akcent 3 2 33" xfId="3535"/>
    <cellStyle name="40% - akcent 3 2 34" xfId="3536"/>
    <cellStyle name="40% - akcent 3 2 35" xfId="3537"/>
    <cellStyle name="40% - akcent 3 2 36" xfId="3538"/>
    <cellStyle name="40% - akcent 3 2 37" xfId="3539"/>
    <cellStyle name="40% - akcent 3 2 38" xfId="3540"/>
    <cellStyle name="40% - akcent 3 2 39" xfId="3541"/>
    <cellStyle name="40% - akcent 3 2 4" xfId="3542"/>
    <cellStyle name="40% - akcent 3 2 4 2" xfId="3543"/>
    <cellStyle name="40% - akcent 3 2 4 3" xfId="3544"/>
    <cellStyle name="40% - akcent 3 2 4 4" xfId="3545"/>
    <cellStyle name="40% - akcent 3 2 4 5" xfId="3546"/>
    <cellStyle name="40% - akcent 3 2 4 6" xfId="3547"/>
    <cellStyle name="40% - akcent 3 2 4 7" xfId="3548"/>
    <cellStyle name="40% - akcent 3 2 40" xfId="3549"/>
    <cellStyle name="40% - akcent 3 2 41" xfId="3550"/>
    <cellStyle name="40% - akcent 3 2 42" xfId="3551"/>
    <cellStyle name="40% - akcent 3 2 43" xfId="3552"/>
    <cellStyle name="40% - akcent 3 2 44" xfId="3553"/>
    <cellStyle name="40% - akcent 3 2 45" xfId="3554"/>
    <cellStyle name="40% - akcent 3 2 46" xfId="3555"/>
    <cellStyle name="40% - akcent 3 2 47" xfId="3556"/>
    <cellStyle name="40% - akcent 3 2 48" xfId="3557"/>
    <cellStyle name="40% - akcent 3 2 49" xfId="3558"/>
    <cellStyle name="40% - akcent 3 2 5" xfId="3559"/>
    <cellStyle name="40% - akcent 3 2 5 2" xfId="3560"/>
    <cellStyle name="40% - akcent 3 2 5 3" xfId="3561"/>
    <cellStyle name="40% - akcent 3 2 5 4" xfId="3562"/>
    <cellStyle name="40% - akcent 3 2 5 5" xfId="3563"/>
    <cellStyle name="40% - akcent 3 2 5 6" xfId="3564"/>
    <cellStyle name="40% - akcent 3 2 50" xfId="3565"/>
    <cellStyle name="40% - akcent 3 2 51" xfId="3566"/>
    <cellStyle name="40% - akcent 3 2 6" xfId="3567"/>
    <cellStyle name="40% - akcent 3 2 6 2" xfId="3568"/>
    <cellStyle name="40% - akcent 3 2 6 3" xfId="3569"/>
    <cellStyle name="40% - akcent 3 2 6 4" xfId="3570"/>
    <cellStyle name="40% - akcent 3 2 6 5" xfId="3571"/>
    <cellStyle name="40% - akcent 3 2 6 6" xfId="3572"/>
    <cellStyle name="40% - akcent 3 2 7" xfId="3573"/>
    <cellStyle name="40% - akcent 3 2 7 2" xfId="3574"/>
    <cellStyle name="40% - akcent 3 2 7 3" xfId="3575"/>
    <cellStyle name="40% - akcent 3 2 7 4" xfId="3576"/>
    <cellStyle name="40% - akcent 3 2 7 5" xfId="3577"/>
    <cellStyle name="40% - akcent 3 2 7 6" xfId="3578"/>
    <cellStyle name="40% - akcent 3 2 8" xfId="3579"/>
    <cellStyle name="40% - akcent 3 2 8 2" xfId="3580"/>
    <cellStyle name="40% - akcent 3 2 8 3" xfId="3581"/>
    <cellStyle name="40% - akcent 3 2 8 4" xfId="3582"/>
    <cellStyle name="40% - akcent 3 2 8 5" xfId="3583"/>
    <cellStyle name="40% - akcent 3 2 8 6" xfId="3584"/>
    <cellStyle name="40% - akcent 3 2 9" xfId="3585"/>
    <cellStyle name="40% - akcent 3 2 9 2" xfId="3586"/>
    <cellStyle name="40% - akcent 3 2 9 3" xfId="3587"/>
    <cellStyle name="40% - akcent 3 2 9 4" xfId="3588"/>
    <cellStyle name="40% - akcent 3 2 9 5" xfId="3589"/>
    <cellStyle name="40% - akcent 3 2 9 6" xfId="3590"/>
    <cellStyle name="40% - akcent 3 20" xfId="3591"/>
    <cellStyle name="40% - akcent 3 21" xfId="3592"/>
    <cellStyle name="40% - akcent 3 22" xfId="3593"/>
    <cellStyle name="40% - akcent 3 23" xfId="3594"/>
    <cellStyle name="40% - akcent 3 24" xfId="3595"/>
    <cellStyle name="40% - akcent 3 25" xfId="3596"/>
    <cellStyle name="40% - akcent 3 26" xfId="3597"/>
    <cellStyle name="40% - akcent 3 27" xfId="3598"/>
    <cellStyle name="40% - akcent 3 28" xfId="3599"/>
    <cellStyle name="40% - akcent 3 29" xfId="3600"/>
    <cellStyle name="40% - akcent 3 3" xfId="3601"/>
    <cellStyle name="40% - akcent 3 3 2" xfId="3602"/>
    <cellStyle name="40% - akcent 3 3 2 2" xfId="3603"/>
    <cellStyle name="40% - akcent 3 3 3" xfId="3604"/>
    <cellStyle name="40% - akcent 3 3 3 2" xfId="3605"/>
    <cellStyle name="40% - akcent 3 3 4" xfId="3606"/>
    <cellStyle name="40% - akcent 3 3 4 2" xfId="3607"/>
    <cellStyle name="40% - akcent 3 3 5" xfId="3608"/>
    <cellStyle name="40% - akcent 3 3 6" xfId="3609"/>
    <cellStyle name="40% - akcent 3 3 7" xfId="3610"/>
    <cellStyle name="40% - akcent 3 3 8" xfId="3611"/>
    <cellStyle name="40% - akcent 3 30" xfId="3612"/>
    <cellStyle name="40% - akcent 3 30 2" xfId="3613"/>
    <cellStyle name="40% - akcent 3 31" xfId="3614"/>
    <cellStyle name="40% - akcent 3 31 2" xfId="3615"/>
    <cellStyle name="40% - akcent 3 32" xfId="3616"/>
    <cellStyle name="40% - akcent 3 32 2" xfId="3617"/>
    <cellStyle name="40% - akcent 3 33" xfId="3618"/>
    <cellStyle name="40% - akcent 3 33 2" xfId="3619"/>
    <cellStyle name="40% - akcent 3 34" xfId="3620"/>
    <cellStyle name="40% - akcent 3 34 2" xfId="3621"/>
    <cellStyle name="40% - akcent 3 35" xfId="3622"/>
    <cellStyle name="40% - akcent 3 35 2" xfId="3623"/>
    <cellStyle name="40% - akcent 3 36" xfId="3624"/>
    <cellStyle name="40% - akcent 3 36 2" xfId="3625"/>
    <cellStyle name="40% - akcent 3 37" xfId="3626"/>
    <cellStyle name="40% - akcent 3 37 2" xfId="3627"/>
    <cellStyle name="40% - akcent 3 38" xfId="3628"/>
    <cellStyle name="40% - akcent 3 38 2" xfId="3629"/>
    <cellStyle name="40% - akcent 3 39" xfId="3630"/>
    <cellStyle name="40% - akcent 3 39 2" xfId="3631"/>
    <cellStyle name="40% - akcent 3 4" xfId="3632"/>
    <cellStyle name="40% - akcent 3 4 2" xfId="3633"/>
    <cellStyle name="40% - akcent 3 4 2 2" xfId="3634"/>
    <cellStyle name="40% - akcent 3 4 3" xfId="3635"/>
    <cellStyle name="40% - akcent 3 4 3 2" xfId="3636"/>
    <cellStyle name="40% - akcent 3 4 4" xfId="3637"/>
    <cellStyle name="40% - akcent 3 4 4 2" xfId="3638"/>
    <cellStyle name="40% - akcent 3 4 5" xfId="3639"/>
    <cellStyle name="40% - akcent 3 4 6" xfId="3640"/>
    <cellStyle name="40% - akcent 3 4 7" xfId="3641"/>
    <cellStyle name="40% - akcent 3 4 8" xfId="3642"/>
    <cellStyle name="40% - akcent 3 40" xfId="3643"/>
    <cellStyle name="40% - akcent 3 40 2" xfId="3644"/>
    <cellStyle name="40% - akcent 3 41" xfId="3645"/>
    <cellStyle name="40% - akcent 3 41 2" xfId="3646"/>
    <cellStyle name="40% - akcent 3 42" xfId="3647"/>
    <cellStyle name="40% - akcent 3 42 2" xfId="3648"/>
    <cellStyle name="40% - akcent 3 43" xfId="3649"/>
    <cellStyle name="40% - akcent 3 43 2" xfId="3650"/>
    <cellStyle name="40% - akcent 3 44" xfId="3651"/>
    <cellStyle name="40% - akcent 3 44 2" xfId="3652"/>
    <cellStyle name="40% - akcent 3 45" xfId="3653"/>
    <cellStyle name="40% - akcent 3 45 2" xfId="3654"/>
    <cellStyle name="40% - akcent 3 46" xfId="3655"/>
    <cellStyle name="40% - akcent 3 46 2" xfId="3656"/>
    <cellStyle name="40% - akcent 3 47" xfId="3657"/>
    <cellStyle name="40% - akcent 3 47 2" xfId="3658"/>
    <cellStyle name="40% - akcent 3 48" xfId="3659"/>
    <cellStyle name="40% - akcent 3 48 2" xfId="3660"/>
    <cellStyle name="40% - akcent 3 49" xfId="3661"/>
    <cellStyle name="40% - akcent 3 49 2" xfId="3662"/>
    <cellStyle name="40% - akcent 3 5" xfId="3663"/>
    <cellStyle name="40% - akcent 3 5 2" xfId="3664"/>
    <cellStyle name="40% - akcent 3 5 3" xfId="3665"/>
    <cellStyle name="40% - akcent 3 50" xfId="3666"/>
    <cellStyle name="40% - akcent 3 50 2" xfId="3667"/>
    <cellStyle name="40% - akcent 3 51" xfId="3668"/>
    <cellStyle name="40% - akcent 3 51 2" xfId="3669"/>
    <cellStyle name="40% - akcent 3 52" xfId="3670"/>
    <cellStyle name="40% - akcent 3 52 2" xfId="3671"/>
    <cellStyle name="40% - akcent 3 53" xfId="3672"/>
    <cellStyle name="40% - akcent 3 53 2" xfId="3673"/>
    <cellStyle name="40% - akcent 3 54" xfId="3674"/>
    <cellStyle name="40% - akcent 3 54 2" xfId="3675"/>
    <cellStyle name="40% - akcent 3 55" xfId="3676"/>
    <cellStyle name="40% - akcent 3 55 2" xfId="3677"/>
    <cellStyle name="40% - akcent 3 56" xfId="3678"/>
    <cellStyle name="40% - akcent 3 56 2" xfId="3679"/>
    <cellStyle name="40% - akcent 3 57" xfId="3680"/>
    <cellStyle name="40% - akcent 3 57 2" xfId="3681"/>
    <cellStyle name="40% - akcent 3 58" xfId="3682"/>
    <cellStyle name="40% - akcent 3 58 2" xfId="3683"/>
    <cellStyle name="40% - akcent 3 59" xfId="3684"/>
    <cellStyle name="40% - akcent 3 59 2" xfId="3685"/>
    <cellStyle name="40% - akcent 3 6" xfId="3686"/>
    <cellStyle name="40% - akcent 3 60" xfId="3687"/>
    <cellStyle name="40% - akcent 3 60 2" xfId="3688"/>
    <cellStyle name="40% - akcent 3 61" xfId="3689"/>
    <cellStyle name="40% - akcent 3 61 2" xfId="3690"/>
    <cellStyle name="40% - akcent 3 62" xfId="3691"/>
    <cellStyle name="40% - akcent 3 62 2" xfId="3692"/>
    <cellStyle name="40% - akcent 3 63" xfId="3693"/>
    <cellStyle name="40% - akcent 3 63 2" xfId="3694"/>
    <cellStyle name="40% - akcent 3 64" xfId="3695"/>
    <cellStyle name="40% - akcent 3 64 2" xfId="3696"/>
    <cellStyle name="40% - akcent 3 65" xfId="3697"/>
    <cellStyle name="40% - akcent 3 65 2" xfId="3698"/>
    <cellStyle name="40% - akcent 3 66" xfId="3699"/>
    <cellStyle name="40% - akcent 3 66 2" xfId="3700"/>
    <cellStyle name="40% - akcent 3 67" xfId="3701"/>
    <cellStyle name="40% - akcent 3 67 2" xfId="3702"/>
    <cellStyle name="40% - akcent 3 68" xfId="3703"/>
    <cellStyle name="40% - akcent 3 68 2" xfId="3704"/>
    <cellStyle name="40% - akcent 3 69" xfId="3705"/>
    <cellStyle name="40% - akcent 3 69 2" xfId="3706"/>
    <cellStyle name="40% - akcent 3 7" xfId="3707"/>
    <cellStyle name="40% - akcent 3 70" xfId="3708"/>
    <cellStyle name="40% - akcent 3 70 2" xfId="3709"/>
    <cellStyle name="40% - akcent 3 71" xfId="3710"/>
    <cellStyle name="40% - akcent 3 71 2" xfId="3711"/>
    <cellStyle name="40% - akcent 3 72" xfId="3712"/>
    <cellStyle name="40% - akcent 3 72 2" xfId="3713"/>
    <cellStyle name="40% - akcent 3 73" xfId="3714"/>
    <cellStyle name="40% - akcent 3 73 2" xfId="3715"/>
    <cellStyle name="40% - akcent 3 74" xfId="3716"/>
    <cellStyle name="40% - akcent 3 74 2" xfId="3717"/>
    <cellStyle name="40% - akcent 3 75" xfId="3718"/>
    <cellStyle name="40% - akcent 3 75 2" xfId="3719"/>
    <cellStyle name="40% - akcent 3 76" xfId="3720"/>
    <cellStyle name="40% - akcent 3 76 2" xfId="3721"/>
    <cellStyle name="40% - akcent 3 77" xfId="3722"/>
    <cellStyle name="40% - akcent 3 77 2" xfId="3723"/>
    <cellStyle name="40% - akcent 3 78" xfId="3724"/>
    <cellStyle name="40% - akcent 3 78 2" xfId="3725"/>
    <cellStyle name="40% - akcent 3 79" xfId="3726"/>
    <cellStyle name="40% - akcent 3 79 2" xfId="3727"/>
    <cellStyle name="40% - akcent 3 8" xfId="3728"/>
    <cellStyle name="40% - akcent 3 80" xfId="3729"/>
    <cellStyle name="40% - akcent 3 80 2" xfId="3730"/>
    <cellStyle name="40% - akcent 3 81" xfId="3731"/>
    <cellStyle name="40% - akcent 3 81 2" xfId="3732"/>
    <cellStyle name="40% - akcent 3 82" xfId="3733"/>
    <cellStyle name="40% - akcent 3 82 2" xfId="3734"/>
    <cellStyle name="40% - akcent 3 83" xfId="3735"/>
    <cellStyle name="40% - akcent 3 83 2" xfId="3736"/>
    <cellStyle name="40% - akcent 3 84" xfId="3737"/>
    <cellStyle name="40% - akcent 3 84 2" xfId="3738"/>
    <cellStyle name="40% - akcent 3 85" xfId="3739"/>
    <cellStyle name="40% - akcent 3 85 2" xfId="3740"/>
    <cellStyle name="40% - akcent 3 86" xfId="3741"/>
    <cellStyle name="40% - akcent 3 86 2" xfId="3742"/>
    <cellStyle name="40% - akcent 3 87" xfId="3743"/>
    <cellStyle name="40% - akcent 3 87 2" xfId="3744"/>
    <cellStyle name="40% - akcent 3 88" xfId="3745"/>
    <cellStyle name="40% - akcent 3 88 2" xfId="3746"/>
    <cellStyle name="40% - akcent 3 89" xfId="3747"/>
    <cellStyle name="40% - akcent 3 89 2" xfId="3748"/>
    <cellStyle name="40% - akcent 3 9" xfId="3749"/>
    <cellStyle name="40% - akcent 3 90" xfId="3750"/>
    <cellStyle name="40% - akcent 3 90 2" xfId="3751"/>
    <cellStyle name="40% - akcent 3 91" xfId="3752"/>
    <cellStyle name="40% - akcent 3 91 2" xfId="3753"/>
    <cellStyle name="40% - akcent 3 92" xfId="3754"/>
    <cellStyle name="40% - akcent 3 92 2" xfId="3755"/>
    <cellStyle name="40% - akcent 3 93" xfId="3756"/>
    <cellStyle name="40% - akcent 3 93 2" xfId="3757"/>
    <cellStyle name="40% - akcent 3 94" xfId="3758"/>
    <cellStyle name="40% - akcent 3 94 2" xfId="3759"/>
    <cellStyle name="40% - akcent 3 95" xfId="3760"/>
    <cellStyle name="40% - akcent 3 95 2" xfId="3761"/>
    <cellStyle name="40% - akcent 3 96" xfId="3762"/>
    <cellStyle name="40% - akcent 3 96 2" xfId="3763"/>
    <cellStyle name="40% - akcent 3 97" xfId="3764"/>
    <cellStyle name="40% - akcent 3 97 2" xfId="3765"/>
    <cellStyle name="40% - akcent 3 98" xfId="3766"/>
    <cellStyle name="40% - akcent 3 98 2" xfId="3767"/>
    <cellStyle name="40% - akcent 3 99" xfId="3768"/>
    <cellStyle name="40% - akcent 3 99 2" xfId="3769"/>
    <cellStyle name="40% - akcent 4 10" xfId="3770"/>
    <cellStyle name="40% - akcent 4 100" xfId="3771"/>
    <cellStyle name="40% - akcent 4 100 2" xfId="3772"/>
    <cellStyle name="40% - akcent 4 101" xfId="3773"/>
    <cellStyle name="40% - akcent 4 101 2" xfId="3774"/>
    <cellStyle name="40% - akcent 4 102" xfId="3775"/>
    <cellStyle name="40% - akcent 4 102 2" xfId="3776"/>
    <cellStyle name="40% - akcent 4 103" xfId="3777"/>
    <cellStyle name="40% - akcent 4 103 2" xfId="3778"/>
    <cellStyle name="40% - akcent 4 104" xfId="3779"/>
    <cellStyle name="40% - akcent 4 104 2" xfId="3780"/>
    <cellStyle name="40% - akcent 4 105" xfId="3781"/>
    <cellStyle name="40% - akcent 4 105 2" xfId="3782"/>
    <cellStyle name="40% - akcent 4 106" xfId="3783"/>
    <cellStyle name="40% - akcent 4 106 2" xfId="3784"/>
    <cellStyle name="40% - akcent 4 107" xfId="3785"/>
    <cellStyle name="40% - akcent 4 107 2" xfId="3786"/>
    <cellStyle name="40% - akcent 4 108" xfId="3787"/>
    <cellStyle name="40% - akcent 4 108 2" xfId="3788"/>
    <cellStyle name="40% - akcent 4 109" xfId="3789"/>
    <cellStyle name="40% - akcent 4 109 2" xfId="3790"/>
    <cellStyle name="40% - akcent 4 11" xfId="3791"/>
    <cellStyle name="40% - akcent 4 110" xfId="3792"/>
    <cellStyle name="40% - akcent 4 110 2" xfId="3793"/>
    <cellStyle name="40% - akcent 4 111" xfId="3794"/>
    <cellStyle name="40% - akcent 4 111 2" xfId="3795"/>
    <cellStyle name="40% - akcent 4 112" xfId="3796"/>
    <cellStyle name="40% - akcent 4 112 2" xfId="3797"/>
    <cellStyle name="40% - akcent 4 113" xfId="3798"/>
    <cellStyle name="40% - akcent 4 113 2" xfId="3799"/>
    <cellStyle name="40% - akcent 4 114" xfId="3800"/>
    <cellStyle name="40% - akcent 4 114 2" xfId="3801"/>
    <cellStyle name="40% - akcent 4 115" xfId="3802"/>
    <cellStyle name="40% - akcent 4 115 2" xfId="3803"/>
    <cellStyle name="40% - akcent 4 116" xfId="3804"/>
    <cellStyle name="40% - akcent 4 116 2" xfId="3805"/>
    <cellStyle name="40% - akcent 4 117" xfId="3806"/>
    <cellStyle name="40% - akcent 4 117 2" xfId="3807"/>
    <cellStyle name="40% - akcent 4 118" xfId="3808"/>
    <cellStyle name="40% - akcent 4 118 2" xfId="3809"/>
    <cellStyle name="40% - akcent 4 119" xfId="3810"/>
    <cellStyle name="40% - akcent 4 119 2" xfId="3811"/>
    <cellStyle name="40% - akcent 4 12" xfId="3812"/>
    <cellStyle name="40% - akcent 4 120" xfId="3813"/>
    <cellStyle name="40% - akcent 4 121" xfId="3814"/>
    <cellStyle name="40% - akcent 4 13" xfId="3815"/>
    <cellStyle name="40% - akcent 4 14" xfId="3816"/>
    <cellStyle name="40% - akcent 4 15" xfId="3817"/>
    <cellStyle name="40% - akcent 4 16" xfId="3818"/>
    <cellStyle name="40% - akcent 4 17" xfId="3819"/>
    <cellStyle name="40% - akcent 4 18" xfId="3820"/>
    <cellStyle name="40% - akcent 4 19" xfId="3821"/>
    <cellStyle name="40% - akcent 4 2" xfId="3822"/>
    <cellStyle name="40% - akcent 4 2 10" xfId="3823"/>
    <cellStyle name="40% - akcent 4 2 10 2" xfId="3824"/>
    <cellStyle name="40% - akcent 4 2 10 3" xfId="3825"/>
    <cellStyle name="40% - akcent 4 2 10 4" xfId="3826"/>
    <cellStyle name="40% - akcent 4 2 10 5" xfId="3827"/>
    <cellStyle name="40% - akcent 4 2 10 6" xfId="3828"/>
    <cellStyle name="40% - akcent 4 2 11" xfId="3829"/>
    <cellStyle name="40% - akcent 4 2 11 2" xfId="3830"/>
    <cellStyle name="40% - akcent 4 2 11 3" xfId="3831"/>
    <cellStyle name="40% - akcent 4 2 11 4" xfId="3832"/>
    <cellStyle name="40% - akcent 4 2 11 5" xfId="3833"/>
    <cellStyle name="40% - akcent 4 2 11 6" xfId="3834"/>
    <cellStyle name="40% - akcent 4 2 12" xfId="3835"/>
    <cellStyle name="40% - akcent 4 2 12 2" xfId="3836"/>
    <cellStyle name="40% - akcent 4 2 12 3" xfId="3837"/>
    <cellStyle name="40% - akcent 4 2 12 4" xfId="3838"/>
    <cellStyle name="40% - akcent 4 2 12 5" xfId="3839"/>
    <cellStyle name="40% - akcent 4 2 12 6" xfId="3840"/>
    <cellStyle name="40% - akcent 4 2 13" xfId="3841"/>
    <cellStyle name="40% - akcent 4 2 13 2" xfId="3842"/>
    <cellStyle name="40% - akcent 4 2 13 3" xfId="3843"/>
    <cellStyle name="40% - akcent 4 2 13 4" xfId="3844"/>
    <cellStyle name="40% - akcent 4 2 13 5" xfId="3845"/>
    <cellStyle name="40% - akcent 4 2 13 6" xfId="3846"/>
    <cellStyle name="40% - akcent 4 2 14" xfId="3847"/>
    <cellStyle name="40% - akcent 4 2 14 2" xfId="3848"/>
    <cellStyle name="40% - akcent 4 2 14 3" xfId="3849"/>
    <cellStyle name="40% - akcent 4 2 14 4" xfId="3850"/>
    <cellStyle name="40% - akcent 4 2 14 5" xfId="3851"/>
    <cellStyle name="40% - akcent 4 2 14 6" xfId="3852"/>
    <cellStyle name="40% - akcent 4 2 15" xfId="3853"/>
    <cellStyle name="40% - akcent 4 2 15 2" xfId="3854"/>
    <cellStyle name="40% - akcent 4 2 15 3" xfId="3855"/>
    <cellStyle name="40% - akcent 4 2 15 4" xfId="3856"/>
    <cellStyle name="40% - akcent 4 2 15 5" xfId="3857"/>
    <cellStyle name="40% - akcent 4 2 15 6" xfId="3858"/>
    <cellStyle name="40% - akcent 4 2 16" xfId="3859"/>
    <cellStyle name="40% - akcent 4 2 16 2" xfId="3860"/>
    <cellStyle name="40% - akcent 4 2 16 3" xfId="3861"/>
    <cellStyle name="40% - akcent 4 2 16 4" xfId="3862"/>
    <cellStyle name="40% - akcent 4 2 16 5" xfId="3863"/>
    <cellStyle name="40% - akcent 4 2 16 6" xfId="3864"/>
    <cellStyle name="40% - akcent 4 2 17" xfId="3865"/>
    <cellStyle name="40% - akcent 4 2 17 2" xfId="3866"/>
    <cellStyle name="40% - akcent 4 2 17 3" xfId="3867"/>
    <cellStyle name="40% - akcent 4 2 17 4" xfId="3868"/>
    <cellStyle name="40% - akcent 4 2 17 5" xfId="3869"/>
    <cellStyle name="40% - akcent 4 2 17 6" xfId="3870"/>
    <cellStyle name="40% - akcent 4 2 18" xfId="3871"/>
    <cellStyle name="40% - akcent 4 2 18 2" xfId="3872"/>
    <cellStyle name="40% - akcent 4 2 18 3" xfId="3873"/>
    <cellStyle name="40% - akcent 4 2 18 4" xfId="3874"/>
    <cellStyle name="40% - akcent 4 2 18 5" xfId="3875"/>
    <cellStyle name="40% - akcent 4 2 18 6" xfId="3876"/>
    <cellStyle name="40% - akcent 4 2 19" xfId="3877"/>
    <cellStyle name="40% - akcent 4 2 19 2" xfId="3878"/>
    <cellStyle name="40% - akcent 4 2 19 3" xfId="3879"/>
    <cellStyle name="40% - akcent 4 2 19 4" xfId="3880"/>
    <cellStyle name="40% - akcent 4 2 19 5" xfId="3881"/>
    <cellStyle name="40% - akcent 4 2 19 6" xfId="3882"/>
    <cellStyle name="40% - akcent 4 2 2" xfId="3883"/>
    <cellStyle name="40% - akcent 4 2 2 2" xfId="3884"/>
    <cellStyle name="40% - akcent 4 2 2 3" xfId="3885"/>
    <cellStyle name="40% - akcent 4 2 2 4" xfId="3886"/>
    <cellStyle name="40% - akcent 4 2 2 5" xfId="3887"/>
    <cellStyle name="40% - akcent 4 2 2 6" xfId="3888"/>
    <cellStyle name="40% - akcent 4 2 2 7" xfId="3889"/>
    <cellStyle name="40% - akcent 4 2 20" xfId="3890"/>
    <cellStyle name="40% - akcent 4 2 20 2" xfId="3891"/>
    <cellStyle name="40% - akcent 4 2 20 3" xfId="3892"/>
    <cellStyle name="40% - akcent 4 2 20 4" xfId="3893"/>
    <cellStyle name="40% - akcent 4 2 20 5" xfId="3894"/>
    <cellStyle name="40% - akcent 4 2 20 6" xfId="3895"/>
    <cellStyle name="40% - akcent 4 2 21" xfId="3896"/>
    <cellStyle name="40% - akcent 4 2 21 2" xfId="3897"/>
    <cellStyle name="40% - akcent 4 2 21 3" xfId="3898"/>
    <cellStyle name="40% - akcent 4 2 21 4" xfId="3899"/>
    <cellStyle name="40% - akcent 4 2 21 5" xfId="3900"/>
    <cellStyle name="40% - akcent 4 2 21 6" xfId="3901"/>
    <cellStyle name="40% - akcent 4 2 22" xfId="3902"/>
    <cellStyle name="40% - akcent 4 2 22 2" xfId="3903"/>
    <cellStyle name="40% - akcent 4 2 22 3" xfId="3904"/>
    <cellStyle name="40% - akcent 4 2 22 4" xfId="3905"/>
    <cellStyle name="40% - akcent 4 2 22 5" xfId="3906"/>
    <cellStyle name="40% - akcent 4 2 22 6" xfId="3907"/>
    <cellStyle name="40% - akcent 4 2 23" xfId="3908"/>
    <cellStyle name="40% - akcent 4 2 23 2" xfId="3909"/>
    <cellStyle name="40% - akcent 4 2 23 3" xfId="3910"/>
    <cellStyle name="40% - akcent 4 2 23 4" xfId="3911"/>
    <cellStyle name="40% - akcent 4 2 23 5" xfId="3912"/>
    <cellStyle name="40% - akcent 4 2 23 6" xfId="3913"/>
    <cellStyle name="40% - akcent 4 2 24" xfId="3914"/>
    <cellStyle name="40% - akcent 4 2 24 2" xfId="3915"/>
    <cellStyle name="40% - akcent 4 2 24 3" xfId="3916"/>
    <cellStyle name="40% - akcent 4 2 24 4" xfId="3917"/>
    <cellStyle name="40% - akcent 4 2 24 5" xfId="3918"/>
    <cellStyle name="40% - akcent 4 2 24 6" xfId="3919"/>
    <cellStyle name="40% - akcent 4 2 25" xfId="3920"/>
    <cellStyle name="40% - akcent 4 2 25 2" xfId="3921"/>
    <cellStyle name="40% - akcent 4 2 25 3" xfId="3922"/>
    <cellStyle name="40% - akcent 4 2 25 4" xfId="3923"/>
    <cellStyle name="40% - akcent 4 2 25 5" xfId="3924"/>
    <cellStyle name="40% - akcent 4 2 25 6" xfId="3925"/>
    <cellStyle name="40% - akcent 4 2 26" xfId="3926"/>
    <cellStyle name="40% - akcent 4 2 26 2" xfId="3927"/>
    <cellStyle name="40% - akcent 4 2 26 3" xfId="3928"/>
    <cellStyle name="40% - akcent 4 2 26 4" xfId="3929"/>
    <cellStyle name="40% - akcent 4 2 26 5" xfId="3930"/>
    <cellStyle name="40% - akcent 4 2 26 6" xfId="3931"/>
    <cellStyle name="40% - akcent 4 2 27" xfId="3932"/>
    <cellStyle name="40% - akcent 4 2 27 2" xfId="3933"/>
    <cellStyle name="40% - akcent 4 2 27 3" xfId="3934"/>
    <cellStyle name="40% - akcent 4 2 27 4" xfId="3935"/>
    <cellStyle name="40% - akcent 4 2 27 5" xfId="3936"/>
    <cellStyle name="40% - akcent 4 2 27 6" xfId="3937"/>
    <cellStyle name="40% - akcent 4 2 28" xfId="3938"/>
    <cellStyle name="40% - akcent 4 2 28 2" xfId="3939"/>
    <cellStyle name="40% - akcent 4 2 28 3" xfId="3940"/>
    <cellStyle name="40% - akcent 4 2 28 4" xfId="3941"/>
    <cellStyle name="40% - akcent 4 2 28 5" xfId="3942"/>
    <cellStyle name="40% - akcent 4 2 28 6" xfId="3943"/>
    <cellStyle name="40% - akcent 4 2 29" xfId="3944"/>
    <cellStyle name="40% - akcent 4 2 29 2" xfId="3945"/>
    <cellStyle name="40% - akcent 4 2 3" xfId="3946"/>
    <cellStyle name="40% - akcent 4 2 3 2" xfId="3947"/>
    <cellStyle name="40% - akcent 4 2 3 3" xfId="3948"/>
    <cellStyle name="40% - akcent 4 2 3 4" xfId="3949"/>
    <cellStyle name="40% - akcent 4 2 3 5" xfId="3950"/>
    <cellStyle name="40% - akcent 4 2 3 6" xfId="3951"/>
    <cellStyle name="40% - akcent 4 2 3 7" xfId="3952"/>
    <cellStyle name="40% - akcent 4 2 30" xfId="3953"/>
    <cellStyle name="40% - akcent 4 2 30 2" xfId="3954"/>
    <cellStyle name="40% - akcent 4 2 31" xfId="3955"/>
    <cellStyle name="40% - akcent 4 2 31 2" xfId="3956"/>
    <cellStyle name="40% - akcent 4 2 32" xfId="3957"/>
    <cellStyle name="40% - akcent 4 2 32 2" xfId="3958"/>
    <cellStyle name="40% - akcent 4 2 33" xfId="3959"/>
    <cellStyle name="40% - akcent 4 2 34" xfId="3960"/>
    <cellStyle name="40% - akcent 4 2 35" xfId="3961"/>
    <cellStyle name="40% - akcent 4 2 36" xfId="3962"/>
    <cellStyle name="40% - akcent 4 2 37" xfId="3963"/>
    <cellStyle name="40% - akcent 4 2 38" xfId="3964"/>
    <cellStyle name="40% - akcent 4 2 39" xfId="3965"/>
    <cellStyle name="40% - akcent 4 2 4" xfId="3966"/>
    <cellStyle name="40% - akcent 4 2 4 2" xfId="3967"/>
    <cellStyle name="40% - akcent 4 2 4 3" xfId="3968"/>
    <cellStyle name="40% - akcent 4 2 4 4" xfId="3969"/>
    <cellStyle name="40% - akcent 4 2 4 5" xfId="3970"/>
    <cellStyle name="40% - akcent 4 2 4 6" xfId="3971"/>
    <cellStyle name="40% - akcent 4 2 4 7" xfId="3972"/>
    <cellStyle name="40% - akcent 4 2 40" xfId="3973"/>
    <cellStyle name="40% - akcent 4 2 41" xfId="3974"/>
    <cellStyle name="40% - akcent 4 2 42" xfId="3975"/>
    <cellStyle name="40% - akcent 4 2 43" xfId="3976"/>
    <cellStyle name="40% - akcent 4 2 44" xfId="3977"/>
    <cellStyle name="40% - akcent 4 2 45" xfId="3978"/>
    <cellStyle name="40% - akcent 4 2 46" xfId="3979"/>
    <cellStyle name="40% - akcent 4 2 47" xfId="3980"/>
    <cellStyle name="40% - akcent 4 2 48" xfId="3981"/>
    <cellStyle name="40% - akcent 4 2 49" xfId="3982"/>
    <cellStyle name="40% - akcent 4 2 5" xfId="3983"/>
    <cellStyle name="40% - akcent 4 2 5 2" xfId="3984"/>
    <cellStyle name="40% - akcent 4 2 5 3" xfId="3985"/>
    <cellStyle name="40% - akcent 4 2 5 4" xfId="3986"/>
    <cellStyle name="40% - akcent 4 2 5 5" xfId="3987"/>
    <cellStyle name="40% - akcent 4 2 5 6" xfId="3988"/>
    <cellStyle name="40% - akcent 4 2 50" xfId="3989"/>
    <cellStyle name="40% - akcent 4 2 51" xfId="3990"/>
    <cellStyle name="40% - akcent 4 2 6" xfId="3991"/>
    <cellStyle name="40% - akcent 4 2 6 2" xfId="3992"/>
    <cellStyle name="40% - akcent 4 2 6 3" xfId="3993"/>
    <cellStyle name="40% - akcent 4 2 6 4" xfId="3994"/>
    <cellStyle name="40% - akcent 4 2 6 5" xfId="3995"/>
    <cellStyle name="40% - akcent 4 2 6 6" xfId="3996"/>
    <cellStyle name="40% - akcent 4 2 7" xfId="3997"/>
    <cellStyle name="40% - akcent 4 2 7 2" xfId="3998"/>
    <cellStyle name="40% - akcent 4 2 7 3" xfId="3999"/>
    <cellStyle name="40% - akcent 4 2 7 4" xfId="4000"/>
    <cellStyle name="40% - akcent 4 2 7 5" xfId="4001"/>
    <cellStyle name="40% - akcent 4 2 7 6" xfId="4002"/>
    <cellStyle name="40% - akcent 4 2 8" xfId="4003"/>
    <cellStyle name="40% - akcent 4 2 8 2" xfId="4004"/>
    <cellStyle name="40% - akcent 4 2 8 3" xfId="4005"/>
    <cellStyle name="40% - akcent 4 2 8 4" xfId="4006"/>
    <cellStyle name="40% - akcent 4 2 8 5" xfId="4007"/>
    <cellStyle name="40% - akcent 4 2 8 6" xfId="4008"/>
    <cellStyle name="40% - akcent 4 2 9" xfId="4009"/>
    <cellStyle name="40% - akcent 4 2 9 2" xfId="4010"/>
    <cellStyle name="40% - akcent 4 2 9 3" xfId="4011"/>
    <cellStyle name="40% - akcent 4 2 9 4" xfId="4012"/>
    <cellStyle name="40% - akcent 4 2 9 5" xfId="4013"/>
    <cellStyle name="40% - akcent 4 2 9 6" xfId="4014"/>
    <cellStyle name="40% - akcent 4 20" xfId="4015"/>
    <cellStyle name="40% - akcent 4 21" xfId="4016"/>
    <cellStyle name="40% - akcent 4 22" xfId="4017"/>
    <cellStyle name="40% - akcent 4 23" xfId="4018"/>
    <cellStyle name="40% - akcent 4 24" xfId="4019"/>
    <cellStyle name="40% - akcent 4 25" xfId="4020"/>
    <cellStyle name="40% - akcent 4 26" xfId="4021"/>
    <cellStyle name="40% - akcent 4 27" xfId="4022"/>
    <cellStyle name="40% - akcent 4 28" xfId="4023"/>
    <cellStyle name="40% - akcent 4 29" xfId="4024"/>
    <cellStyle name="40% - akcent 4 3" xfId="4025"/>
    <cellStyle name="40% - akcent 4 3 2" xfId="4026"/>
    <cellStyle name="40% - akcent 4 3 2 2" xfId="4027"/>
    <cellStyle name="40% - akcent 4 3 3" xfId="4028"/>
    <cellStyle name="40% - akcent 4 3 3 2" xfId="4029"/>
    <cellStyle name="40% - akcent 4 3 4" xfId="4030"/>
    <cellStyle name="40% - akcent 4 3 4 2" xfId="4031"/>
    <cellStyle name="40% - akcent 4 3 5" xfId="4032"/>
    <cellStyle name="40% - akcent 4 3 6" xfId="4033"/>
    <cellStyle name="40% - akcent 4 3 7" xfId="4034"/>
    <cellStyle name="40% - akcent 4 3 8" xfId="4035"/>
    <cellStyle name="40% - akcent 4 30" xfId="4036"/>
    <cellStyle name="40% - akcent 4 30 2" xfId="4037"/>
    <cellStyle name="40% - akcent 4 31" xfId="4038"/>
    <cellStyle name="40% - akcent 4 31 2" xfId="4039"/>
    <cellStyle name="40% - akcent 4 32" xfId="4040"/>
    <cellStyle name="40% - akcent 4 32 2" xfId="4041"/>
    <cellStyle name="40% - akcent 4 33" xfId="4042"/>
    <cellStyle name="40% - akcent 4 33 2" xfId="4043"/>
    <cellStyle name="40% - akcent 4 34" xfId="4044"/>
    <cellStyle name="40% - akcent 4 34 2" xfId="4045"/>
    <cellStyle name="40% - akcent 4 35" xfId="4046"/>
    <cellStyle name="40% - akcent 4 35 2" xfId="4047"/>
    <cellStyle name="40% - akcent 4 36" xfId="4048"/>
    <cellStyle name="40% - akcent 4 36 2" xfId="4049"/>
    <cellStyle name="40% - akcent 4 37" xfId="4050"/>
    <cellStyle name="40% - akcent 4 37 2" xfId="4051"/>
    <cellStyle name="40% - akcent 4 38" xfId="4052"/>
    <cellStyle name="40% - akcent 4 38 2" xfId="4053"/>
    <cellStyle name="40% - akcent 4 39" xfId="4054"/>
    <cellStyle name="40% - akcent 4 39 2" xfId="4055"/>
    <cellStyle name="40% - akcent 4 4" xfId="4056"/>
    <cellStyle name="40% - akcent 4 4 2" xfId="4057"/>
    <cellStyle name="40% - akcent 4 4 2 2" xfId="4058"/>
    <cellStyle name="40% - akcent 4 4 3" xfId="4059"/>
    <cellStyle name="40% - akcent 4 4 3 2" xfId="4060"/>
    <cellStyle name="40% - akcent 4 4 4" xfId="4061"/>
    <cellStyle name="40% - akcent 4 4 4 2" xfId="4062"/>
    <cellStyle name="40% - akcent 4 4 5" xfId="4063"/>
    <cellStyle name="40% - akcent 4 4 6" xfId="4064"/>
    <cellStyle name="40% - akcent 4 4 7" xfId="4065"/>
    <cellStyle name="40% - akcent 4 4 8" xfId="4066"/>
    <cellStyle name="40% - akcent 4 40" xfId="4067"/>
    <cellStyle name="40% - akcent 4 40 2" xfId="4068"/>
    <cellStyle name="40% - akcent 4 41" xfId="4069"/>
    <cellStyle name="40% - akcent 4 41 2" xfId="4070"/>
    <cellStyle name="40% - akcent 4 42" xfId="4071"/>
    <cellStyle name="40% - akcent 4 42 2" xfId="4072"/>
    <cellStyle name="40% - akcent 4 43" xfId="4073"/>
    <cellStyle name="40% - akcent 4 43 2" xfId="4074"/>
    <cellStyle name="40% - akcent 4 44" xfId="4075"/>
    <cellStyle name="40% - akcent 4 44 2" xfId="4076"/>
    <cellStyle name="40% - akcent 4 45" xfId="4077"/>
    <cellStyle name="40% - akcent 4 45 2" xfId="4078"/>
    <cellStyle name="40% - akcent 4 46" xfId="4079"/>
    <cellStyle name="40% - akcent 4 46 2" xfId="4080"/>
    <cellStyle name="40% - akcent 4 47" xfId="4081"/>
    <cellStyle name="40% - akcent 4 47 2" xfId="4082"/>
    <cellStyle name="40% - akcent 4 48" xfId="4083"/>
    <cellStyle name="40% - akcent 4 48 2" xfId="4084"/>
    <cellStyle name="40% - akcent 4 49" xfId="4085"/>
    <cellStyle name="40% - akcent 4 49 2" xfId="4086"/>
    <cellStyle name="40% - akcent 4 5" xfId="4087"/>
    <cellStyle name="40% - akcent 4 5 2" xfId="4088"/>
    <cellStyle name="40% - akcent 4 5 3" xfId="4089"/>
    <cellStyle name="40% - akcent 4 50" xfId="4090"/>
    <cellStyle name="40% - akcent 4 50 2" xfId="4091"/>
    <cellStyle name="40% - akcent 4 51" xfId="4092"/>
    <cellStyle name="40% - akcent 4 51 2" xfId="4093"/>
    <cellStyle name="40% - akcent 4 52" xfId="4094"/>
    <cellStyle name="40% - akcent 4 52 2" xfId="4095"/>
    <cellStyle name="40% - akcent 4 53" xfId="4096"/>
    <cellStyle name="40% - akcent 4 53 2" xfId="4097"/>
    <cellStyle name="40% - akcent 4 54" xfId="4098"/>
    <cellStyle name="40% - akcent 4 54 2" xfId="4099"/>
    <cellStyle name="40% - akcent 4 55" xfId="4100"/>
    <cellStyle name="40% - akcent 4 55 2" xfId="4101"/>
    <cellStyle name="40% - akcent 4 56" xfId="4102"/>
    <cellStyle name="40% - akcent 4 56 2" xfId="4103"/>
    <cellStyle name="40% - akcent 4 57" xfId="4104"/>
    <cellStyle name="40% - akcent 4 57 2" xfId="4105"/>
    <cellStyle name="40% - akcent 4 58" xfId="4106"/>
    <cellStyle name="40% - akcent 4 58 2" xfId="4107"/>
    <cellStyle name="40% - akcent 4 59" xfId="4108"/>
    <cellStyle name="40% - akcent 4 59 2" xfId="4109"/>
    <cellStyle name="40% - akcent 4 6" xfId="4110"/>
    <cellStyle name="40% - akcent 4 60" xfId="4111"/>
    <cellStyle name="40% - akcent 4 60 2" xfId="4112"/>
    <cellStyle name="40% - akcent 4 61" xfId="4113"/>
    <cellStyle name="40% - akcent 4 61 2" xfId="4114"/>
    <cellStyle name="40% - akcent 4 62" xfId="4115"/>
    <cellStyle name="40% - akcent 4 62 2" xfId="4116"/>
    <cellStyle name="40% - akcent 4 63" xfId="4117"/>
    <cellStyle name="40% - akcent 4 63 2" xfId="4118"/>
    <cellStyle name="40% - akcent 4 64" xfId="4119"/>
    <cellStyle name="40% - akcent 4 64 2" xfId="4120"/>
    <cellStyle name="40% - akcent 4 65" xfId="4121"/>
    <cellStyle name="40% - akcent 4 65 2" xfId="4122"/>
    <cellStyle name="40% - akcent 4 66" xfId="4123"/>
    <cellStyle name="40% - akcent 4 66 2" xfId="4124"/>
    <cellStyle name="40% - akcent 4 67" xfId="4125"/>
    <cellStyle name="40% - akcent 4 67 2" xfId="4126"/>
    <cellStyle name="40% - akcent 4 68" xfId="4127"/>
    <cellStyle name="40% - akcent 4 68 2" xfId="4128"/>
    <cellStyle name="40% - akcent 4 69" xfId="4129"/>
    <cellStyle name="40% - akcent 4 69 2" xfId="4130"/>
    <cellStyle name="40% - akcent 4 7" xfId="4131"/>
    <cellStyle name="40% - akcent 4 70" xfId="4132"/>
    <cellStyle name="40% - akcent 4 70 2" xfId="4133"/>
    <cellStyle name="40% - akcent 4 71" xfId="4134"/>
    <cellStyle name="40% - akcent 4 71 2" xfId="4135"/>
    <cellStyle name="40% - akcent 4 72" xfId="4136"/>
    <cellStyle name="40% - akcent 4 72 2" xfId="4137"/>
    <cellStyle name="40% - akcent 4 73" xfId="4138"/>
    <cellStyle name="40% - akcent 4 73 2" xfId="4139"/>
    <cellStyle name="40% - akcent 4 74" xfId="4140"/>
    <cellStyle name="40% - akcent 4 74 2" xfId="4141"/>
    <cellStyle name="40% - akcent 4 75" xfId="4142"/>
    <cellStyle name="40% - akcent 4 75 2" xfId="4143"/>
    <cellStyle name="40% - akcent 4 76" xfId="4144"/>
    <cellStyle name="40% - akcent 4 76 2" xfId="4145"/>
    <cellStyle name="40% - akcent 4 77" xfId="4146"/>
    <cellStyle name="40% - akcent 4 77 2" xfId="4147"/>
    <cellStyle name="40% - akcent 4 78" xfId="4148"/>
    <cellStyle name="40% - akcent 4 78 2" xfId="4149"/>
    <cellStyle name="40% - akcent 4 79" xfId="4150"/>
    <cellStyle name="40% - akcent 4 79 2" xfId="4151"/>
    <cellStyle name="40% - akcent 4 8" xfId="4152"/>
    <cellStyle name="40% - akcent 4 80" xfId="4153"/>
    <cellStyle name="40% - akcent 4 80 2" xfId="4154"/>
    <cellStyle name="40% - akcent 4 81" xfId="4155"/>
    <cellStyle name="40% - akcent 4 81 2" xfId="4156"/>
    <cellStyle name="40% - akcent 4 82" xfId="4157"/>
    <cellStyle name="40% - akcent 4 82 2" xfId="4158"/>
    <cellStyle name="40% - akcent 4 83" xfId="4159"/>
    <cellStyle name="40% - akcent 4 83 2" xfId="4160"/>
    <cellStyle name="40% - akcent 4 84" xfId="4161"/>
    <cellStyle name="40% - akcent 4 84 2" xfId="4162"/>
    <cellStyle name="40% - akcent 4 85" xfId="4163"/>
    <cellStyle name="40% - akcent 4 85 2" xfId="4164"/>
    <cellStyle name="40% - akcent 4 86" xfId="4165"/>
    <cellStyle name="40% - akcent 4 86 2" xfId="4166"/>
    <cellStyle name="40% - akcent 4 87" xfId="4167"/>
    <cellStyle name="40% - akcent 4 87 2" xfId="4168"/>
    <cellStyle name="40% - akcent 4 88" xfId="4169"/>
    <cellStyle name="40% - akcent 4 88 2" xfId="4170"/>
    <cellStyle name="40% - akcent 4 89" xfId="4171"/>
    <cellStyle name="40% - akcent 4 89 2" xfId="4172"/>
    <cellStyle name="40% - akcent 4 9" xfId="4173"/>
    <cellStyle name="40% - akcent 4 90" xfId="4174"/>
    <cellStyle name="40% - akcent 4 90 2" xfId="4175"/>
    <cellStyle name="40% - akcent 4 91" xfId="4176"/>
    <cellStyle name="40% - akcent 4 91 2" xfId="4177"/>
    <cellStyle name="40% - akcent 4 92" xfId="4178"/>
    <cellStyle name="40% - akcent 4 92 2" xfId="4179"/>
    <cellStyle name="40% - akcent 4 93" xfId="4180"/>
    <cellStyle name="40% - akcent 4 93 2" xfId="4181"/>
    <cellStyle name="40% - akcent 4 94" xfId="4182"/>
    <cellStyle name="40% - akcent 4 94 2" xfId="4183"/>
    <cellStyle name="40% - akcent 4 95" xfId="4184"/>
    <cellStyle name="40% - akcent 4 95 2" xfId="4185"/>
    <cellStyle name="40% - akcent 4 96" xfId="4186"/>
    <cellStyle name="40% - akcent 4 96 2" xfId="4187"/>
    <cellStyle name="40% - akcent 4 97" xfId="4188"/>
    <cellStyle name="40% - akcent 4 97 2" xfId="4189"/>
    <cellStyle name="40% - akcent 4 98" xfId="4190"/>
    <cellStyle name="40% - akcent 4 98 2" xfId="4191"/>
    <cellStyle name="40% - akcent 4 99" xfId="4192"/>
    <cellStyle name="40% - akcent 4 99 2" xfId="4193"/>
    <cellStyle name="40% - akcent 5 10" xfId="4194"/>
    <cellStyle name="40% - akcent 5 100" xfId="4195"/>
    <cellStyle name="40% - akcent 5 100 2" xfId="4196"/>
    <cellStyle name="40% - akcent 5 101" xfId="4197"/>
    <cellStyle name="40% - akcent 5 101 2" xfId="4198"/>
    <cellStyle name="40% - akcent 5 102" xfId="4199"/>
    <cellStyle name="40% - akcent 5 102 2" xfId="4200"/>
    <cellStyle name="40% - akcent 5 103" xfId="4201"/>
    <cellStyle name="40% - akcent 5 103 2" xfId="4202"/>
    <cellStyle name="40% - akcent 5 104" xfId="4203"/>
    <cellStyle name="40% - akcent 5 104 2" xfId="4204"/>
    <cellStyle name="40% - akcent 5 105" xfId="4205"/>
    <cellStyle name="40% - akcent 5 105 2" xfId="4206"/>
    <cellStyle name="40% - akcent 5 106" xfId="4207"/>
    <cellStyle name="40% - akcent 5 106 2" xfId="4208"/>
    <cellStyle name="40% - akcent 5 107" xfId="4209"/>
    <cellStyle name="40% - akcent 5 107 2" xfId="4210"/>
    <cellStyle name="40% - akcent 5 108" xfId="4211"/>
    <cellStyle name="40% - akcent 5 108 2" xfId="4212"/>
    <cellStyle name="40% - akcent 5 109" xfId="4213"/>
    <cellStyle name="40% - akcent 5 109 2" xfId="4214"/>
    <cellStyle name="40% - akcent 5 11" xfId="4215"/>
    <cellStyle name="40% - akcent 5 110" xfId="4216"/>
    <cellStyle name="40% - akcent 5 110 2" xfId="4217"/>
    <cellStyle name="40% - akcent 5 111" xfId="4218"/>
    <cellStyle name="40% - akcent 5 111 2" xfId="4219"/>
    <cellStyle name="40% - akcent 5 112" xfId="4220"/>
    <cellStyle name="40% - akcent 5 112 2" xfId="4221"/>
    <cellStyle name="40% - akcent 5 113" xfId="4222"/>
    <cellStyle name="40% - akcent 5 113 2" xfId="4223"/>
    <cellStyle name="40% - akcent 5 114" xfId="4224"/>
    <cellStyle name="40% - akcent 5 114 2" xfId="4225"/>
    <cellStyle name="40% - akcent 5 115" xfId="4226"/>
    <cellStyle name="40% - akcent 5 115 2" xfId="4227"/>
    <cellStyle name="40% - akcent 5 116" xfId="4228"/>
    <cellStyle name="40% - akcent 5 116 2" xfId="4229"/>
    <cellStyle name="40% - akcent 5 117" xfId="4230"/>
    <cellStyle name="40% - akcent 5 117 2" xfId="4231"/>
    <cellStyle name="40% - akcent 5 118" xfId="4232"/>
    <cellStyle name="40% - akcent 5 118 2" xfId="4233"/>
    <cellStyle name="40% - akcent 5 119" xfId="4234"/>
    <cellStyle name="40% - akcent 5 119 2" xfId="4235"/>
    <cellStyle name="40% - akcent 5 12" xfId="4236"/>
    <cellStyle name="40% - akcent 5 120" xfId="4237"/>
    <cellStyle name="40% - akcent 5 121" xfId="4238"/>
    <cellStyle name="40% - akcent 5 13" xfId="4239"/>
    <cellStyle name="40% - akcent 5 14" xfId="4240"/>
    <cellStyle name="40% - akcent 5 15" xfId="4241"/>
    <cellStyle name="40% - akcent 5 16" xfId="4242"/>
    <cellStyle name="40% - akcent 5 17" xfId="4243"/>
    <cellStyle name="40% - akcent 5 18" xfId="4244"/>
    <cellStyle name="40% - akcent 5 19" xfId="4245"/>
    <cellStyle name="40% - akcent 5 2" xfId="4246"/>
    <cellStyle name="40% - akcent 5 2 10" xfId="4247"/>
    <cellStyle name="40% - akcent 5 2 10 2" xfId="4248"/>
    <cellStyle name="40% - akcent 5 2 10 3" xfId="4249"/>
    <cellStyle name="40% - akcent 5 2 10 4" xfId="4250"/>
    <cellStyle name="40% - akcent 5 2 10 5" xfId="4251"/>
    <cellStyle name="40% - akcent 5 2 10 6" xfId="4252"/>
    <cellStyle name="40% - akcent 5 2 11" xfId="4253"/>
    <cellStyle name="40% - akcent 5 2 11 2" xfId="4254"/>
    <cellStyle name="40% - akcent 5 2 11 3" xfId="4255"/>
    <cellStyle name="40% - akcent 5 2 11 4" xfId="4256"/>
    <cellStyle name="40% - akcent 5 2 11 5" xfId="4257"/>
    <cellStyle name="40% - akcent 5 2 11 6" xfId="4258"/>
    <cellStyle name="40% - akcent 5 2 12" xfId="4259"/>
    <cellStyle name="40% - akcent 5 2 12 2" xfId="4260"/>
    <cellStyle name="40% - akcent 5 2 12 3" xfId="4261"/>
    <cellStyle name="40% - akcent 5 2 12 4" xfId="4262"/>
    <cellStyle name="40% - akcent 5 2 12 5" xfId="4263"/>
    <cellStyle name="40% - akcent 5 2 12 6" xfId="4264"/>
    <cellStyle name="40% - akcent 5 2 13" xfId="4265"/>
    <cellStyle name="40% - akcent 5 2 13 2" xfId="4266"/>
    <cellStyle name="40% - akcent 5 2 13 3" xfId="4267"/>
    <cellStyle name="40% - akcent 5 2 13 4" xfId="4268"/>
    <cellStyle name="40% - akcent 5 2 13 5" xfId="4269"/>
    <cellStyle name="40% - akcent 5 2 13 6" xfId="4270"/>
    <cellStyle name="40% - akcent 5 2 14" xfId="4271"/>
    <cellStyle name="40% - akcent 5 2 14 2" xfId="4272"/>
    <cellStyle name="40% - akcent 5 2 14 3" xfId="4273"/>
    <cellStyle name="40% - akcent 5 2 14 4" xfId="4274"/>
    <cellStyle name="40% - akcent 5 2 14 5" xfId="4275"/>
    <cellStyle name="40% - akcent 5 2 14 6" xfId="4276"/>
    <cellStyle name="40% - akcent 5 2 15" xfId="4277"/>
    <cellStyle name="40% - akcent 5 2 15 2" xfId="4278"/>
    <cellStyle name="40% - akcent 5 2 15 3" xfId="4279"/>
    <cellStyle name="40% - akcent 5 2 15 4" xfId="4280"/>
    <cellStyle name="40% - akcent 5 2 15 5" xfId="4281"/>
    <cellStyle name="40% - akcent 5 2 15 6" xfId="4282"/>
    <cellStyle name="40% - akcent 5 2 16" xfId="4283"/>
    <cellStyle name="40% - akcent 5 2 16 2" xfId="4284"/>
    <cellStyle name="40% - akcent 5 2 16 3" xfId="4285"/>
    <cellStyle name="40% - akcent 5 2 16 4" xfId="4286"/>
    <cellStyle name="40% - akcent 5 2 16 5" xfId="4287"/>
    <cellStyle name="40% - akcent 5 2 16 6" xfId="4288"/>
    <cellStyle name="40% - akcent 5 2 17" xfId="4289"/>
    <cellStyle name="40% - akcent 5 2 17 2" xfId="4290"/>
    <cellStyle name="40% - akcent 5 2 17 3" xfId="4291"/>
    <cellStyle name="40% - akcent 5 2 17 4" xfId="4292"/>
    <cellStyle name="40% - akcent 5 2 17 5" xfId="4293"/>
    <cellStyle name="40% - akcent 5 2 17 6" xfId="4294"/>
    <cellStyle name="40% - akcent 5 2 18" xfId="4295"/>
    <cellStyle name="40% - akcent 5 2 18 2" xfId="4296"/>
    <cellStyle name="40% - akcent 5 2 18 3" xfId="4297"/>
    <cellStyle name="40% - akcent 5 2 18 4" xfId="4298"/>
    <cellStyle name="40% - akcent 5 2 18 5" xfId="4299"/>
    <cellStyle name="40% - akcent 5 2 18 6" xfId="4300"/>
    <cellStyle name="40% - akcent 5 2 19" xfId="4301"/>
    <cellStyle name="40% - akcent 5 2 19 2" xfId="4302"/>
    <cellStyle name="40% - akcent 5 2 19 3" xfId="4303"/>
    <cellStyle name="40% - akcent 5 2 19 4" xfId="4304"/>
    <cellStyle name="40% - akcent 5 2 19 5" xfId="4305"/>
    <cellStyle name="40% - akcent 5 2 19 6" xfId="4306"/>
    <cellStyle name="40% - akcent 5 2 2" xfId="4307"/>
    <cellStyle name="40% - akcent 5 2 2 2" xfId="4308"/>
    <cellStyle name="40% - akcent 5 2 2 3" xfId="4309"/>
    <cellStyle name="40% - akcent 5 2 2 4" xfId="4310"/>
    <cellStyle name="40% - akcent 5 2 2 5" xfId="4311"/>
    <cellStyle name="40% - akcent 5 2 2 6" xfId="4312"/>
    <cellStyle name="40% - akcent 5 2 2 7" xfId="4313"/>
    <cellStyle name="40% - akcent 5 2 20" xfId="4314"/>
    <cellStyle name="40% - akcent 5 2 20 2" xfId="4315"/>
    <cellStyle name="40% - akcent 5 2 20 3" xfId="4316"/>
    <cellStyle name="40% - akcent 5 2 20 4" xfId="4317"/>
    <cellStyle name="40% - akcent 5 2 20 5" xfId="4318"/>
    <cellStyle name="40% - akcent 5 2 20 6" xfId="4319"/>
    <cellStyle name="40% - akcent 5 2 21" xfId="4320"/>
    <cellStyle name="40% - akcent 5 2 21 2" xfId="4321"/>
    <cellStyle name="40% - akcent 5 2 21 3" xfId="4322"/>
    <cellStyle name="40% - akcent 5 2 21 4" xfId="4323"/>
    <cellStyle name="40% - akcent 5 2 21 5" xfId="4324"/>
    <cellStyle name="40% - akcent 5 2 21 6" xfId="4325"/>
    <cellStyle name="40% - akcent 5 2 22" xfId="4326"/>
    <cellStyle name="40% - akcent 5 2 22 2" xfId="4327"/>
    <cellStyle name="40% - akcent 5 2 22 3" xfId="4328"/>
    <cellStyle name="40% - akcent 5 2 22 4" xfId="4329"/>
    <cellStyle name="40% - akcent 5 2 22 5" xfId="4330"/>
    <cellStyle name="40% - akcent 5 2 22 6" xfId="4331"/>
    <cellStyle name="40% - akcent 5 2 23" xfId="4332"/>
    <cellStyle name="40% - akcent 5 2 23 2" xfId="4333"/>
    <cellStyle name="40% - akcent 5 2 23 3" xfId="4334"/>
    <cellStyle name="40% - akcent 5 2 23 4" xfId="4335"/>
    <cellStyle name="40% - akcent 5 2 23 5" xfId="4336"/>
    <cellStyle name="40% - akcent 5 2 23 6" xfId="4337"/>
    <cellStyle name="40% - akcent 5 2 24" xfId="4338"/>
    <cellStyle name="40% - akcent 5 2 24 2" xfId="4339"/>
    <cellStyle name="40% - akcent 5 2 24 3" xfId="4340"/>
    <cellStyle name="40% - akcent 5 2 24 4" xfId="4341"/>
    <cellStyle name="40% - akcent 5 2 24 5" xfId="4342"/>
    <cellStyle name="40% - akcent 5 2 24 6" xfId="4343"/>
    <cellStyle name="40% - akcent 5 2 25" xfId="4344"/>
    <cellStyle name="40% - akcent 5 2 25 2" xfId="4345"/>
    <cellStyle name="40% - akcent 5 2 25 3" xfId="4346"/>
    <cellStyle name="40% - akcent 5 2 25 4" xfId="4347"/>
    <cellStyle name="40% - akcent 5 2 25 5" xfId="4348"/>
    <cellStyle name="40% - akcent 5 2 25 6" xfId="4349"/>
    <cellStyle name="40% - akcent 5 2 26" xfId="4350"/>
    <cellStyle name="40% - akcent 5 2 26 2" xfId="4351"/>
    <cellStyle name="40% - akcent 5 2 26 3" xfId="4352"/>
    <cellStyle name="40% - akcent 5 2 26 4" xfId="4353"/>
    <cellStyle name="40% - akcent 5 2 26 5" xfId="4354"/>
    <cellStyle name="40% - akcent 5 2 26 6" xfId="4355"/>
    <cellStyle name="40% - akcent 5 2 27" xfId="4356"/>
    <cellStyle name="40% - akcent 5 2 27 2" xfId="4357"/>
    <cellStyle name="40% - akcent 5 2 27 3" xfId="4358"/>
    <cellStyle name="40% - akcent 5 2 27 4" xfId="4359"/>
    <cellStyle name="40% - akcent 5 2 27 5" xfId="4360"/>
    <cellStyle name="40% - akcent 5 2 27 6" xfId="4361"/>
    <cellStyle name="40% - akcent 5 2 28" xfId="4362"/>
    <cellStyle name="40% - akcent 5 2 28 2" xfId="4363"/>
    <cellStyle name="40% - akcent 5 2 28 3" xfId="4364"/>
    <cellStyle name="40% - akcent 5 2 28 4" xfId="4365"/>
    <cellStyle name="40% - akcent 5 2 28 5" xfId="4366"/>
    <cellStyle name="40% - akcent 5 2 28 6" xfId="4367"/>
    <cellStyle name="40% - akcent 5 2 29" xfId="4368"/>
    <cellStyle name="40% - akcent 5 2 29 2" xfId="4369"/>
    <cellStyle name="40% - akcent 5 2 3" xfId="4370"/>
    <cellStyle name="40% - akcent 5 2 3 2" xfId="4371"/>
    <cellStyle name="40% - akcent 5 2 3 3" xfId="4372"/>
    <cellStyle name="40% - akcent 5 2 3 4" xfId="4373"/>
    <cellStyle name="40% - akcent 5 2 3 5" xfId="4374"/>
    <cellStyle name="40% - akcent 5 2 3 6" xfId="4375"/>
    <cellStyle name="40% - akcent 5 2 3 7" xfId="4376"/>
    <cellStyle name="40% - akcent 5 2 30" xfId="4377"/>
    <cellStyle name="40% - akcent 5 2 30 2" xfId="4378"/>
    <cellStyle name="40% - akcent 5 2 31" xfId="4379"/>
    <cellStyle name="40% - akcent 5 2 31 2" xfId="4380"/>
    <cellStyle name="40% - akcent 5 2 32" xfId="4381"/>
    <cellStyle name="40% - akcent 5 2 32 2" xfId="4382"/>
    <cellStyle name="40% - akcent 5 2 33" xfId="4383"/>
    <cellStyle name="40% - akcent 5 2 34" xfId="4384"/>
    <cellStyle name="40% - akcent 5 2 35" xfId="4385"/>
    <cellStyle name="40% - akcent 5 2 36" xfId="4386"/>
    <cellStyle name="40% - akcent 5 2 37" xfId="4387"/>
    <cellStyle name="40% - akcent 5 2 38" xfId="4388"/>
    <cellStyle name="40% - akcent 5 2 39" xfId="4389"/>
    <cellStyle name="40% - akcent 5 2 4" xfId="4390"/>
    <cellStyle name="40% - akcent 5 2 4 2" xfId="4391"/>
    <cellStyle name="40% - akcent 5 2 4 3" xfId="4392"/>
    <cellStyle name="40% - akcent 5 2 4 4" xfId="4393"/>
    <cellStyle name="40% - akcent 5 2 4 5" xfId="4394"/>
    <cellStyle name="40% - akcent 5 2 4 6" xfId="4395"/>
    <cellStyle name="40% - akcent 5 2 4 7" xfId="4396"/>
    <cellStyle name="40% - akcent 5 2 40" xfId="4397"/>
    <cellStyle name="40% - akcent 5 2 41" xfId="4398"/>
    <cellStyle name="40% - akcent 5 2 42" xfId="4399"/>
    <cellStyle name="40% - akcent 5 2 43" xfId="4400"/>
    <cellStyle name="40% - akcent 5 2 44" xfId="4401"/>
    <cellStyle name="40% - akcent 5 2 45" xfId="4402"/>
    <cellStyle name="40% - akcent 5 2 46" xfId="4403"/>
    <cellStyle name="40% - akcent 5 2 47" xfId="4404"/>
    <cellStyle name="40% - akcent 5 2 48" xfId="4405"/>
    <cellStyle name="40% - akcent 5 2 49" xfId="4406"/>
    <cellStyle name="40% - akcent 5 2 5" xfId="4407"/>
    <cellStyle name="40% - akcent 5 2 5 2" xfId="4408"/>
    <cellStyle name="40% - akcent 5 2 5 3" xfId="4409"/>
    <cellStyle name="40% - akcent 5 2 5 4" xfId="4410"/>
    <cellStyle name="40% - akcent 5 2 5 5" xfId="4411"/>
    <cellStyle name="40% - akcent 5 2 5 6" xfId="4412"/>
    <cellStyle name="40% - akcent 5 2 50" xfId="4413"/>
    <cellStyle name="40% - akcent 5 2 51" xfId="4414"/>
    <cellStyle name="40% - akcent 5 2 6" xfId="4415"/>
    <cellStyle name="40% - akcent 5 2 6 2" xfId="4416"/>
    <cellStyle name="40% - akcent 5 2 6 3" xfId="4417"/>
    <cellStyle name="40% - akcent 5 2 6 4" xfId="4418"/>
    <cellStyle name="40% - akcent 5 2 6 5" xfId="4419"/>
    <cellStyle name="40% - akcent 5 2 6 6" xfId="4420"/>
    <cellStyle name="40% - akcent 5 2 7" xfId="4421"/>
    <cellStyle name="40% - akcent 5 2 7 2" xfId="4422"/>
    <cellStyle name="40% - akcent 5 2 7 3" xfId="4423"/>
    <cellStyle name="40% - akcent 5 2 7 4" xfId="4424"/>
    <cellStyle name="40% - akcent 5 2 7 5" xfId="4425"/>
    <cellStyle name="40% - akcent 5 2 7 6" xfId="4426"/>
    <cellStyle name="40% - akcent 5 2 8" xfId="4427"/>
    <cellStyle name="40% - akcent 5 2 8 2" xfId="4428"/>
    <cellStyle name="40% - akcent 5 2 8 3" xfId="4429"/>
    <cellStyle name="40% - akcent 5 2 8 4" xfId="4430"/>
    <cellStyle name="40% - akcent 5 2 8 5" xfId="4431"/>
    <cellStyle name="40% - akcent 5 2 8 6" xfId="4432"/>
    <cellStyle name="40% - akcent 5 2 9" xfId="4433"/>
    <cellStyle name="40% - akcent 5 2 9 2" xfId="4434"/>
    <cellStyle name="40% - akcent 5 2 9 3" xfId="4435"/>
    <cellStyle name="40% - akcent 5 2 9 4" xfId="4436"/>
    <cellStyle name="40% - akcent 5 2 9 5" xfId="4437"/>
    <cellStyle name="40% - akcent 5 2 9 6" xfId="4438"/>
    <cellStyle name="40% - akcent 5 20" xfId="4439"/>
    <cellStyle name="40% - akcent 5 21" xfId="4440"/>
    <cellStyle name="40% - akcent 5 22" xfId="4441"/>
    <cellStyle name="40% - akcent 5 23" xfId="4442"/>
    <cellStyle name="40% - akcent 5 24" xfId="4443"/>
    <cellStyle name="40% - akcent 5 25" xfId="4444"/>
    <cellStyle name="40% - akcent 5 26" xfId="4445"/>
    <cellStyle name="40% - akcent 5 27" xfId="4446"/>
    <cellStyle name="40% - akcent 5 28" xfId="4447"/>
    <cellStyle name="40% - akcent 5 29" xfId="4448"/>
    <cellStyle name="40% - akcent 5 3" xfId="4449"/>
    <cellStyle name="40% - akcent 5 3 2" xfId="4450"/>
    <cellStyle name="40% - akcent 5 3 2 2" xfId="4451"/>
    <cellStyle name="40% - akcent 5 3 3" xfId="4452"/>
    <cellStyle name="40% - akcent 5 3 3 2" xfId="4453"/>
    <cellStyle name="40% - akcent 5 3 4" xfId="4454"/>
    <cellStyle name="40% - akcent 5 3 4 2" xfId="4455"/>
    <cellStyle name="40% - akcent 5 3 5" xfId="4456"/>
    <cellStyle name="40% - akcent 5 3 6" xfId="4457"/>
    <cellStyle name="40% - akcent 5 3 7" xfId="4458"/>
    <cellStyle name="40% - akcent 5 3 8" xfId="4459"/>
    <cellStyle name="40% - akcent 5 30" xfId="4460"/>
    <cellStyle name="40% - akcent 5 30 2" xfId="4461"/>
    <cellStyle name="40% - akcent 5 31" xfId="4462"/>
    <cellStyle name="40% - akcent 5 31 2" xfId="4463"/>
    <cellStyle name="40% - akcent 5 32" xfId="4464"/>
    <cellStyle name="40% - akcent 5 32 2" xfId="4465"/>
    <cellStyle name="40% - akcent 5 33" xfId="4466"/>
    <cellStyle name="40% - akcent 5 33 2" xfId="4467"/>
    <cellStyle name="40% - akcent 5 34" xfId="4468"/>
    <cellStyle name="40% - akcent 5 34 2" xfId="4469"/>
    <cellStyle name="40% - akcent 5 35" xfId="4470"/>
    <cellStyle name="40% - akcent 5 35 2" xfId="4471"/>
    <cellStyle name="40% - akcent 5 36" xfId="4472"/>
    <cellStyle name="40% - akcent 5 36 2" xfId="4473"/>
    <cellStyle name="40% - akcent 5 37" xfId="4474"/>
    <cellStyle name="40% - akcent 5 37 2" xfId="4475"/>
    <cellStyle name="40% - akcent 5 38" xfId="4476"/>
    <cellStyle name="40% - akcent 5 38 2" xfId="4477"/>
    <cellStyle name="40% - akcent 5 39" xfId="4478"/>
    <cellStyle name="40% - akcent 5 39 2" xfId="4479"/>
    <cellStyle name="40% - akcent 5 4" xfId="4480"/>
    <cellStyle name="40% - akcent 5 4 2" xfId="4481"/>
    <cellStyle name="40% - akcent 5 4 2 2" xfId="4482"/>
    <cellStyle name="40% - akcent 5 4 3" xfId="4483"/>
    <cellStyle name="40% - akcent 5 4 3 2" xfId="4484"/>
    <cellStyle name="40% - akcent 5 4 4" xfId="4485"/>
    <cellStyle name="40% - akcent 5 4 4 2" xfId="4486"/>
    <cellStyle name="40% - akcent 5 4 5" xfId="4487"/>
    <cellStyle name="40% - akcent 5 4 6" xfId="4488"/>
    <cellStyle name="40% - akcent 5 4 7" xfId="4489"/>
    <cellStyle name="40% - akcent 5 4 8" xfId="4490"/>
    <cellStyle name="40% - akcent 5 40" xfId="4491"/>
    <cellStyle name="40% - akcent 5 40 2" xfId="4492"/>
    <cellStyle name="40% - akcent 5 41" xfId="4493"/>
    <cellStyle name="40% - akcent 5 41 2" xfId="4494"/>
    <cellStyle name="40% - akcent 5 42" xfId="4495"/>
    <cellStyle name="40% - akcent 5 42 2" xfId="4496"/>
    <cellStyle name="40% - akcent 5 43" xfId="4497"/>
    <cellStyle name="40% - akcent 5 43 2" xfId="4498"/>
    <cellStyle name="40% - akcent 5 44" xfId="4499"/>
    <cellStyle name="40% - akcent 5 44 2" xfId="4500"/>
    <cellStyle name="40% - akcent 5 45" xfId="4501"/>
    <cellStyle name="40% - akcent 5 45 2" xfId="4502"/>
    <cellStyle name="40% - akcent 5 46" xfId="4503"/>
    <cellStyle name="40% - akcent 5 46 2" xfId="4504"/>
    <cellStyle name="40% - akcent 5 47" xfId="4505"/>
    <cellStyle name="40% - akcent 5 47 2" xfId="4506"/>
    <cellStyle name="40% - akcent 5 48" xfId="4507"/>
    <cellStyle name="40% - akcent 5 48 2" xfId="4508"/>
    <cellStyle name="40% - akcent 5 49" xfId="4509"/>
    <cellStyle name="40% - akcent 5 49 2" xfId="4510"/>
    <cellStyle name="40% - akcent 5 5" xfId="4511"/>
    <cellStyle name="40% - akcent 5 5 2" xfId="4512"/>
    <cellStyle name="40% - akcent 5 5 3" xfId="4513"/>
    <cellStyle name="40% - akcent 5 50" xfId="4514"/>
    <cellStyle name="40% - akcent 5 50 2" xfId="4515"/>
    <cellStyle name="40% - akcent 5 51" xfId="4516"/>
    <cellStyle name="40% - akcent 5 51 2" xfId="4517"/>
    <cellStyle name="40% - akcent 5 52" xfId="4518"/>
    <cellStyle name="40% - akcent 5 52 2" xfId="4519"/>
    <cellStyle name="40% - akcent 5 53" xfId="4520"/>
    <cellStyle name="40% - akcent 5 53 2" xfId="4521"/>
    <cellStyle name="40% - akcent 5 54" xfId="4522"/>
    <cellStyle name="40% - akcent 5 54 2" xfId="4523"/>
    <cellStyle name="40% - akcent 5 55" xfId="4524"/>
    <cellStyle name="40% - akcent 5 55 2" xfId="4525"/>
    <cellStyle name="40% - akcent 5 56" xfId="4526"/>
    <cellStyle name="40% - akcent 5 56 2" xfId="4527"/>
    <cellStyle name="40% - akcent 5 57" xfId="4528"/>
    <cellStyle name="40% - akcent 5 57 2" xfId="4529"/>
    <cellStyle name="40% - akcent 5 58" xfId="4530"/>
    <cellStyle name="40% - akcent 5 58 2" xfId="4531"/>
    <cellStyle name="40% - akcent 5 59" xfId="4532"/>
    <cellStyle name="40% - akcent 5 59 2" xfId="4533"/>
    <cellStyle name="40% - akcent 5 6" xfId="4534"/>
    <cellStyle name="40% - akcent 5 60" xfId="4535"/>
    <cellStyle name="40% - akcent 5 60 2" xfId="4536"/>
    <cellStyle name="40% - akcent 5 61" xfId="4537"/>
    <cellStyle name="40% - akcent 5 61 2" xfId="4538"/>
    <cellStyle name="40% - akcent 5 62" xfId="4539"/>
    <cellStyle name="40% - akcent 5 62 2" xfId="4540"/>
    <cellStyle name="40% - akcent 5 63" xfId="4541"/>
    <cellStyle name="40% - akcent 5 63 2" xfId="4542"/>
    <cellStyle name="40% - akcent 5 64" xfId="4543"/>
    <cellStyle name="40% - akcent 5 64 2" xfId="4544"/>
    <cellStyle name="40% - akcent 5 65" xfId="4545"/>
    <cellStyle name="40% - akcent 5 65 2" xfId="4546"/>
    <cellStyle name="40% - akcent 5 66" xfId="4547"/>
    <cellStyle name="40% - akcent 5 66 2" xfId="4548"/>
    <cellStyle name="40% - akcent 5 67" xfId="4549"/>
    <cellStyle name="40% - akcent 5 67 2" xfId="4550"/>
    <cellStyle name="40% - akcent 5 68" xfId="4551"/>
    <cellStyle name="40% - akcent 5 68 2" xfId="4552"/>
    <cellStyle name="40% - akcent 5 69" xfId="4553"/>
    <cellStyle name="40% - akcent 5 69 2" xfId="4554"/>
    <cellStyle name="40% - akcent 5 7" xfId="4555"/>
    <cellStyle name="40% - akcent 5 70" xfId="4556"/>
    <cellStyle name="40% - akcent 5 70 2" xfId="4557"/>
    <cellStyle name="40% - akcent 5 71" xfId="4558"/>
    <cellStyle name="40% - akcent 5 71 2" xfId="4559"/>
    <cellStyle name="40% - akcent 5 72" xfId="4560"/>
    <cellStyle name="40% - akcent 5 72 2" xfId="4561"/>
    <cellStyle name="40% - akcent 5 73" xfId="4562"/>
    <cellStyle name="40% - akcent 5 73 2" xfId="4563"/>
    <cellStyle name="40% - akcent 5 74" xfId="4564"/>
    <cellStyle name="40% - akcent 5 74 2" xfId="4565"/>
    <cellStyle name="40% - akcent 5 75" xfId="4566"/>
    <cellStyle name="40% - akcent 5 75 2" xfId="4567"/>
    <cellStyle name="40% - akcent 5 76" xfId="4568"/>
    <cellStyle name="40% - akcent 5 76 2" xfId="4569"/>
    <cellStyle name="40% - akcent 5 77" xfId="4570"/>
    <cellStyle name="40% - akcent 5 77 2" xfId="4571"/>
    <cellStyle name="40% - akcent 5 78" xfId="4572"/>
    <cellStyle name="40% - akcent 5 78 2" xfId="4573"/>
    <cellStyle name="40% - akcent 5 79" xfId="4574"/>
    <cellStyle name="40% - akcent 5 79 2" xfId="4575"/>
    <cellStyle name="40% - akcent 5 8" xfId="4576"/>
    <cellStyle name="40% - akcent 5 80" xfId="4577"/>
    <cellStyle name="40% - akcent 5 80 2" xfId="4578"/>
    <cellStyle name="40% - akcent 5 81" xfId="4579"/>
    <cellStyle name="40% - akcent 5 81 2" xfId="4580"/>
    <cellStyle name="40% - akcent 5 82" xfId="4581"/>
    <cellStyle name="40% - akcent 5 82 2" xfId="4582"/>
    <cellStyle name="40% - akcent 5 83" xfId="4583"/>
    <cellStyle name="40% - akcent 5 83 2" xfId="4584"/>
    <cellStyle name="40% - akcent 5 84" xfId="4585"/>
    <cellStyle name="40% - akcent 5 84 2" xfId="4586"/>
    <cellStyle name="40% - akcent 5 85" xfId="4587"/>
    <cellStyle name="40% - akcent 5 85 2" xfId="4588"/>
    <cellStyle name="40% - akcent 5 86" xfId="4589"/>
    <cellStyle name="40% - akcent 5 86 2" xfId="4590"/>
    <cellStyle name="40% - akcent 5 87" xfId="4591"/>
    <cellStyle name="40% - akcent 5 87 2" xfId="4592"/>
    <cellStyle name="40% - akcent 5 88" xfId="4593"/>
    <cellStyle name="40% - akcent 5 88 2" xfId="4594"/>
    <cellStyle name="40% - akcent 5 89" xfId="4595"/>
    <cellStyle name="40% - akcent 5 89 2" xfId="4596"/>
    <cellStyle name="40% - akcent 5 9" xfId="4597"/>
    <cellStyle name="40% - akcent 5 90" xfId="4598"/>
    <cellStyle name="40% - akcent 5 90 2" xfId="4599"/>
    <cellStyle name="40% - akcent 5 91" xfId="4600"/>
    <cellStyle name="40% - akcent 5 91 2" xfId="4601"/>
    <cellStyle name="40% - akcent 5 92" xfId="4602"/>
    <cellStyle name="40% - akcent 5 92 2" xfId="4603"/>
    <cellStyle name="40% - akcent 5 93" xfId="4604"/>
    <cellStyle name="40% - akcent 5 93 2" xfId="4605"/>
    <cellStyle name="40% - akcent 5 94" xfId="4606"/>
    <cellStyle name="40% - akcent 5 94 2" xfId="4607"/>
    <cellStyle name="40% - akcent 5 95" xfId="4608"/>
    <cellStyle name="40% - akcent 5 95 2" xfId="4609"/>
    <cellStyle name="40% - akcent 5 96" xfId="4610"/>
    <cellStyle name="40% - akcent 5 96 2" xfId="4611"/>
    <cellStyle name="40% - akcent 5 97" xfId="4612"/>
    <cellStyle name="40% - akcent 5 97 2" xfId="4613"/>
    <cellStyle name="40% - akcent 5 98" xfId="4614"/>
    <cellStyle name="40% - akcent 5 98 2" xfId="4615"/>
    <cellStyle name="40% - akcent 5 99" xfId="4616"/>
    <cellStyle name="40% - akcent 5 99 2" xfId="4617"/>
    <cellStyle name="40% - akcent 6 10" xfId="4618"/>
    <cellStyle name="40% - akcent 6 100" xfId="4619"/>
    <cellStyle name="40% - akcent 6 100 2" xfId="4620"/>
    <cellStyle name="40% - akcent 6 101" xfId="4621"/>
    <cellStyle name="40% - akcent 6 101 2" xfId="4622"/>
    <cellStyle name="40% - akcent 6 102" xfId="4623"/>
    <cellStyle name="40% - akcent 6 102 2" xfId="4624"/>
    <cellStyle name="40% - akcent 6 103" xfId="4625"/>
    <cellStyle name="40% - akcent 6 103 2" xfId="4626"/>
    <cellStyle name="40% - akcent 6 104" xfId="4627"/>
    <cellStyle name="40% - akcent 6 104 2" xfId="4628"/>
    <cellStyle name="40% - akcent 6 105" xfId="4629"/>
    <cellStyle name="40% - akcent 6 105 2" xfId="4630"/>
    <cellStyle name="40% - akcent 6 106" xfId="4631"/>
    <cellStyle name="40% - akcent 6 106 2" xfId="4632"/>
    <cellStyle name="40% - akcent 6 107" xfId="4633"/>
    <cellStyle name="40% - akcent 6 107 2" xfId="4634"/>
    <cellStyle name="40% - akcent 6 108" xfId="4635"/>
    <cellStyle name="40% - akcent 6 108 2" xfId="4636"/>
    <cellStyle name="40% - akcent 6 109" xfId="4637"/>
    <cellStyle name="40% - akcent 6 109 2" xfId="4638"/>
    <cellStyle name="40% - akcent 6 11" xfId="4639"/>
    <cellStyle name="40% - akcent 6 110" xfId="4640"/>
    <cellStyle name="40% - akcent 6 110 2" xfId="4641"/>
    <cellStyle name="40% - akcent 6 111" xfId="4642"/>
    <cellStyle name="40% - akcent 6 111 2" xfId="4643"/>
    <cellStyle name="40% - akcent 6 112" xfId="4644"/>
    <cellStyle name="40% - akcent 6 112 2" xfId="4645"/>
    <cellStyle name="40% - akcent 6 113" xfId="4646"/>
    <cellStyle name="40% - akcent 6 113 2" xfId="4647"/>
    <cellStyle name="40% - akcent 6 114" xfId="4648"/>
    <cellStyle name="40% - akcent 6 114 2" xfId="4649"/>
    <cellStyle name="40% - akcent 6 115" xfId="4650"/>
    <cellStyle name="40% - akcent 6 115 2" xfId="4651"/>
    <cellStyle name="40% - akcent 6 116" xfId="4652"/>
    <cellStyle name="40% - akcent 6 116 2" xfId="4653"/>
    <cellStyle name="40% - akcent 6 117" xfId="4654"/>
    <cellStyle name="40% - akcent 6 117 2" xfId="4655"/>
    <cellStyle name="40% - akcent 6 118" xfId="4656"/>
    <cellStyle name="40% - akcent 6 118 2" xfId="4657"/>
    <cellStyle name="40% - akcent 6 119" xfId="4658"/>
    <cellStyle name="40% - akcent 6 119 2" xfId="4659"/>
    <cellStyle name="40% - akcent 6 12" xfId="4660"/>
    <cellStyle name="40% - akcent 6 120" xfId="4661"/>
    <cellStyle name="40% - akcent 6 121" xfId="4662"/>
    <cellStyle name="40% - akcent 6 13" xfId="4663"/>
    <cellStyle name="40% - akcent 6 14" xfId="4664"/>
    <cellStyle name="40% - akcent 6 15" xfId="4665"/>
    <cellStyle name="40% - akcent 6 16" xfId="4666"/>
    <cellStyle name="40% - akcent 6 17" xfId="4667"/>
    <cellStyle name="40% - akcent 6 18" xfId="4668"/>
    <cellStyle name="40% - akcent 6 19" xfId="4669"/>
    <cellStyle name="40% - akcent 6 2" xfId="4670"/>
    <cellStyle name="40% - akcent 6 2 10" xfId="4671"/>
    <cellStyle name="40% - akcent 6 2 10 2" xfId="4672"/>
    <cellStyle name="40% - akcent 6 2 10 3" xfId="4673"/>
    <cellStyle name="40% - akcent 6 2 10 4" xfId="4674"/>
    <cellStyle name="40% - akcent 6 2 10 5" xfId="4675"/>
    <cellStyle name="40% - akcent 6 2 10 6" xfId="4676"/>
    <cellStyle name="40% - akcent 6 2 11" xfId="4677"/>
    <cellStyle name="40% - akcent 6 2 11 2" xfId="4678"/>
    <cellStyle name="40% - akcent 6 2 11 3" xfId="4679"/>
    <cellStyle name="40% - akcent 6 2 11 4" xfId="4680"/>
    <cellStyle name="40% - akcent 6 2 11 5" xfId="4681"/>
    <cellStyle name="40% - akcent 6 2 11 6" xfId="4682"/>
    <cellStyle name="40% - akcent 6 2 12" xfId="4683"/>
    <cellStyle name="40% - akcent 6 2 12 2" xfId="4684"/>
    <cellStyle name="40% - akcent 6 2 12 3" xfId="4685"/>
    <cellStyle name="40% - akcent 6 2 12 4" xfId="4686"/>
    <cellStyle name="40% - akcent 6 2 12 5" xfId="4687"/>
    <cellStyle name="40% - akcent 6 2 12 6" xfId="4688"/>
    <cellStyle name="40% - akcent 6 2 13" xfId="4689"/>
    <cellStyle name="40% - akcent 6 2 13 2" xfId="4690"/>
    <cellStyle name="40% - akcent 6 2 13 3" xfId="4691"/>
    <cellStyle name="40% - akcent 6 2 13 4" xfId="4692"/>
    <cellStyle name="40% - akcent 6 2 13 5" xfId="4693"/>
    <cellStyle name="40% - akcent 6 2 13 6" xfId="4694"/>
    <cellStyle name="40% - akcent 6 2 14" xfId="4695"/>
    <cellStyle name="40% - akcent 6 2 14 2" xfId="4696"/>
    <cellStyle name="40% - akcent 6 2 14 3" xfId="4697"/>
    <cellStyle name="40% - akcent 6 2 14 4" xfId="4698"/>
    <cellStyle name="40% - akcent 6 2 14 5" xfId="4699"/>
    <cellStyle name="40% - akcent 6 2 14 6" xfId="4700"/>
    <cellStyle name="40% - akcent 6 2 15" xfId="4701"/>
    <cellStyle name="40% - akcent 6 2 15 2" xfId="4702"/>
    <cellStyle name="40% - akcent 6 2 15 3" xfId="4703"/>
    <cellStyle name="40% - akcent 6 2 15 4" xfId="4704"/>
    <cellStyle name="40% - akcent 6 2 15 5" xfId="4705"/>
    <cellStyle name="40% - akcent 6 2 15 6" xfId="4706"/>
    <cellStyle name="40% - akcent 6 2 16" xfId="4707"/>
    <cellStyle name="40% - akcent 6 2 16 2" xfId="4708"/>
    <cellStyle name="40% - akcent 6 2 16 3" xfId="4709"/>
    <cellStyle name="40% - akcent 6 2 16 4" xfId="4710"/>
    <cellStyle name="40% - akcent 6 2 16 5" xfId="4711"/>
    <cellStyle name="40% - akcent 6 2 16 6" xfId="4712"/>
    <cellStyle name="40% - akcent 6 2 17" xfId="4713"/>
    <cellStyle name="40% - akcent 6 2 17 2" xfId="4714"/>
    <cellStyle name="40% - akcent 6 2 17 3" xfId="4715"/>
    <cellStyle name="40% - akcent 6 2 17 4" xfId="4716"/>
    <cellStyle name="40% - akcent 6 2 17 5" xfId="4717"/>
    <cellStyle name="40% - akcent 6 2 17 6" xfId="4718"/>
    <cellStyle name="40% - akcent 6 2 18" xfId="4719"/>
    <cellStyle name="40% - akcent 6 2 18 2" xfId="4720"/>
    <cellStyle name="40% - akcent 6 2 18 3" xfId="4721"/>
    <cellStyle name="40% - akcent 6 2 18 4" xfId="4722"/>
    <cellStyle name="40% - akcent 6 2 18 5" xfId="4723"/>
    <cellStyle name="40% - akcent 6 2 18 6" xfId="4724"/>
    <cellStyle name="40% - akcent 6 2 19" xfId="4725"/>
    <cellStyle name="40% - akcent 6 2 19 2" xfId="4726"/>
    <cellStyle name="40% - akcent 6 2 19 3" xfId="4727"/>
    <cellStyle name="40% - akcent 6 2 19 4" xfId="4728"/>
    <cellStyle name="40% - akcent 6 2 19 5" xfId="4729"/>
    <cellStyle name="40% - akcent 6 2 19 6" xfId="4730"/>
    <cellStyle name="40% - akcent 6 2 2" xfId="4731"/>
    <cellStyle name="40% - akcent 6 2 2 2" xfId="4732"/>
    <cellStyle name="40% - akcent 6 2 2 3" xfId="4733"/>
    <cellStyle name="40% - akcent 6 2 2 4" xfId="4734"/>
    <cellStyle name="40% - akcent 6 2 2 5" xfId="4735"/>
    <cellStyle name="40% - akcent 6 2 2 6" xfId="4736"/>
    <cellStyle name="40% - akcent 6 2 2 7" xfId="4737"/>
    <cellStyle name="40% - akcent 6 2 20" xfId="4738"/>
    <cellStyle name="40% - akcent 6 2 20 2" xfId="4739"/>
    <cellStyle name="40% - akcent 6 2 20 3" xfId="4740"/>
    <cellStyle name="40% - akcent 6 2 20 4" xfId="4741"/>
    <cellStyle name="40% - akcent 6 2 20 5" xfId="4742"/>
    <cellStyle name="40% - akcent 6 2 20 6" xfId="4743"/>
    <cellStyle name="40% - akcent 6 2 21" xfId="4744"/>
    <cellStyle name="40% - akcent 6 2 21 2" xfId="4745"/>
    <cellStyle name="40% - akcent 6 2 21 3" xfId="4746"/>
    <cellStyle name="40% - akcent 6 2 21 4" xfId="4747"/>
    <cellStyle name="40% - akcent 6 2 21 5" xfId="4748"/>
    <cellStyle name="40% - akcent 6 2 21 6" xfId="4749"/>
    <cellStyle name="40% - akcent 6 2 22" xfId="4750"/>
    <cellStyle name="40% - akcent 6 2 22 2" xfId="4751"/>
    <cellStyle name="40% - akcent 6 2 22 3" xfId="4752"/>
    <cellStyle name="40% - akcent 6 2 22 4" xfId="4753"/>
    <cellStyle name="40% - akcent 6 2 22 5" xfId="4754"/>
    <cellStyle name="40% - akcent 6 2 22 6" xfId="4755"/>
    <cellStyle name="40% - akcent 6 2 23" xfId="4756"/>
    <cellStyle name="40% - akcent 6 2 23 2" xfId="4757"/>
    <cellStyle name="40% - akcent 6 2 23 3" xfId="4758"/>
    <cellStyle name="40% - akcent 6 2 23 4" xfId="4759"/>
    <cellStyle name="40% - akcent 6 2 23 5" xfId="4760"/>
    <cellStyle name="40% - akcent 6 2 23 6" xfId="4761"/>
    <cellStyle name="40% - akcent 6 2 24" xfId="4762"/>
    <cellStyle name="40% - akcent 6 2 24 2" xfId="4763"/>
    <cellStyle name="40% - akcent 6 2 24 3" xfId="4764"/>
    <cellStyle name="40% - akcent 6 2 24 4" xfId="4765"/>
    <cellStyle name="40% - akcent 6 2 24 5" xfId="4766"/>
    <cellStyle name="40% - akcent 6 2 24 6" xfId="4767"/>
    <cellStyle name="40% - akcent 6 2 25" xfId="4768"/>
    <cellStyle name="40% - akcent 6 2 25 2" xfId="4769"/>
    <cellStyle name="40% - akcent 6 2 25 3" xfId="4770"/>
    <cellStyle name="40% - akcent 6 2 25 4" xfId="4771"/>
    <cellStyle name="40% - akcent 6 2 25 5" xfId="4772"/>
    <cellStyle name="40% - akcent 6 2 25 6" xfId="4773"/>
    <cellStyle name="40% - akcent 6 2 26" xfId="4774"/>
    <cellStyle name="40% - akcent 6 2 26 2" xfId="4775"/>
    <cellStyle name="40% - akcent 6 2 26 3" xfId="4776"/>
    <cellStyle name="40% - akcent 6 2 26 4" xfId="4777"/>
    <cellStyle name="40% - akcent 6 2 26 5" xfId="4778"/>
    <cellStyle name="40% - akcent 6 2 26 6" xfId="4779"/>
    <cellStyle name="40% - akcent 6 2 27" xfId="4780"/>
    <cellStyle name="40% - akcent 6 2 27 2" xfId="4781"/>
    <cellStyle name="40% - akcent 6 2 27 3" xfId="4782"/>
    <cellStyle name="40% - akcent 6 2 27 4" xfId="4783"/>
    <cellStyle name="40% - akcent 6 2 27 5" xfId="4784"/>
    <cellStyle name="40% - akcent 6 2 27 6" xfId="4785"/>
    <cellStyle name="40% - akcent 6 2 28" xfId="4786"/>
    <cellStyle name="40% - akcent 6 2 28 2" xfId="4787"/>
    <cellStyle name="40% - akcent 6 2 28 3" xfId="4788"/>
    <cellStyle name="40% - akcent 6 2 28 4" xfId="4789"/>
    <cellStyle name="40% - akcent 6 2 28 5" xfId="4790"/>
    <cellStyle name="40% - akcent 6 2 28 6" xfId="4791"/>
    <cellStyle name="40% - akcent 6 2 29" xfId="4792"/>
    <cellStyle name="40% - akcent 6 2 29 2" xfId="4793"/>
    <cellStyle name="40% - akcent 6 2 3" xfId="4794"/>
    <cellStyle name="40% - akcent 6 2 3 2" xfId="4795"/>
    <cellStyle name="40% - akcent 6 2 3 3" xfId="4796"/>
    <cellStyle name="40% - akcent 6 2 3 4" xfId="4797"/>
    <cellStyle name="40% - akcent 6 2 3 5" xfId="4798"/>
    <cellStyle name="40% - akcent 6 2 3 6" xfId="4799"/>
    <cellStyle name="40% - akcent 6 2 3 7" xfId="4800"/>
    <cellStyle name="40% - akcent 6 2 30" xfId="4801"/>
    <cellStyle name="40% - akcent 6 2 30 2" xfId="4802"/>
    <cellStyle name="40% - akcent 6 2 31" xfId="4803"/>
    <cellStyle name="40% - akcent 6 2 31 2" xfId="4804"/>
    <cellStyle name="40% - akcent 6 2 32" xfId="4805"/>
    <cellStyle name="40% - akcent 6 2 32 2" xfId="4806"/>
    <cellStyle name="40% - akcent 6 2 33" xfId="4807"/>
    <cellStyle name="40% - akcent 6 2 34" xfId="4808"/>
    <cellStyle name="40% - akcent 6 2 35" xfId="4809"/>
    <cellStyle name="40% - akcent 6 2 36" xfId="4810"/>
    <cellStyle name="40% - akcent 6 2 37" xfId="4811"/>
    <cellStyle name="40% - akcent 6 2 38" xfId="4812"/>
    <cellStyle name="40% - akcent 6 2 39" xfId="4813"/>
    <cellStyle name="40% - akcent 6 2 4" xfId="4814"/>
    <cellStyle name="40% - akcent 6 2 4 2" xfId="4815"/>
    <cellStyle name="40% - akcent 6 2 4 3" xfId="4816"/>
    <cellStyle name="40% - akcent 6 2 4 4" xfId="4817"/>
    <cellStyle name="40% - akcent 6 2 4 5" xfId="4818"/>
    <cellStyle name="40% - akcent 6 2 4 6" xfId="4819"/>
    <cellStyle name="40% - akcent 6 2 4 7" xfId="4820"/>
    <cellStyle name="40% - akcent 6 2 40" xfId="4821"/>
    <cellStyle name="40% - akcent 6 2 41" xfId="4822"/>
    <cellStyle name="40% - akcent 6 2 42" xfId="4823"/>
    <cellStyle name="40% - akcent 6 2 43" xfId="4824"/>
    <cellStyle name="40% - akcent 6 2 44" xfId="4825"/>
    <cellStyle name="40% - akcent 6 2 45" xfId="4826"/>
    <cellStyle name="40% - akcent 6 2 46" xfId="4827"/>
    <cellStyle name="40% - akcent 6 2 47" xfId="4828"/>
    <cellStyle name="40% - akcent 6 2 48" xfId="4829"/>
    <cellStyle name="40% - akcent 6 2 49" xfId="4830"/>
    <cellStyle name="40% - akcent 6 2 5" xfId="4831"/>
    <cellStyle name="40% - akcent 6 2 5 2" xfId="4832"/>
    <cellStyle name="40% - akcent 6 2 5 3" xfId="4833"/>
    <cellStyle name="40% - akcent 6 2 5 4" xfId="4834"/>
    <cellStyle name="40% - akcent 6 2 5 5" xfId="4835"/>
    <cellStyle name="40% - akcent 6 2 5 6" xfId="4836"/>
    <cellStyle name="40% - akcent 6 2 50" xfId="4837"/>
    <cellStyle name="40% - akcent 6 2 51" xfId="4838"/>
    <cellStyle name="40% - akcent 6 2 6" xfId="4839"/>
    <cellStyle name="40% - akcent 6 2 6 2" xfId="4840"/>
    <cellStyle name="40% - akcent 6 2 6 3" xfId="4841"/>
    <cellStyle name="40% - akcent 6 2 6 4" xfId="4842"/>
    <cellStyle name="40% - akcent 6 2 6 5" xfId="4843"/>
    <cellStyle name="40% - akcent 6 2 6 6" xfId="4844"/>
    <cellStyle name="40% - akcent 6 2 7" xfId="4845"/>
    <cellStyle name="40% - akcent 6 2 7 2" xfId="4846"/>
    <cellStyle name="40% - akcent 6 2 7 3" xfId="4847"/>
    <cellStyle name="40% - akcent 6 2 7 4" xfId="4848"/>
    <cellStyle name="40% - akcent 6 2 7 5" xfId="4849"/>
    <cellStyle name="40% - akcent 6 2 7 6" xfId="4850"/>
    <cellStyle name="40% - akcent 6 2 8" xfId="4851"/>
    <cellStyle name="40% - akcent 6 2 8 2" xfId="4852"/>
    <cellStyle name="40% - akcent 6 2 8 3" xfId="4853"/>
    <cellStyle name="40% - akcent 6 2 8 4" xfId="4854"/>
    <cellStyle name="40% - akcent 6 2 8 5" xfId="4855"/>
    <cellStyle name="40% - akcent 6 2 8 6" xfId="4856"/>
    <cellStyle name="40% - akcent 6 2 9" xfId="4857"/>
    <cellStyle name="40% - akcent 6 2 9 2" xfId="4858"/>
    <cellStyle name="40% - akcent 6 2 9 3" xfId="4859"/>
    <cellStyle name="40% - akcent 6 2 9 4" xfId="4860"/>
    <cellStyle name="40% - akcent 6 2 9 5" xfId="4861"/>
    <cellStyle name="40% - akcent 6 2 9 6" xfId="4862"/>
    <cellStyle name="40% - akcent 6 20" xfId="4863"/>
    <cellStyle name="40% - akcent 6 21" xfId="4864"/>
    <cellStyle name="40% - akcent 6 22" xfId="4865"/>
    <cellStyle name="40% - akcent 6 23" xfId="4866"/>
    <cellStyle name="40% - akcent 6 24" xfId="4867"/>
    <cellStyle name="40% - akcent 6 25" xfId="4868"/>
    <cellStyle name="40% - akcent 6 26" xfId="4869"/>
    <cellStyle name="40% - akcent 6 27" xfId="4870"/>
    <cellStyle name="40% - akcent 6 28" xfId="4871"/>
    <cellStyle name="40% - akcent 6 29" xfId="4872"/>
    <cellStyle name="40% - akcent 6 3" xfId="4873"/>
    <cellStyle name="40% - akcent 6 3 2" xfId="4874"/>
    <cellStyle name="40% - akcent 6 3 2 2" xfId="4875"/>
    <cellStyle name="40% - akcent 6 3 3" xfId="4876"/>
    <cellStyle name="40% - akcent 6 3 3 2" xfId="4877"/>
    <cellStyle name="40% - akcent 6 3 4" xfId="4878"/>
    <cellStyle name="40% - akcent 6 3 4 2" xfId="4879"/>
    <cellStyle name="40% - akcent 6 3 5" xfId="4880"/>
    <cellStyle name="40% - akcent 6 3 6" xfId="4881"/>
    <cellStyle name="40% - akcent 6 3 7" xfId="4882"/>
    <cellStyle name="40% - akcent 6 3 8" xfId="4883"/>
    <cellStyle name="40% - akcent 6 30" xfId="4884"/>
    <cellStyle name="40% - akcent 6 30 2" xfId="4885"/>
    <cellStyle name="40% - akcent 6 31" xfId="4886"/>
    <cellStyle name="40% - akcent 6 31 2" xfId="4887"/>
    <cellStyle name="40% - akcent 6 32" xfId="4888"/>
    <cellStyle name="40% - akcent 6 32 2" xfId="4889"/>
    <cellStyle name="40% - akcent 6 33" xfId="4890"/>
    <cellStyle name="40% - akcent 6 33 2" xfId="4891"/>
    <cellStyle name="40% - akcent 6 34" xfId="4892"/>
    <cellStyle name="40% - akcent 6 34 2" xfId="4893"/>
    <cellStyle name="40% - akcent 6 35" xfId="4894"/>
    <cellStyle name="40% - akcent 6 35 2" xfId="4895"/>
    <cellStyle name="40% - akcent 6 36" xfId="4896"/>
    <cellStyle name="40% - akcent 6 36 2" xfId="4897"/>
    <cellStyle name="40% - akcent 6 37" xfId="4898"/>
    <cellStyle name="40% - akcent 6 37 2" xfId="4899"/>
    <cellStyle name="40% - akcent 6 38" xfId="4900"/>
    <cellStyle name="40% - akcent 6 38 2" xfId="4901"/>
    <cellStyle name="40% - akcent 6 39" xfId="4902"/>
    <cellStyle name="40% - akcent 6 39 2" xfId="4903"/>
    <cellStyle name="40% - akcent 6 4" xfId="4904"/>
    <cellStyle name="40% - akcent 6 4 2" xfId="4905"/>
    <cellStyle name="40% - akcent 6 4 2 2" xfId="4906"/>
    <cellStyle name="40% - akcent 6 4 3" xfId="4907"/>
    <cellStyle name="40% - akcent 6 4 3 2" xfId="4908"/>
    <cellStyle name="40% - akcent 6 4 4" xfId="4909"/>
    <cellStyle name="40% - akcent 6 4 4 2" xfId="4910"/>
    <cellStyle name="40% - akcent 6 4 5" xfId="4911"/>
    <cellStyle name="40% - akcent 6 4 6" xfId="4912"/>
    <cellStyle name="40% - akcent 6 4 7" xfId="4913"/>
    <cellStyle name="40% - akcent 6 4 8" xfId="4914"/>
    <cellStyle name="40% - akcent 6 40" xfId="4915"/>
    <cellStyle name="40% - akcent 6 40 2" xfId="4916"/>
    <cellStyle name="40% - akcent 6 41" xfId="4917"/>
    <cellStyle name="40% - akcent 6 41 2" xfId="4918"/>
    <cellStyle name="40% - akcent 6 42" xfId="4919"/>
    <cellStyle name="40% - akcent 6 42 2" xfId="4920"/>
    <cellStyle name="40% - akcent 6 43" xfId="4921"/>
    <cellStyle name="40% - akcent 6 43 2" xfId="4922"/>
    <cellStyle name="40% - akcent 6 44" xfId="4923"/>
    <cellStyle name="40% - akcent 6 44 2" xfId="4924"/>
    <cellStyle name="40% - akcent 6 45" xfId="4925"/>
    <cellStyle name="40% - akcent 6 45 2" xfId="4926"/>
    <cellStyle name="40% - akcent 6 46" xfId="4927"/>
    <cellStyle name="40% - akcent 6 46 2" xfId="4928"/>
    <cellStyle name="40% - akcent 6 47" xfId="4929"/>
    <cellStyle name="40% - akcent 6 47 2" xfId="4930"/>
    <cellStyle name="40% - akcent 6 48" xfId="4931"/>
    <cellStyle name="40% - akcent 6 48 2" xfId="4932"/>
    <cellStyle name="40% - akcent 6 49" xfId="4933"/>
    <cellStyle name="40% - akcent 6 49 2" xfId="4934"/>
    <cellStyle name="40% - akcent 6 5" xfId="4935"/>
    <cellStyle name="40% - akcent 6 5 2" xfId="4936"/>
    <cellStyle name="40% - akcent 6 5 3" xfId="4937"/>
    <cellStyle name="40% - akcent 6 50" xfId="4938"/>
    <cellStyle name="40% - akcent 6 50 2" xfId="4939"/>
    <cellStyle name="40% - akcent 6 51" xfId="4940"/>
    <cellStyle name="40% - akcent 6 51 2" xfId="4941"/>
    <cellStyle name="40% - akcent 6 52" xfId="4942"/>
    <cellStyle name="40% - akcent 6 52 2" xfId="4943"/>
    <cellStyle name="40% - akcent 6 53" xfId="4944"/>
    <cellStyle name="40% - akcent 6 53 2" xfId="4945"/>
    <cellStyle name="40% - akcent 6 54" xfId="4946"/>
    <cellStyle name="40% - akcent 6 54 2" xfId="4947"/>
    <cellStyle name="40% - akcent 6 55" xfId="4948"/>
    <cellStyle name="40% - akcent 6 55 2" xfId="4949"/>
    <cellStyle name="40% - akcent 6 56" xfId="4950"/>
    <cellStyle name="40% - akcent 6 56 2" xfId="4951"/>
    <cellStyle name="40% - akcent 6 57" xfId="4952"/>
    <cellStyle name="40% - akcent 6 57 2" xfId="4953"/>
    <cellStyle name="40% - akcent 6 58" xfId="4954"/>
    <cellStyle name="40% - akcent 6 58 2" xfId="4955"/>
    <cellStyle name="40% - akcent 6 59" xfId="4956"/>
    <cellStyle name="40% - akcent 6 59 2" xfId="4957"/>
    <cellStyle name="40% - akcent 6 6" xfId="4958"/>
    <cellStyle name="40% - akcent 6 60" xfId="4959"/>
    <cellStyle name="40% - akcent 6 60 2" xfId="4960"/>
    <cellStyle name="40% - akcent 6 61" xfId="4961"/>
    <cellStyle name="40% - akcent 6 61 2" xfId="4962"/>
    <cellStyle name="40% - akcent 6 62" xfId="4963"/>
    <cellStyle name="40% - akcent 6 62 2" xfId="4964"/>
    <cellStyle name="40% - akcent 6 63" xfId="4965"/>
    <cellStyle name="40% - akcent 6 63 2" xfId="4966"/>
    <cellStyle name="40% - akcent 6 64" xfId="4967"/>
    <cellStyle name="40% - akcent 6 64 2" xfId="4968"/>
    <cellStyle name="40% - akcent 6 65" xfId="4969"/>
    <cellStyle name="40% - akcent 6 65 2" xfId="4970"/>
    <cellStyle name="40% - akcent 6 66" xfId="4971"/>
    <cellStyle name="40% - akcent 6 66 2" xfId="4972"/>
    <cellStyle name="40% - akcent 6 67" xfId="4973"/>
    <cellStyle name="40% - akcent 6 67 2" xfId="4974"/>
    <cellStyle name="40% - akcent 6 68" xfId="4975"/>
    <cellStyle name="40% - akcent 6 68 2" xfId="4976"/>
    <cellStyle name="40% - akcent 6 69" xfId="4977"/>
    <cellStyle name="40% - akcent 6 69 2" xfId="4978"/>
    <cellStyle name="40% - akcent 6 7" xfId="4979"/>
    <cellStyle name="40% - akcent 6 70" xfId="4980"/>
    <cellStyle name="40% - akcent 6 70 2" xfId="4981"/>
    <cellStyle name="40% - akcent 6 71" xfId="4982"/>
    <cellStyle name="40% - akcent 6 71 2" xfId="4983"/>
    <cellStyle name="40% - akcent 6 72" xfId="4984"/>
    <cellStyle name="40% - akcent 6 72 2" xfId="4985"/>
    <cellStyle name="40% - akcent 6 73" xfId="4986"/>
    <cellStyle name="40% - akcent 6 73 2" xfId="4987"/>
    <cellStyle name="40% - akcent 6 74" xfId="4988"/>
    <cellStyle name="40% - akcent 6 74 2" xfId="4989"/>
    <cellStyle name="40% - akcent 6 75" xfId="4990"/>
    <cellStyle name="40% - akcent 6 75 2" xfId="4991"/>
    <cellStyle name="40% - akcent 6 76" xfId="4992"/>
    <cellStyle name="40% - akcent 6 76 2" xfId="4993"/>
    <cellStyle name="40% - akcent 6 77" xfId="4994"/>
    <cellStyle name="40% - akcent 6 77 2" xfId="4995"/>
    <cellStyle name="40% - akcent 6 78" xfId="4996"/>
    <cellStyle name="40% - akcent 6 78 2" xfId="4997"/>
    <cellStyle name="40% - akcent 6 79" xfId="4998"/>
    <cellStyle name="40% - akcent 6 79 2" xfId="4999"/>
    <cellStyle name="40% - akcent 6 8" xfId="5000"/>
    <cellStyle name="40% - akcent 6 80" xfId="5001"/>
    <cellStyle name="40% - akcent 6 80 2" xfId="5002"/>
    <cellStyle name="40% - akcent 6 81" xfId="5003"/>
    <cellStyle name="40% - akcent 6 81 2" xfId="5004"/>
    <cellStyle name="40% - akcent 6 82" xfId="5005"/>
    <cellStyle name="40% - akcent 6 82 2" xfId="5006"/>
    <cellStyle name="40% - akcent 6 83" xfId="5007"/>
    <cellStyle name="40% - akcent 6 83 2" xfId="5008"/>
    <cellStyle name="40% - akcent 6 84" xfId="5009"/>
    <cellStyle name="40% - akcent 6 84 2" xfId="5010"/>
    <cellStyle name="40% - akcent 6 85" xfId="5011"/>
    <cellStyle name="40% - akcent 6 85 2" xfId="5012"/>
    <cellStyle name="40% - akcent 6 86" xfId="5013"/>
    <cellStyle name="40% - akcent 6 86 2" xfId="5014"/>
    <cellStyle name="40% - akcent 6 87" xfId="5015"/>
    <cellStyle name="40% - akcent 6 87 2" xfId="5016"/>
    <cellStyle name="40% - akcent 6 88" xfId="5017"/>
    <cellStyle name="40% - akcent 6 88 2" xfId="5018"/>
    <cellStyle name="40% - akcent 6 89" xfId="5019"/>
    <cellStyle name="40% - akcent 6 89 2" xfId="5020"/>
    <cellStyle name="40% - akcent 6 9" xfId="5021"/>
    <cellStyle name="40% - akcent 6 90" xfId="5022"/>
    <cellStyle name="40% - akcent 6 90 2" xfId="5023"/>
    <cellStyle name="40% - akcent 6 91" xfId="5024"/>
    <cellStyle name="40% - akcent 6 91 2" xfId="5025"/>
    <cellStyle name="40% - akcent 6 92" xfId="5026"/>
    <cellStyle name="40% - akcent 6 92 2" xfId="5027"/>
    <cellStyle name="40% - akcent 6 93" xfId="5028"/>
    <cellStyle name="40% - akcent 6 93 2" xfId="5029"/>
    <cellStyle name="40% - akcent 6 94" xfId="5030"/>
    <cellStyle name="40% - akcent 6 94 2" xfId="5031"/>
    <cellStyle name="40% - akcent 6 95" xfId="5032"/>
    <cellStyle name="40% - akcent 6 95 2" xfId="5033"/>
    <cellStyle name="40% - akcent 6 96" xfId="5034"/>
    <cellStyle name="40% - akcent 6 96 2" xfId="5035"/>
    <cellStyle name="40% - akcent 6 97" xfId="5036"/>
    <cellStyle name="40% - akcent 6 97 2" xfId="5037"/>
    <cellStyle name="40% - akcent 6 98" xfId="5038"/>
    <cellStyle name="40% - akcent 6 98 2" xfId="5039"/>
    <cellStyle name="40% - akcent 6 99" xfId="5040"/>
    <cellStyle name="40% - akcent 6 99 2" xfId="5041"/>
    <cellStyle name="60% - akcent 1 2" xfId="5042"/>
    <cellStyle name="60% - akcent 1 2 10" xfId="5043"/>
    <cellStyle name="60% - akcent 1 2 10 2" xfId="5044"/>
    <cellStyle name="60% - akcent 1 2 10 3" xfId="5045"/>
    <cellStyle name="60% - akcent 1 2 10 4" xfId="5046"/>
    <cellStyle name="60% - akcent 1 2 10 5" xfId="5047"/>
    <cellStyle name="60% - akcent 1 2 10 6" xfId="5048"/>
    <cellStyle name="60% - akcent 1 2 11" xfId="5049"/>
    <cellStyle name="60% - akcent 1 2 11 2" xfId="5050"/>
    <cellStyle name="60% - akcent 1 2 11 3" xfId="5051"/>
    <cellStyle name="60% - akcent 1 2 11 4" xfId="5052"/>
    <cellStyle name="60% - akcent 1 2 11 5" xfId="5053"/>
    <cellStyle name="60% - akcent 1 2 11 6" xfId="5054"/>
    <cellStyle name="60% - akcent 1 2 12" xfId="5055"/>
    <cellStyle name="60% - akcent 1 2 12 2" xfId="5056"/>
    <cellStyle name="60% - akcent 1 2 12 3" xfId="5057"/>
    <cellStyle name="60% - akcent 1 2 12 4" xfId="5058"/>
    <cellStyle name="60% - akcent 1 2 12 5" xfId="5059"/>
    <cellStyle name="60% - akcent 1 2 12 6" xfId="5060"/>
    <cellStyle name="60% - akcent 1 2 13" xfId="5061"/>
    <cellStyle name="60% - akcent 1 2 13 2" xfId="5062"/>
    <cellStyle name="60% - akcent 1 2 13 3" xfId="5063"/>
    <cellStyle name="60% - akcent 1 2 13 4" xfId="5064"/>
    <cellStyle name="60% - akcent 1 2 13 5" xfId="5065"/>
    <cellStyle name="60% - akcent 1 2 13 6" xfId="5066"/>
    <cellStyle name="60% - akcent 1 2 14" xfId="5067"/>
    <cellStyle name="60% - akcent 1 2 14 2" xfId="5068"/>
    <cellStyle name="60% - akcent 1 2 14 3" xfId="5069"/>
    <cellStyle name="60% - akcent 1 2 14 4" xfId="5070"/>
    <cellStyle name="60% - akcent 1 2 14 5" xfId="5071"/>
    <cellStyle name="60% - akcent 1 2 14 6" xfId="5072"/>
    <cellStyle name="60% - akcent 1 2 15" xfId="5073"/>
    <cellStyle name="60% - akcent 1 2 15 2" xfId="5074"/>
    <cellStyle name="60% - akcent 1 2 15 3" xfId="5075"/>
    <cellStyle name="60% - akcent 1 2 15 4" xfId="5076"/>
    <cellStyle name="60% - akcent 1 2 15 5" xfId="5077"/>
    <cellStyle name="60% - akcent 1 2 15 6" xfId="5078"/>
    <cellStyle name="60% - akcent 1 2 16" xfId="5079"/>
    <cellStyle name="60% - akcent 1 2 16 2" xfId="5080"/>
    <cellStyle name="60% - akcent 1 2 16 3" xfId="5081"/>
    <cellStyle name="60% - akcent 1 2 16 4" xfId="5082"/>
    <cellStyle name="60% - akcent 1 2 16 5" xfId="5083"/>
    <cellStyle name="60% - akcent 1 2 16 6" xfId="5084"/>
    <cellStyle name="60% - akcent 1 2 17" xfId="5085"/>
    <cellStyle name="60% - akcent 1 2 17 2" xfId="5086"/>
    <cellStyle name="60% - akcent 1 2 17 3" xfId="5087"/>
    <cellStyle name="60% - akcent 1 2 17 4" xfId="5088"/>
    <cellStyle name="60% - akcent 1 2 17 5" xfId="5089"/>
    <cellStyle name="60% - akcent 1 2 17 6" xfId="5090"/>
    <cellStyle name="60% - akcent 1 2 18" xfId="5091"/>
    <cellStyle name="60% - akcent 1 2 18 2" xfId="5092"/>
    <cellStyle name="60% - akcent 1 2 18 3" xfId="5093"/>
    <cellStyle name="60% - akcent 1 2 18 4" xfId="5094"/>
    <cellStyle name="60% - akcent 1 2 18 5" xfId="5095"/>
    <cellStyle name="60% - akcent 1 2 18 6" xfId="5096"/>
    <cellStyle name="60% - akcent 1 2 19" xfId="5097"/>
    <cellStyle name="60% - akcent 1 2 19 2" xfId="5098"/>
    <cellStyle name="60% - akcent 1 2 19 3" xfId="5099"/>
    <cellStyle name="60% - akcent 1 2 19 4" xfId="5100"/>
    <cellStyle name="60% - akcent 1 2 19 5" xfId="5101"/>
    <cellStyle name="60% - akcent 1 2 19 6" xfId="5102"/>
    <cellStyle name="60% - akcent 1 2 2" xfId="5103"/>
    <cellStyle name="60% - akcent 1 2 2 2" xfId="5104"/>
    <cellStyle name="60% - akcent 1 2 2 3" xfId="5105"/>
    <cellStyle name="60% - akcent 1 2 2 4" xfId="5106"/>
    <cellStyle name="60% - akcent 1 2 2 5" xfId="5107"/>
    <cellStyle name="60% - akcent 1 2 2 6" xfId="5108"/>
    <cellStyle name="60% - akcent 1 2 2 7" xfId="5109"/>
    <cellStyle name="60% - akcent 1 2 20" xfId="5110"/>
    <cellStyle name="60% - akcent 1 2 20 2" xfId="5111"/>
    <cellStyle name="60% - akcent 1 2 20 3" xfId="5112"/>
    <cellStyle name="60% - akcent 1 2 20 4" xfId="5113"/>
    <cellStyle name="60% - akcent 1 2 20 5" xfId="5114"/>
    <cellStyle name="60% - akcent 1 2 20 6" xfId="5115"/>
    <cellStyle name="60% - akcent 1 2 21" xfId="5116"/>
    <cellStyle name="60% - akcent 1 2 21 2" xfId="5117"/>
    <cellStyle name="60% - akcent 1 2 21 3" xfId="5118"/>
    <cellStyle name="60% - akcent 1 2 21 4" xfId="5119"/>
    <cellStyle name="60% - akcent 1 2 21 5" xfId="5120"/>
    <cellStyle name="60% - akcent 1 2 21 6" xfId="5121"/>
    <cellStyle name="60% - akcent 1 2 22" xfId="5122"/>
    <cellStyle name="60% - akcent 1 2 22 2" xfId="5123"/>
    <cellStyle name="60% - akcent 1 2 22 3" xfId="5124"/>
    <cellStyle name="60% - akcent 1 2 22 4" xfId="5125"/>
    <cellStyle name="60% - akcent 1 2 22 5" xfId="5126"/>
    <cellStyle name="60% - akcent 1 2 22 6" xfId="5127"/>
    <cellStyle name="60% - akcent 1 2 23" xfId="5128"/>
    <cellStyle name="60% - akcent 1 2 23 2" xfId="5129"/>
    <cellStyle name="60% - akcent 1 2 23 3" xfId="5130"/>
    <cellStyle name="60% - akcent 1 2 23 4" xfId="5131"/>
    <cellStyle name="60% - akcent 1 2 23 5" xfId="5132"/>
    <cellStyle name="60% - akcent 1 2 23 6" xfId="5133"/>
    <cellStyle name="60% - akcent 1 2 24" xfId="5134"/>
    <cellStyle name="60% - akcent 1 2 24 2" xfId="5135"/>
    <cellStyle name="60% - akcent 1 2 24 3" xfId="5136"/>
    <cellStyle name="60% - akcent 1 2 24 4" xfId="5137"/>
    <cellStyle name="60% - akcent 1 2 24 5" xfId="5138"/>
    <cellStyle name="60% - akcent 1 2 24 6" xfId="5139"/>
    <cellStyle name="60% - akcent 1 2 25" xfId="5140"/>
    <cellStyle name="60% - akcent 1 2 25 2" xfId="5141"/>
    <cellStyle name="60% - akcent 1 2 25 3" xfId="5142"/>
    <cellStyle name="60% - akcent 1 2 25 4" xfId="5143"/>
    <cellStyle name="60% - akcent 1 2 25 5" xfId="5144"/>
    <cellStyle name="60% - akcent 1 2 25 6" xfId="5145"/>
    <cellStyle name="60% - akcent 1 2 26" xfId="5146"/>
    <cellStyle name="60% - akcent 1 2 26 2" xfId="5147"/>
    <cellStyle name="60% - akcent 1 2 26 3" xfId="5148"/>
    <cellStyle name="60% - akcent 1 2 26 4" xfId="5149"/>
    <cellStyle name="60% - akcent 1 2 26 5" xfId="5150"/>
    <cellStyle name="60% - akcent 1 2 26 6" xfId="5151"/>
    <cellStyle name="60% - akcent 1 2 27" xfId="5152"/>
    <cellStyle name="60% - akcent 1 2 27 2" xfId="5153"/>
    <cellStyle name="60% - akcent 1 2 27 3" xfId="5154"/>
    <cellStyle name="60% - akcent 1 2 27 4" xfId="5155"/>
    <cellStyle name="60% - akcent 1 2 27 5" xfId="5156"/>
    <cellStyle name="60% - akcent 1 2 27 6" xfId="5157"/>
    <cellStyle name="60% - akcent 1 2 28" xfId="5158"/>
    <cellStyle name="60% - akcent 1 2 28 2" xfId="5159"/>
    <cellStyle name="60% - akcent 1 2 28 3" xfId="5160"/>
    <cellStyle name="60% - akcent 1 2 28 4" xfId="5161"/>
    <cellStyle name="60% - akcent 1 2 28 5" xfId="5162"/>
    <cellStyle name="60% - akcent 1 2 28 6" xfId="5163"/>
    <cellStyle name="60% - akcent 1 2 29" xfId="5164"/>
    <cellStyle name="60% - akcent 1 2 29 2" xfId="5165"/>
    <cellStyle name="60% - akcent 1 2 3" xfId="5166"/>
    <cellStyle name="60% - akcent 1 2 3 2" xfId="5167"/>
    <cellStyle name="60% - akcent 1 2 3 3" xfId="5168"/>
    <cellStyle name="60% - akcent 1 2 3 4" xfId="5169"/>
    <cellStyle name="60% - akcent 1 2 3 5" xfId="5170"/>
    <cellStyle name="60% - akcent 1 2 3 6" xfId="5171"/>
    <cellStyle name="60% - akcent 1 2 30" xfId="5172"/>
    <cellStyle name="60% - akcent 1 2 30 2" xfId="5173"/>
    <cellStyle name="60% - akcent 1 2 31" xfId="5174"/>
    <cellStyle name="60% - akcent 1 2 31 2" xfId="5175"/>
    <cellStyle name="60% - akcent 1 2 32" xfId="5176"/>
    <cellStyle name="60% - akcent 1 2 32 2" xfId="5177"/>
    <cellStyle name="60% - akcent 1 2 33" xfId="5178"/>
    <cellStyle name="60% - akcent 1 2 34" xfId="5179"/>
    <cellStyle name="60% - akcent 1 2 35" xfId="5180"/>
    <cellStyle name="60% - akcent 1 2 36" xfId="5181"/>
    <cellStyle name="60% - akcent 1 2 37" xfId="5182"/>
    <cellStyle name="60% - akcent 1 2 38" xfId="5183"/>
    <cellStyle name="60% - akcent 1 2 39" xfId="5184"/>
    <cellStyle name="60% - akcent 1 2 4" xfId="5185"/>
    <cellStyle name="60% - akcent 1 2 4 2" xfId="5186"/>
    <cellStyle name="60% - akcent 1 2 4 3" xfId="5187"/>
    <cellStyle name="60% - akcent 1 2 4 4" xfId="5188"/>
    <cellStyle name="60% - akcent 1 2 4 5" xfId="5189"/>
    <cellStyle name="60% - akcent 1 2 4 6" xfId="5190"/>
    <cellStyle name="60% - akcent 1 2 40" xfId="5191"/>
    <cellStyle name="60% - akcent 1 2 41" xfId="5192"/>
    <cellStyle name="60% - akcent 1 2 42" xfId="5193"/>
    <cellStyle name="60% - akcent 1 2 43" xfId="5194"/>
    <cellStyle name="60% - akcent 1 2 44" xfId="5195"/>
    <cellStyle name="60% - akcent 1 2 45" xfId="5196"/>
    <cellStyle name="60% - akcent 1 2 46" xfId="5197"/>
    <cellStyle name="60% - akcent 1 2 47" xfId="5198"/>
    <cellStyle name="60% - akcent 1 2 48" xfId="5199"/>
    <cellStyle name="60% - akcent 1 2 49" xfId="5200"/>
    <cellStyle name="60% - akcent 1 2 5" xfId="5201"/>
    <cellStyle name="60% - akcent 1 2 5 2" xfId="5202"/>
    <cellStyle name="60% - akcent 1 2 5 3" xfId="5203"/>
    <cellStyle name="60% - akcent 1 2 5 4" xfId="5204"/>
    <cellStyle name="60% - akcent 1 2 5 5" xfId="5205"/>
    <cellStyle name="60% - akcent 1 2 5 6" xfId="5206"/>
    <cellStyle name="60% - akcent 1 2 50" xfId="5207"/>
    <cellStyle name="60% - akcent 1 2 51" xfId="5208"/>
    <cellStyle name="60% - akcent 1 2 52" xfId="5209"/>
    <cellStyle name="60% - akcent 1 2 6" xfId="5210"/>
    <cellStyle name="60% - akcent 1 2 6 2" xfId="5211"/>
    <cellStyle name="60% - akcent 1 2 6 3" xfId="5212"/>
    <cellStyle name="60% - akcent 1 2 6 4" xfId="5213"/>
    <cellStyle name="60% - akcent 1 2 6 5" xfId="5214"/>
    <cellStyle name="60% - akcent 1 2 6 6" xfId="5215"/>
    <cellStyle name="60% - akcent 1 2 7" xfId="5216"/>
    <cellStyle name="60% - akcent 1 2 7 2" xfId="5217"/>
    <cellStyle name="60% - akcent 1 2 7 3" xfId="5218"/>
    <cellStyle name="60% - akcent 1 2 7 4" xfId="5219"/>
    <cellStyle name="60% - akcent 1 2 7 5" xfId="5220"/>
    <cellStyle name="60% - akcent 1 2 7 6" xfId="5221"/>
    <cellStyle name="60% - akcent 1 2 8" xfId="5222"/>
    <cellStyle name="60% - akcent 1 2 8 2" xfId="5223"/>
    <cellStyle name="60% - akcent 1 2 8 3" xfId="5224"/>
    <cellStyle name="60% - akcent 1 2 8 4" xfId="5225"/>
    <cellStyle name="60% - akcent 1 2 8 5" xfId="5226"/>
    <cellStyle name="60% - akcent 1 2 8 6" xfId="5227"/>
    <cellStyle name="60% - akcent 1 2 9" xfId="5228"/>
    <cellStyle name="60% - akcent 1 2 9 2" xfId="5229"/>
    <cellStyle name="60% - akcent 1 2 9 3" xfId="5230"/>
    <cellStyle name="60% - akcent 1 2 9 4" xfId="5231"/>
    <cellStyle name="60% - akcent 1 2 9 5" xfId="5232"/>
    <cellStyle name="60% - akcent 1 2 9 6" xfId="5233"/>
    <cellStyle name="60% - akcent 1 3" xfId="5234"/>
    <cellStyle name="60% - akcent 1 3 2" xfId="5235"/>
    <cellStyle name="60% - akcent 1 3 2 2" xfId="5236"/>
    <cellStyle name="60% - akcent 1 3 3" xfId="5237"/>
    <cellStyle name="60% - akcent 1 3 4" xfId="5238"/>
    <cellStyle name="60% - akcent 1 3 5" xfId="5239"/>
    <cellStyle name="60% - akcent 1 3 6" xfId="5240"/>
    <cellStyle name="60% - akcent 1 3 7" xfId="5241"/>
    <cellStyle name="60% - akcent 1 3 8" xfId="5242"/>
    <cellStyle name="60% - akcent 1 4" xfId="5243"/>
    <cellStyle name="60% - akcent 1 4 2" xfId="5244"/>
    <cellStyle name="60% - akcent 1 4 3" xfId="5245"/>
    <cellStyle name="60% - akcent 1 4 4" xfId="5246"/>
    <cellStyle name="60% - akcent 1 4 5" xfId="5247"/>
    <cellStyle name="60% - akcent 1 4 6" xfId="5248"/>
    <cellStyle name="60% - akcent 1 4 7" xfId="5249"/>
    <cellStyle name="60% - akcent 1 4 8" xfId="5250"/>
    <cellStyle name="60% - akcent 1 5" xfId="5251"/>
    <cellStyle name="60% - akcent 1 5 2" xfId="5252"/>
    <cellStyle name="60% - akcent 1 6" xfId="5253"/>
    <cellStyle name="60% - akcent 1 7" xfId="5254"/>
    <cellStyle name="60% - akcent 2 2" xfId="5255"/>
    <cellStyle name="60% - akcent 2 2 10" xfId="5256"/>
    <cellStyle name="60% - akcent 2 2 10 2" xfId="5257"/>
    <cellStyle name="60% - akcent 2 2 10 3" xfId="5258"/>
    <cellStyle name="60% - akcent 2 2 10 4" xfId="5259"/>
    <cellStyle name="60% - akcent 2 2 10 5" xfId="5260"/>
    <cellStyle name="60% - akcent 2 2 10 6" xfId="5261"/>
    <cellStyle name="60% - akcent 2 2 11" xfId="5262"/>
    <cellStyle name="60% - akcent 2 2 11 2" xfId="5263"/>
    <cellStyle name="60% - akcent 2 2 11 3" xfId="5264"/>
    <cellStyle name="60% - akcent 2 2 11 4" xfId="5265"/>
    <cellStyle name="60% - akcent 2 2 11 5" xfId="5266"/>
    <cellStyle name="60% - akcent 2 2 11 6" xfId="5267"/>
    <cellStyle name="60% - akcent 2 2 12" xfId="5268"/>
    <cellStyle name="60% - akcent 2 2 12 2" xfId="5269"/>
    <cellStyle name="60% - akcent 2 2 12 3" xfId="5270"/>
    <cellStyle name="60% - akcent 2 2 12 4" xfId="5271"/>
    <cellStyle name="60% - akcent 2 2 12 5" xfId="5272"/>
    <cellStyle name="60% - akcent 2 2 12 6" xfId="5273"/>
    <cellStyle name="60% - akcent 2 2 13" xfId="5274"/>
    <cellStyle name="60% - akcent 2 2 13 2" xfId="5275"/>
    <cellStyle name="60% - akcent 2 2 13 3" xfId="5276"/>
    <cellStyle name="60% - akcent 2 2 13 4" xfId="5277"/>
    <cellStyle name="60% - akcent 2 2 13 5" xfId="5278"/>
    <cellStyle name="60% - akcent 2 2 13 6" xfId="5279"/>
    <cellStyle name="60% - akcent 2 2 14" xfId="5280"/>
    <cellStyle name="60% - akcent 2 2 14 2" xfId="5281"/>
    <cellStyle name="60% - akcent 2 2 14 3" xfId="5282"/>
    <cellStyle name="60% - akcent 2 2 14 4" xfId="5283"/>
    <cellStyle name="60% - akcent 2 2 14 5" xfId="5284"/>
    <cellStyle name="60% - akcent 2 2 14 6" xfId="5285"/>
    <cellStyle name="60% - akcent 2 2 15" xfId="5286"/>
    <cellStyle name="60% - akcent 2 2 15 2" xfId="5287"/>
    <cellStyle name="60% - akcent 2 2 15 3" xfId="5288"/>
    <cellStyle name="60% - akcent 2 2 15 4" xfId="5289"/>
    <cellStyle name="60% - akcent 2 2 15 5" xfId="5290"/>
    <cellStyle name="60% - akcent 2 2 15 6" xfId="5291"/>
    <cellStyle name="60% - akcent 2 2 16" xfId="5292"/>
    <cellStyle name="60% - akcent 2 2 16 2" xfId="5293"/>
    <cellStyle name="60% - akcent 2 2 16 3" xfId="5294"/>
    <cellStyle name="60% - akcent 2 2 16 4" xfId="5295"/>
    <cellStyle name="60% - akcent 2 2 16 5" xfId="5296"/>
    <cellStyle name="60% - akcent 2 2 16 6" xfId="5297"/>
    <cellStyle name="60% - akcent 2 2 17" xfId="5298"/>
    <cellStyle name="60% - akcent 2 2 17 2" xfId="5299"/>
    <cellStyle name="60% - akcent 2 2 17 3" xfId="5300"/>
    <cellStyle name="60% - akcent 2 2 17 4" xfId="5301"/>
    <cellStyle name="60% - akcent 2 2 17 5" xfId="5302"/>
    <cellStyle name="60% - akcent 2 2 17 6" xfId="5303"/>
    <cellStyle name="60% - akcent 2 2 18" xfId="5304"/>
    <cellStyle name="60% - akcent 2 2 18 2" xfId="5305"/>
    <cellStyle name="60% - akcent 2 2 18 3" xfId="5306"/>
    <cellStyle name="60% - akcent 2 2 18 4" xfId="5307"/>
    <cellStyle name="60% - akcent 2 2 18 5" xfId="5308"/>
    <cellStyle name="60% - akcent 2 2 18 6" xfId="5309"/>
    <cellStyle name="60% - akcent 2 2 19" xfId="5310"/>
    <cellStyle name="60% - akcent 2 2 19 2" xfId="5311"/>
    <cellStyle name="60% - akcent 2 2 19 3" xfId="5312"/>
    <cellStyle name="60% - akcent 2 2 19 4" xfId="5313"/>
    <cellStyle name="60% - akcent 2 2 19 5" xfId="5314"/>
    <cellStyle name="60% - akcent 2 2 19 6" xfId="5315"/>
    <cellStyle name="60% - akcent 2 2 2" xfId="5316"/>
    <cellStyle name="60% - akcent 2 2 2 2" xfId="5317"/>
    <cellStyle name="60% - akcent 2 2 2 3" xfId="5318"/>
    <cellStyle name="60% - akcent 2 2 2 4" xfId="5319"/>
    <cellStyle name="60% - akcent 2 2 2 5" xfId="5320"/>
    <cellStyle name="60% - akcent 2 2 2 6" xfId="5321"/>
    <cellStyle name="60% - akcent 2 2 2 7" xfId="5322"/>
    <cellStyle name="60% - akcent 2 2 20" xfId="5323"/>
    <cellStyle name="60% - akcent 2 2 20 2" xfId="5324"/>
    <cellStyle name="60% - akcent 2 2 20 3" xfId="5325"/>
    <cellStyle name="60% - akcent 2 2 20 4" xfId="5326"/>
    <cellStyle name="60% - akcent 2 2 20 5" xfId="5327"/>
    <cellStyle name="60% - akcent 2 2 20 6" xfId="5328"/>
    <cellStyle name="60% - akcent 2 2 21" xfId="5329"/>
    <cellStyle name="60% - akcent 2 2 21 2" xfId="5330"/>
    <cellStyle name="60% - akcent 2 2 21 3" xfId="5331"/>
    <cellStyle name="60% - akcent 2 2 21 4" xfId="5332"/>
    <cellStyle name="60% - akcent 2 2 21 5" xfId="5333"/>
    <cellStyle name="60% - akcent 2 2 21 6" xfId="5334"/>
    <cellStyle name="60% - akcent 2 2 22" xfId="5335"/>
    <cellStyle name="60% - akcent 2 2 22 2" xfId="5336"/>
    <cellStyle name="60% - akcent 2 2 22 3" xfId="5337"/>
    <cellStyle name="60% - akcent 2 2 22 4" xfId="5338"/>
    <cellStyle name="60% - akcent 2 2 22 5" xfId="5339"/>
    <cellStyle name="60% - akcent 2 2 22 6" xfId="5340"/>
    <cellStyle name="60% - akcent 2 2 23" xfId="5341"/>
    <cellStyle name="60% - akcent 2 2 23 2" xfId="5342"/>
    <cellStyle name="60% - akcent 2 2 23 3" xfId="5343"/>
    <cellStyle name="60% - akcent 2 2 23 4" xfId="5344"/>
    <cellStyle name="60% - akcent 2 2 23 5" xfId="5345"/>
    <cellStyle name="60% - akcent 2 2 23 6" xfId="5346"/>
    <cellStyle name="60% - akcent 2 2 24" xfId="5347"/>
    <cellStyle name="60% - akcent 2 2 24 2" xfId="5348"/>
    <cellStyle name="60% - akcent 2 2 24 3" xfId="5349"/>
    <cellStyle name="60% - akcent 2 2 24 4" xfId="5350"/>
    <cellStyle name="60% - akcent 2 2 24 5" xfId="5351"/>
    <cellStyle name="60% - akcent 2 2 24 6" xfId="5352"/>
    <cellStyle name="60% - akcent 2 2 25" xfId="5353"/>
    <cellStyle name="60% - akcent 2 2 25 2" xfId="5354"/>
    <cellStyle name="60% - akcent 2 2 25 3" xfId="5355"/>
    <cellStyle name="60% - akcent 2 2 25 4" xfId="5356"/>
    <cellStyle name="60% - akcent 2 2 25 5" xfId="5357"/>
    <cellStyle name="60% - akcent 2 2 25 6" xfId="5358"/>
    <cellStyle name="60% - akcent 2 2 26" xfId="5359"/>
    <cellStyle name="60% - akcent 2 2 26 2" xfId="5360"/>
    <cellStyle name="60% - akcent 2 2 26 3" xfId="5361"/>
    <cellStyle name="60% - akcent 2 2 26 4" xfId="5362"/>
    <cellStyle name="60% - akcent 2 2 26 5" xfId="5363"/>
    <cellStyle name="60% - akcent 2 2 26 6" xfId="5364"/>
    <cellStyle name="60% - akcent 2 2 27" xfId="5365"/>
    <cellStyle name="60% - akcent 2 2 27 2" xfId="5366"/>
    <cellStyle name="60% - akcent 2 2 27 3" xfId="5367"/>
    <cellStyle name="60% - akcent 2 2 27 4" xfId="5368"/>
    <cellStyle name="60% - akcent 2 2 27 5" xfId="5369"/>
    <cellStyle name="60% - akcent 2 2 27 6" xfId="5370"/>
    <cellStyle name="60% - akcent 2 2 28" xfId="5371"/>
    <cellStyle name="60% - akcent 2 2 28 2" xfId="5372"/>
    <cellStyle name="60% - akcent 2 2 28 3" xfId="5373"/>
    <cellStyle name="60% - akcent 2 2 28 4" xfId="5374"/>
    <cellStyle name="60% - akcent 2 2 28 5" xfId="5375"/>
    <cellStyle name="60% - akcent 2 2 28 6" xfId="5376"/>
    <cellStyle name="60% - akcent 2 2 29" xfId="5377"/>
    <cellStyle name="60% - akcent 2 2 29 2" xfId="5378"/>
    <cellStyle name="60% - akcent 2 2 3" xfId="5379"/>
    <cellStyle name="60% - akcent 2 2 3 2" xfId="5380"/>
    <cellStyle name="60% - akcent 2 2 3 3" xfId="5381"/>
    <cellStyle name="60% - akcent 2 2 3 4" xfId="5382"/>
    <cellStyle name="60% - akcent 2 2 3 5" xfId="5383"/>
    <cellStyle name="60% - akcent 2 2 3 6" xfId="5384"/>
    <cellStyle name="60% - akcent 2 2 30" xfId="5385"/>
    <cellStyle name="60% - akcent 2 2 30 2" xfId="5386"/>
    <cellStyle name="60% - akcent 2 2 31" xfId="5387"/>
    <cellStyle name="60% - akcent 2 2 31 2" xfId="5388"/>
    <cellStyle name="60% - akcent 2 2 32" xfId="5389"/>
    <cellStyle name="60% - akcent 2 2 32 2" xfId="5390"/>
    <cellStyle name="60% - akcent 2 2 33" xfId="5391"/>
    <cellStyle name="60% - akcent 2 2 34" xfId="5392"/>
    <cellStyle name="60% - akcent 2 2 35" xfId="5393"/>
    <cellStyle name="60% - akcent 2 2 36" xfId="5394"/>
    <cellStyle name="60% - akcent 2 2 37" xfId="5395"/>
    <cellStyle name="60% - akcent 2 2 38" xfId="5396"/>
    <cellStyle name="60% - akcent 2 2 39" xfId="5397"/>
    <cellStyle name="60% - akcent 2 2 4" xfId="5398"/>
    <cellStyle name="60% - akcent 2 2 4 2" xfId="5399"/>
    <cellStyle name="60% - akcent 2 2 4 3" xfId="5400"/>
    <cellStyle name="60% - akcent 2 2 4 4" xfId="5401"/>
    <cellStyle name="60% - akcent 2 2 4 5" xfId="5402"/>
    <cellStyle name="60% - akcent 2 2 4 6" xfId="5403"/>
    <cellStyle name="60% - akcent 2 2 40" xfId="5404"/>
    <cellStyle name="60% - akcent 2 2 41" xfId="5405"/>
    <cellStyle name="60% - akcent 2 2 42" xfId="5406"/>
    <cellStyle name="60% - akcent 2 2 43" xfId="5407"/>
    <cellStyle name="60% - akcent 2 2 44" xfId="5408"/>
    <cellStyle name="60% - akcent 2 2 45" xfId="5409"/>
    <cellStyle name="60% - akcent 2 2 46" xfId="5410"/>
    <cellStyle name="60% - akcent 2 2 47" xfId="5411"/>
    <cellStyle name="60% - akcent 2 2 48" xfId="5412"/>
    <cellStyle name="60% - akcent 2 2 49" xfId="5413"/>
    <cellStyle name="60% - akcent 2 2 5" xfId="5414"/>
    <cellStyle name="60% - akcent 2 2 5 2" xfId="5415"/>
    <cellStyle name="60% - akcent 2 2 5 3" xfId="5416"/>
    <cellStyle name="60% - akcent 2 2 5 4" xfId="5417"/>
    <cellStyle name="60% - akcent 2 2 5 5" xfId="5418"/>
    <cellStyle name="60% - akcent 2 2 5 6" xfId="5419"/>
    <cellStyle name="60% - akcent 2 2 50" xfId="5420"/>
    <cellStyle name="60% - akcent 2 2 51" xfId="5421"/>
    <cellStyle name="60% - akcent 2 2 52" xfId="5422"/>
    <cellStyle name="60% - akcent 2 2 6" xfId="5423"/>
    <cellStyle name="60% - akcent 2 2 6 2" xfId="5424"/>
    <cellStyle name="60% - akcent 2 2 6 3" xfId="5425"/>
    <cellStyle name="60% - akcent 2 2 6 4" xfId="5426"/>
    <cellStyle name="60% - akcent 2 2 6 5" xfId="5427"/>
    <cellStyle name="60% - akcent 2 2 6 6" xfId="5428"/>
    <cellStyle name="60% - akcent 2 2 7" xfId="5429"/>
    <cellStyle name="60% - akcent 2 2 7 2" xfId="5430"/>
    <cellStyle name="60% - akcent 2 2 7 3" xfId="5431"/>
    <cellStyle name="60% - akcent 2 2 7 4" xfId="5432"/>
    <cellStyle name="60% - akcent 2 2 7 5" xfId="5433"/>
    <cellStyle name="60% - akcent 2 2 7 6" xfId="5434"/>
    <cellStyle name="60% - akcent 2 2 8" xfId="5435"/>
    <cellStyle name="60% - akcent 2 2 8 2" xfId="5436"/>
    <cellStyle name="60% - akcent 2 2 8 3" xfId="5437"/>
    <cellStyle name="60% - akcent 2 2 8 4" xfId="5438"/>
    <cellStyle name="60% - akcent 2 2 8 5" xfId="5439"/>
    <cellStyle name="60% - akcent 2 2 8 6" xfId="5440"/>
    <cellStyle name="60% - akcent 2 2 9" xfId="5441"/>
    <cellStyle name="60% - akcent 2 2 9 2" xfId="5442"/>
    <cellStyle name="60% - akcent 2 2 9 3" xfId="5443"/>
    <cellStyle name="60% - akcent 2 2 9 4" xfId="5444"/>
    <cellStyle name="60% - akcent 2 2 9 5" xfId="5445"/>
    <cellStyle name="60% - akcent 2 2 9 6" xfId="5446"/>
    <cellStyle name="60% - akcent 2 3" xfId="5447"/>
    <cellStyle name="60% - akcent 2 3 2" xfId="5448"/>
    <cellStyle name="60% - akcent 2 3 2 2" xfId="5449"/>
    <cellStyle name="60% - akcent 2 3 3" xfId="5450"/>
    <cellStyle name="60% - akcent 2 3 4" xfId="5451"/>
    <cellStyle name="60% - akcent 2 3 5" xfId="5452"/>
    <cellStyle name="60% - akcent 2 3 6" xfId="5453"/>
    <cellStyle name="60% - akcent 2 3 7" xfId="5454"/>
    <cellStyle name="60% - akcent 2 3 8" xfId="5455"/>
    <cellStyle name="60% - akcent 2 4" xfId="5456"/>
    <cellStyle name="60% - akcent 2 4 2" xfId="5457"/>
    <cellStyle name="60% - akcent 2 4 3" xfId="5458"/>
    <cellStyle name="60% - akcent 2 4 4" xfId="5459"/>
    <cellStyle name="60% - akcent 2 4 5" xfId="5460"/>
    <cellStyle name="60% - akcent 2 4 6" xfId="5461"/>
    <cellStyle name="60% - akcent 2 4 7" xfId="5462"/>
    <cellStyle name="60% - akcent 2 4 8" xfId="5463"/>
    <cellStyle name="60% - akcent 2 5" xfId="5464"/>
    <cellStyle name="60% - akcent 2 5 2" xfId="5465"/>
    <cellStyle name="60% - akcent 2 6" xfId="5466"/>
    <cellStyle name="60% - akcent 2 7" xfId="5467"/>
    <cellStyle name="60% - akcent 3 2" xfId="5468"/>
    <cellStyle name="60% - akcent 3 2 10" xfId="5469"/>
    <cellStyle name="60% - akcent 3 2 10 2" xfId="5470"/>
    <cellStyle name="60% - akcent 3 2 10 3" xfId="5471"/>
    <cellStyle name="60% - akcent 3 2 10 4" xfId="5472"/>
    <cellStyle name="60% - akcent 3 2 10 5" xfId="5473"/>
    <cellStyle name="60% - akcent 3 2 10 6" xfId="5474"/>
    <cellStyle name="60% - akcent 3 2 11" xfId="5475"/>
    <cellStyle name="60% - akcent 3 2 11 2" xfId="5476"/>
    <cellStyle name="60% - akcent 3 2 11 3" xfId="5477"/>
    <cellStyle name="60% - akcent 3 2 11 4" xfId="5478"/>
    <cellStyle name="60% - akcent 3 2 11 5" xfId="5479"/>
    <cellStyle name="60% - akcent 3 2 11 6" xfId="5480"/>
    <cellStyle name="60% - akcent 3 2 12" xfId="5481"/>
    <cellStyle name="60% - akcent 3 2 12 2" xfId="5482"/>
    <cellStyle name="60% - akcent 3 2 12 3" xfId="5483"/>
    <cellStyle name="60% - akcent 3 2 12 4" xfId="5484"/>
    <cellStyle name="60% - akcent 3 2 12 5" xfId="5485"/>
    <cellStyle name="60% - akcent 3 2 12 6" xfId="5486"/>
    <cellStyle name="60% - akcent 3 2 13" xfId="5487"/>
    <cellStyle name="60% - akcent 3 2 13 2" xfId="5488"/>
    <cellStyle name="60% - akcent 3 2 13 3" xfId="5489"/>
    <cellStyle name="60% - akcent 3 2 13 4" xfId="5490"/>
    <cellStyle name="60% - akcent 3 2 13 5" xfId="5491"/>
    <cellStyle name="60% - akcent 3 2 13 6" xfId="5492"/>
    <cellStyle name="60% - akcent 3 2 14" xfId="5493"/>
    <cellStyle name="60% - akcent 3 2 14 2" xfId="5494"/>
    <cellStyle name="60% - akcent 3 2 14 3" xfId="5495"/>
    <cellStyle name="60% - akcent 3 2 14 4" xfId="5496"/>
    <cellStyle name="60% - akcent 3 2 14 5" xfId="5497"/>
    <cellStyle name="60% - akcent 3 2 14 6" xfId="5498"/>
    <cellStyle name="60% - akcent 3 2 15" xfId="5499"/>
    <cellStyle name="60% - akcent 3 2 15 2" xfId="5500"/>
    <cellStyle name="60% - akcent 3 2 15 3" xfId="5501"/>
    <cellStyle name="60% - akcent 3 2 15 4" xfId="5502"/>
    <cellStyle name="60% - akcent 3 2 15 5" xfId="5503"/>
    <cellStyle name="60% - akcent 3 2 15 6" xfId="5504"/>
    <cellStyle name="60% - akcent 3 2 16" xfId="5505"/>
    <cellStyle name="60% - akcent 3 2 16 2" xfId="5506"/>
    <cellStyle name="60% - akcent 3 2 16 3" xfId="5507"/>
    <cellStyle name="60% - akcent 3 2 16 4" xfId="5508"/>
    <cellStyle name="60% - akcent 3 2 16 5" xfId="5509"/>
    <cellStyle name="60% - akcent 3 2 16 6" xfId="5510"/>
    <cellStyle name="60% - akcent 3 2 17" xfId="5511"/>
    <cellStyle name="60% - akcent 3 2 17 2" xfId="5512"/>
    <cellStyle name="60% - akcent 3 2 17 3" xfId="5513"/>
    <cellStyle name="60% - akcent 3 2 17 4" xfId="5514"/>
    <cellStyle name="60% - akcent 3 2 17 5" xfId="5515"/>
    <cellStyle name="60% - akcent 3 2 17 6" xfId="5516"/>
    <cellStyle name="60% - akcent 3 2 18" xfId="5517"/>
    <cellStyle name="60% - akcent 3 2 18 2" xfId="5518"/>
    <cellStyle name="60% - akcent 3 2 18 3" xfId="5519"/>
    <cellStyle name="60% - akcent 3 2 18 4" xfId="5520"/>
    <cellStyle name="60% - akcent 3 2 18 5" xfId="5521"/>
    <cellStyle name="60% - akcent 3 2 18 6" xfId="5522"/>
    <cellStyle name="60% - akcent 3 2 19" xfId="5523"/>
    <cellStyle name="60% - akcent 3 2 19 2" xfId="5524"/>
    <cellStyle name="60% - akcent 3 2 19 3" xfId="5525"/>
    <cellStyle name="60% - akcent 3 2 19 4" xfId="5526"/>
    <cellStyle name="60% - akcent 3 2 19 5" xfId="5527"/>
    <cellStyle name="60% - akcent 3 2 19 6" xfId="5528"/>
    <cellStyle name="60% - akcent 3 2 2" xfId="5529"/>
    <cellStyle name="60% - akcent 3 2 2 2" xfId="5530"/>
    <cellStyle name="60% - akcent 3 2 2 3" xfId="5531"/>
    <cellStyle name="60% - akcent 3 2 2 4" xfId="5532"/>
    <cellStyle name="60% - akcent 3 2 2 5" xfId="5533"/>
    <cellStyle name="60% - akcent 3 2 2 6" xfId="5534"/>
    <cellStyle name="60% - akcent 3 2 2 7" xfId="5535"/>
    <cellStyle name="60% - akcent 3 2 20" xfId="5536"/>
    <cellStyle name="60% - akcent 3 2 20 2" xfId="5537"/>
    <cellStyle name="60% - akcent 3 2 20 3" xfId="5538"/>
    <cellStyle name="60% - akcent 3 2 20 4" xfId="5539"/>
    <cellStyle name="60% - akcent 3 2 20 5" xfId="5540"/>
    <cellStyle name="60% - akcent 3 2 20 6" xfId="5541"/>
    <cellStyle name="60% - akcent 3 2 21" xfId="5542"/>
    <cellStyle name="60% - akcent 3 2 21 2" xfId="5543"/>
    <cellStyle name="60% - akcent 3 2 21 3" xfId="5544"/>
    <cellStyle name="60% - akcent 3 2 21 4" xfId="5545"/>
    <cellStyle name="60% - akcent 3 2 21 5" xfId="5546"/>
    <cellStyle name="60% - akcent 3 2 21 6" xfId="5547"/>
    <cellStyle name="60% - akcent 3 2 22" xfId="5548"/>
    <cellStyle name="60% - akcent 3 2 22 2" xfId="5549"/>
    <cellStyle name="60% - akcent 3 2 22 3" xfId="5550"/>
    <cellStyle name="60% - akcent 3 2 22 4" xfId="5551"/>
    <cellStyle name="60% - akcent 3 2 22 5" xfId="5552"/>
    <cellStyle name="60% - akcent 3 2 22 6" xfId="5553"/>
    <cellStyle name="60% - akcent 3 2 23" xfId="5554"/>
    <cellStyle name="60% - akcent 3 2 23 2" xfId="5555"/>
    <cellStyle name="60% - akcent 3 2 23 3" xfId="5556"/>
    <cellStyle name="60% - akcent 3 2 23 4" xfId="5557"/>
    <cellStyle name="60% - akcent 3 2 23 5" xfId="5558"/>
    <cellStyle name="60% - akcent 3 2 23 6" xfId="5559"/>
    <cellStyle name="60% - akcent 3 2 24" xfId="5560"/>
    <cellStyle name="60% - akcent 3 2 24 2" xfId="5561"/>
    <cellStyle name="60% - akcent 3 2 24 3" xfId="5562"/>
    <cellStyle name="60% - akcent 3 2 24 4" xfId="5563"/>
    <cellStyle name="60% - akcent 3 2 24 5" xfId="5564"/>
    <cellStyle name="60% - akcent 3 2 24 6" xfId="5565"/>
    <cellStyle name="60% - akcent 3 2 25" xfId="5566"/>
    <cellStyle name="60% - akcent 3 2 25 2" xfId="5567"/>
    <cellStyle name="60% - akcent 3 2 25 3" xfId="5568"/>
    <cellStyle name="60% - akcent 3 2 25 4" xfId="5569"/>
    <cellStyle name="60% - akcent 3 2 25 5" xfId="5570"/>
    <cellStyle name="60% - akcent 3 2 25 6" xfId="5571"/>
    <cellStyle name="60% - akcent 3 2 26" xfId="5572"/>
    <cellStyle name="60% - akcent 3 2 26 2" xfId="5573"/>
    <cellStyle name="60% - akcent 3 2 26 3" xfId="5574"/>
    <cellStyle name="60% - akcent 3 2 26 4" xfId="5575"/>
    <cellStyle name="60% - akcent 3 2 26 5" xfId="5576"/>
    <cellStyle name="60% - akcent 3 2 26 6" xfId="5577"/>
    <cellStyle name="60% - akcent 3 2 27" xfId="5578"/>
    <cellStyle name="60% - akcent 3 2 27 2" xfId="5579"/>
    <cellStyle name="60% - akcent 3 2 27 3" xfId="5580"/>
    <cellStyle name="60% - akcent 3 2 27 4" xfId="5581"/>
    <cellStyle name="60% - akcent 3 2 27 5" xfId="5582"/>
    <cellStyle name="60% - akcent 3 2 27 6" xfId="5583"/>
    <cellStyle name="60% - akcent 3 2 28" xfId="5584"/>
    <cellStyle name="60% - akcent 3 2 28 2" xfId="5585"/>
    <cellStyle name="60% - akcent 3 2 28 3" xfId="5586"/>
    <cellStyle name="60% - akcent 3 2 28 4" xfId="5587"/>
    <cellStyle name="60% - akcent 3 2 28 5" xfId="5588"/>
    <cellStyle name="60% - akcent 3 2 28 6" xfId="5589"/>
    <cellStyle name="60% - akcent 3 2 29" xfId="5590"/>
    <cellStyle name="60% - akcent 3 2 29 2" xfId="5591"/>
    <cellStyle name="60% - akcent 3 2 3" xfId="5592"/>
    <cellStyle name="60% - akcent 3 2 3 2" xfId="5593"/>
    <cellStyle name="60% - akcent 3 2 3 3" xfId="5594"/>
    <cellStyle name="60% - akcent 3 2 3 4" xfId="5595"/>
    <cellStyle name="60% - akcent 3 2 3 5" xfId="5596"/>
    <cellStyle name="60% - akcent 3 2 3 6" xfId="5597"/>
    <cellStyle name="60% - akcent 3 2 30" xfId="5598"/>
    <cellStyle name="60% - akcent 3 2 30 2" xfId="5599"/>
    <cellStyle name="60% - akcent 3 2 31" xfId="5600"/>
    <cellStyle name="60% - akcent 3 2 31 2" xfId="5601"/>
    <cellStyle name="60% - akcent 3 2 32" xfId="5602"/>
    <cellStyle name="60% - akcent 3 2 32 2" xfId="5603"/>
    <cellStyle name="60% - akcent 3 2 33" xfId="5604"/>
    <cellStyle name="60% - akcent 3 2 34" xfId="5605"/>
    <cellStyle name="60% - akcent 3 2 35" xfId="5606"/>
    <cellStyle name="60% - akcent 3 2 36" xfId="5607"/>
    <cellStyle name="60% - akcent 3 2 37" xfId="5608"/>
    <cellStyle name="60% - akcent 3 2 38" xfId="5609"/>
    <cellStyle name="60% - akcent 3 2 39" xfId="5610"/>
    <cellStyle name="60% - akcent 3 2 4" xfId="5611"/>
    <cellStyle name="60% - akcent 3 2 4 2" xfId="5612"/>
    <cellStyle name="60% - akcent 3 2 4 3" xfId="5613"/>
    <cellStyle name="60% - akcent 3 2 4 4" xfId="5614"/>
    <cellStyle name="60% - akcent 3 2 4 5" xfId="5615"/>
    <cellStyle name="60% - akcent 3 2 4 6" xfId="5616"/>
    <cellStyle name="60% - akcent 3 2 40" xfId="5617"/>
    <cellStyle name="60% - akcent 3 2 41" xfId="5618"/>
    <cellStyle name="60% - akcent 3 2 42" xfId="5619"/>
    <cellStyle name="60% - akcent 3 2 43" xfId="5620"/>
    <cellStyle name="60% - akcent 3 2 44" xfId="5621"/>
    <cellStyle name="60% - akcent 3 2 45" xfId="5622"/>
    <cellStyle name="60% - akcent 3 2 46" xfId="5623"/>
    <cellStyle name="60% - akcent 3 2 47" xfId="5624"/>
    <cellStyle name="60% - akcent 3 2 48" xfId="5625"/>
    <cellStyle name="60% - akcent 3 2 49" xfId="5626"/>
    <cellStyle name="60% - akcent 3 2 5" xfId="5627"/>
    <cellStyle name="60% - akcent 3 2 5 2" xfId="5628"/>
    <cellStyle name="60% - akcent 3 2 5 3" xfId="5629"/>
    <cellStyle name="60% - akcent 3 2 5 4" xfId="5630"/>
    <cellStyle name="60% - akcent 3 2 5 5" xfId="5631"/>
    <cellStyle name="60% - akcent 3 2 5 6" xfId="5632"/>
    <cellStyle name="60% - akcent 3 2 50" xfId="5633"/>
    <cellStyle name="60% - akcent 3 2 51" xfId="5634"/>
    <cellStyle name="60% - akcent 3 2 52" xfId="5635"/>
    <cellStyle name="60% - akcent 3 2 6" xfId="5636"/>
    <cellStyle name="60% - akcent 3 2 6 2" xfId="5637"/>
    <cellStyle name="60% - akcent 3 2 6 3" xfId="5638"/>
    <cellStyle name="60% - akcent 3 2 6 4" xfId="5639"/>
    <cellStyle name="60% - akcent 3 2 6 5" xfId="5640"/>
    <cellStyle name="60% - akcent 3 2 6 6" xfId="5641"/>
    <cellStyle name="60% - akcent 3 2 7" xfId="5642"/>
    <cellStyle name="60% - akcent 3 2 7 2" xfId="5643"/>
    <cellStyle name="60% - akcent 3 2 7 3" xfId="5644"/>
    <cellStyle name="60% - akcent 3 2 7 4" xfId="5645"/>
    <cellStyle name="60% - akcent 3 2 7 5" xfId="5646"/>
    <cellStyle name="60% - akcent 3 2 7 6" xfId="5647"/>
    <cellStyle name="60% - akcent 3 2 8" xfId="5648"/>
    <cellStyle name="60% - akcent 3 2 8 2" xfId="5649"/>
    <cellStyle name="60% - akcent 3 2 8 3" xfId="5650"/>
    <cellStyle name="60% - akcent 3 2 8 4" xfId="5651"/>
    <cellStyle name="60% - akcent 3 2 8 5" xfId="5652"/>
    <cellStyle name="60% - akcent 3 2 8 6" xfId="5653"/>
    <cellStyle name="60% - akcent 3 2 9" xfId="5654"/>
    <cellStyle name="60% - akcent 3 2 9 2" xfId="5655"/>
    <cellStyle name="60% - akcent 3 2 9 3" xfId="5656"/>
    <cellStyle name="60% - akcent 3 2 9 4" xfId="5657"/>
    <cellStyle name="60% - akcent 3 2 9 5" xfId="5658"/>
    <cellStyle name="60% - akcent 3 2 9 6" xfId="5659"/>
    <cellStyle name="60% - akcent 3 3" xfId="5660"/>
    <cellStyle name="60% - akcent 3 3 2" xfId="5661"/>
    <cellStyle name="60% - akcent 3 3 2 2" xfId="5662"/>
    <cellStyle name="60% - akcent 3 3 3" xfId="5663"/>
    <cellStyle name="60% - akcent 3 3 4" xfId="5664"/>
    <cellStyle name="60% - akcent 3 3 5" xfId="5665"/>
    <cellStyle name="60% - akcent 3 3 6" xfId="5666"/>
    <cellStyle name="60% - akcent 3 3 7" xfId="5667"/>
    <cellStyle name="60% - akcent 3 3 8" xfId="5668"/>
    <cellStyle name="60% - akcent 3 4" xfId="5669"/>
    <cellStyle name="60% - akcent 3 4 2" xfId="5670"/>
    <cellStyle name="60% - akcent 3 4 3" xfId="5671"/>
    <cellStyle name="60% - akcent 3 4 4" xfId="5672"/>
    <cellStyle name="60% - akcent 3 4 5" xfId="5673"/>
    <cellStyle name="60% - akcent 3 4 6" xfId="5674"/>
    <cellStyle name="60% - akcent 3 4 7" xfId="5675"/>
    <cellStyle name="60% - akcent 3 4 8" xfId="5676"/>
    <cellStyle name="60% - akcent 3 5" xfId="5677"/>
    <cellStyle name="60% - akcent 3 5 2" xfId="5678"/>
    <cellStyle name="60% - akcent 3 6" xfId="5679"/>
    <cellStyle name="60% - akcent 3 7" xfId="5680"/>
    <cellStyle name="60% - akcent 4 2" xfId="5681"/>
    <cellStyle name="60% - akcent 4 2 10" xfId="5682"/>
    <cellStyle name="60% - akcent 4 2 10 2" xfId="5683"/>
    <cellStyle name="60% - akcent 4 2 10 3" xfId="5684"/>
    <cellStyle name="60% - akcent 4 2 10 4" xfId="5685"/>
    <cellStyle name="60% - akcent 4 2 10 5" xfId="5686"/>
    <cellStyle name="60% - akcent 4 2 10 6" xfId="5687"/>
    <cellStyle name="60% - akcent 4 2 11" xfId="5688"/>
    <cellStyle name="60% - akcent 4 2 11 2" xfId="5689"/>
    <cellStyle name="60% - akcent 4 2 11 3" xfId="5690"/>
    <cellStyle name="60% - akcent 4 2 11 4" xfId="5691"/>
    <cellStyle name="60% - akcent 4 2 11 5" xfId="5692"/>
    <cellStyle name="60% - akcent 4 2 11 6" xfId="5693"/>
    <cellStyle name="60% - akcent 4 2 12" xfId="5694"/>
    <cellStyle name="60% - akcent 4 2 12 2" xfId="5695"/>
    <cellStyle name="60% - akcent 4 2 12 3" xfId="5696"/>
    <cellStyle name="60% - akcent 4 2 12 4" xfId="5697"/>
    <cellStyle name="60% - akcent 4 2 12 5" xfId="5698"/>
    <cellStyle name="60% - akcent 4 2 12 6" xfId="5699"/>
    <cellStyle name="60% - akcent 4 2 13" xfId="5700"/>
    <cellStyle name="60% - akcent 4 2 13 2" xfId="5701"/>
    <cellStyle name="60% - akcent 4 2 13 3" xfId="5702"/>
    <cellStyle name="60% - akcent 4 2 13 4" xfId="5703"/>
    <cellStyle name="60% - akcent 4 2 13 5" xfId="5704"/>
    <cellStyle name="60% - akcent 4 2 13 6" xfId="5705"/>
    <cellStyle name="60% - akcent 4 2 14" xfId="5706"/>
    <cellStyle name="60% - akcent 4 2 14 2" xfId="5707"/>
    <cellStyle name="60% - akcent 4 2 14 3" xfId="5708"/>
    <cellStyle name="60% - akcent 4 2 14 4" xfId="5709"/>
    <cellStyle name="60% - akcent 4 2 14 5" xfId="5710"/>
    <cellStyle name="60% - akcent 4 2 14 6" xfId="5711"/>
    <cellStyle name="60% - akcent 4 2 15" xfId="5712"/>
    <cellStyle name="60% - akcent 4 2 15 2" xfId="5713"/>
    <cellStyle name="60% - akcent 4 2 15 3" xfId="5714"/>
    <cellStyle name="60% - akcent 4 2 15 4" xfId="5715"/>
    <cellStyle name="60% - akcent 4 2 15 5" xfId="5716"/>
    <cellStyle name="60% - akcent 4 2 15 6" xfId="5717"/>
    <cellStyle name="60% - akcent 4 2 16" xfId="5718"/>
    <cellStyle name="60% - akcent 4 2 16 2" xfId="5719"/>
    <cellStyle name="60% - akcent 4 2 16 3" xfId="5720"/>
    <cellStyle name="60% - akcent 4 2 16 4" xfId="5721"/>
    <cellStyle name="60% - akcent 4 2 16 5" xfId="5722"/>
    <cellStyle name="60% - akcent 4 2 16 6" xfId="5723"/>
    <cellStyle name="60% - akcent 4 2 17" xfId="5724"/>
    <cellStyle name="60% - akcent 4 2 17 2" xfId="5725"/>
    <cellStyle name="60% - akcent 4 2 17 3" xfId="5726"/>
    <cellStyle name="60% - akcent 4 2 17 4" xfId="5727"/>
    <cellStyle name="60% - akcent 4 2 17 5" xfId="5728"/>
    <cellStyle name="60% - akcent 4 2 17 6" xfId="5729"/>
    <cellStyle name="60% - akcent 4 2 18" xfId="5730"/>
    <cellStyle name="60% - akcent 4 2 18 2" xfId="5731"/>
    <cellStyle name="60% - akcent 4 2 18 3" xfId="5732"/>
    <cellStyle name="60% - akcent 4 2 18 4" xfId="5733"/>
    <cellStyle name="60% - akcent 4 2 18 5" xfId="5734"/>
    <cellStyle name="60% - akcent 4 2 18 6" xfId="5735"/>
    <cellStyle name="60% - akcent 4 2 19" xfId="5736"/>
    <cellStyle name="60% - akcent 4 2 19 2" xfId="5737"/>
    <cellStyle name="60% - akcent 4 2 19 3" xfId="5738"/>
    <cellStyle name="60% - akcent 4 2 19 4" xfId="5739"/>
    <cellStyle name="60% - akcent 4 2 19 5" xfId="5740"/>
    <cellStyle name="60% - akcent 4 2 19 6" xfId="5741"/>
    <cellStyle name="60% - akcent 4 2 2" xfId="5742"/>
    <cellStyle name="60% - akcent 4 2 2 2" xfId="5743"/>
    <cellStyle name="60% - akcent 4 2 2 3" xfId="5744"/>
    <cellStyle name="60% - akcent 4 2 2 4" xfId="5745"/>
    <cellStyle name="60% - akcent 4 2 2 5" xfId="5746"/>
    <cellStyle name="60% - akcent 4 2 2 6" xfId="5747"/>
    <cellStyle name="60% - akcent 4 2 2 7" xfId="5748"/>
    <cellStyle name="60% - akcent 4 2 20" xfId="5749"/>
    <cellStyle name="60% - akcent 4 2 20 2" xfId="5750"/>
    <cellStyle name="60% - akcent 4 2 20 3" xfId="5751"/>
    <cellStyle name="60% - akcent 4 2 20 4" xfId="5752"/>
    <cellStyle name="60% - akcent 4 2 20 5" xfId="5753"/>
    <cellStyle name="60% - akcent 4 2 20 6" xfId="5754"/>
    <cellStyle name="60% - akcent 4 2 21" xfId="5755"/>
    <cellStyle name="60% - akcent 4 2 21 2" xfId="5756"/>
    <cellStyle name="60% - akcent 4 2 21 3" xfId="5757"/>
    <cellStyle name="60% - akcent 4 2 21 4" xfId="5758"/>
    <cellStyle name="60% - akcent 4 2 21 5" xfId="5759"/>
    <cellStyle name="60% - akcent 4 2 21 6" xfId="5760"/>
    <cellStyle name="60% - akcent 4 2 22" xfId="5761"/>
    <cellStyle name="60% - akcent 4 2 22 2" xfId="5762"/>
    <cellStyle name="60% - akcent 4 2 22 3" xfId="5763"/>
    <cellStyle name="60% - akcent 4 2 22 4" xfId="5764"/>
    <cellStyle name="60% - akcent 4 2 22 5" xfId="5765"/>
    <cellStyle name="60% - akcent 4 2 22 6" xfId="5766"/>
    <cellStyle name="60% - akcent 4 2 23" xfId="5767"/>
    <cellStyle name="60% - akcent 4 2 23 2" xfId="5768"/>
    <cellStyle name="60% - akcent 4 2 23 3" xfId="5769"/>
    <cellStyle name="60% - akcent 4 2 23 4" xfId="5770"/>
    <cellStyle name="60% - akcent 4 2 23 5" xfId="5771"/>
    <cellStyle name="60% - akcent 4 2 23 6" xfId="5772"/>
    <cellStyle name="60% - akcent 4 2 24" xfId="5773"/>
    <cellStyle name="60% - akcent 4 2 24 2" xfId="5774"/>
    <cellStyle name="60% - akcent 4 2 24 3" xfId="5775"/>
    <cellStyle name="60% - akcent 4 2 24 4" xfId="5776"/>
    <cellStyle name="60% - akcent 4 2 24 5" xfId="5777"/>
    <cellStyle name="60% - akcent 4 2 24 6" xfId="5778"/>
    <cellStyle name="60% - akcent 4 2 25" xfId="5779"/>
    <cellStyle name="60% - akcent 4 2 25 2" xfId="5780"/>
    <cellStyle name="60% - akcent 4 2 25 3" xfId="5781"/>
    <cellStyle name="60% - akcent 4 2 25 4" xfId="5782"/>
    <cellStyle name="60% - akcent 4 2 25 5" xfId="5783"/>
    <cellStyle name="60% - akcent 4 2 25 6" xfId="5784"/>
    <cellStyle name="60% - akcent 4 2 26" xfId="5785"/>
    <cellStyle name="60% - akcent 4 2 26 2" xfId="5786"/>
    <cellStyle name="60% - akcent 4 2 26 3" xfId="5787"/>
    <cellStyle name="60% - akcent 4 2 26 4" xfId="5788"/>
    <cellStyle name="60% - akcent 4 2 26 5" xfId="5789"/>
    <cellStyle name="60% - akcent 4 2 26 6" xfId="5790"/>
    <cellStyle name="60% - akcent 4 2 27" xfId="5791"/>
    <cellStyle name="60% - akcent 4 2 27 2" xfId="5792"/>
    <cellStyle name="60% - akcent 4 2 27 3" xfId="5793"/>
    <cellStyle name="60% - akcent 4 2 27 4" xfId="5794"/>
    <cellStyle name="60% - akcent 4 2 27 5" xfId="5795"/>
    <cellStyle name="60% - akcent 4 2 27 6" xfId="5796"/>
    <cellStyle name="60% - akcent 4 2 28" xfId="5797"/>
    <cellStyle name="60% - akcent 4 2 28 2" xfId="5798"/>
    <cellStyle name="60% - akcent 4 2 28 3" xfId="5799"/>
    <cellStyle name="60% - akcent 4 2 28 4" xfId="5800"/>
    <cellStyle name="60% - akcent 4 2 28 5" xfId="5801"/>
    <cellStyle name="60% - akcent 4 2 28 6" xfId="5802"/>
    <cellStyle name="60% - akcent 4 2 29" xfId="5803"/>
    <cellStyle name="60% - akcent 4 2 29 2" xfId="5804"/>
    <cellStyle name="60% - akcent 4 2 3" xfId="5805"/>
    <cellStyle name="60% - akcent 4 2 3 2" xfId="5806"/>
    <cellStyle name="60% - akcent 4 2 3 3" xfId="5807"/>
    <cellStyle name="60% - akcent 4 2 3 4" xfId="5808"/>
    <cellStyle name="60% - akcent 4 2 3 5" xfId="5809"/>
    <cellStyle name="60% - akcent 4 2 3 6" xfId="5810"/>
    <cellStyle name="60% - akcent 4 2 30" xfId="5811"/>
    <cellStyle name="60% - akcent 4 2 30 2" xfId="5812"/>
    <cellStyle name="60% - akcent 4 2 31" xfId="5813"/>
    <cellStyle name="60% - akcent 4 2 31 2" xfId="5814"/>
    <cellStyle name="60% - akcent 4 2 32" xfId="5815"/>
    <cellStyle name="60% - akcent 4 2 32 2" xfId="5816"/>
    <cellStyle name="60% - akcent 4 2 33" xfId="5817"/>
    <cellStyle name="60% - akcent 4 2 34" xfId="5818"/>
    <cellStyle name="60% - akcent 4 2 35" xfId="5819"/>
    <cellStyle name="60% - akcent 4 2 36" xfId="5820"/>
    <cellStyle name="60% - akcent 4 2 37" xfId="5821"/>
    <cellStyle name="60% - akcent 4 2 38" xfId="5822"/>
    <cellStyle name="60% - akcent 4 2 39" xfId="5823"/>
    <cellStyle name="60% - akcent 4 2 4" xfId="5824"/>
    <cellStyle name="60% - akcent 4 2 4 2" xfId="5825"/>
    <cellStyle name="60% - akcent 4 2 4 3" xfId="5826"/>
    <cellStyle name="60% - akcent 4 2 4 4" xfId="5827"/>
    <cellStyle name="60% - akcent 4 2 4 5" xfId="5828"/>
    <cellStyle name="60% - akcent 4 2 4 6" xfId="5829"/>
    <cellStyle name="60% - akcent 4 2 40" xfId="5830"/>
    <cellStyle name="60% - akcent 4 2 41" xfId="5831"/>
    <cellStyle name="60% - akcent 4 2 42" xfId="5832"/>
    <cellStyle name="60% - akcent 4 2 43" xfId="5833"/>
    <cellStyle name="60% - akcent 4 2 44" xfId="5834"/>
    <cellStyle name="60% - akcent 4 2 45" xfId="5835"/>
    <cellStyle name="60% - akcent 4 2 46" xfId="5836"/>
    <cellStyle name="60% - akcent 4 2 47" xfId="5837"/>
    <cellStyle name="60% - akcent 4 2 48" xfId="5838"/>
    <cellStyle name="60% - akcent 4 2 49" xfId="5839"/>
    <cellStyle name="60% - akcent 4 2 5" xfId="5840"/>
    <cellStyle name="60% - akcent 4 2 5 2" xfId="5841"/>
    <cellStyle name="60% - akcent 4 2 5 3" xfId="5842"/>
    <cellStyle name="60% - akcent 4 2 5 4" xfId="5843"/>
    <cellStyle name="60% - akcent 4 2 5 5" xfId="5844"/>
    <cellStyle name="60% - akcent 4 2 5 6" xfId="5845"/>
    <cellStyle name="60% - akcent 4 2 50" xfId="5846"/>
    <cellStyle name="60% - akcent 4 2 51" xfId="5847"/>
    <cellStyle name="60% - akcent 4 2 52" xfId="5848"/>
    <cellStyle name="60% - akcent 4 2 6" xfId="5849"/>
    <cellStyle name="60% - akcent 4 2 6 2" xfId="5850"/>
    <cellStyle name="60% - akcent 4 2 6 3" xfId="5851"/>
    <cellStyle name="60% - akcent 4 2 6 4" xfId="5852"/>
    <cellStyle name="60% - akcent 4 2 6 5" xfId="5853"/>
    <cellStyle name="60% - akcent 4 2 6 6" xfId="5854"/>
    <cellStyle name="60% - akcent 4 2 7" xfId="5855"/>
    <cellStyle name="60% - akcent 4 2 7 2" xfId="5856"/>
    <cellStyle name="60% - akcent 4 2 7 3" xfId="5857"/>
    <cellStyle name="60% - akcent 4 2 7 4" xfId="5858"/>
    <cellStyle name="60% - akcent 4 2 7 5" xfId="5859"/>
    <cellStyle name="60% - akcent 4 2 7 6" xfId="5860"/>
    <cellStyle name="60% - akcent 4 2 8" xfId="5861"/>
    <cellStyle name="60% - akcent 4 2 8 2" xfId="5862"/>
    <cellStyle name="60% - akcent 4 2 8 3" xfId="5863"/>
    <cellStyle name="60% - akcent 4 2 8 4" xfId="5864"/>
    <cellStyle name="60% - akcent 4 2 8 5" xfId="5865"/>
    <cellStyle name="60% - akcent 4 2 8 6" xfId="5866"/>
    <cellStyle name="60% - akcent 4 2 9" xfId="5867"/>
    <cellStyle name="60% - akcent 4 2 9 2" xfId="5868"/>
    <cellStyle name="60% - akcent 4 2 9 3" xfId="5869"/>
    <cellStyle name="60% - akcent 4 2 9 4" xfId="5870"/>
    <cellStyle name="60% - akcent 4 2 9 5" xfId="5871"/>
    <cellStyle name="60% - akcent 4 2 9 6" xfId="5872"/>
    <cellStyle name="60% - akcent 4 3" xfId="5873"/>
    <cellStyle name="60% - akcent 4 3 2" xfId="5874"/>
    <cellStyle name="60% - akcent 4 3 2 2" xfId="5875"/>
    <cellStyle name="60% - akcent 4 3 3" xfId="5876"/>
    <cellStyle name="60% - akcent 4 3 4" xfId="5877"/>
    <cellStyle name="60% - akcent 4 3 5" xfId="5878"/>
    <cellStyle name="60% - akcent 4 3 6" xfId="5879"/>
    <cellStyle name="60% - akcent 4 3 7" xfId="5880"/>
    <cellStyle name="60% - akcent 4 3 8" xfId="5881"/>
    <cellStyle name="60% - akcent 4 4" xfId="5882"/>
    <cellStyle name="60% - akcent 4 4 2" xfId="5883"/>
    <cellStyle name="60% - akcent 4 4 3" xfId="5884"/>
    <cellStyle name="60% - akcent 4 4 4" xfId="5885"/>
    <cellStyle name="60% - akcent 4 4 5" xfId="5886"/>
    <cellStyle name="60% - akcent 4 4 6" xfId="5887"/>
    <cellStyle name="60% - akcent 4 4 7" xfId="5888"/>
    <cellStyle name="60% - akcent 4 4 8" xfId="5889"/>
    <cellStyle name="60% - akcent 4 5" xfId="5890"/>
    <cellStyle name="60% - akcent 4 5 2" xfId="5891"/>
    <cellStyle name="60% - akcent 4 6" xfId="5892"/>
    <cellStyle name="60% - akcent 4 7" xfId="5893"/>
    <cellStyle name="60% - akcent 5 2" xfId="5894"/>
    <cellStyle name="60% - akcent 5 2 10" xfId="5895"/>
    <cellStyle name="60% - akcent 5 2 10 2" xfId="5896"/>
    <cellStyle name="60% - akcent 5 2 10 3" xfId="5897"/>
    <cellStyle name="60% - akcent 5 2 10 4" xfId="5898"/>
    <cellStyle name="60% - akcent 5 2 10 5" xfId="5899"/>
    <cellStyle name="60% - akcent 5 2 10 6" xfId="5900"/>
    <cellStyle name="60% - akcent 5 2 11" xfId="5901"/>
    <cellStyle name="60% - akcent 5 2 11 2" xfId="5902"/>
    <cellStyle name="60% - akcent 5 2 11 3" xfId="5903"/>
    <cellStyle name="60% - akcent 5 2 11 4" xfId="5904"/>
    <cellStyle name="60% - akcent 5 2 11 5" xfId="5905"/>
    <cellStyle name="60% - akcent 5 2 11 6" xfId="5906"/>
    <cellStyle name="60% - akcent 5 2 12" xfId="5907"/>
    <cellStyle name="60% - akcent 5 2 12 2" xfId="5908"/>
    <cellStyle name="60% - akcent 5 2 12 3" xfId="5909"/>
    <cellStyle name="60% - akcent 5 2 12 4" xfId="5910"/>
    <cellStyle name="60% - akcent 5 2 12 5" xfId="5911"/>
    <cellStyle name="60% - akcent 5 2 12 6" xfId="5912"/>
    <cellStyle name="60% - akcent 5 2 13" xfId="5913"/>
    <cellStyle name="60% - akcent 5 2 13 2" xfId="5914"/>
    <cellStyle name="60% - akcent 5 2 13 3" xfId="5915"/>
    <cellStyle name="60% - akcent 5 2 13 4" xfId="5916"/>
    <cellStyle name="60% - akcent 5 2 13 5" xfId="5917"/>
    <cellStyle name="60% - akcent 5 2 13 6" xfId="5918"/>
    <cellStyle name="60% - akcent 5 2 14" xfId="5919"/>
    <cellStyle name="60% - akcent 5 2 14 2" xfId="5920"/>
    <cellStyle name="60% - akcent 5 2 14 3" xfId="5921"/>
    <cellStyle name="60% - akcent 5 2 14 4" xfId="5922"/>
    <cellStyle name="60% - akcent 5 2 14 5" xfId="5923"/>
    <cellStyle name="60% - akcent 5 2 14 6" xfId="5924"/>
    <cellStyle name="60% - akcent 5 2 15" xfId="5925"/>
    <cellStyle name="60% - akcent 5 2 15 2" xfId="5926"/>
    <cellStyle name="60% - akcent 5 2 15 3" xfId="5927"/>
    <cellStyle name="60% - akcent 5 2 15 4" xfId="5928"/>
    <cellStyle name="60% - akcent 5 2 15 5" xfId="5929"/>
    <cellStyle name="60% - akcent 5 2 15 6" xfId="5930"/>
    <cellStyle name="60% - akcent 5 2 16" xfId="5931"/>
    <cellStyle name="60% - akcent 5 2 16 2" xfId="5932"/>
    <cellStyle name="60% - akcent 5 2 16 3" xfId="5933"/>
    <cellStyle name="60% - akcent 5 2 16 4" xfId="5934"/>
    <cellStyle name="60% - akcent 5 2 16 5" xfId="5935"/>
    <cellStyle name="60% - akcent 5 2 16 6" xfId="5936"/>
    <cellStyle name="60% - akcent 5 2 17" xfId="5937"/>
    <cellStyle name="60% - akcent 5 2 17 2" xfId="5938"/>
    <cellStyle name="60% - akcent 5 2 17 3" xfId="5939"/>
    <cellStyle name="60% - akcent 5 2 17 4" xfId="5940"/>
    <cellStyle name="60% - akcent 5 2 17 5" xfId="5941"/>
    <cellStyle name="60% - akcent 5 2 17 6" xfId="5942"/>
    <cellStyle name="60% - akcent 5 2 18" xfId="5943"/>
    <cellStyle name="60% - akcent 5 2 18 2" xfId="5944"/>
    <cellStyle name="60% - akcent 5 2 18 3" xfId="5945"/>
    <cellStyle name="60% - akcent 5 2 18 4" xfId="5946"/>
    <cellStyle name="60% - akcent 5 2 18 5" xfId="5947"/>
    <cellStyle name="60% - akcent 5 2 18 6" xfId="5948"/>
    <cellStyle name="60% - akcent 5 2 19" xfId="5949"/>
    <cellStyle name="60% - akcent 5 2 19 2" xfId="5950"/>
    <cellStyle name="60% - akcent 5 2 19 3" xfId="5951"/>
    <cellStyle name="60% - akcent 5 2 19 4" xfId="5952"/>
    <cellStyle name="60% - akcent 5 2 19 5" xfId="5953"/>
    <cellStyle name="60% - akcent 5 2 19 6" xfId="5954"/>
    <cellStyle name="60% - akcent 5 2 2" xfId="5955"/>
    <cellStyle name="60% - akcent 5 2 2 2" xfId="5956"/>
    <cellStyle name="60% - akcent 5 2 2 3" xfId="5957"/>
    <cellStyle name="60% - akcent 5 2 2 4" xfId="5958"/>
    <cellStyle name="60% - akcent 5 2 2 5" xfId="5959"/>
    <cellStyle name="60% - akcent 5 2 2 6" xfId="5960"/>
    <cellStyle name="60% - akcent 5 2 2 7" xfId="5961"/>
    <cellStyle name="60% - akcent 5 2 20" xfId="5962"/>
    <cellStyle name="60% - akcent 5 2 20 2" xfId="5963"/>
    <cellStyle name="60% - akcent 5 2 20 3" xfId="5964"/>
    <cellStyle name="60% - akcent 5 2 20 4" xfId="5965"/>
    <cellStyle name="60% - akcent 5 2 20 5" xfId="5966"/>
    <cellStyle name="60% - akcent 5 2 20 6" xfId="5967"/>
    <cellStyle name="60% - akcent 5 2 21" xfId="5968"/>
    <cellStyle name="60% - akcent 5 2 21 2" xfId="5969"/>
    <cellStyle name="60% - akcent 5 2 21 3" xfId="5970"/>
    <cellStyle name="60% - akcent 5 2 21 4" xfId="5971"/>
    <cellStyle name="60% - akcent 5 2 21 5" xfId="5972"/>
    <cellStyle name="60% - akcent 5 2 21 6" xfId="5973"/>
    <cellStyle name="60% - akcent 5 2 22" xfId="5974"/>
    <cellStyle name="60% - akcent 5 2 22 2" xfId="5975"/>
    <cellStyle name="60% - akcent 5 2 22 3" xfId="5976"/>
    <cellStyle name="60% - akcent 5 2 22 4" xfId="5977"/>
    <cellStyle name="60% - akcent 5 2 22 5" xfId="5978"/>
    <cellStyle name="60% - akcent 5 2 22 6" xfId="5979"/>
    <cellStyle name="60% - akcent 5 2 23" xfId="5980"/>
    <cellStyle name="60% - akcent 5 2 23 2" xfId="5981"/>
    <cellStyle name="60% - akcent 5 2 23 3" xfId="5982"/>
    <cellStyle name="60% - akcent 5 2 23 4" xfId="5983"/>
    <cellStyle name="60% - akcent 5 2 23 5" xfId="5984"/>
    <cellStyle name="60% - akcent 5 2 23 6" xfId="5985"/>
    <cellStyle name="60% - akcent 5 2 24" xfId="5986"/>
    <cellStyle name="60% - akcent 5 2 24 2" xfId="5987"/>
    <cellStyle name="60% - akcent 5 2 24 3" xfId="5988"/>
    <cellStyle name="60% - akcent 5 2 24 4" xfId="5989"/>
    <cellStyle name="60% - akcent 5 2 24 5" xfId="5990"/>
    <cellStyle name="60% - akcent 5 2 24 6" xfId="5991"/>
    <cellStyle name="60% - akcent 5 2 25" xfId="5992"/>
    <cellStyle name="60% - akcent 5 2 25 2" xfId="5993"/>
    <cellStyle name="60% - akcent 5 2 25 3" xfId="5994"/>
    <cellStyle name="60% - akcent 5 2 25 4" xfId="5995"/>
    <cellStyle name="60% - akcent 5 2 25 5" xfId="5996"/>
    <cellStyle name="60% - akcent 5 2 25 6" xfId="5997"/>
    <cellStyle name="60% - akcent 5 2 26" xfId="5998"/>
    <cellStyle name="60% - akcent 5 2 26 2" xfId="5999"/>
    <cellStyle name="60% - akcent 5 2 26 3" xfId="6000"/>
    <cellStyle name="60% - akcent 5 2 26 4" xfId="6001"/>
    <cellStyle name="60% - akcent 5 2 26 5" xfId="6002"/>
    <cellStyle name="60% - akcent 5 2 26 6" xfId="6003"/>
    <cellStyle name="60% - akcent 5 2 27" xfId="6004"/>
    <cellStyle name="60% - akcent 5 2 27 2" xfId="6005"/>
    <cellStyle name="60% - akcent 5 2 27 3" xfId="6006"/>
    <cellStyle name="60% - akcent 5 2 27 4" xfId="6007"/>
    <cellStyle name="60% - akcent 5 2 27 5" xfId="6008"/>
    <cellStyle name="60% - akcent 5 2 27 6" xfId="6009"/>
    <cellStyle name="60% - akcent 5 2 28" xfId="6010"/>
    <cellStyle name="60% - akcent 5 2 28 2" xfId="6011"/>
    <cellStyle name="60% - akcent 5 2 28 3" xfId="6012"/>
    <cellStyle name="60% - akcent 5 2 28 4" xfId="6013"/>
    <cellStyle name="60% - akcent 5 2 28 5" xfId="6014"/>
    <cellStyle name="60% - akcent 5 2 28 6" xfId="6015"/>
    <cellStyle name="60% - akcent 5 2 29" xfId="6016"/>
    <cellStyle name="60% - akcent 5 2 29 2" xfId="6017"/>
    <cellStyle name="60% - akcent 5 2 3" xfId="6018"/>
    <cellStyle name="60% - akcent 5 2 3 2" xfId="6019"/>
    <cellStyle name="60% - akcent 5 2 3 3" xfId="6020"/>
    <cellStyle name="60% - akcent 5 2 3 4" xfId="6021"/>
    <cellStyle name="60% - akcent 5 2 3 5" xfId="6022"/>
    <cellStyle name="60% - akcent 5 2 3 6" xfId="6023"/>
    <cellStyle name="60% - akcent 5 2 30" xfId="6024"/>
    <cellStyle name="60% - akcent 5 2 30 2" xfId="6025"/>
    <cellStyle name="60% - akcent 5 2 31" xfId="6026"/>
    <cellStyle name="60% - akcent 5 2 31 2" xfId="6027"/>
    <cellStyle name="60% - akcent 5 2 32" xfId="6028"/>
    <cellStyle name="60% - akcent 5 2 32 2" xfId="6029"/>
    <cellStyle name="60% - akcent 5 2 33" xfId="6030"/>
    <cellStyle name="60% - akcent 5 2 34" xfId="6031"/>
    <cellStyle name="60% - akcent 5 2 35" xfId="6032"/>
    <cellStyle name="60% - akcent 5 2 36" xfId="6033"/>
    <cellStyle name="60% - akcent 5 2 37" xfId="6034"/>
    <cellStyle name="60% - akcent 5 2 38" xfId="6035"/>
    <cellStyle name="60% - akcent 5 2 39" xfId="6036"/>
    <cellStyle name="60% - akcent 5 2 4" xfId="6037"/>
    <cellStyle name="60% - akcent 5 2 4 2" xfId="6038"/>
    <cellStyle name="60% - akcent 5 2 4 3" xfId="6039"/>
    <cellStyle name="60% - akcent 5 2 4 4" xfId="6040"/>
    <cellStyle name="60% - akcent 5 2 4 5" xfId="6041"/>
    <cellStyle name="60% - akcent 5 2 4 6" xfId="6042"/>
    <cellStyle name="60% - akcent 5 2 40" xfId="6043"/>
    <cellStyle name="60% - akcent 5 2 41" xfId="6044"/>
    <cellStyle name="60% - akcent 5 2 42" xfId="6045"/>
    <cellStyle name="60% - akcent 5 2 43" xfId="6046"/>
    <cellStyle name="60% - akcent 5 2 44" xfId="6047"/>
    <cellStyle name="60% - akcent 5 2 45" xfId="6048"/>
    <cellStyle name="60% - akcent 5 2 46" xfId="6049"/>
    <cellStyle name="60% - akcent 5 2 47" xfId="6050"/>
    <cellStyle name="60% - akcent 5 2 48" xfId="6051"/>
    <cellStyle name="60% - akcent 5 2 49" xfId="6052"/>
    <cellStyle name="60% - akcent 5 2 5" xfId="6053"/>
    <cellStyle name="60% - akcent 5 2 5 2" xfId="6054"/>
    <cellStyle name="60% - akcent 5 2 5 3" xfId="6055"/>
    <cellStyle name="60% - akcent 5 2 5 4" xfId="6056"/>
    <cellStyle name="60% - akcent 5 2 5 5" xfId="6057"/>
    <cellStyle name="60% - akcent 5 2 5 6" xfId="6058"/>
    <cellStyle name="60% - akcent 5 2 50" xfId="6059"/>
    <cellStyle name="60% - akcent 5 2 51" xfId="6060"/>
    <cellStyle name="60% - akcent 5 2 52" xfId="6061"/>
    <cellStyle name="60% - akcent 5 2 6" xfId="6062"/>
    <cellStyle name="60% - akcent 5 2 6 2" xfId="6063"/>
    <cellStyle name="60% - akcent 5 2 6 3" xfId="6064"/>
    <cellStyle name="60% - akcent 5 2 6 4" xfId="6065"/>
    <cellStyle name="60% - akcent 5 2 6 5" xfId="6066"/>
    <cellStyle name="60% - akcent 5 2 6 6" xfId="6067"/>
    <cellStyle name="60% - akcent 5 2 7" xfId="6068"/>
    <cellStyle name="60% - akcent 5 2 7 2" xfId="6069"/>
    <cellStyle name="60% - akcent 5 2 7 3" xfId="6070"/>
    <cellStyle name="60% - akcent 5 2 7 4" xfId="6071"/>
    <cellStyle name="60% - akcent 5 2 7 5" xfId="6072"/>
    <cellStyle name="60% - akcent 5 2 7 6" xfId="6073"/>
    <cellStyle name="60% - akcent 5 2 8" xfId="6074"/>
    <cellStyle name="60% - akcent 5 2 8 2" xfId="6075"/>
    <cellStyle name="60% - akcent 5 2 8 3" xfId="6076"/>
    <cellStyle name="60% - akcent 5 2 8 4" xfId="6077"/>
    <cellStyle name="60% - akcent 5 2 8 5" xfId="6078"/>
    <cellStyle name="60% - akcent 5 2 8 6" xfId="6079"/>
    <cellStyle name="60% - akcent 5 2 9" xfId="6080"/>
    <cellStyle name="60% - akcent 5 2 9 2" xfId="6081"/>
    <cellStyle name="60% - akcent 5 2 9 3" xfId="6082"/>
    <cellStyle name="60% - akcent 5 2 9 4" xfId="6083"/>
    <cellStyle name="60% - akcent 5 2 9 5" xfId="6084"/>
    <cellStyle name="60% - akcent 5 2 9 6" xfId="6085"/>
    <cellStyle name="60% - akcent 5 3" xfId="6086"/>
    <cellStyle name="60% - akcent 5 3 2" xfId="6087"/>
    <cellStyle name="60% - akcent 5 3 2 2" xfId="6088"/>
    <cellStyle name="60% - akcent 5 3 3" xfId="6089"/>
    <cellStyle name="60% - akcent 5 3 4" xfId="6090"/>
    <cellStyle name="60% - akcent 5 3 5" xfId="6091"/>
    <cellStyle name="60% - akcent 5 3 6" xfId="6092"/>
    <cellStyle name="60% - akcent 5 3 7" xfId="6093"/>
    <cellStyle name="60% - akcent 5 3 8" xfId="6094"/>
    <cellStyle name="60% - akcent 5 4" xfId="6095"/>
    <cellStyle name="60% - akcent 5 4 2" xfId="6096"/>
    <cellStyle name="60% - akcent 5 4 3" xfId="6097"/>
    <cellStyle name="60% - akcent 5 4 4" xfId="6098"/>
    <cellStyle name="60% - akcent 5 4 5" xfId="6099"/>
    <cellStyle name="60% - akcent 5 4 6" xfId="6100"/>
    <cellStyle name="60% - akcent 5 4 7" xfId="6101"/>
    <cellStyle name="60% - akcent 5 4 8" xfId="6102"/>
    <cellStyle name="60% - akcent 5 5" xfId="6103"/>
    <cellStyle name="60% - akcent 5 5 2" xfId="6104"/>
    <cellStyle name="60% - akcent 5 6" xfId="6105"/>
    <cellStyle name="60% - akcent 5 7" xfId="6106"/>
    <cellStyle name="60% - akcent 6 2" xfId="6107"/>
    <cellStyle name="60% - akcent 6 2 10" xfId="6108"/>
    <cellStyle name="60% - akcent 6 2 10 2" xfId="6109"/>
    <cellStyle name="60% - akcent 6 2 10 3" xfId="6110"/>
    <cellStyle name="60% - akcent 6 2 10 4" xfId="6111"/>
    <cellStyle name="60% - akcent 6 2 10 5" xfId="6112"/>
    <cellStyle name="60% - akcent 6 2 10 6" xfId="6113"/>
    <cellStyle name="60% - akcent 6 2 11" xfId="6114"/>
    <cellStyle name="60% - akcent 6 2 11 2" xfId="6115"/>
    <cellStyle name="60% - akcent 6 2 11 3" xfId="6116"/>
    <cellStyle name="60% - akcent 6 2 11 4" xfId="6117"/>
    <cellStyle name="60% - akcent 6 2 11 5" xfId="6118"/>
    <cellStyle name="60% - akcent 6 2 11 6" xfId="6119"/>
    <cellStyle name="60% - akcent 6 2 12" xfId="6120"/>
    <cellStyle name="60% - akcent 6 2 12 2" xfId="6121"/>
    <cellStyle name="60% - akcent 6 2 12 3" xfId="6122"/>
    <cellStyle name="60% - akcent 6 2 12 4" xfId="6123"/>
    <cellStyle name="60% - akcent 6 2 12 5" xfId="6124"/>
    <cellStyle name="60% - akcent 6 2 12 6" xfId="6125"/>
    <cellStyle name="60% - akcent 6 2 13" xfId="6126"/>
    <cellStyle name="60% - akcent 6 2 13 2" xfId="6127"/>
    <cellStyle name="60% - akcent 6 2 13 3" xfId="6128"/>
    <cellStyle name="60% - akcent 6 2 13 4" xfId="6129"/>
    <cellStyle name="60% - akcent 6 2 13 5" xfId="6130"/>
    <cellStyle name="60% - akcent 6 2 13 6" xfId="6131"/>
    <cellStyle name="60% - akcent 6 2 14" xfId="6132"/>
    <cellStyle name="60% - akcent 6 2 14 2" xfId="6133"/>
    <cellStyle name="60% - akcent 6 2 14 3" xfId="6134"/>
    <cellStyle name="60% - akcent 6 2 14 4" xfId="6135"/>
    <cellStyle name="60% - akcent 6 2 14 5" xfId="6136"/>
    <cellStyle name="60% - akcent 6 2 14 6" xfId="6137"/>
    <cellStyle name="60% - akcent 6 2 15" xfId="6138"/>
    <cellStyle name="60% - akcent 6 2 15 2" xfId="6139"/>
    <cellStyle name="60% - akcent 6 2 15 3" xfId="6140"/>
    <cellStyle name="60% - akcent 6 2 15 4" xfId="6141"/>
    <cellStyle name="60% - akcent 6 2 15 5" xfId="6142"/>
    <cellStyle name="60% - akcent 6 2 15 6" xfId="6143"/>
    <cellStyle name="60% - akcent 6 2 16" xfId="6144"/>
    <cellStyle name="60% - akcent 6 2 16 2" xfId="6145"/>
    <cellStyle name="60% - akcent 6 2 16 3" xfId="6146"/>
    <cellStyle name="60% - akcent 6 2 16 4" xfId="6147"/>
    <cellStyle name="60% - akcent 6 2 16 5" xfId="6148"/>
    <cellStyle name="60% - akcent 6 2 16 6" xfId="6149"/>
    <cellStyle name="60% - akcent 6 2 17" xfId="6150"/>
    <cellStyle name="60% - akcent 6 2 17 2" xfId="6151"/>
    <cellStyle name="60% - akcent 6 2 17 3" xfId="6152"/>
    <cellStyle name="60% - akcent 6 2 17 4" xfId="6153"/>
    <cellStyle name="60% - akcent 6 2 17 5" xfId="6154"/>
    <cellStyle name="60% - akcent 6 2 17 6" xfId="6155"/>
    <cellStyle name="60% - akcent 6 2 18" xfId="6156"/>
    <cellStyle name="60% - akcent 6 2 18 2" xfId="6157"/>
    <cellStyle name="60% - akcent 6 2 18 3" xfId="6158"/>
    <cellStyle name="60% - akcent 6 2 18 4" xfId="6159"/>
    <cellStyle name="60% - akcent 6 2 18 5" xfId="6160"/>
    <cellStyle name="60% - akcent 6 2 18 6" xfId="6161"/>
    <cellStyle name="60% - akcent 6 2 19" xfId="6162"/>
    <cellStyle name="60% - akcent 6 2 19 2" xfId="6163"/>
    <cellStyle name="60% - akcent 6 2 19 3" xfId="6164"/>
    <cellStyle name="60% - akcent 6 2 19 4" xfId="6165"/>
    <cellStyle name="60% - akcent 6 2 19 5" xfId="6166"/>
    <cellStyle name="60% - akcent 6 2 19 6" xfId="6167"/>
    <cellStyle name="60% - akcent 6 2 2" xfId="6168"/>
    <cellStyle name="60% - akcent 6 2 2 2" xfId="6169"/>
    <cellStyle name="60% - akcent 6 2 2 3" xfId="6170"/>
    <cellStyle name="60% - akcent 6 2 2 4" xfId="6171"/>
    <cellStyle name="60% - akcent 6 2 2 5" xfId="6172"/>
    <cellStyle name="60% - akcent 6 2 2 6" xfId="6173"/>
    <cellStyle name="60% - akcent 6 2 2 7" xfId="6174"/>
    <cellStyle name="60% - akcent 6 2 20" xfId="6175"/>
    <cellStyle name="60% - akcent 6 2 20 2" xfId="6176"/>
    <cellStyle name="60% - akcent 6 2 20 3" xfId="6177"/>
    <cellStyle name="60% - akcent 6 2 20 4" xfId="6178"/>
    <cellStyle name="60% - akcent 6 2 20 5" xfId="6179"/>
    <cellStyle name="60% - akcent 6 2 20 6" xfId="6180"/>
    <cellStyle name="60% - akcent 6 2 21" xfId="6181"/>
    <cellStyle name="60% - akcent 6 2 21 2" xfId="6182"/>
    <cellStyle name="60% - akcent 6 2 21 3" xfId="6183"/>
    <cellStyle name="60% - akcent 6 2 21 4" xfId="6184"/>
    <cellStyle name="60% - akcent 6 2 21 5" xfId="6185"/>
    <cellStyle name="60% - akcent 6 2 21 6" xfId="6186"/>
    <cellStyle name="60% - akcent 6 2 22" xfId="6187"/>
    <cellStyle name="60% - akcent 6 2 22 2" xfId="6188"/>
    <cellStyle name="60% - akcent 6 2 22 3" xfId="6189"/>
    <cellStyle name="60% - akcent 6 2 22 4" xfId="6190"/>
    <cellStyle name="60% - akcent 6 2 22 5" xfId="6191"/>
    <cellStyle name="60% - akcent 6 2 22 6" xfId="6192"/>
    <cellStyle name="60% - akcent 6 2 23" xfId="6193"/>
    <cellStyle name="60% - akcent 6 2 23 2" xfId="6194"/>
    <cellStyle name="60% - akcent 6 2 23 3" xfId="6195"/>
    <cellStyle name="60% - akcent 6 2 23 4" xfId="6196"/>
    <cellStyle name="60% - akcent 6 2 23 5" xfId="6197"/>
    <cellStyle name="60% - akcent 6 2 23 6" xfId="6198"/>
    <cellStyle name="60% - akcent 6 2 24" xfId="6199"/>
    <cellStyle name="60% - akcent 6 2 24 2" xfId="6200"/>
    <cellStyle name="60% - akcent 6 2 24 3" xfId="6201"/>
    <cellStyle name="60% - akcent 6 2 24 4" xfId="6202"/>
    <cellStyle name="60% - akcent 6 2 24 5" xfId="6203"/>
    <cellStyle name="60% - akcent 6 2 24 6" xfId="6204"/>
    <cellStyle name="60% - akcent 6 2 25" xfId="6205"/>
    <cellStyle name="60% - akcent 6 2 25 2" xfId="6206"/>
    <cellStyle name="60% - akcent 6 2 25 3" xfId="6207"/>
    <cellStyle name="60% - akcent 6 2 25 4" xfId="6208"/>
    <cellStyle name="60% - akcent 6 2 25 5" xfId="6209"/>
    <cellStyle name="60% - akcent 6 2 25 6" xfId="6210"/>
    <cellStyle name="60% - akcent 6 2 26" xfId="6211"/>
    <cellStyle name="60% - akcent 6 2 26 2" xfId="6212"/>
    <cellStyle name="60% - akcent 6 2 26 3" xfId="6213"/>
    <cellStyle name="60% - akcent 6 2 26 4" xfId="6214"/>
    <cellStyle name="60% - akcent 6 2 26 5" xfId="6215"/>
    <cellStyle name="60% - akcent 6 2 26 6" xfId="6216"/>
    <cellStyle name="60% - akcent 6 2 27" xfId="6217"/>
    <cellStyle name="60% - akcent 6 2 27 2" xfId="6218"/>
    <cellStyle name="60% - akcent 6 2 27 3" xfId="6219"/>
    <cellStyle name="60% - akcent 6 2 27 4" xfId="6220"/>
    <cellStyle name="60% - akcent 6 2 27 5" xfId="6221"/>
    <cellStyle name="60% - akcent 6 2 27 6" xfId="6222"/>
    <cellStyle name="60% - akcent 6 2 28" xfId="6223"/>
    <cellStyle name="60% - akcent 6 2 28 2" xfId="6224"/>
    <cellStyle name="60% - akcent 6 2 28 3" xfId="6225"/>
    <cellStyle name="60% - akcent 6 2 28 4" xfId="6226"/>
    <cellStyle name="60% - akcent 6 2 28 5" xfId="6227"/>
    <cellStyle name="60% - akcent 6 2 28 6" xfId="6228"/>
    <cellStyle name="60% - akcent 6 2 29" xfId="6229"/>
    <cellStyle name="60% - akcent 6 2 29 2" xfId="6230"/>
    <cellStyle name="60% - akcent 6 2 3" xfId="6231"/>
    <cellStyle name="60% - akcent 6 2 3 2" xfId="6232"/>
    <cellStyle name="60% - akcent 6 2 3 3" xfId="6233"/>
    <cellStyle name="60% - akcent 6 2 3 4" xfId="6234"/>
    <cellStyle name="60% - akcent 6 2 3 5" xfId="6235"/>
    <cellStyle name="60% - akcent 6 2 3 6" xfId="6236"/>
    <cellStyle name="60% - akcent 6 2 30" xfId="6237"/>
    <cellStyle name="60% - akcent 6 2 30 2" xfId="6238"/>
    <cellStyle name="60% - akcent 6 2 31" xfId="6239"/>
    <cellStyle name="60% - akcent 6 2 31 2" xfId="6240"/>
    <cellStyle name="60% - akcent 6 2 32" xfId="6241"/>
    <cellStyle name="60% - akcent 6 2 32 2" xfId="6242"/>
    <cellStyle name="60% - akcent 6 2 33" xfId="6243"/>
    <cellStyle name="60% - akcent 6 2 34" xfId="6244"/>
    <cellStyle name="60% - akcent 6 2 35" xfId="6245"/>
    <cellStyle name="60% - akcent 6 2 36" xfId="6246"/>
    <cellStyle name="60% - akcent 6 2 37" xfId="6247"/>
    <cellStyle name="60% - akcent 6 2 38" xfId="6248"/>
    <cellStyle name="60% - akcent 6 2 39" xfId="6249"/>
    <cellStyle name="60% - akcent 6 2 4" xfId="6250"/>
    <cellStyle name="60% - akcent 6 2 4 2" xfId="6251"/>
    <cellStyle name="60% - akcent 6 2 4 3" xfId="6252"/>
    <cellStyle name="60% - akcent 6 2 4 4" xfId="6253"/>
    <cellStyle name="60% - akcent 6 2 4 5" xfId="6254"/>
    <cellStyle name="60% - akcent 6 2 4 6" xfId="6255"/>
    <cellStyle name="60% - akcent 6 2 40" xfId="6256"/>
    <cellStyle name="60% - akcent 6 2 41" xfId="6257"/>
    <cellStyle name="60% - akcent 6 2 42" xfId="6258"/>
    <cellStyle name="60% - akcent 6 2 43" xfId="6259"/>
    <cellStyle name="60% - akcent 6 2 44" xfId="6260"/>
    <cellStyle name="60% - akcent 6 2 45" xfId="6261"/>
    <cellStyle name="60% - akcent 6 2 46" xfId="6262"/>
    <cellStyle name="60% - akcent 6 2 47" xfId="6263"/>
    <cellStyle name="60% - akcent 6 2 48" xfId="6264"/>
    <cellStyle name="60% - akcent 6 2 49" xfId="6265"/>
    <cellStyle name="60% - akcent 6 2 5" xfId="6266"/>
    <cellStyle name="60% - akcent 6 2 5 2" xfId="6267"/>
    <cellStyle name="60% - akcent 6 2 5 3" xfId="6268"/>
    <cellStyle name="60% - akcent 6 2 5 4" xfId="6269"/>
    <cellStyle name="60% - akcent 6 2 5 5" xfId="6270"/>
    <cellStyle name="60% - akcent 6 2 5 6" xfId="6271"/>
    <cellStyle name="60% - akcent 6 2 50" xfId="6272"/>
    <cellStyle name="60% - akcent 6 2 51" xfId="6273"/>
    <cellStyle name="60% - akcent 6 2 52" xfId="6274"/>
    <cellStyle name="60% - akcent 6 2 6" xfId="6275"/>
    <cellStyle name="60% - akcent 6 2 6 2" xfId="6276"/>
    <cellStyle name="60% - akcent 6 2 6 3" xfId="6277"/>
    <cellStyle name="60% - akcent 6 2 6 4" xfId="6278"/>
    <cellStyle name="60% - akcent 6 2 6 5" xfId="6279"/>
    <cellStyle name="60% - akcent 6 2 6 6" xfId="6280"/>
    <cellStyle name="60% - akcent 6 2 7" xfId="6281"/>
    <cellStyle name="60% - akcent 6 2 7 2" xfId="6282"/>
    <cellStyle name="60% - akcent 6 2 7 3" xfId="6283"/>
    <cellStyle name="60% - akcent 6 2 7 4" xfId="6284"/>
    <cellStyle name="60% - akcent 6 2 7 5" xfId="6285"/>
    <cellStyle name="60% - akcent 6 2 7 6" xfId="6286"/>
    <cellStyle name="60% - akcent 6 2 8" xfId="6287"/>
    <cellStyle name="60% - akcent 6 2 8 2" xfId="6288"/>
    <cellStyle name="60% - akcent 6 2 8 3" xfId="6289"/>
    <cellStyle name="60% - akcent 6 2 8 4" xfId="6290"/>
    <cellStyle name="60% - akcent 6 2 8 5" xfId="6291"/>
    <cellStyle name="60% - akcent 6 2 8 6" xfId="6292"/>
    <cellStyle name="60% - akcent 6 2 9" xfId="6293"/>
    <cellStyle name="60% - akcent 6 2 9 2" xfId="6294"/>
    <cellStyle name="60% - akcent 6 2 9 3" xfId="6295"/>
    <cellStyle name="60% - akcent 6 2 9 4" xfId="6296"/>
    <cellStyle name="60% - akcent 6 2 9 5" xfId="6297"/>
    <cellStyle name="60% - akcent 6 2 9 6" xfId="6298"/>
    <cellStyle name="60% - akcent 6 3" xfId="6299"/>
    <cellStyle name="60% - akcent 6 3 2" xfId="6300"/>
    <cellStyle name="60% - akcent 6 3 2 2" xfId="6301"/>
    <cellStyle name="60% - akcent 6 3 3" xfId="6302"/>
    <cellStyle name="60% - akcent 6 3 4" xfId="6303"/>
    <cellStyle name="60% - akcent 6 3 5" xfId="6304"/>
    <cellStyle name="60% - akcent 6 3 6" xfId="6305"/>
    <cellStyle name="60% - akcent 6 3 7" xfId="6306"/>
    <cellStyle name="60% - akcent 6 3 8" xfId="6307"/>
    <cellStyle name="60% - akcent 6 4" xfId="6308"/>
    <cellStyle name="60% - akcent 6 4 2" xfId="6309"/>
    <cellStyle name="60% - akcent 6 4 3" xfId="6310"/>
    <cellStyle name="60% - akcent 6 4 4" xfId="6311"/>
    <cellStyle name="60% - akcent 6 4 5" xfId="6312"/>
    <cellStyle name="60% - akcent 6 4 6" xfId="6313"/>
    <cellStyle name="60% - akcent 6 4 7" xfId="6314"/>
    <cellStyle name="60% - akcent 6 4 8" xfId="6315"/>
    <cellStyle name="60% - akcent 6 5" xfId="6316"/>
    <cellStyle name="60% - akcent 6 5 2" xfId="6317"/>
    <cellStyle name="60% - akcent 6 6" xfId="6318"/>
    <cellStyle name="60% - akcent 6 7" xfId="6319"/>
    <cellStyle name="aaa" xfId="6320"/>
    <cellStyle name="Afrundet valuta_Slideshow" xfId="6321"/>
    <cellStyle name="Akcent 1 2" xfId="6322"/>
    <cellStyle name="Akcent 1 2 10" xfId="6323"/>
    <cellStyle name="Akcent 1 2 10 2" xfId="6324"/>
    <cellStyle name="Akcent 1 2 10 3" xfId="6325"/>
    <cellStyle name="Akcent 1 2 10 4" xfId="6326"/>
    <cellStyle name="Akcent 1 2 10 5" xfId="6327"/>
    <cellStyle name="Akcent 1 2 10 6" xfId="6328"/>
    <cellStyle name="Akcent 1 2 11" xfId="6329"/>
    <cellStyle name="Akcent 1 2 11 2" xfId="6330"/>
    <cellStyle name="Akcent 1 2 11 3" xfId="6331"/>
    <cellStyle name="Akcent 1 2 11 4" xfId="6332"/>
    <cellStyle name="Akcent 1 2 11 5" xfId="6333"/>
    <cellStyle name="Akcent 1 2 11 6" xfId="6334"/>
    <cellStyle name="Akcent 1 2 12" xfId="6335"/>
    <cellStyle name="Akcent 1 2 12 2" xfId="6336"/>
    <cellStyle name="Akcent 1 2 12 3" xfId="6337"/>
    <cellStyle name="Akcent 1 2 12 4" xfId="6338"/>
    <cellStyle name="Akcent 1 2 12 5" xfId="6339"/>
    <cellStyle name="Akcent 1 2 12 6" xfId="6340"/>
    <cellStyle name="Akcent 1 2 13" xfId="6341"/>
    <cellStyle name="Akcent 1 2 13 2" xfId="6342"/>
    <cellStyle name="Akcent 1 2 13 3" xfId="6343"/>
    <cellStyle name="Akcent 1 2 13 4" xfId="6344"/>
    <cellStyle name="Akcent 1 2 13 5" xfId="6345"/>
    <cellStyle name="Akcent 1 2 13 6" xfId="6346"/>
    <cellStyle name="Akcent 1 2 14" xfId="6347"/>
    <cellStyle name="Akcent 1 2 14 2" xfId="6348"/>
    <cellStyle name="Akcent 1 2 14 3" xfId="6349"/>
    <cellStyle name="Akcent 1 2 14 4" xfId="6350"/>
    <cellStyle name="Akcent 1 2 14 5" xfId="6351"/>
    <cellStyle name="Akcent 1 2 14 6" xfId="6352"/>
    <cellStyle name="Akcent 1 2 15" xfId="6353"/>
    <cellStyle name="Akcent 1 2 15 2" xfId="6354"/>
    <cellStyle name="Akcent 1 2 15 3" xfId="6355"/>
    <cellStyle name="Akcent 1 2 15 4" xfId="6356"/>
    <cellStyle name="Akcent 1 2 15 5" xfId="6357"/>
    <cellStyle name="Akcent 1 2 15 6" xfId="6358"/>
    <cellStyle name="Akcent 1 2 16" xfId="6359"/>
    <cellStyle name="Akcent 1 2 16 2" xfId="6360"/>
    <cellStyle name="Akcent 1 2 16 3" xfId="6361"/>
    <cellStyle name="Akcent 1 2 16 4" xfId="6362"/>
    <cellStyle name="Akcent 1 2 16 5" xfId="6363"/>
    <cellStyle name="Akcent 1 2 16 6" xfId="6364"/>
    <cellStyle name="Akcent 1 2 17" xfId="6365"/>
    <cellStyle name="Akcent 1 2 17 2" xfId="6366"/>
    <cellStyle name="Akcent 1 2 17 3" xfId="6367"/>
    <cellStyle name="Akcent 1 2 17 4" xfId="6368"/>
    <cellStyle name="Akcent 1 2 17 5" xfId="6369"/>
    <cellStyle name="Akcent 1 2 17 6" xfId="6370"/>
    <cellStyle name="Akcent 1 2 18" xfId="6371"/>
    <cellStyle name="Akcent 1 2 18 2" xfId="6372"/>
    <cellStyle name="Akcent 1 2 18 3" xfId="6373"/>
    <cellStyle name="Akcent 1 2 18 4" xfId="6374"/>
    <cellStyle name="Akcent 1 2 18 5" xfId="6375"/>
    <cellStyle name="Akcent 1 2 18 6" xfId="6376"/>
    <cellStyle name="Akcent 1 2 19" xfId="6377"/>
    <cellStyle name="Akcent 1 2 19 2" xfId="6378"/>
    <cellStyle name="Akcent 1 2 19 3" xfId="6379"/>
    <cellStyle name="Akcent 1 2 19 4" xfId="6380"/>
    <cellStyle name="Akcent 1 2 19 5" xfId="6381"/>
    <cellStyle name="Akcent 1 2 19 6" xfId="6382"/>
    <cellStyle name="Akcent 1 2 2" xfId="6383"/>
    <cellStyle name="Akcent 1 2 2 2" xfId="6384"/>
    <cellStyle name="Akcent 1 2 2 3" xfId="6385"/>
    <cellStyle name="Akcent 1 2 2 4" xfId="6386"/>
    <cellStyle name="Akcent 1 2 2 5" xfId="6387"/>
    <cellStyle name="Akcent 1 2 2 6" xfId="6388"/>
    <cellStyle name="Akcent 1 2 2 7" xfId="6389"/>
    <cellStyle name="Akcent 1 2 20" xfId="6390"/>
    <cellStyle name="Akcent 1 2 20 2" xfId="6391"/>
    <cellStyle name="Akcent 1 2 20 3" xfId="6392"/>
    <cellStyle name="Akcent 1 2 20 4" xfId="6393"/>
    <cellStyle name="Akcent 1 2 20 5" xfId="6394"/>
    <cellStyle name="Akcent 1 2 20 6" xfId="6395"/>
    <cellStyle name="Akcent 1 2 21" xfId="6396"/>
    <cellStyle name="Akcent 1 2 21 2" xfId="6397"/>
    <cellStyle name="Akcent 1 2 21 3" xfId="6398"/>
    <cellStyle name="Akcent 1 2 21 4" xfId="6399"/>
    <cellStyle name="Akcent 1 2 21 5" xfId="6400"/>
    <cellStyle name="Akcent 1 2 21 6" xfId="6401"/>
    <cellStyle name="Akcent 1 2 22" xfId="6402"/>
    <cellStyle name="Akcent 1 2 22 2" xfId="6403"/>
    <cellStyle name="Akcent 1 2 22 3" xfId="6404"/>
    <cellStyle name="Akcent 1 2 22 4" xfId="6405"/>
    <cellStyle name="Akcent 1 2 22 5" xfId="6406"/>
    <cellStyle name="Akcent 1 2 22 6" xfId="6407"/>
    <cellStyle name="Akcent 1 2 23" xfId="6408"/>
    <cellStyle name="Akcent 1 2 23 2" xfId="6409"/>
    <cellStyle name="Akcent 1 2 23 3" xfId="6410"/>
    <cellStyle name="Akcent 1 2 23 4" xfId="6411"/>
    <cellStyle name="Akcent 1 2 23 5" xfId="6412"/>
    <cellStyle name="Akcent 1 2 23 6" xfId="6413"/>
    <cellStyle name="Akcent 1 2 24" xfId="6414"/>
    <cellStyle name="Akcent 1 2 24 2" xfId="6415"/>
    <cellStyle name="Akcent 1 2 24 3" xfId="6416"/>
    <cellStyle name="Akcent 1 2 24 4" xfId="6417"/>
    <cellStyle name="Akcent 1 2 24 5" xfId="6418"/>
    <cellStyle name="Akcent 1 2 24 6" xfId="6419"/>
    <cellStyle name="Akcent 1 2 25" xfId="6420"/>
    <cellStyle name="Akcent 1 2 25 2" xfId="6421"/>
    <cellStyle name="Akcent 1 2 25 3" xfId="6422"/>
    <cellStyle name="Akcent 1 2 25 4" xfId="6423"/>
    <cellStyle name="Akcent 1 2 25 5" xfId="6424"/>
    <cellStyle name="Akcent 1 2 25 6" xfId="6425"/>
    <cellStyle name="Akcent 1 2 26" xfId="6426"/>
    <cellStyle name="Akcent 1 2 26 2" xfId="6427"/>
    <cellStyle name="Akcent 1 2 26 3" xfId="6428"/>
    <cellStyle name="Akcent 1 2 26 4" xfId="6429"/>
    <cellStyle name="Akcent 1 2 26 5" xfId="6430"/>
    <cellStyle name="Akcent 1 2 26 6" xfId="6431"/>
    <cellStyle name="Akcent 1 2 27" xfId="6432"/>
    <cellStyle name="Akcent 1 2 27 2" xfId="6433"/>
    <cellStyle name="Akcent 1 2 27 3" xfId="6434"/>
    <cellStyle name="Akcent 1 2 27 4" xfId="6435"/>
    <cellStyle name="Akcent 1 2 27 5" xfId="6436"/>
    <cellStyle name="Akcent 1 2 27 6" xfId="6437"/>
    <cellStyle name="Akcent 1 2 28" xfId="6438"/>
    <cellStyle name="Akcent 1 2 28 2" xfId="6439"/>
    <cellStyle name="Akcent 1 2 28 3" xfId="6440"/>
    <cellStyle name="Akcent 1 2 28 4" xfId="6441"/>
    <cellStyle name="Akcent 1 2 28 5" xfId="6442"/>
    <cellStyle name="Akcent 1 2 28 6" xfId="6443"/>
    <cellStyle name="Akcent 1 2 29" xfId="6444"/>
    <cellStyle name="Akcent 1 2 29 2" xfId="6445"/>
    <cellStyle name="Akcent 1 2 3" xfId="6446"/>
    <cellStyle name="Akcent 1 2 3 2" xfId="6447"/>
    <cellStyle name="Akcent 1 2 3 3" xfId="6448"/>
    <cellStyle name="Akcent 1 2 3 4" xfId="6449"/>
    <cellStyle name="Akcent 1 2 3 5" xfId="6450"/>
    <cellStyle name="Akcent 1 2 3 6" xfId="6451"/>
    <cellStyle name="Akcent 1 2 30" xfId="6452"/>
    <cellStyle name="Akcent 1 2 30 2" xfId="6453"/>
    <cellStyle name="Akcent 1 2 31" xfId="6454"/>
    <cellStyle name="Akcent 1 2 31 2" xfId="6455"/>
    <cellStyle name="Akcent 1 2 32" xfId="6456"/>
    <cellStyle name="Akcent 1 2 32 2" xfId="6457"/>
    <cellStyle name="Akcent 1 2 33" xfId="6458"/>
    <cellStyle name="Akcent 1 2 34" xfId="6459"/>
    <cellStyle name="Akcent 1 2 35" xfId="6460"/>
    <cellStyle name="Akcent 1 2 36" xfId="6461"/>
    <cellStyle name="Akcent 1 2 37" xfId="6462"/>
    <cellStyle name="Akcent 1 2 38" xfId="6463"/>
    <cellStyle name="Akcent 1 2 39" xfId="6464"/>
    <cellStyle name="Akcent 1 2 4" xfId="6465"/>
    <cellStyle name="Akcent 1 2 4 2" xfId="6466"/>
    <cellStyle name="Akcent 1 2 4 3" xfId="6467"/>
    <cellStyle name="Akcent 1 2 4 4" xfId="6468"/>
    <cellStyle name="Akcent 1 2 4 5" xfId="6469"/>
    <cellStyle name="Akcent 1 2 4 6" xfId="6470"/>
    <cellStyle name="Akcent 1 2 40" xfId="6471"/>
    <cellStyle name="Akcent 1 2 41" xfId="6472"/>
    <cellStyle name="Akcent 1 2 42" xfId="6473"/>
    <cellStyle name="Akcent 1 2 43" xfId="6474"/>
    <cellStyle name="Akcent 1 2 44" xfId="6475"/>
    <cellStyle name="Akcent 1 2 45" xfId="6476"/>
    <cellStyle name="Akcent 1 2 46" xfId="6477"/>
    <cellStyle name="Akcent 1 2 47" xfId="6478"/>
    <cellStyle name="Akcent 1 2 48" xfId="6479"/>
    <cellStyle name="Akcent 1 2 49" xfId="6480"/>
    <cellStyle name="Akcent 1 2 5" xfId="6481"/>
    <cellStyle name="Akcent 1 2 5 2" xfId="6482"/>
    <cellStyle name="Akcent 1 2 5 3" xfId="6483"/>
    <cellStyle name="Akcent 1 2 5 4" xfId="6484"/>
    <cellStyle name="Akcent 1 2 5 5" xfId="6485"/>
    <cellStyle name="Akcent 1 2 5 6" xfId="6486"/>
    <cellStyle name="Akcent 1 2 50" xfId="6487"/>
    <cellStyle name="Akcent 1 2 51" xfId="6488"/>
    <cellStyle name="Akcent 1 2 52" xfId="6489"/>
    <cellStyle name="Akcent 1 2 6" xfId="6490"/>
    <cellStyle name="Akcent 1 2 6 2" xfId="6491"/>
    <cellStyle name="Akcent 1 2 6 3" xfId="6492"/>
    <cellStyle name="Akcent 1 2 6 4" xfId="6493"/>
    <cellStyle name="Akcent 1 2 6 5" xfId="6494"/>
    <cellStyle name="Akcent 1 2 6 6" xfId="6495"/>
    <cellStyle name="Akcent 1 2 7" xfId="6496"/>
    <cellStyle name="Akcent 1 2 7 2" xfId="6497"/>
    <cellStyle name="Akcent 1 2 7 3" xfId="6498"/>
    <cellStyle name="Akcent 1 2 7 4" xfId="6499"/>
    <cellStyle name="Akcent 1 2 7 5" xfId="6500"/>
    <cellStyle name="Akcent 1 2 7 6" xfId="6501"/>
    <cellStyle name="Akcent 1 2 8" xfId="6502"/>
    <cellStyle name="Akcent 1 2 8 2" xfId="6503"/>
    <cellStyle name="Akcent 1 2 8 3" xfId="6504"/>
    <cellStyle name="Akcent 1 2 8 4" xfId="6505"/>
    <cellStyle name="Akcent 1 2 8 5" xfId="6506"/>
    <cellStyle name="Akcent 1 2 8 6" xfId="6507"/>
    <cellStyle name="Akcent 1 2 9" xfId="6508"/>
    <cellStyle name="Akcent 1 2 9 2" xfId="6509"/>
    <cellStyle name="Akcent 1 2 9 3" xfId="6510"/>
    <cellStyle name="Akcent 1 2 9 4" xfId="6511"/>
    <cellStyle name="Akcent 1 2 9 5" xfId="6512"/>
    <cellStyle name="Akcent 1 2 9 6" xfId="6513"/>
    <cellStyle name="Akcent 1 3" xfId="6514"/>
    <cellStyle name="Akcent 1 3 2" xfId="6515"/>
    <cellStyle name="Akcent 1 3 2 2" xfId="6516"/>
    <cellStyle name="Akcent 1 3 3" xfId="6517"/>
    <cellStyle name="Akcent 1 3 4" xfId="6518"/>
    <cellStyle name="Akcent 1 3 5" xfId="6519"/>
    <cellStyle name="Akcent 1 3 6" xfId="6520"/>
    <cellStyle name="Akcent 1 3 7" xfId="6521"/>
    <cellStyle name="Akcent 1 3 8" xfId="6522"/>
    <cellStyle name="Akcent 1 4" xfId="6523"/>
    <cellStyle name="Akcent 1 4 2" xfId="6524"/>
    <cellStyle name="Akcent 1 4 3" xfId="6525"/>
    <cellStyle name="Akcent 1 4 4" xfId="6526"/>
    <cellStyle name="Akcent 1 4 5" xfId="6527"/>
    <cellStyle name="Akcent 1 4 6" xfId="6528"/>
    <cellStyle name="Akcent 1 4 7" xfId="6529"/>
    <cellStyle name="Akcent 1 4 8" xfId="6530"/>
    <cellStyle name="Akcent 1 5" xfId="6531"/>
    <cellStyle name="Akcent 1 5 2" xfId="6532"/>
    <cellStyle name="Akcent 1 6" xfId="6533"/>
    <cellStyle name="Akcent 1 7" xfId="6534"/>
    <cellStyle name="Akcent 2 2" xfId="6535"/>
    <cellStyle name="Akcent 2 2 10" xfId="6536"/>
    <cellStyle name="Akcent 2 2 10 2" xfId="6537"/>
    <cellStyle name="Akcent 2 2 10 3" xfId="6538"/>
    <cellStyle name="Akcent 2 2 10 4" xfId="6539"/>
    <cellStyle name="Akcent 2 2 10 5" xfId="6540"/>
    <cellStyle name="Akcent 2 2 10 6" xfId="6541"/>
    <cellStyle name="Akcent 2 2 11" xfId="6542"/>
    <cellStyle name="Akcent 2 2 11 2" xfId="6543"/>
    <cellStyle name="Akcent 2 2 11 3" xfId="6544"/>
    <cellStyle name="Akcent 2 2 11 4" xfId="6545"/>
    <cellStyle name="Akcent 2 2 11 5" xfId="6546"/>
    <cellStyle name="Akcent 2 2 11 6" xfId="6547"/>
    <cellStyle name="Akcent 2 2 12" xfId="6548"/>
    <cellStyle name="Akcent 2 2 12 2" xfId="6549"/>
    <cellStyle name="Akcent 2 2 12 3" xfId="6550"/>
    <cellStyle name="Akcent 2 2 12 4" xfId="6551"/>
    <cellStyle name="Akcent 2 2 12 5" xfId="6552"/>
    <cellStyle name="Akcent 2 2 12 6" xfId="6553"/>
    <cellStyle name="Akcent 2 2 13" xfId="6554"/>
    <cellStyle name="Akcent 2 2 13 2" xfId="6555"/>
    <cellStyle name="Akcent 2 2 13 3" xfId="6556"/>
    <cellStyle name="Akcent 2 2 13 4" xfId="6557"/>
    <cellStyle name="Akcent 2 2 13 5" xfId="6558"/>
    <cellStyle name="Akcent 2 2 13 6" xfId="6559"/>
    <cellStyle name="Akcent 2 2 14" xfId="6560"/>
    <cellStyle name="Akcent 2 2 14 2" xfId="6561"/>
    <cellStyle name="Akcent 2 2 14 3" xfId="6562"/>
    <cellStyle name="Akcent 2 2 14 4" xfId="6563"/>
    <cellStyle name="Akcent 2 2 14 5" xfId="6564"/>
    <cellStyle name="Akcent 2 2 14 6" xfId="6565"/>
    <cellStyle name="Akcent 2 2 15" xfId="6566"/>
    <cellStyle name="Akcent 2 2 15 2" xfId="6567"/>
    <cellStyle name="Akcent 2 2 15 3" xfId="6568"/>
    <cellStyle name="Akcent 2 2 15 4" xfId="6569"/>
    <cellStyle name="Akcent 2 2 15 5" xfId="6570"/>
    <cellStyle name="Akcent 2 2 15 6" xfId="6571"/>
    <cellStyle name="Akcent 2 2 16" xfId="6572"/>
    <cellStyle name="Akcent 2 2 16 2" xfId="6573"/>
    <cellStyle name="Akcent 2 2 16 3" xfId="6574"/>
    <cellStyle name="Akcent 2 2 16 4" xfId="6575"/>
    <cellStyle name="Akcent 2 2 16 5" xfId="6576"/>
    <cellStyle name="Akcent 2 2 16 6" xfId="6577"/>
    <cellStyle name="Akcent 2 2 17" xfId="6578"/>
    <cellStyle name="Akcent 2 2 17 2" xfId="6579"/>
    <cellStyle name="Akcent 2 2 17 3" xfId="6580"/>
    <cellStyle name="Akcent 2 2 17 4" xfId="6581"/>
    <cellStyle name="Akcent 2 2 17 5" xfId="6582"/>
    <cellStyle name="Akcent 2 2 17 6" xfId="6583"/>
    <cellStyle name="Akcent 2 2 18" xfId="6584"/>
    <cellStyle name="Akcent 2 2 18 2" xfId="6585"/>
    <cellStyle name="Akcent 2 2 18 3" xfId="6586"/>
    <cellStyle name="Akcent 2 2 18 4" xfId="6587"/>
    <cellStyle name="Akcent 2 2 18 5" xfId="6588"/>
    <cellStyle name="Akcent 2 2 18 6" xfId="6589"/>
    <cellStyle name="Akcent 2 2 19" xfId="6590"/>
    <cellStyle name="Akcent 2 2 19 2" xfId="6591"/>
    <cellStyle name="Akcent 2 2 19 3" xfId="6592"/>
    <cellStyle name="Akcent 2 2 19 4" xfId="6593"/>
    <cellStyle name="Akcent 2 2 19 5" xfId="6594"/>
    <cellStyle name="Akcent 2 2 19 6" xfId="6595"/>
    <cellStyle name="Akcent 2 2 2" xfId="6596"/>
    <cellStyle name="Akcent 2 2 2 2" xfId="6597"/>
    <cellStyle name="Akcent 2 2 2 3" xfId="6598"/>
    <cellStyle name="Akcent 2 2 2 4" xfId="6599"/>
    <cellStyle name="Akcent 2 2 2 5" xfId="6600"/>
    <cellStyle name="Akcent 2 2 2 6" xfId="6601"/>
    <cellStyle name="Akcent 2 2 2 7" xfId="6602"/>
    <cellStyle name="Akcent 2 2 20" xfId="6603"/>
    <cellStyle name="Akcent 2 2 20 2" xfId="6604"/>
    <cellStyle name="Akcent 2 2 20 3" xfId="6605"/>
    <cellStyle name="Akcent 2 2 20 4" xfId="6606"/>
    <cellStyle name="Akcent 2 2 20 5" xfId="6607"/>
    <cellStyle name="Akcent 2 2 20 6" xfId="6608"/>
    <cellStyle name="Akcent 2 2 21" xfId="6609"/>
    <cellStyle name="Akcent 2 2 21 2" xfId="6610"/>
    <cellStyle name="Akcent 2 2 21 3" xfId="6611"/>
    <cellStyle name="Akcent 2 2 21 4" xfId="6612"/>
    <cellStyle name="Akcent 2 2 21 5" xfId="6613"/>
    <cellStyle name="Akcent 2 2 21 6" xfId="6614"/>
    <cellStyle name="Akcent 2 2 22" xfId="6615"/>
    <cellStyle name="Akcent 2 2 22 2" xfId="6616"/>
    <cellStyle name="Akcent 2 2 22 3" xfId="6617"/>
    <cellStyle name="Akcent 2 2 22 4" xfId="6618"/>
    <cellStyle name="Akcent 2 2 22 5" xfId="6619"/>
    <cellStyle name="Akcent 2 2 22 6" xfId="6620"/>
    <cellStyle name="Akcent 2 2 23" xfId="6621"/>
    <cellStyle name="Akcent 2 2 23 2" xfId="6622"/>
    <cellStyle name="Akcent 2 2 23 3" xfId="6623"/>
    <cellStyle name="Akcent 2 2 23 4" xfId="6624"/>
    <cellStyle name="Akcent 2 2 23 5" xfId="6625"/>
    <cellStyle name="Akcent 2 2 23 6" xfId="6626"/>
    <cellStyle name="Akcent 2 2 24" xfId="6627"/>
    <cellStyle name="Akcent 2 2 24 2" xfId="6628"/>
    <cellStyle name="Akcent 2 2 24 3" xfId="6629"/>
    <cellStyle name="Akcent 2 2 24 4" xfId="6630"/>
    <cellStyle name="Akcent 2 2 24 5" xfId="6631"/>
    <cellStyle name="Akcent 2 2 24 6" xfId="6632"/>
    <cellStyle name="Akcent 2 2 25" xfId="6633"/>
    <cellStyle name="Akcent 2 2 25 2" xfId="6634"/>
    <cellStyle name="Akcent 2 2 25 3" xfId="6635"/>
    <cellStyle name="Akcent 2 2 25 4" xfId="6636"/>
    <cellStyle name="Akcent 2 2 25 5" xfId="6637"/>
    <cellStyle name="Akcent 2 2 25 6" xfId="6638"/>
    <cellStyle name="Akcent 2 2 26" xfId="6639"/>
    <cellStyle name="Akcent 2 2 26 2" xfId="6640"/>
    <cellStyle name="Akcent 2 2 26 3" xfId="6641"/>
    <cellStyle name="Akcent 2 2 26 4" xfId="6642"/>
    <cellStyle name="Akcent 2 2 26 5" xfId="6643"/>
    <cellStyle name="Akcent 2 2 26 6" xfId="6644"/>
    <cellStyle name="Akcent 2 2 27" xfId="6645"/>
    <cellStyle name="Akcent 2 2 27 2" xfId="6646"/>
    <cellStyle name="Akcent 2 2 27 3" xfId="6647"/>
    <cellStyle name="Akcent 2 2 27 4" xfId="6648"/>
    <cellStyle name="Akcent 2 2 27 5" xfId="6649"/>
    <cellStyle name="Akcent 2 2 27 6" xfId="6650"/>
    <cellStyle name="Akcent 2 2 28" xfId="6651"/>
    <cellStyle name="Akcent 2 2 28 2" xfId="6652"/>
    <cellStyle name="Akcent 2 2 28 3" xfId="6653"/>
    <cellStyle name="Akcent 2 2 28 4" xfId="6654"/>
    <cellStyle name="Akcent 2 2 28 5" xfId="6655"/>
    <cellStyle name="Akcent 2 2 28 6" xfId="6656"/>
    <cellStyle name="Akcent 2 2 29" xfId="6657"/>
    <cellStyle name="Akcent 2 2 29 2" xfId="6658"/>
    <cellStyle name="Akcent 2 2 3" xfId="6659"/>
    <cellStyle name="Akcent 2 2 3 2" xfId="6660"/>
    <cellStyle name="Akcent 2 2 3 3" xfId="6661"/>
    <cellStyle name="Akcent 2 2 3 4" xfId="6662"/>
    <cellStyle name="Akcent 2 2 3 5" xfId="6663"/>
    <cellStyle name="Akcent 2 2 3 6" xfId="6664"/>
    <cellStyle name="Akcent 2 2 30" xfId="6665"/>
    <cellStyle name="Akcent 2 2 30 2" xfId="6666"/>
    <cellStyle name="Akcent 2 2 31" xfId="6667"/>
    <cellStyle name="Akcent 2 2 31 2" xfId="6668"/>
    <cellStyle name="Akcent 2 2 32" xfId="6669"/>
    <cellStyle name="Akcent 2 2 32 2" xfId="6670"/>
    <cellStyle name="Akcent 2 2 33" xfId="6671"/>
    <cellStyle name="Akcent 2 2 34" xfId="6672"/>
    <cellStyle name="Akcent 2 2 35" xfId="6673"/>
    <cellStyle name="Akcent 2 2 36" xfId="6674"/>
    <cellStyle name="Akcent 2 2 37" xfId="6675"/>
    <cellStyle name="Akcent 2 2 38" xfId="6676"/>
    <cellStyle name="Akcent 2 2 39" xfId="6677"/>
    <cellStyle name="Akcent 2 2 4" xfId="6678"/>
    <cellStyle name="Akcent 2 2 4 2" xfId="6679"/>
    <cellStyle name="Akcent 2 2 4 3" xfId="6680"/>
    <cellStyle name="Akcent 2 2 4 4" xfId="6681"/>
    <cellStyle name="Akcent 2 2 4 5" xfId="6682"/>
    <cellStyle name="Akcent 2 2 4 6" xfId="6683"/>
    <cellStyle name="Akcent 2 2 40" xfId="6684"/>
    <cellStyle name="Akcent 2 2 41" xfId="6685"/>
    <cellStyle name="Akcent 2 2 42" xfId="6686"/>
    <cellStyle name="Akcent 2 2 43" xfId="6687"/>
    <cellStyle name="Akcent 2 2 44" xfId="6688"/>
    <cellStyle name="Akcent 2 2 45" xfId="6689"/>
    <cellStyle name="Akcent 2 2 46" xfId="6690"/>
    <cellStyle name="Akcent 2 2 47" xfId="6691"/>
    <cellStyle name="Akcent 2 2 48" xfId="6692"/>
    <cellStyle name="Akcent 2 2 49" xfId="6693"/>
    <cellStyle name="Akcent 2 2 5" xfId="6694"/>
    <cellStyle name="Akcent 2 2 5 2" xfId="6695"/>
    <cellStyle name="Akcent 2 2 5 3" xfId="6696"/>
    <cellStyle name="Akcent 2 2 5 4" xfId="6697"/>
    <cellStyle name="Akcent 2 2 5 5" xfId="6698"/>
    <cellStyle name="Akcent 2 2 5 6" xfId="6699"/>
    <cellStyle name="Akcent 2 2 50" xfId="6700"/>
    <cellStyle name="Akcent 2 2 51" xfId="6701"/>
    <cellStyle name="Akcent 2 2 52" xfId="6702"/>
    <cellStyle name="Akcent 2 2 6" xfId="6703"/>
    <cellStyle name="Akcent 2 2 6 2" xfId="6704"/>
    <cellStyle name="Akcent 2 2 6 3" xfId="6705"/>
    <cellStyle name="Akcent 2 2 6 4" xfId="6706"/>
    <cellStyle name="Akcent 2 2 6 5" xfId="6707"/>
    <cellStyle name="Akcent 2 2 6 6" xfId="6708"/>
    <cellStyle name="Akcent 2 2 7" xfId="6709"/>
    <cellStyle name="Akcent 2 2 7 2" xfId="6710"/>
    <cellStyle name="Akcent 2 2 7 3" xfId="6711"/>
    <cellStyle name="Akcent 2 2 7 4" xfId="6712"/>
    <cellStyle name="Akcent 2 2 7 5" xfId="6713"/>
    <cellStyle name="Akcent 2 2 7 6" xfId="6714"/>
    <cellStyle name="Akcent 2 2 8" xfId="6715"/>
    <cellStyle name="Akcent 2 2 8 2" xfId="6716"/>
    <cellStyle name="Akcent 2 2 8 3" xfId="6717"/>
    <cellStyle name="Akcent 2 2 8 4" xfId="6718"/>
    <cellStyle name="Akcent 2 2 8 5" xfId="6719"/>
    <cellStyle name="Akcent 2 2 8 6" xfId="6720"/>
    <cellStyle name="Akcent 2 2 9" xfId="6721"/>
    <cellStyle name="Akcent 2 2 9 2" xfId="6722"/>
    <cellStyle name="Akcent 2 2 9 3" xfId="6723"/>
    <cellStyle name="Akcent 2 2 9 4" xfId="6724"/>
    <cellStyle name="Akcent 2 2 9 5" xfId="6725"/>
    <cellStyle name="Akcent 2 2 9 6" xfId="6726"/>
    <cellStyle name="Akcent 2 3" xfId="6727"/>
    <cellStyle name="Akcent 2 3 2" xfId="6728"/>
    <cellStyle name="Akcent 2 3 2 2" xfId="6729"/>
    <cellStyle name="Akcent 2 3 3" xfId="6730"/>
    <cellStyle name="Akcent 2 3 4" xfId="6731"/>
    <cellStyle name="Akcent 2 3 5" xfId="6732"/>
    <cellStyle name="Akcent 2 3 6" xfId="6733"/>
    <cellStyle name="Akcent 2 3 7" xfId="6734"/>
    <cellStyle name="Akcent 2 3 8" xfId="6735"/>
    <cellStyle name="Akcent 2 4" xfId="6736"/>
    <cellStyle name="Akcent 2 4 2" xfId="6737"/>
    <cellStyle name="Akcent 2 4 3" xfId="6738"/>
    <cellStyle name="Akcent 2 4 4" xfId="6739"/>
    <cellStyle name="Akcent 2 4 5" xfId="6740"/>
    <cellStyle name="Akcent 2 4 6" xfId="6741"/>
    <cellStyle name="Akcent 2 4 7" xfId="6742"/>
    <cellStyle name="Akcent 2 4 8" xfId="6743"/>
    <cellStyle name="Akcent 2 5" xfId="6744"/>
    <cellStyle name="Akcent 2 5 2" xfId="6745"/>
    <cellStyle name="Akcent 2 6" xfId="6746"/>
    <cellStyle name="Akcent 2 7" xfId="6747"/>
    <cellStyle name="Akcent 3 2" xfId="6748"/>
    <cellStyle name="Akcent 3 2 10" xfId="6749"/>
    <cellStyle name="Akcent 3 2 10 2" xfId="6750"/>
    <cellStyle name="Akcent 3 2 10 3" xfId="6751"/>
    <cellStyle name="Akcent 3 2 10 4" xfId="6752"/>
    <cellStyle name="Akcent 3 2 10 5" xfId="6753"/>
    <cellStyle name="Akcent 3 2 10 6" xfId="6754"/>
    <cellStyle name="Akcent 3 2 11" xfId="6755"/>
    <cellStyle name="Akcent 3 2 11 2" xfId="6756"/>
    <cellStyle name="Akcent 3 2 11 3" xfId="6757"/>
    <cellStyle name="Akcent 3 2 11 4" xfId="6758"/>
    <cellStyle name="Akcent 3 2 11 5" xfId="6759"/>
    <cellStyle name="Akcent 3 2 11 6" xfId="6760"/>
    <cellStyle name="Akcent 3 2 12" xfId="6761"/>
    <cellStyle name="Akcent 3 2 12 2" xfId="6762"/>
    <cellStyle name="Akcent 3 2 12 3" xfId="6763"/>
    <cellStyle name="Akcent 3 2 12 4" xfId="6764"/>
    <cellStyle name="Akcent 3 2 12 5" xfId="6765"/>
    <cellStyle name="Akcent 3 2 12 6" xfId="6766"/>
    <cellStyle name="Akcent 3 2 13" xfId="6767"/>
    <cellStyle name="Akcent 3 2 13 2" xfId="6768"/>
    <cellStyle name="Akcent 3 2 13 3" xfId="6769"/>
    <cellStyle name="Akcent 3 2 13 4" xfId="6770"/>
    <cellStyle name="Akcent 3 2 13 5" xfId="6771"/>
    <cellStyle name="Akcent 3 2 13 6" xfId="6772"/>
    <cellStyle name="Akcent 3 2 14" xfId="6773"/>
    <cellStyle name="Akcent 3 2 14 2" xfId="6774"/>
    <cellStyle name="Akcent 3 2 14 3" xfId="6775"/>
    <cellStyle name="Akcent 3 2 14 4" xfId="6776"/>
    <cellStyle name="Akcent 3 2 14 5" xfId="6777"/>
    <cellStyle name="Akcent 3 2 14 6" xfId="6778"/>
    <cellStyle name="Akcent 3 2 15" xfId="6779"/>
    <cellStyle name="Akcent 3 2 15 2" xfId="6780"/>
    <cellStyle name="Akcent 3 2 15 3" xfId="6781"/>
    <cellStyle name="Akcent 3 2 15 4" xfId="6782"/>
    <cellStyle name="Akcent 3 2 15 5" xfId="6783"/>
    <cellStyle name="Akcent 3 2 15 6" xfId="6784"/>
    <cellStyle name="Akcent 3 2 16" xfId="6785"/>
    <cellStyle name="Akcent 3 2 16 2" xfId="6786"/>
    <cellStyle name="Akcent 3 2 16 3" xfId="6787"/>
    <cellStyle name="Akcent 3 2 16 4" xfId="6788"/>
    <cellStyle name="Akcent 3 2 16 5" xfId="6789"/>
    <cellStyle name="Akcent 3 2 16 6" xfId="6790"/>
    <cellStyle name="Akcent 3 2 17" xfId="6791"/>
    <cellStyle name="Akcent 3 2 17 2" xfId="6792"/>
    <cellStyle name="Akcent 3 2 17 3" xfId="6793"/>
    <cellStyle name="Akcent 3 2 17 4" xfId="6794"/>
    <cellStyle name="Akcent 3 2 17 5" xfId="6795"/>
    <cellStyle name="Akcent 3 2 17 6" xfId="6796"/>
    <cellStyle name="Akcent 3 2 18" xfId="6797"/>
    <cellStyle name="Akcent 3 2 18 2" xfId="6798"/>
    <cellStyle name="Akcent 3 2 18 3" xfId="6799"/>
    <cellStyle name="Akcent 3 2 18 4" xfId="6800"/>
    <cellStyle name="Akcent 3 2 18 5" xfId="6801"/>
    <cellStyle name="Akcent 3 2 18 6" xfId="6802"/>
    <cellStyle name="Akcent 3 2 19" xfId="6803"/>
    <cellStyle name="Akcent 3 2 19 2" xfId="6804"/>
    <cellStyle name="Akcent 3 2 19 3" xfId="6805"/>
    <cellStyle name="Akcent 3 2 19 4" xfId="6806"/>
    <cellStyle name="Akcent 3 2 19 5" xfId="6807"/>
    <cellStyle name="Akcent 3 2 19 6" xfId="6808"/>
    <cellStyle name="Akcent 3 2 2" xfId="6809"/>
    <cellStyle name="Akcent 3 2 2 2" xfId="6810"/>
    <cellStyle name="Akcent 3 2 2 3" xfId="6811"/>
    <cellStyle name="Akcent 3 2 2 4" xfId="6812"/>
    <cellStyle name="Akcent 3 2 2 5" xfId="6813"/>
    <cellStyle name="Akcent 3 2 2 6" xfId="6814"/>
    <cellStyle name="Akcent 3 2 2 7" xfId="6815"/>
    <cellStyle name="Akcent 3 2 20" xfId="6816"/>
    <cellStyle name="Akcent 3 2 20 2" xfId="6817"/>
    <cellStyle name="Akcent 3 2 20 3" xfId="6818"/>
    <cellStyle name="Akcent 3 2 20 4" xfId="6819"/>
    <cellStyle name="Akcent 3 2 20 5" xfId="6820"/>
    <cellStyle name="Akcent 3 2 20 6" xfId="6821"/>
    <cellStyle name="Akcent 3 2 21" xfId="6822"/>
    <cellStyle name="Akcent 3 2 21 2" xfId="6823"/>
    <cellStyle name="Akcent 3 2 21 3" xfId="6824"/>
    <cellStyle name="Akcent 3 2 21 4" xfId="6825"/>
    <cellStyle name="Akcent 3 2 21 5" xfId="6826"/>
    <cellStyle name="Akcent 3 2 21 6" xfId="6827"/>
    <cellStyle name="Akcent 3 2 22" xfId="6828"/>
    <cellStyle name="Akcent 3 2 22 2" xfId="6829"/>
    <cellStyle name="Akcent 3 2 22 3" xfId="6830"/>
    <cellStyle name="Akcent 3 2 22 4" xfId="6831"/>
    <cellStyle name="Akcent 3 2 22 5" xfId="6832"/>
    <cellStyle name="Akcent 3 2 22 6" xfId="6833"/>
    <cellStyle name="Akcent 3 2 23" xfId="6834"/>
    <cellStyle name="Akcent 3 2 23 2" xfId="6835"/>
    <cellStyle name="Akcent 3 2 23 3" xfId="6836"/>
    <cellStyle name="Akcent 3 2 23 4" xfId="6837"/>
    <cellStyle name="Akcent 3 2 23 5" xfId="6838"/>
    <cellStyle name="Akcent 3 2 23 6" xfId="6839"/>
    <cellStyle name="Akcent 3 2 24" xfId="6840"/>
    <cellStyle name="Akcent 3 2 24 2" xfId="6841"/>
    <cellStyle name="Akcent 3 2 24 3" xfId="6842"/>
    <cellStyle name="Akcent 3 2 24 4" xfId="6843"/>
    <cellStyle name="Akcent 3 2 24 5" xfId="6844"/>
    <cellStyle name="Akcent 3 2 24 6" xfId="6845"/>
    <cellStyle name="Akcent 3 2 25" xfId="6846"/>
    <cellStyle name="Akcent 3 2 25 2" xfId="6847"/>
    <cellStyle name="Akcent 3 2 25 3" xfId="6848"/>
    <cellStyle name="Akcent 3 2 25 4" xfId="6849"/>
    <cellStyle name="Akcent 3 2 25 5" xfId="6850"/>
    <cellStyle name="Akcent 3 2 25 6" xfId="6851"/>
    <cellStyle name="Akcent 3 2 26" xfId="6852"/>
    <cellStyle name="Akcent 3 2 26 2" xfId="6853"/>
    <cellStyle name="Akcent 3 2 26 3" xfId="6854"/>
    <cellStyle name="Akcent 3 2 26 4" xfId="6855"/>
    <cellStyle name="Akcent 3 2 26 5" xfId="6856"/>
    <cellStyle name="Akcent 3 2 26 6" xfId="6857"/>
    <cellStyle name="Akcent 3 2 27" xfId="6858"/>
    <cellStyle name="Akcent 3 2 27 2" xfId="6859"/>
    <cellStyle name="Akcent 3 2 27 3" xfId="6860"/>
    <cellStyle name="Akcent 3 2 27 4" xfId="6861"/>
    <cellStyle name="Akcent 3 2 27 5" xfId="6862"/>
    <cellStyle name="Akcent 3 2 27 6" xfId="6863"/>
    <cellStyle name="Akcent 3 2 28" xfId="6864"/>
    <cellStyle name="Akcent 3 2 28 2" xfId="6865"/>
    <cellStyle name="Akcent 3 2 28 3" xfId="6866"/>
    <cellStyle name="Akcent 3 2 28 4" xfId="6867"/>
    <cellStyle name="Akcent 3 2 28 5" xfId="6868"/>
    <cellStyle name="Akcent 3 2 28 6" xfId="6869"/>
    <cellStyle name="Akcent 3 2 29" xfId="6870"/>
    <cellStyle name="Akcent 3 2 29 2" xfId="6871"/>
    <cellStyle name="Akcent 3 2 3" xfId="6872"/>
    <cellStyle name="Akcent 3 2 3 2" xfId="6873"/>
    <cellStyle name="Akcent 3 2 3 3" xfId="6874"/>
    <cellStyle name="Akcent 3 2 3 4" xfId="6875"/>
    <cellStyle name="Akcent 3 2 3 5" xfId="6876"/>
    <cellStyle name="Akcent 3 2 3 6" xfId="6877"/>
    <cellStyle name="Akcent 3 2 30" xfId="6878"/>
    <cellStyle name="Akcent 3 2 30 2" xfId="6879"/>
    <cellStyle name="Akcent 3 2 31" xfId="6880"/>
    <cellStyle name="Akcent 3 2 31 2" xfId="6881"/>
    <cellStyle name="Akcent 3 2 32" xfId="6882"/>
    <cellStyle name="Akcent 3 2 32 2" xfId="6883"/>
    <cellStyle name="Akcent 3 2 33" xfId="6884"/>
    <cellStyle name="Akcent 3 2 34" xfId="6885"/>
    <cellStyle name="Akcent 3 2 35" xfId="6886"/>
    <cellStyle name="Akcent 3 2 36" xfId="6887"/>
    <cellStyle name="Akcent 3 2 37" xfId="6888"/>
    <cellStyle name="Akcent 3 2 38" xfId="6889"/>
    <cellStyle name="Akcent 3 2 39" xfId="6890"/>
    <cellStyle name="Akcent 3 2 4" xfId="6891"/>
    <cellStyle name="Akcent 3 2 4 2" xfId="6892"/>
    <cellStyle name="Akcent 3 2 4 3" xfId="6893"/>
    <cellStyle name="Akcent 3 2 4 4" xfId="6894"/>
    <cellStyle name="Akcent 3 2 4 5" xfId="6895"/>
    <cellStyle name="Akcent 3 2 4 6" xfId="6896"/>
    <cellStyle name="Akcent 3 2 40" xfId="6897"/>
    <cellStyle name="Akcent 3 2 41" xfId="6898"/>
    <cellStyle name="Akcent 3 2 42" xfId="6899"/>
    <cellStyle name="Akcent 3 2 43" xfId="6900"/>
    <cellStyle name="Akcent 3 2 44" xfId="6901"/>
    <cellStyle name="Akcent 3 2 45" xfId="6902"/>
    <cellStyle name="Akcent 3 2 46" xfId="6903"/>
    <cellStyle name="Akcent 3 2 47" xfId="6904"/>
    <cellStyle name="Akcent 3 2 48" xfId="6905"/>
    <cellStyle name="Akcent 3 2 49" xfId="6906"/>
    <cellStyle name="Akcent 3 2 5" xfId="6907"/>
    <cellStyle name="Akcent 3 2 5 2" xfId="6908"/>
    <cellStyle name="Akcent 3 2 5 3" xfId="6909"/>
    <cellStyle name="Akcent 3 2 5 4" xfId="6910"/>
    <cellStyle name="Akcent 3 2 5 5" xfId="6911"/>
    <cellStyle name="Akcent 3 2 5 6" xfId="6912"/>
    <cellStyle name="Akcent 3 2 50" xfId="6913"/>
    <cellStyle name="Akcent 3 2 51" xfId="6914"/>
    <cellStyle name="Akcent 3 2 52" xfId="6915"/>
    <cellStyle name="Akcent 3 2 6" xfId="6916"/>
    <cellStyle name="Akcent 3 2 6 2" xfId="6917"/>
    <cellStyle name="Akcent 3 2 6 3" xfId="6918"/>
    <cellStyle name="Akcent 3 2 6 4" xfId="6919"/>
    <cellStyle name="Akcent 3 2 6 5" xfId="6920"/>
    <cellStyle name="Akcent 3 2 6 6" xfId="6921"/>
    <cellStyle name="Akcent 3 2 7" xfId="6922"/>
    <cellStyle name="Akcent 3 2 7 2" xfId="6923"/>
    <cellStyle name="Akcent 3 2 7 3" xfId="6924"/>
    <cellStyle name="Akcent 3 2 7 4" xfId="6925"/>
    <cellStyle name="Akcent 3 2 7 5" xfId="6926"/>
    <cellStyle name="Akcent 3 2 7 6" xfId="6927"/>
    <cellStyle name="Akcent 3 2 8" xfId="6928"/>
    <cellStyle name="Akcent 3 2 8 2" xfId="6929"/>
    <cellStyle name="Akcent 3 2 8 3" xfId="6930"/>
    <cellStyle name="Akcent 3 2 8 4" xfId="6931"/>
    <cellStyle name="Akcent 3 2 8 5" xfId="6932"/>
    <cellStyle name="Akcent 3 2 8 6" xfId="6933"/>
    <cellStyle name="Akcent 3 2 9" xfId="6934"/>
    <cellStyle name="Akcent 3 2 9 2" xfId="6935"/>
    <cellStyle name="Akcent 3 2 9 3" xfId="6936"/>
    <cellStyle name="Akcent 3 2 9 4" xfId="6937"/>
    <cellStyle name="Akcent 3 2 9 5" xfId="6938"/>
    <cellStyle name="Akcent 3 2 9 6" xfId="6939"/>
    <cellStyle name="Akcent 3 3" xfId="6940"/>
    <cellStyle name="Akcent 3 3 2" xfId="6941"/>
    <cellStyle name="Akcent 3 3 2 2" xfId="6942"/>
    <cellStyle name="Akcent 3 3 3" xfId="6943"/>
    <cellStyle name="Akcent 3 3 4" xfId="6944"/>
    <cellStyle name="Akcent 3 3 5" xfId="6945"/>
    <cellStyle name="Akcent 3 3 6" xfId="6946"/>
    <cellStyle name="Akcent 3 3 7" xfId="6947"/>
    <cellStyle name="Akcent 3 3 8" xfId="6948"/>
    <cellStyle name="Akcent 3 4" xfId="6949"/>
    <cellStyle name="Akcent 3 4 2" xfId="6950"/>
    <cellStyle name="Akcent 3 4 3" xfId="6951"/>
    <cellStyle name="Akcent 3 4 4" xfId="6952"/>
    <cellStyle name="Akcent 3 4 5" xfId="6953"/>
    <cellStyle name="Akcent 3 4 6" xfId="6954"/>
    <cellStyle name="Akcent 3 4 7" xfId="6955"/>
    <cellStyle name="Akcent 3 4 8" xfId="6956"/>
    <cellStyle name="Akcent 3 5" xfId="6957"/>
    <cellStyle name="Akcent 3 5 2" xfId="6958"/>
    <cellStyle name="Akcent 3 6" xfId="6959"/>
    <cellStyle name="Akcent 3 7" xfId="6960"/>
    <cellStyle name="Akcent 4 2" xfId="6961"/>
    <cellStyle name="Akcent 4 2 10" xfId="6962"/>
    <cellStyle name="Akcent 4 2 10 2" xfId="6963"/>
    <cellStyle name="Akcent 4 2 10 3" xfId="6964"/>
    <cellStyle name="Akcent 4 2 10 4" xfId="6965"/>
    <cellStyle name="Akcent 4 2 10 5" xfId="6966"/>
    <cellStyle name="Akcent 4 2 10 6" xfId="6967"/>
    <cellStyle name="Akcent 4 2 11" xfId="6968"/>
    <cellStyle name="Akcent 4 2 11 2" xfId="6969"/>
    <cellStyle name="Akcent 4 2 11 3" xfId="6970"/>
    <cellStyle name="Akcent 4 2 11 4" xfId="6971"/>
    <cellStyle name="Akcent 4 2 11 5" xfId="6972"/>
    <cellStyle name="Akcent 4 2 11 6" xfId="6973"/>
    <cellStyle name="Akcent 4 2 12" xfId="6974"/>
    <cellStyle name="Akcent 4 2 12 2" xfId="6975"/>
    <cellStyle name="Akcent 4 2 12 3" xfId="6976"/>
    <cellStyle name="Akcent 4 2 12 4" xfId="6977"/>
    <cellStyle name="Akcent 4 2 12 5" xfId="6978"/>
    <cellStyle name="Akcent 4 2 12 6" xfId="6979"/>
    <cellStyle name="Akcent 4 2 13" xfId="6980"/>
    <cellStyle name="Akcent 4 2 13 2" xfId="6981"/>
    <cellStyle name="Akcent 4 2 13 3" xfId="6982"/>
    <cellStyle name="Akcent 4 2 13 4" xfId="6983"/>
    <cellStyle name="Akcent 4 2 13 5" xfId="6984"/>
    <cellStyle name="Akcent 4 2 13 6" xfId="6985"/>
    <cellStyle name="Akcent 4 2 14" xfId="6986"/>
    <cellStyle name="Akcent 4 2 14 2" xfId="6987"/>
    <cellStyle name="Akcent 4 2 14 3" xfId="6988"/>
    <cellStyle name="Akcent 4 2 14 4" xfId="6989"/>
    <cellStyle name="Akcent 4 2 14 5" xfId="6990"/>
    <cellStyle name="Akcent 4 2 14 6" xfId="6991"/>
    <cellStyle name="Akcent 4 2 15" xfId="6992"/>
    <cellStyle name="Akcent 4 2 15 2" xfId="6993"/>
    <cellStyle name="Akcent 4 2 15 3" xfId="6994"/>
    <cellStyle name="Akcent 4 2 15 4" xfId="6995"/>
    <cellStyle name="Akcent 4 2 15 5" xfId="6996"/>
    <cellStyle name="Akcent 4 2 15 6" xfId="6997"/>
    <cellStyle name="Akcent 4 2 16" xfId="6998"/>
    <cellStyle name="Akcent 4 2 16 2" xfId="6999"/>
    <cellStyle name="Akcent 4 2 16 3" xfId="7000"/>
    <cellStyle name="Akcent 4 2 16 4" xfId="7001"/>
    <cellStyle name="Akcent 4 2 16 5" xfId="7002"/>
    <cellStyle name="Akcent 4 2 16 6" xfId="7003"/>
    <cellStyle name="Akcent 4 2 17" xfId="7004"/>
    <cellStyle name="Akcent 4 2 17 2" xfId="7005"/>
    <cellStyle name="Akcent 4 2 17 3" xfId="7006"/>
    <cellStyle name="Akcent 4 2 17 4" xfId="7007"/>
    <cellStyle name="Akcent 4 2 17 5" xfId="7008"/>
    <cellStyle name="Akcent 4 2 17 6" xfId="7009"/>
    <cellStyle name="Akcent 4 2 18" xfId="7010"/>
    <cellStyle name="Akcent 4 2 18 2" xfId="7011"/>
    <cellStyle name="Akcent 4 2 18 3" xfId="7012"/>
    <cellStyle name="Akcent 4 2 18 4" xfId="7013"/>
    <cellStyle name="Akcent 4 2 18 5" xfId="7014"/>
    <cellStyle name="Akcent 4 2 18 6" xfId="7015"/>
    <cellStyle name="Akcent 4 2 19" xfId="7016"/>
    <cellStyle name="Akcent 4 2 19 2" xfId="7017"/>
    <cellStyle name="Akcent 4 2 19 3" xfId="7018"/>
    <cellStyle name="Akcent 4 2 19 4" xfId="7019"/>
    <cellStyle name="Akcent 4 2 19 5" xfId="7020"/>
    <cellStyle name="Akcent 4 2 19 6" xfId="7021"/>
    <cellStyle name="Akcent 4 2 2" xfId="7022"/>
    <cellStyle name="Akcent 4 2 2 2" xfId="7023"/>
    <cellStyle name="Akcent 4 2 2 3" xfId="7024"/>
    <cellStyle name="Akcent 4 2 2 4" xfId="7025"/>
    <cellStyle name="Akcent 4 2 2 5" xfId="7026"/>
    <cellStyle name="Akcent 4 2 2 6" xfId="7027"/>
    <cellStyle name="Akcent 4 2 2 7" xfId="7028"/>
    <cellStyle name="Akcent 4 2 20" xfId="7029"/>
    <cellStyle name="Akcent 4 2 20 2" xfId="7030"/>
    <cellStyle name="Akcent 4 2 20 3" xfId="7031"/>
    <cellStyle name="Akcent 4 2 20 4" xfId="7032"/>
    <cellStyle name="Akcent 4 2 20 5" xfId="7033"/>
    <cellStyle name="Akcent 4 2 20 6" xfId="7034"/>
    <cellStyle name="Akcent 4 2 21" xfId="7035"/>
    <cellStyle name="Akcent 4 2 21 2" xfId="7036"/>
    <cellStyle name="Akcent 4 2 21 3" xfId="7037"/>
    <cellStyle name="Akcent 4 2 21 4" xfId="7038"/>
    <cellStyle name="Akcent 4 2 21 5" xfId="7039"/>
    <cellStyle name="Akcent 4 2 21 6" xfId="7040"/>
    <cellStyle name="Akcent 4 2 22" xfId="7041"/>
    <cellStyle name="Akcent 4 2 22 2" xfId="7042"/>
    <cellStyle name="Akcent 4 2 22 3" xfId="7043"/>
    <cellStyle name="Akcent 4 2 22 4" xfId="7044"/>
    <cellStyle name="Akcent 4 2 22 5" xfId="7045"/>
    <cellStyle name="Akcent 4 2 22 6" xfId="7046"/>
    <cellStyle name="Akcent 4 2 23" xfId="7047"/>
    <cellStyle name="Akcent 4 2 23 2" xfId="7048"/>
    <cellStyle name="Akcent 4 2 23 3" xfId="7049"/>
    <cellStyle name="Akcent 4 2 23 4" xfId="7050"/>
    <cellStyle name="Akcent 4 2 23 5" xfId="7051"/>
    <cellStyle name="Akcent 4 2 23 6" xfId="7052"/>
    <cellStyle name="Akcent 4 2 24" xfId="7053"/>
    <cellStyle name="Akcent 4 2 24 2" xfId="7054"/>
    <cellStyle name="Akcent 4 2 24 3" xfId="7055"/>
    <cellStyle name="Akcent 4 2 24 4" xfId="7056"/>
    <cellStyle name="Akcent 4 2 24 5" xfId="7057"/>
    <cellStyle name="Akcent 4 2 24 6" xfId="7058"/>
    <cellStyle name="Akcent 4 2 25" xfId="7059"/>
    <cellStyle name="Akcent 4 2 25 2" xfId="7060"/>
    <cellStyle name="Akcent 4 2 25 3" xfId="7061"/>
    <cellStyle name="Akcent 4 2 25 4" xfId="7062"/>
    <cellStyle name="Akcent 4 2 25 5" xfId="7063"/>
    <cellStyle name="Akcent 4 2 25 6" xfId="7064"/>
    <cellStyle name="Akcent 4 2 26" xfId="7065"/>
    <cellStyle name="Akcent 4 2 26 2" xfId="7066"/>
    <cellStyle name="Akcent 4 2 26 3" xfId="7067"/>
    <cellStyle name="Akcent 4 2 26 4" xfId="7068"/>
    <cellStyle name="Akcent 4 2 26 5" xfId="7069"/>
    <cellStyle name="Akcent 4 2 26 6" xfId="7070"/>
    <cellStyle name="Akcent 4 2 27" xfId="7071"/>
    <cellStyle name="Akcent 4 2 27 2" xfId="7072"/>
    <cellStyle name="Akcent 4 2 27 3" xfId="7073"/>
    <cellStyle name="Akcent 4 2 27 4" xfId="7074"/>
    <cellStyle name="Akcent 4 2 27 5" xfId="7075"/>
    <cellStyle name="Akcent 4 2 27 6" xfId="7076"/>
    <cellStyle name="Akcent 4 2 28" xfId="7077"/>
    <cellStyle name="Akcent 4 2 28 2" xfId="7078"/>
    <cellStyle name="Akcent 4 2 28 3" xfId="7079"/>
    <cellStyle name="Akcent 4 2 28 4" xfId="7080"/>
    <cellStyle name="Akcent 4 2 28 5" xfId="7081"/>
    <cellStyle name="Akcent 4 2 28 6" xfId="7082"/>
    <cellStyle name="Akcent 4 2 29" xfId="7083"/>
    <cellStyle name="Akcent 4 2 29 2" xfId="7084"/>
    <cellStyle name="Akcent 4 2 3" xfId="7085"/>
    <cellStyle name="Akcent 4 2 3 2" xfId="7086"/>
    <cellStyle name="Akcent 4 2 3 3" xfId="7087"/>
    <cellStyle name="Akcent 4 2 3 4" xfId="7088"/>
    <cellStyle name="Akcent 4 2 3 5" xfId="7089"/>
    <cellStyle name="Akcent 4 2 3 6" xfId="7090"/>
    <cellStyle name="Akcent 4 2 30" xfId="7091"/>
    <cellStyle name="Akcent 4 2 30 2" xfId="7092"/>
    <cellStyle name="Akcent 4 2 31" xfId="7093"/>
    <cellStyle name="Akcent 4 2 31 2" xfId="7094"/>
    <cellStyle name="Akcent 4 2 32" xfId="7095"/>
    <cellStyle name="Akcent 4 2 32 2" xfId="7096"/>
    <cellStyle name="Akcent 4 2 33" xfId="7097"/>
    <cellStyle name="Akcent 4 2 34" xfId="7098"/>
    <cellStyle name="Akcent 4 2 35" xfId="7099"/>
    <cellStyle name="Akcent 4 2 36" xfId="7100"/>
    <cellStyle name="Akcent 4 2 37" xfId="7101"/>
    <cellStyle name="Akcent 4 2 38" xfId="7102"/>
    <cellStyle name="Akcent 4 2 39" xfId="7103"/>
    <cellStyle name="Akcent 4 2 4" xfId="7104"/>
    <cellStyle name="Akcent 4 2 4 2" xfId="7105"/>
    <cellStyle name="Akcent 4 2 4 3" xfId="7106"/>
    <cellStyle name="Akcent 4 2 4 4" xfId="7107"/>
    <cellStyle name="Akcent 4 2 4 5" xfId="7108"/>
    <cellStyle name="Akcent 4 2 4 6" xfId="7109"/>
    <cellStyle name="Akcent 4 2 40" xfId="7110"/>
    <cellStyle name="Akcent 4 2 41" xfId="7111"/>
    <cellStyle name="Akcent 4 2 42" xfId="7112"/>
    <cellStyle name="Akcent 4 2 43" xfId="7113"/>
    <cellStyle name="Akcent 4 2 44" xfId="7114"/>
    <cellStyle name="Akcent 4 2 45" xfId="7115"/>
    <cellStyle name="Akcent 4 2 46" xfId="7116"/>
    <cellStyle name="Akcent 4 2 47" xfId="7117"/>
    <cellStyle name="Akcent 4 2 48" xfId="7118"/>
    <cellStyle name="Akcent 4 2 49" xfId="7119"/>
    <cellStyle name="Akcent 4 2 5" xfId="7120"/>
    <cellStyle name="Akcent 4 2 5 2" xfId="7121"/>
    <cellStyle name="Akcent 4 2 5 3" xfId="7122"/>
    <cellStyle name="Akcent 4 2 5 4" xfId="7123"/>
    <cellStyle name="Akcent 4 2 5 5" xfId="7124"/>
    <cellStyle name="Akcent 4 2 5 6" xfId="7125"/>
    <cellStyle name="Akcent 4 2 50" xfId="7126"/>
    <cellStyle name="Akcent 4 2 51" xfId="7127"/>
    <cellStyle name="Akcent 4 2 52" xfId="7128"/>
    <cellStyle name="Akcent 4 2 6" xfId="7129"/>
    <cellStyle name="Akcent 4 2 6 2" xfId="7130"/>
    <cellStyle name="Akcent 4 2 6 3" xfId="7131"/>
    <cellStyle name="Akcent 4 2 6 4" xfId="7132"/>
    <cellStyle name="Akcent 4 2 6 5" xfId="7133"/>
    <cellStyle name="Akcent 4 2 6 6" xfId="7134"/>
    <cellStyle name="Akcent 4 2 7" xfId="7135"/>
    <cellStyle name="Akcent 4 2 7 2" xfId="7136"/>
    <cellStyle name="Akcent 4 2 7 3" xfId="7137"/>
    <cellStyle name="Akcent 4 2 7 4" xfId="7138"/>
    <cellStyle name="Akcent 4 2 7 5" xfId="7139"/>
    <cellStyle name="Akcent 4 2 7 6" xfId="7140"/>
    <cellStyle name="Akcent 4 2 8" xfId="7141"/>
    <cellStyle name="Akcent 4 2 8 2" xfId="7142"/>
    <cellStyle name="Akcent 4 2 8 3" xfId="7143"/>
    <cellStyle name="Akcent 4 2 8 4" xfId="7144"/>
    <cellStyle name="Akcent 4 2 8 5" xfId="7145"/>
    <cellStyle name="Akcent 4 2 8 6" xfId="7146"/>
    <cellStyle name="Akcent 4 2 9" xfId="7147"/>
    <cellStyle name="Akcent 4 2 9 2" xfId="7148"/>
    <cellStyle name="Akcent 4 2 9 3" xfId="7149"/>
    <cellStyle name="Akcent 4 2 9 4" xfId="7150"/>
    <cellStyle name="Akcent 4 2 9 5" xfId="7151"/>
    <cellStyle name="Akcent 4 2 9 6" xfId="7152"/>
    <cellStyle name="Akcent 4 3" xfId="7153"/>
    <cellStyle name="Akcent 4 3 2" xfId="7154"/>
    <cellStyle name="Akcent 4 3 2 2" xfId="7155"/>
    <cellStyle name="Akcent 4 3 3" xfId="7156"/>
    <cellStyle name="Akcent 4 3 4" xfId="7157"/>
    <cellStyle name="Akcent 4 3 5" xfId="7158"/>
    <cellStyle name="Akcent 4 3 6" xfId="7159"/>
    <cellStyle name="Akcent 4 3 7" xfId="7160"/>
    <cellStyle name="Akcent 4 3 8" xfId="7161"/>
    <cellStyle name="Akcent 4 4" xfId="7162"/>
    <cellStyle name="Akcent 4 4 2" xfId="7163"/>
    <cellStyle name="Akcent 4 4 3" xfId="7164"/>
    <cellStyle name="Akcent 4 4 4" xfId="7165"/>
    <cellStyle name="Akcent 4 4 5" xfId="7166"/>
    <cellStyle name="Akcent 4 4 6" xfId="7167"/>
    <cellStyle name="Akcent 4 4 7" xfId="7168"/>
    <cellStyle name="Akcent 4 4 8" xfId="7169"/>
    <cellStyle name="Akcent 4 5" xfId="7170"/>
    <cellStyle name="Akcent 4 5 2" xfId="7171"/>
    <cellStyle name="Akcent 4 6" xfId="7172"/>
    <cellStyle name="Akcent 4 7" xfId="7173"/>
    <cellStyle name="Akcent 5 2" xfId="7174"/>
    <cellStyle name="Akcent 5 2 10" xfId="7175"/>
    <cellStyle name="Akcent 5 2 10 2" xfId="7176"/>
    <cellStyle name="Akcent 5 2 10 3" xfId="7177"/>
    <cellStyle name="Akcent 5 2 10 4" xfId="7178"/>
    <cellStyle name="Akcent 5 2 10 5" xfId="7179"/>
    <cellStyle name="Akcent 5 2 10 6" xfId="7180"/>
    <cellStyle name="Akcent 5 2 11" xfId="7181"/>
    <cellStyle name="Akcent 5 2 11 2" xfId="7182"/>
    <cellStyle name="Akcent 5 2 11 3" xfId="7183"/>
    <cellStyle name="Akcent 5 2 11 4" xfId="7184"/>
    <cellStyle name="Akcent 5 2 11 5" xfId="7185"/>
    <cellStyle name="Akcent 5 2 11 6" xfId="7186"/>
    <cellStyle name="Akcent 5 2 12" xfId="7187"/>
    <cellStyle name="Akcent 5 2 12 2" xfId="7188"/>
    <cellStyle name="Akcent 5 2 12 3" xfId="7189"/>
    <cellStyle name="Akcent 5 2 12 4" xfId="7190"/>
    <cellStyle name="Akcent 5 2 12 5" xfId="7191"/>
    <cellStyle name="Akcent 5 2 12 6" xfId="7192"/>
    <cellStyle name="Akcent 5 2 13" xfId="7193"/>
    <cellStyle name="Akcent 5 2 13 2" xfId="7194"/>
    <cellStyle name="Akcent 5 2 13 3" xfId="7195"/>
    <cellStyle name="Akcent 5 2 13 4" xfId="7196"/>
    <cellStyle name="Akcent 5 2 13 5" xfId="7197"/>
    <cellStyle name="Akcent 5 2 13 6" xfId="7198"/>
    <cellStyle name="Akcent 5 2 14" xfId="7199"/>
    <cellStyle name="Akcent 5 2 14 2" xfId="7200"/>
    <cellStyle name="Akcent 5 2 14 3" xfId="7201"/>
    <cellStyle name="Akcent 5 2 14 4" xfId="7202"/>
    <cellStyle name="Akcent 5 2 14 5" xfId="7203"/>
    <cellStyle name="Akcent 5 2 14 6" xfId="7204"/>
    <cellStyle name="Akcent 5 2 15" xfId="7205"/>
    <cellStyle name="Akcent 5 2 15 2" xfId="7206"/>
    <cellStyle name="Akcent 5 2 15 3" xfId="7207"/>
    <cellStyle name="Akcent 5 2 15 4" xfId="7208"/>
    <cellStyle name="Akcent 5 2 15 5" xfId="7209"/>
    <cellStyle name="Akcent 5 2 15 6" xfId="7210"/>
    <cellStyle name="Akcent 5 2 16" xfId="7211"/>
    <cellStyle name="Akcent 5 2 16 2" xfId="7212"/>
    <cellStyle name="Akcent 5 2 16 3" xfId="7213"/>
    <cellStyle name="Akcent 5 2 16 4" xfId="7214"/>
    <cellStyle name="Akcent 5 2 16 5" xfId="7215"/>
    <cellStyle name="Akcent 5 2 16 6" xfId="7216"/>
    <cellStyle name="Akcent 5 2 17" xfId="7217"/>
    <cellStyle name="Akcent 5 2 17 2" xfId="7218"/>
    <cellStyle name="Akcent 5 2 17 3" xfId="7219"/>
    <cellStyle name="Akcent 5 2 17 4" xfId="7220"/>
    <cellStyle name="Akcent 5 2 17 5" xfId="7221"/>
    <cellStyle name="Akcent 5 2 17 6" xfId="7222"/>
    <cellStyle name="Akcent 5 2 18" xfId="7223"/>
    <cellStyle name="Akcent 5 2 18 2" xfId="7224"/>
    <cellStyle name="Akcent 5 2 18 3" xfId="7225"/>
    <cellStyle name="Akcent 5 2 18 4" xfId="7226"/>
    <cellStyle name="Akcent 5 2 18 5" xfId="7227"/>
    <cellStyle name="Akcent 5 2 18 6" xfId="7228"/>
    <cellStyle name="Akcent 5 2 19" xfId="7229"/>
    <cellStyle name="Akcent 5 2 19 2" xfId="7230"/>
    <cellStyle name="Akcent 5 2 19 3" xfId="7231"/>
    <cellStyle name="Akcent 5 2 19 4" xfId="7232"/>
    <cellStyle name="Akcent 5 2 19 5" xfId="7233"/>
    <cellStyle name="Akcent 5 2 19 6" xfId="7234"/>
    <cellStyle name="Akcent 5 2 2" xfId="7235"/>
    <cellStyle name="Akcent 5 2 2 2" xfId="7236"/>
    <cellStyle name="Akcent 5 2 2 3" xfId="7237"/>
    <cellStyle name="Akcent 5 2 2 4" xfId="7238"/>
    <cellStyle name="Akcent 5 2 2 5" xfId="7239"/>
    <cellStyle name="Akcent 5 2 2 6" xfId="7240"/>
    <cellStyle name="Akcent 5 2 2 7" xfId="7241"/>
    <cellStyle name="Akcent 5 2 20" xfId="7242"/>
    <cellStyle name="Akcent 5 2 20 2" xfId="7243"/>
    <cellStyle name="Akcent 5 2 20 3" xfId="7244"/>
    <cellStyle name="Akcent 5 2 20 4" xfId="7245"/>
    <cellStyle name="Akcent 5 2 20 5" xfId="7246"/>
    <cellStyle name="Akcent 5 2 20 6" xfId="7247"/>
    <cellStyle name="Akcent 5 2 21" xfId="7248"/>
    <cellStyle name="Akcent 5 2 21 2" xfId="7249"/>
    <cellStyle name="Akcent 5 2 21 3" xfId="7250"/>
    <cellStyle name="Akcent 5 2 21 4" xfId="7251"/>
    <cellStyle name="Akcent 5 2 21 5" xfId="7252"/>
    <cellStyle name="Akcent 5 2 21 6" xfId="7253"/>
    <cellStyle name="Akcent 5 2 22" xfId="7254"/>
    <cellStyle name="Akcent 5 2 22 2" xfId="7255"/>
    <cellStyle name="Akcent 5 2 22 3" xfId="7256"/>
    <cellStyle name="Akcent 5 2 22 4" xfId="7257"/>
    <cellStyle name="Akcent 5 2 22 5" xfId="7258"/>
    <cellStyle name="Akcent 5 2 22 6" xfId="7259"/>
    <cellStyle name="Akcent 5 2 23" xfId="7260"/>
    <cellStyle name="Akcent 5 2 23 2" xfId="7261"/>
    <cellStyle name="Akcent 5 2 23 3" xfId="7262"/>
    <cellStyle name="Akcent 5 2 23 4" xfId="7263"/>
    <cellStyle name="Akcent 5 2 23 5" xfId="7264"/>
    <cellStyle name="Akcent 5 2 23 6" xfId="7265"/>
    <cellStyle name="Akcent 5 2 24" xfId="7266"/>
    <cellStyle name="Akcent 5 2 24 2" xfId="7267"/>
    <cellStyle name="Akcent 5 2 24 3" xfId="7268"/>
    <cellStyle name="Akcent 5 2 24 4" xfId="7269"/>
    <cellStyle name="Akcent 5 2 24 5" xfId="7270"/>
    <cellStyle name="Akcent 5 2 24 6" xfId="7271"/>
    <cellStyle name="Akcent 5 2 25" xfId="7272"/>
    <cellStyle name="Akcent 5 2 25 2" xfId="7273"/>
    <cellStyle name="Akcent 5 2 25 3" xfId="7274"/>
    <cellStyle name="Akcent 5 2 25 4" xfId="7275"/>
    <cellStyle name="Akcent 5 2 25 5" xfId="7276"/>
    <cellStyle name="Akcent 5 2 25 6" xfId="7277"/>
    <cellStyle name="Akcent 5 2 26" xfId="7278"/>
    <cellStyle name="Akcent 5 2 26 2" xfId="7279"/>
    <cellStyle name="Akcent 5 2 26 3" xfId="7280"/>
    <cellStyle name="Akcent 5 2 26 4" xfId="7281"/>
    <cellStyle name="Akcent 5 2 26 5" xfId="7282"/>
    <cellStyle name="Akcent 5 2 26 6" xfId="7283"/>
    <cellStyle name="Akcent 5 2 27" xfId="7284"/>
    <cellStyle name="Akcent 5 2 27 2" xfId="7285"/>
    <cellStyle name="Akcent 5 2 27 3" xfId="7286"/>
    <cellStyle name="Akcent 5 2 27 4" xfId="7287"/>
    <cellStyle name="Akcent 5 2 27 5" xfId="7288"/>
    <cellStyle name="Akcent 5 2 27 6" xfId="7289"/>
    <cellStyle name="Akcent 5 2 28" xfId="7290"/>
    <cellStyle name="Akcent 5 2 28 2" xfId="7291"/>
    <cellStyle name="Akcent 5 2 28 3" xfId="7292"/>
    <cellStyle name="Akcent 5 2 28 4" xfId="7293"/>
    <cellStyle name="Akcent 5 2 28 5" xfId="7294"/>
    <cellStyle name="Akcent 5 2 28 6" xfId="7295"/>
    <cellStyle name="Akcent 5 2 29" xfId="7296"/>
    <cellStyle name="Akcent 5 2 29 2" xfId="7297"/>
    <cellStyle name="Akcent 5 2 3" xfId="7298"/>
    <cellStyle name="Akcent 5 2 3 2" xfId="7299"/>
    <cellStyle name="Akcent 5 2 3 3" xfId="7300"/>
    <cellStyle name="Akcent 5 2 3 4" xfId="7301"/>
    <cellStyle name="Akcent 5 2 3 5" xfId="7302"/>
    <cellStyle name="Akcent 5 2 3 6" xfId="7303"/>
    <cellStyle name="Akcent 5 2 30" xfId="7304"/>
    <cellStyle name="Akcent 5 2 30 2" xfId="7305"/>
    <cellStyle name="Akcent 5 2 31" xfId="7306"/>
    <cellStyle name="Akcent 5 2 31 2" xfId="7307"/>
    <cellStyle name="Akcent 5 2 32" xfId="7308"/>
    <cellStyle name="Akcent 5 2 32 2" xfId="7309"/>
    <cellStyle name="Akcent 5 2 33" xfId="7310"/>
    <cellStyle name="Akcent 5 2 34" xfId="7311"/>
    <cellStyle name="Akcent 5 2 35" xfId="7312"/>
    <cellStyle name="Akcent 5 2 36" xfId="7313"/>
    <cellStyle name="Akcent 5 2 37" xfId="7314"/>
    <cellStyle name="Akcent 5 2 38" xfId="7315"/>
    <cellStyle name="Akcent 5 2 39" xfId="7316"/>
    <cellStyle name="Akcent 5 2 4" xfId="7317"/>
    <cellStyle name="Akcent 5 2 4 2" xfId="7318"/>
    <cellStyle name="Akcent 5 2 4 3" xfId="7319"/>
    <cellStyle name="Akcent 5 2 4 4" xfId="7320"/>
    <cellStyle name="Akcent 5 2 4 5" xfId="7321"/>
    <cellStyle name="Akcent 5 2 4 6" xfId="7322"/>
    <cellStyle name="Akcent 5 2 40" xfId="7323"/>
    <cellStyle name="Akcent 5 2 41" xfId="7324"/>
    <cellStyle name="Akcent 5 2 42" xfId="7325"/>
    <cellStyle name="Akcent 5 2 43" xfId="7326"/>
    <cellStyle name="Akcent 5 2 44" xfId="7327"/>
    <cellStyle name="Akcent 5 2 45" xfId="7328"/>
    <cellStyle name="Akcent 5 2 46" xfId="7329"/>
    <cellStyle name="Akcent 5 2 47" xfId="7330"/>
    <cellStyle name="Akcent 5 2 48" xfId="7331"/>
    <cellStyle name="Akcent 5 2 49" xfId="7332"/>
    <cellStyle name="Akcent 5 2 5" xfId="7333"/>
    <cellStyle name="Akcent 5 2 5 2" xfId="7334"/>
    <cellStyle name="Akcent 5 2 5 3" xfId="7335"/>
    <cellStyle name="Akcent 5 2 5 4" xfId="7336"/>
    <cellStyle name="Akcent 5 2 5 5" xfId="7337"/>
    <cellStyle name="Akcent 5 2 5 6" xfId="7338"/>
    <cellStyle name="Akcent 5 2 50" xfId="7339"/>
    <cellStyle name="Akcent 5 2 51" xfId="7340"/>
    <cellStyle name="Akcent 5 2 52" xfId="7341"/>
    <cellStyle name="Akcent 5 2 6" xfId="7342"/>
    <cellStyle name="Akcent 5 2 6 2" xfId="7343"/>
    <cellStyle name="Akcent 5 2 6 3" xfId="7344"/>
    <cellStyle name="Akcent 5 2 6 4" xfId="7345"/>
    <cellStyle name="Akcent 5 2 6 5" xfId="7346"/>
    <cellStyle name="Akcent 5 2 6 6" xfId="7347"/>
    <cellStyle name="Akcent 5 2 7" xfId="7348"/>
    <cellStyle name="Akcent 5 2 7 2" xfId="7349"/>
    <cellStyle name="Akcent 5 2 7 3" xfId="7350"/>
    <cellStyle name="Akcent 5 2 7 4" xfId="7351"/>
    <cellStyle name="Akcent 5 2 7 5" xfId="7352"/>
    <cellStyle name="Akcent 5 2 7 6" xfId="7353"/>
    <cellStyle name="Akcent 5 2 8" xfId="7354"/>
    <cellStyle name="Akcent 5 2 8 2" xfId="7355"/>
    <cellStyle name="Akcent 5 2 8 3" xfId="7356"/>
    <cellStyle name="Akcent 5 2 8 4" xfId="7357"/>
    <cellStyle name="Akcent 5 2 8 5" xfId="7358"/>
    <cellStyle name="Akcent 5 2 8 6" xfId="7359"/>
    <cellStyle name="Akcent 5 2 9" xfId="7360"/>
    <cellStyle name="Akcent 5 2 9 2" xfId="7361"/>
    <cellStyle name="Akcent 5 2 9 3" xfId="7362"/>
    <cellStyle name="Akcent 5 2 9 4" xfId="7363"/>
    <cellStyle name="Akcent 5 2 9 5" xfId="7364"/>
    <cellStyle name="Akcent 5 2 9 6" xfId="7365"/>
    <cellStyle name="Akcent 5 3" xfId="7366"/>
    <cellStyle name="Akcent 5 3 2" xfId="7367"/>
    <cellStyle name="Akcent 5 3 2 2" xfId="7368"/>
    <cellStyle name="Akcent 5 3 3" xfId="7369"/>
    <cellStyle name="Akcent 5 3 4" xfId="7370"/>
    <cellStyle name="Akcent 5 3 5" xfId="7371"/>
    <cellStyle name="Akcent 5 3 6" xfId="7372"/>
    <cellStyle name="Akcent 5 3 7" xfId="7373"/>
    <cellStyle name="Akcent 5 3 8" xfId="7374"/>
    <cellStyle name="Akcent 5 4" xfId="7375"/>
    <cellStyle name="Akcent 5 4 2" xfId="7376"/>
    <cellStyle name="Akcent 5 4 3" xfId="7377"/>
    <cellStyle name="Akcent 5 4 4" xfId="7378"/>
    <cellStyle name="Akcent 5 4 5" xfId="7379"/>
    <cellStyle name="Akcent 5 4 6" xfId="7380"/>
    <cellStyle name="Akcent 5 4 7" xfId="7381"/>
    <cellStyle name="Akcent 5 4 8" xfId="7382"/>
    <cellStyle name="Akcent 5 5" xfId="7383"/>
    <cellStyle name="Akcent 5 5 2" xfId="7384"/>
    <cellStyle name="Akcent 5 6" xfId="7385"/>
    <cellStyle name="Akcent 5 7" xfId="7386"/>
    <cellStyle name="Akcent 6 2" xfId="7387"/>
    <cellStyle name="Akcent 6 2 10" xfId="7388"/>
    <cellStyle name="Akcent 6 2 10 2" xfId="7389"/>
    <cellStyle name="Akcent 6 2 10 3" xfId="7390"/>
    <cellStyle name="Akcent 6 2 10 4" xfId="7391"/>
    <cellStyle name="Akcent 6 2 10 5" xfId="7392"/>
    <cellStyle name="Akcent 6 2 10 6" xfId="7393"/>
    <cellStyle name="Akcent 6 2 11" xfId="7394"/>
    <cellStyle name="Akcent 6 2 11 2" xfId="7395"/>
    <cellStyle name="Akcent 6 2 11 3" xfId="7396"/>
    <cellStyle name="Akcent 6 2 11 4" xfId="7397"/>
    <cellStyle name="Akcent 6 2 11 5" xfId="7398"/>
    <cellStyle name="Akcent 6 2 11 6" xfId="7399"/>
    <cellStyle name="Akcent 6 2 12" xfId="7400"/>
    <cellStyle name="Akcent 6 2 12 2" xfId="7401"/>
    <cellStyle name="Akcent 6 2 12 3" xfId="7402"/>
    <cellStyle name="Akcent 6 2 12 4" xfId="7403"/>
    <cellStyle name="Akcent 6 2 12 5" xfId="7404"/>
    <cellStyle name="Akcent 6 2 12 6" xfId="7405"/>
    <cellStyle name="Akcent 6 2 13" xfId="7406"/>
    <cellStyle name="Akcent 6 2 13 2" xfId="7407"/>
    <cellStyle name="Akcent 6 2 13 3" xfId="7408"/>
    <cellStyle name="Akcent 6 2 13 4" xfId="7409"/>
    <cellStyle name="Akcent 6 2 13 5" xfId="7410"/>
    <cellStyle name="Akcent 6 2 13 6" xfId="7411"/>
    <cellStyle name="Akcent 6 2 14" xfId="7412"/>
    <cellStyle name="Akcent 6 2 14 2" xfId="7413"/>
    <cellStyle name="Akcent 6 2 14 3" xfId="7414"/>
    <cellStyle name="Akcent 6 2 14 4" xfId="7415"/>
    <cellStyle name="Akcent 6 2 14 5" xfId="7416"/>
    <cellStyle name="Akcent 6 2 14 6" xfId="7417"/>
    <cellStyle name="Akcent 6 2 15" xfId="7418"/>
    <cellStyle name="Akcent 6 2 15 2" xfId="7419"/>
    <cellStyle name="Akcent 6 2 15 3" xfId="7420"/>
    <cellStyle name="Akcent 6 2 15 4" xfId="7421"/>
    <cellStyle name="Akcent 6 2 15 5" xfId="7422"/>
    <cellStyle name="Akcent 6 2 15 6" xfId="7423"/>
    <cellStyle name="Akcent 6 2 16" xfId="7424"/>
    <cellStyle name="Akcent 6 2 16 2" xfId="7425"/>
    <cellStyle name="Akcent 6 2 16 3" xfId="7426"/>
    <cellStyle name="Akcent 6 2 16 4" xfId="7427"/>
    <cellStyle name="Akcent 6 2 16 5" xfId="7428"/>
    <cellStyle name="Akcent 6 2 16 6" xfId="7429"/>
    <cellStyle name="Akcent 6 2 17" xfId="7430"/>
    <cellStyle name="Akcent 6 2 17 2" xfId="7431"/>
    <cellStyle name="Akcent 6 2 17 3" xfId="7432"/>
    <cellStyle name="Akcent 6 2 17 4" xfId="7433"/>
    <cellStyle name="Akcent 6 2 17 5" xfId="7434"/>
    <cellStyle name="Akcent 6 2 17 6" xfId="7435"/>
    <cellStyle name="Akcent 6 2 18" xfId="7436"/>
    <cellStyle name="Akcent 6 2 18 2" xfId="7437"/>
    <cellStyle name="Akcent 6 2 18 3" xfId="7438"/>
    <cellStyle name="Akcent 6 2 18 4" xfId="7439"/>
    <cellStyle name="Akcent 6 2 18 5" xfId="7440"/>
    <cellStyle name="Akcent 6 2 18 6" xfId="7441"/>
    <cellStyle name="Akcent 6 2 19" xfId="7442"/>
    <cellStyle name="Akcent 6 2 19 2" xfId="7443"/>
    <cellStyle name="Akcent 6 2 19 3" xfId="7444"/>
    <cellStyle name="Akcent 6 2 19 4" xfId="7445"/>
    <cellStyle name="Akcent 6 2 19 5" xfId="7446"/>
    <cellStyle name="Akcent 6 2 19 6" xfId="7447"/>
    <cellStyle name="Akcent 6 2 2" xfId="7448"/>
    <cellStyle name="Akcent 6 2 2 2" xfId="7449"/>
    <cellStyle name="Akcent 6 2 2 3" xfId="7450"/>
    <cellStyle name="Akcent 6 2 2 4" xfId="7451"/>
    <cellStyle name="Akcent 6 2 2 5" xfId="7452"/>
    <cellStyle name="Akcent 6 2 2 6" xfId="7453"/>
    <cellStyle name="Akcent 6 2 2 7" xfId="7454"/>
    <cellStyle name="Akcent 6 2 20" xfId="7455"/>
    <cellStyle name="Akcent 6 2 20 2" xfId="7456"/>
    <cellStyle name="Akcent 6 2 20 3" xfId="7457"/>
    <cellStyle name="Akcent 6 2 20 4" xfId="7458"/>
    <cellStyle name="Akcent 6 2 20 5" xfId="7459"/>
    <cellStyle name="Akcent 6 2 20 6" xfId="7460"/>
    <cellStyle name="Akcent 6 2 21" xfId="7461"/>
    <cellStyle name="Akcent 6 2 21 2" xfId="7462"/>
    <cellStyle name="Akcent 6 2 21 3" xfId="7463"/>
    <cellStyle name="Akcent 6 2 21 4" xfId="7464"/>
    <cellStyle name="Akcent 6 2 21 5" xfId="7465"/>
    <cellStyle name="Akcent 6 2 21 6" xfId="7466"/>
    <cellStyle name="Akcent 6 2 22" xfId="7467"/>
    <cellStyle name="Akcent 6 2 22 2" xfId="7468"/>
    <cellStyle name="Akcent 6 2 22 3" xfId="7469"/>
    <cellStyle name="Akcent 6 2 22 4" xfId="7470"/>
    <cellStyle name="Akcent 6 2 22 5" xfId="7471"/>
    <cellStyle name="Akcent 6 2 22 6" xfId="7472"/>
    <cellStyle name="Akcent 6 2 23" xfId="7473"/>
    <cellStyle name="Akcent 6 2 23 2" xfId="7474"/>
    <cellStyle name="Akcent 6 2 23 3" xfId="7475"/>
    <cellStyle name="Akcent 6 2 23 4" xfId="7476"/>
    <cellStyle name="Akcent 6 2 23 5" xfId="7477"/>
    <cellStyle name="Akcent 6 2 23 6" xfId="7478"/>
    <cellStyle name="Akcent 6 2 24" xfId="7479"/>
    <cellStyle name="Akcent 6 2 24 2" xfId="7480"/>
    <cellStyle name="Akcent 6 2 24 3" xfId="7481"/>
    <cellStyle name="Akcent 6 2 24 4" xfId="7482"/>
    <cellStyle name="Akcent 6 2 24 5" xfId="7483"/>
    <cellStyle name="Akcent 6 2 24 6" xfId="7484"/>
    <cellStyle name="Akcent 6 2 25" xfId="7485"/>
    <cellStyle name="Akcent 6 2 25 2" xfId="7486"/>
    <cellStyle name="Akcent 6 2 25 3" xfId="7487"/>
    <cellStyle name="Akcent 6 2 25 4" xfId="7488"/>
    <cellStyle name="Akcent 6 2 25 5" xfId="7489"/>
    <cellStyle name="Akcent 6 2 25 6" xfId="7490"/>
    <cellStyle name="Akcent 6 2 26" xfId="7491"/>
    <cellStyle name="Akcent 6 2 26 2" xfId="7492"/>
    <cellStyle name="Akcent 6 2 26 3" xfId="7493"/>
    <cellStyle name="Akcent 6 2 26 4" xfId="7494"/>
    <cellStyle name="Akcent 6 2 26 5" xfId="7495"/>
    <cellStyle name="Akcent 6 2 26 6" xfId="7496"/>
    <cellStyle name="Akcent 6 2 27" xfId="7497"/>
    <cellStyle name="Akcent 6 2 27 2" xfId="7498"/>
    <cellStyle name="Akcent 6 2 27 3" xfId="7499"/>
    <cellStyle name="Akcent 6 2 27 4" xfId="7500"/>
    <cellStyle name="Akcent 6 2 27 5" xfId="7501"/>
    <cellStyle name="Akcent 6 2 27 6" xfId="7502"/>
    <cellStyle name="Akcent 6 2 28" xfId="7503"/>
    <cellStyle name="Akcent 6 2 28 2" xfId="7504"/>
    <cellStyle name="Akcent 6 2 28 3" xfId="7505"/>
    <cellStyle name="Akcent 6 2 28 4" xfId="7506"/>
    <cellStyle name="Akcent 6 2 28 5" xfId="7507"/>
    <cellStyle name="Akcent 6 2 28 6" xfId="7508"/>
    <cellStyle name="Akcent 6 2 29" xfId="7509"/>
    <cellStyle name="Akcent 6 2 29 2" xfId="7510"/>
    <cellStyle name="Akcent 6 2 3" xfId="7511"/>
    <cellStyle name="Akcent 6 2 3 2" xfId="7512"/>
    <cellStyle name="Akcent 6 2 3 3" xfId="7513"/>
    <cellStyle name="Akcent 6 2 3 4" xfId="7514"/>
    <cellStyle name="Akcent 6 2 3 5" xfId="7515"/>
    <cellStyle name="Akcent 6 2 3 6" xfId="7516"/>
    <cellStyle name="Akcent 6 2 30" xfId="7517"/>
    <cellStyle name="Akcent 6 2 30 2" xfId="7518"/>
    <cellStyle name="Akcent 6 2 31" xfId="7519"/>
    <cellStyle name="Akcent 6 2 31 2" xfId="7520"/>
    <cellStyle name="Akcent 6 2 32" xfId="7521"/>
    <cellStyle name="Akcent 6 2 32 2" xfId="7522"/>
    <cellStyle name="Akcent 6 2 33" xfId="7523"/>
    <cellStyle name="Akcent 6 2 34" xfId="7524"/>
    <cellStyle name="Akcent 6 2 35" xfId="7525"/>
    <cellStyle name="Akcent 6 2 36" xfId="7526"/>
    <cellStyle name="Akcent 6 2 37" xfId="7527"/>
    <cellStyle name="Akcent 6 2 38" xfId="7528"/>
    <cellStyle name="Akcent 6 2 39" xfId="7529"/>
    <cellStyle name="Akcent 6 2 4" xfId="7530"/>
    <cellStyle name="Akcent 6 2 4 2" xfId="7531"/>
    <cellStyle name="Akcent 6 2 4 3" xfId="7532"/>
    <cellStyle name="Akcent 6 2 4 4" xfId="7533"/>
    <cellStyle name="Akcent 6 2 4 5" xfId="7534"/>
    <cellStyle name="Akcent 6 2 4 6" xfId="7535"/>
    <cellStyle name="Akcent 6 2 40" xfId="7536"/>
    <cellStyle name="Akcent 6 2 41" xfId="7537"/>
    <cellStyle name="Akcent 6 2 42" xfId="7538"/>
    <cellStyle name="Akcent 6 2 43" xfId="7539"/>
    <cellStyle name="Akcent 6 2 44" xfId="7540"/>
    <cellStyle name="Akcent 6 2 45" xfId="7541"/>
    <cellStyle name="Akcent 6 2 46" xfId="7542"/>
    <cellStyle name="Akcent 6 2 47" xfId="7543"/>
    <cellStyle name="Akcent 6 2 48" xfId="7544"/>
    <cellStyle name="Akcent 6 2 49" xfId="7545"/>
    <cellStyle name="Akcent 6 2 5" xfId="7546"/>
    <cellStyle name="Akcent 6 2 5 2" xfId="7547"/>
    <cellStyle name="Akcent 6 2 5 3" xfId="7548"/>
    <cellStyle name="Akcent 6 2 5 4" xfId="7549"/>
    <cellStyle name="Akcent 6 2 5 5" xfId="7550"/>
    <cellStyle name="Akcent 6 2 5 6" xfId="7551"/>
    <cellStyle name="Akcent 6 2 50" xfId="7552"/>
    <cellStyle name="Akcent 6 2 51" xfId="7553"/>
    <cellStyle name="Akcent 6 2 52" xfId="7554"/>
    <cellStyle name="Akcent 6 2 6" xfId="7555"/>
    <cellStyle name="Akcent 6 2 6 2" xfId="7556"/>
    <cellStyle name="Akcent 6 2 6 3" xfId="7557"/>
    <cellStyle name="Akcent 6 2 6 4" xfId="7558"/>
    <cellStyle name="Akcent 6 2 6 5" xfId="7559"/>
    <cellStyle name="Akcent 6 2 6 6" xfId="7560"/>
    <cellStyle name="Akcent 6 2 7" xfId="7561"/>
    <cellStyle name="Akcent 6 2 7 2" xfId="7562"/>
    <cellStyle name="Akcent 6 2 7 3" xfId="7563"/>
    <cellStyle name="Akcent 6 2 7 4" xfId="7564"/>
    <cellStyle name="Akcent 6 2 7 5" xfId="7565"/>
    <cellStyle name="Akcent 6 2 7 6" xfId="7566"/>
    <cellStyle name="Akcent 6 2 8" xfId="7567"/>
    <cellStyle name="Akcent 6 2 8 2" xfId="7568"/>
    <cellStyle name="Akcent 6 2 8 3" xfId="7569"/>
    <cellStyle name="Akcent 6 2 8 4" xfId="7570"/>
    <cellStyle name="Akcent 6 2 8 5" xfId="7571"/>
    <cellStyle name="Akcent 6 2 8 6" xfId="7572"/>
    <cellStyle name="Akcent 6 2 9" xfId="7573"/>
    <cellStyle name="Akcent 6 2 9 2" xfId="7574"/>
    <cellStyle name="Akcent 6 2 9 3" xfId="7575"/>
    <cellStyle name="Akcent 6 2 9 4" xfId="7576"/>
    <cellStyle name="Akcent 6 2 9 5" xfId="7577"/>
    <cellStyle name="Akcent 6 2 9 6" xfId="7578"/>
    <cellStyle name="Akcent 6 3" xfId="7579"/>
    <cellStyle name="Akcent 6 3 2" xfId="7580"/>
    <cellStyle name="Akcent 6 3 2 2" xfId="7581"/>
    <cellStyle name="Akcent 6 3 3" xfId="7582"/>
    <cellStyle name="Akcent 6 3 4" xfId="7583"/>
    <cellStyle name="Akcent 6 3 5" xfId="7584"/>
    <cellStyle name="Akcent 6 3 6" xfId="7585"/>
    <cellStyle name="Akcent 6 3 7" xfId="7586"/>
    <cellStyle name="Akcent 6 3 8" xfId="7587"/>
    <cellStyle name="Akcent 6 4" xfId="7588"/>
    <cellStyle name="Akcent 6 4 2" xfId="7589"/>
    <cellStyle name="Akcent 6 4 3" xfId="7590"/>
    <cellStyle name="Akcent 6 4 4" xfId="7591"/>
    <cellStyle name="Akcent 6 4 5" xfId="7592"/>
    <cellStyle name="Akcent 6 4 6" xfId="7593"/>
    <cellStyle name="Akcent 6 4 7" xfId="7594"/>
    <cellStyle name="Akcent 6 4 8" xfId="7595"/>
    <cellStyle name="Akcent 6 5" xfId="7596"/>
    <cellStyle name="Akcent 6 5 2" xfId="7597"/>
    <cellStyle name="Akcent 6 6" xfId="7598"/>
    <cellStyle name="Akcent 6 7" xfId="7599"/>
    <cellStyle name="Calc Currency (0)" xfId="7600"/>
    <cellStyle name="Comma 2" xfId="7601"/>
    <cellStyle name="Dane wejściowe 2" xfId="7602"/>
    <cellStyle name="Dane wejściowe 2 10" xfId="7603"/>
    <cellStyle name="Dane wejściowe 2 10 10" xfId="7604"/>
    <cellStyle name="Dane wejściowe 2 10 10 2" xfId="7605"/>
    <cellStyle name="Dane wejściowe 2 10 10 3" xfId="7606"/>
    <cellStyle name="Dane wejściowe 2 10 11" xfId="7607"/>
    <cellStyle name="Dane wejściowe 2 10 11 2" xfId="7608"/>
    <cellStyle name="Dane wejściowe 2 10 11 3" xfId="7609"/>
    <cellStyle name="Dane wejściowe 2 10 12" xfId="7610"/>
    <cellStyle name="Dane wejściowe 2 10 12 2" xfId="7611"/>
    <cellStyle name="Dane wejściowe 2 10 12 3" xfId="7612"/>
    <cellStyle name="Dane wejściowe 2 10 13" xfId="7613"/>
    <cellStyle name="Dane wejściowe 2 10 13 2" xfId="7614"/>
    <cellStyle name="Dane wejściowe 2 10 13 3" xfId="7615"/>
    <cellStyle name="Dane wejściowe 2 10 14" xfId="7616"/>
    <cellStyle name="Dane wejściowe 2 10 14 2" xfId="7617"/>
    <cellStyle name="Dane wejściowe 2 10 14 3" xfId="7618"/>
    <cellStyle name="Dane wejściowe 2 10 15" xfId="7619"/>
    <cellStyle name="Dane wejściowe 2 10 15 2" xfId="7620"/>
    <cellStyle name="Dane wejściowe 2 10 15 3" xfId="7621"/>
    <cellStyle name="Dane wejściowe 2 10 16" xfId="7622"/>
    <cellStyle name="Dane wejściowe 2 10 16 2" xfId="7623"/>
    <cellStyle name="Dane wejściowe 2 10 16 3" xfId="7624"/>
    <cellStyle name="Dane wejściowe 2 10 17" xfId="7625"/>
    <cellStyle name="Dane wejściowe 2 10 17 2" xfId="7626"/>
    <cellStyle name="Dane wejściowe 2 10 17 3" xfId="7627"/>
    <cellStyle name="Dane wejściowe 2 10 18" xfId="7628"/>
    <cellStyle name="Dane wejściowe 2 10 18 2" xfId="7629"/>
    <cellStyle name="Dane wejściowe 2 10 18 3" xfId="7630"/>
    <cellStyle name="Dane wejściowe 2 10 19" xfId="7631"/>
    <cellStyle name="Dane wejściowe 2 10 19 2" xfId="7632"/>
    <cellStyle name="Dane wejściowe 2 10 19 3" xfId="7633"/>
    <cellStyle name="Dane wejściowe 2 10 2" xfId="7634"/>
    <cellStyle name="Dane wejściowe 2 10 2 2" xfId="7635"/>
    <cellStyle name="Dane wejściowe 2 10 2 3" xfId="7636"/>
    <cellStyle name="Dane wejściowe 2 10 20" xfId="7637"/>
    <cellStyle name="Dane wejściowe 2 10 20 2" xfId="7638"/>
    <cellStyle name="Dane wejściowe 2 10 20 3" xfId="7639"/>
    <cellStyle name="Dane wejściowe 2 10 21" xfId="7640"/>
    <cellStyle name="Dane wejściowe 2 10 21 2" xfId="7641"/>
    <cellStyle name="Dane wejściowe 2 10 21 3" xfId="7642"/>
    <cellStyle name="Dane wejściowe 2 10 22" xfId="7643"/>
    <cellStyle name="Dane wejściowe 2 10 22 2" xfId="7644"/>
    <cellStyle name="Dane wejściowe 2 10 22 3" xfId="7645"/>
    <cellStyle name="Dane wejściowe 2 10 23" xfId="7646"/>
    <cellStyle name="Dane wejściowe 2 10 23 2" xfId="7647"/>
    <cellStyle name="Dane wejściowe 2 10 23 3" xfId="7648"/>
    <cellStyle name="Dane wejściowe 2 10 24" xfId="7649"/>
    <cellStyle name="Dane wejściowe 2 10 24 2" xfId="7650"/>
    <cellStyle name="Dane wejściowe 2 10 24 3" xfId="7651"/>
    <cellStyle name="Dane wejściowe 2 10 25" xfId="7652"/>
    <cellStyle name="Dane wejściowe 2 10 25 2" xfId="7653"/>
    <cellStyle name="Dane wejściowe 2 10 25 3" xfId="7654"/>
    <cellStyle name="Dane wejściowe 2 10 26" xfId="7655"/>
    <cellStyle name="Dane wejściowe 2 10 26 2" xfId="7656"/>
    <cellStyle name="Dane wejściowe 2 10 26 3" xfId="7657"/>
    <cellStyle name="Dane wejściowe 2 10 27" xfId="7658"/>
    <cellStyle name="Dane wejściowe 2 10 27 2" xfId="7659"/>
    <cellStyle name="Dane wejściowe 2 10 27 3" xfId="7660"/>
    <cellStyle name="Dane wejściowe 2 10 28" xfId="7661"/>
    <cellStyle name="Dane wejściowe 2 10 28 2" xfId="7662"/>
    <cellStyle name="Dane wejściowe 2 10 28 3" xfId="7663"/>
    <cellStyle name="Dane wejściowe 2 10 29" xfId="7664"/>
    <cellStyle name="Dane wejściowe 2 10 29 2" xfId="7665"/>
    <cellStyle name="Dane wejściowe 2 10 29 3" xfId="7666"/>
    <cellStyle name="Dane wejściowe 2 10 3" xfId="7667"/>
    <cellStyle name="Dane wejściowe 2 10 3 2" xfId="7668"/>
    <cellStyle name="Dane wejściowe 2 10 3 3" xfId="7669"/>
    <cellStyle name="Dane wejściowe 2 10 30" xfId="7670"/>
    <cellStyle name="Dane wejściowe 2 10 30 2" xfId="7671"/>
    <cellStyle name="Dane wejściowe 2 10 30 3" xfId="7672"/>
    <cellStyle name="Dane wejściowe 2 10 31" xfId="7673"/>
    <cellStyle name="Dane wejściowe 2 10 31 2" xfId="7674"/>
    <cellStyle name="Dane wejściowe 2 10 31 3" xfId="7675"/>
    <cellStyle name="Dane wejściowe 2 10 32" xfId="7676"/>
    <cellStyle name="Dane wejściowe 2 10 32 2" xfId="7677"/>
    <cellStyle name="Dane wejściowe 2 10 32 3" xfId="7678"/>
    <cellStyle name="Dane wejściowe 2 10 33" xfId="7679"/>
    <cellStyle name="Dane wejściowe 2 10 33 2" xfId="7680"/>
    <cellStyle name="Dane wejściowe 2 10 33 3" xfId="7681"/>
    <cellStyle name="Dane wejściowe 2 10 34" xfId="7682"/>
    <cellStyle name="Dane wejściowe 2 10 34 2" xfId="7683"/>
    <cellStyle name="Dane wejściowe 2 10 34 3" xfId="7684"/>
    <cellStyle name="Dane wejściowe 2 10 35" xfId="7685"/>
    <cellStyle name="Dane wejściowe 2 10 35 2" xfId="7686"/>
    <cellStyle name="Dane wejściowe 2 10 35 3" xfId="7687"/>
    <cellStyle name="Dane wejściowe 2 10 36" xfId="7688"/>
    <cellStyle name="Dane wejściowe 2 10 36 2" xfId="7689"/>
    <cellStyle name="Dane wejściowe 2 10 36 3" xfId="7690"/>
    <cellStyle name="Dane wejściowe 2 10 37" xfId="7691"/>
    <cellStyle name="Dane wejściowe 2 10 37 2" xfId="7692"/>
    <cellStyle name="Dane wejściowe 2 10 37 3" xfId="7693"/>
    <cellStyle name="Dane wejściowe 2 10 38" xfId="7694"/>
    <cellStyle name="Dane wejściowe 2 10 38 2" xfId="7695"/>
    <cellStyle name="Dane wejściowe 2 10 38 3" xfId="7696"/>
    <cellStyle name="Dane wejściowe 2 10 39" xfId="7697"/>
    <cellStyle name="Dane wejściowe 2 10 39 2" xfId="7698"/>
    <cellStyle name="Dane wejściowe 2 10 39 3" xfId="7699"/>
    <cellStyle name="Dane wejściowe 2 10 4" xfId="7700"/>
    <cellStyle name="Dane wejściowe 2 10 4 2" xfId="7701"/>
    <cellStyle name="Dane wejściowe 2 10 4 3" xfId="7702"/>
    <cellStyle name="Dane wejściowe 2 10 40" xfId="7703"/>
    <cellStyle name="Dane wejściowe 2 10 40 2" xfId="7704"/>
    <cellStyle name="Dane wejściowe 2 10 40 3" xfId="7705"/>
    <cellStyle name="Dane wejściowe 2 10 41" xfId="7706"/>
    <cellStyle name="Dane wejściowe 2 10 41 2" xfId="7707"/>
    <cellStyle name="Dane wejściowe 2 10 41 3" xfId="7708"/>
    <cellStyle name="Dane wejściowe 2 10 42" xfId="7709"/>
    <cellStyle name="Dane wejściowe 2 10 42 2" xfId="7710"/>
    <cellStyle name="Dane wejściowe 2 10 42 3" xfId="7711"/>
    <cellStyle name="Dane wejściowe 2 10 43" xfId="7712"/>
    <cellStyle name="Dane wejściowe 2 10 43 2" xfId="7713"/>
    <cellStyle name="Dane wejściowe 2 10 43 3" xfId="7714"/>
    <cellStyle name="Dane wejściowe 2 10 44" xfId="7715"/>
    <cellStyle name="Dane wejściowe 2 10 44 2" xfId="7716"/>
    <cellStyle name="Dane wejściowe 2 10 44 3" xfId="7717"/>
    <cellStyle name="Dane wejściowe 2 10 45" xfId="7718"/>
    <cellStyle name="Dane wejściowe 2 10 45 2" xfId="7719"/>
    <cellStyle name="Dane wejściowe 2 10 45 3" xfId="7720"/>
    <cellStyle name="Dane wejściowe 2 10 46" xfId="7721"/>
    <cellStyle name="Dane wejściowe 2 10 46 2" xfId="7722"/>
    <cellStyle name="Dane wejściowe 2 10 46 3" xfId="7723"/>
    <cellStyle name="Dane wejściowe 2 10 47" xfId="7724"/>
    <cellStyle name="Dane wejściowe 2 10 47 2" xfId="7725"/>
    <cellStyle name="Dane wejściowe 2 10 47 3" xfId="7726"/>
    <cellStyle name="Dane wejściowe 2 10 48" xfId="7727"/>
    <cellStyle name="Dane wejściowe 2 10 48 2" xfId="7728"/>
    <cellStyle name="Dane wejściowe 2 10 48 3" xfId="7729"/>
    <cellStyle name="Dane wejściowe 2 10 49" xfId="7730"/>
    <cellStyle name="Dane wejściowe 2 10 49 2" xfId="7731"/>
    <cellStyle name="Dane wejściowe 2 10 49 3" xfId="7732"/>
    <cellStyle name="Dane wejściowe 2 10 5" xfId="7733"/>
    <cellStyle name="Dane wejściowe 2 10 5 2" xfId="7734"/>
    <cellStyle name="Dane wejściowe 2 10 5 3" xfId="7735"/>
    <cellStyle name="Dane wejściowe 2 10 50" xfId="7736"/>
    <cellStyle name="Dane wejściowe 2 10 50 2" xfId="7737"/>
    <cellStyle name="Dane wejściowe 2 10 50 3" xfId="7738"/>
    <cellStyle name="Dane wejściowe 2 10 51" xfId="7739"/>
    <cellStyle name="Dane wejściowe 2 10 51 2" xfId="7740"/>
    <cellStyle name="Dane wejściowe 2 10 51 3" xfId="7741"/>
    <cellStyle name="Dane wejściowe 2 10 52" xfId="7742"/>
    <cellStyle name="Dane wejściowe 2 10 52 2" xfId="7743"/>
    <cellStyle name="Dane wejściowe 2 10 52 3" xfId="7744"/>
    <cellStyle name="Dane wejściowe 2 10 53" xfId="7745"/>
    <cellStyle name="Dane wejściowe 2 10 53 2" xfId="7746"/>
    <cellStyle name="Dane wejściowe 2 10 53 3" xfId="7747"/>
    <cellStyle name="Dane wejściowe 2 10 54" xfId="7748"/>
    <cellStyle name="Dane wejściowe 2 10 54 2" xfId="7749"/>
    <cellStyle name="Dane wejściowe 2 10 54 3" xfId="7750"/>
    <cellStyle name="Dane wejściowe 2 10 55" xfId="7751"/>
    <cellStyle name="Dane wejściowe 2 10 55 2" xfId="7752"/>
    <cellStyle name="Dane wejściowe 2 10 55 3" xfId="7753"/>
    <cellStyle name="Dane wejściowe 2 10 56" xfId="7754"/>
    <cellStyle name="Dane wejściowe 2 10 56 2" xfId="7755"/>
    <cellStyle name="Dane wejściowe 2 10 56 3" xfId="7756"/>
    <cellStyle name="Dane wejściowe 2 10 57" xfId="7757"/>
    <cellStyle name="Dane wejściowe 2 10 58" xfId="7758"/>
    <cellStyle name="Dane wejściowe 2 10 6" xfId="7759"/>
    <cellStyle name="Dane wejściowe 2 10 6 2" xfId="7760"/>
    <cellStyle name="Dane wejściowe 2 10 6 3" xfId="7761"/>
    <cellStyle name="Dane wejściowe 2 10 7" xfId="7762"/>
    <cellStyle name="Dane wejściowe 2 10 7 2" xfId="7763"/>
    <cellStyle name="Dane wejściowe 2 10 7 3" xfId="7764"/>
    <cellStyle name="Dane wejściowe 2 10 8" xfId="7765"/>
    <cellStyle name="Dane wejściowe 2 10 8 2" xfId="7766"/>
    <cellStyle name="Dane wejściowe 2 10 8 3" xfId="7767"/>
    <cellStyle name="Dane wejściowe 2 10 9" xfId="7768"/>
    <cellStyle name="Dane wejściowe 2 10 9 2" xfId="7769"/>
    <cellStyle name="Dane wejściowe 2 10 9 3" xfId="7770"/>
    <cellStyle name="Dane wejściowe 2 11" xfId="7771"/>
    <cellStyle name="Dane wejściowe 2 11 10" xfId="7772"/>
    <cellStyle name="Dane wejściowe 2 11 10 2" xfId="7773"/>
    <cellStyle name="Dane wejściowe 2 11 10 3" xfId="7774"/>
    <cellStyle name="Dane wejściowe 2 11 11" xfId="7775"/>
    <cellStyle name="Dane wejściowe 2 11 11 2" xfId="7776"/>
    <cellStyle name="Dane wejściowe 2 11 11 3" xfId="7777"/>
    <cellStyle name="Dane wejściowe 2 11 12" xfId="7778"/>
    <cellStyle name="Dane wejściowe 2 11 12 2" xfId="7779"/>
    <cellStyle name="Dane wejściowe 2 11 12 3" xfId="7780"/>
    <cellStyle name="Dane wejściowe 2 11 13" xfId="7781"/>
    <cellStyle name="Dane wejściowe 2 11 13 2" xfId="7782"/>
    <cellStyle name="Dane wejściowe 2 11 13 3" xfId="7783"/>
    <cellStyle name="Dane wejściowe 2 11 14" xfId="7784"/>
    <cellStyle name="Dane wejściowe 2 11 14 2" xfId="7785"/>
    <cellStyle name="Dane wejściowe 2 11 14 3" xfId="7786"/>
    <cellStyle name="Dane wejściowe 2 11 15" xfId="7787"/>
    <cellStyle name="Dane wejściowe 2 11 15 2" xfId="7788"/>
    <cellStyle name="Dane wejściowe 2 11 15 3" xfId="7789"/>
    <cellStyle name="Dane wejściowe 2 11 16" xfId="7790"/>
    <cellStyle name="Dane wejściowe 2 11 16 2" xfId="7791"/>
    <cellStyle name="Dane wejściowe 2 11 16 3" xfId="7792"/>
    <cellStyle name="Dane wejściowe 2 11 17" xfId="7793"/>
    <cellStyle name="Dane wejściowe 2 11 17 2" xfId="7794"/>
    <cellStyle name="Dane wejściowe 2 11 17 3" xfId="7795"/>
    <cellStyle name="Dane wejściowe 2 11 18" xfId="7796"/>
    <cellStyle name="Dane wejściowe 2 11 18 2" xfId="7797"/>
    <cellStyle name="Dane wejściowe 2 11 18 3" xfId="7798"/>
    <cellStyle name="Dane wejściowe 2 11 19" xfId="7799"/>
    <cellStyle name="Dane wejściowe 2 11 19 2" xfId="7800"/>
    <cellStyle name="Dane wejściowe 2 11 19 3" xfId="7801"/>
    <cellStyle name="Dane wejściowe 2 11 2" xfId="7802"/>
    <cellStyle name="Dane wejściowe 2 11 2 2" xfId="7803"/>
    <cellStyle name="Dane wejściowe 2 11 2 3" xfId="7804"/>
    <cellStyle name="Dane wejściowe 2 11 20" xfId="7805"/>
    <cellStyle name="Dane wejściowe 2 11 20 2" xfId="7806"/>
    <cellStyle name="Dane wejściowe 2 11 20 3" xfId="7807"/>
    <cellStyle name="Dane wejściowe 2 11 21" xfId="7808"/>
    <cellStyle name="Dane wejściowe 2 11 21 2" xfId="7809"/>
    <cellStyle name="Dane wejściowe 2 11 21 3" xfId="7810"/>
    <cellStyle name="Dane wejściowe 2 11 22" xfId="7811"/>
    <cellStyle name="Dane wejściowe 2 11 22 2" xfId="7812"/>
    <cellStyle name="Dane wejściowe 2 11 22 3" xfId="7813"/>
    <cellStyle name="Dane wejściowe 2 11 23" xfId="7814"/>
    <cellStyle name="Dane wejściowe 2 11 23 2" xfId="7815"/>
    <cellStyle name="Dane wejściowe 2 11 23 3" xfId="7816"/>
    <cellStyle name="Dane wejściowe 2 11 24" xfId="7817"/>
    <cellStyle name="Dane wejściowe 2 11 24 2" xfId="7818"/>
    <cellStyle name="Dane wejściowe 2 11 24 3" xfId="7819"/>
    <cellStyle name="Dane wejściowe 2 11 25" xfId="7820"/>
    <cellStyle name="Dane wejściowe 2 11 25 2" xfId="7821"/>
    <cellStyle name="Dane wejściowe 2 11 25 3" xfId="7822"/>
    <cellStyle name="Dane wejściowe 2 11 26" xfId="7823"/>
    <cellStyle name="Dane wejściowe 2 11 26 2" xfId="7824"/>
    <cellStyle name="Dane wejściowe 2 11 26 3" xfId="7825"/>
    <cellStyle name="Dane wejściowe 2 11 27" xfId="7826"/>
    <cellStyle name="Dane wejściowe 2 11 27 2" xfId="7827"/>
    <cellStyle name="Dane wejściowe 2 11 27 3" xfId="7828"/>
    <cellStyle name="Dane wejściowe 2 11 28" xfId="7829"/>
    <cellStyle name="Dane wejściowe 2 11 28 2" xfId="7830"/>
    <cellStyle name="Dane wejściowe 2 11 28 3" xfId="7831"/>
    <cellStyle name="Dane wejściowe 2 11 29" xfId="7832"/>
    <cellStyle name="Dane wejściowe 2 11 29 2" xfId="7833"/>
    <cellStyle name="Dane wejściowe 2 11 29 3" xfId="7834"/>
    <cellStyle name="Dane wejściowe 2 11 3" xfId="7835"/>
    <cellStyle name="Dane wejściowe 2 11 3 2" xfId="7836"/>
    <cellStyle name="Dane wejściowe 2 11 3 3" xfId="7837"/>
    <cellStyle name="Dane wejściowe 2 11 30" xfId="7838"/>
    <cellStyle name="Dane wejściowe 2 11 30 2" xfId="7839"/>
    <cellStyle name="Dane wejściowe 2 11 30 3" xfId="7840"/>
    <cellStyle name="Dane wejściowe 2 11 31" xfId="7841"/>
    <cellStyle name="Dane wejściowe 2 11 31 2" xfId="7842"/>
    <cellStyle name="Dane wejściowe 2 11 31 3" xfId="7843"/>
    <cellStyle name="Dane wejściowe 2 11 32" xfId="7844"/>
    <cellStyle name="Dane wejściowe 2 11 32 2" xfId="7845"/>
    <cellStyle name="Dane wejściowe 2 11 32 3" xfId="7846"/>
    <cellStyle name="Dane wejściowe 2 11 33" xfId="7847"/>
    <cellStyle name="Dane wejściowe 2 11 33 2" xfId="7848"/>
    <cellStyle name="Dane wejściowe 2 11 33 3" xfId="7849"/>
    <cellStyle name="Dane wejściowe 2 11 34" xfId="7850"/>
    <cellStyle name="Dane wejściowe 2 11 34 2" xfId="7851"/>
    <cellStyle name="Dane wejściowe 2 11 34 3" xfId="7852"/>
    <cellStyle name="Dane wejściowe 2 11 35" xfId="7853"/>
    <cellStyle name="Dane wejściowe 2 11 35 2" xfId="7854"/>
    <cellStyle name="Dane wejściowe 2 11 35 3" xfId="7855"/>
    <cellStyle name="Dane wejściowe 2 11 36" xfId="7856"/>
    <cellStyle name="Dane wejściowe 2 11 36 2" xfId="7857"/>
    <cellStyle name="Dane wejściowe 2 11 36 3" xfId="7858"/>
    <cellStyle name="Dane wejściowe 2 11 37" xfId="7859"/>
    <cellStyle name="Dane wejściowe 2 11 37 2" xfId="7860"/>
    <cellStyle name="Dane wejściowe 2 11 37 3" xfId="7861"/>
    <cellStyle name="Dane wejściowe 2 11 38" xfId="7862"/>
    <cellStyle name="Dane wejściowe 2 11 38 2" xfId="7863"/>
    <cellStyle name="Dane wejściowe 2 11 38 3" xfId="7864"/>
    <cellStyle name="Dane wejściowe 2 11 39" xfId="7865"/>
    <cellStyle name="Dane wejściowe 2 11 39 2" xfId="7866"/>
    <cellStyle name="Dane wejściowe 2 11 39 3" xfId="7867"/>
    <cellStyle name="Dane wejściowe 2 11 4" xfId="7868"/>
    <cellStyle name="Dane wejściowe 2 11 4 2" xfId="7869"/>
    <cellStyle name="Dane wejściowe 2 11 4 3" xfId="7870"/>
    <cellStyle name="Dane wejściowe 2 11 40" xfId="7871"/>
    <cellStyle name="Dane wejściowe 2 11 40 2" xfId="7872"/>
    <cellStyle name="Dane wejściowe 2 11 40 3" xfId="7873"/>
    <cellStyle name="Dane wejściowe 2 11 41" xfId="7874"/>
    <cellStyle name="Dane wejściowe 2 11 41 2" xfId="7875"/>
    <cellStyle name="Dane wejściowe 2 11 41 3" xfId="7876"/>
    <cellStyle name="Dane wejściowe 2 11 42" xfId="7877"/>
    <cellStyle name="Dane wejściowe 2 11 42 2" xfId="7878"/>
    <cellStyle name="Dane wejściowe 2 11 42 3" xfId="7879"/>
    <cellStyle name="Dane wejściowe 2 11 43" xfId="7880"/>
    <cellStyle name="Dane wejściowe 2 11 43 2" xfId="7881"/>
    <cellStyle name="Dane wejściowe 2 11 43 3" xfId="7882"/>
    <cellStyle name="Dane wejściowe 2 11 44" xfId="7883"/>
    <cellStyle name="Dane wejściowe 2 11 44 2" xfId="7884"/>
    <cellStyle name="Dane wejściowe 2 11 44 3" xfId="7885"/>
    <cellStyle name="Dane wejściowe 2 11 45" xfId="7886"/>
    <cellStyle name="Dane wejściowe 2 11 45 2" xfId="7887"/>
    <cellStyle name="Dane wejściowe 2 11 45 3" xfId="7888"/>
    <cellStyle name="Dane wejściowe 2 11 46" xfId="7889"/>
    <cellStyle name="Dane wejściowe 2 11 46 2" xfId="7890"/>
    <cellStyle name="Dane wejściowe 2 11 46 3" xfId="7891"/>
    <cellStyle name="Dane wejściowe 2 11 47" xfId="7892"/>
    <cellStyle name="Dane wejściowe 2 11 47 2" xfId="7893"/>
    <cellStyle name="Dane wejściowe 2 11 47 3" xfId="7894"/>
    <cellStyle name="Dane wejściowe 2 11 48" xfId="7895"/>
    <cellStyle name="Dane wejściowe 2 11 48 2" xfId="7896"/>
    <cellStyle name="Dane wejściowe 2 11 48 3" xfId="7897"/>
    <cellStyle name="Dane wejściowe 2 11 49" xfId="7898"/>
    <cellStyle name="Dane wejściowe 2 11 49 2" xfId="7899"/>
    <cellStyle name="Dane wejściowe 2 11 49 3" xfId="7900"/>
    <cellStyle name="Dane wejściowe 2 11 5" xfId="7901"/>
    <cellStyle name="Dane wejściowe 2 11 5 2" xfId="7902"/>
    <cellStyle name="Dane wejściowe 2 11 5 3" xfId="7903"/>
    <cellStyle name="Dane wejściowe 2 11 50" xfId="7904"/>
    <cellStyle name="Dane wejściowe 2 11 50 2" xfId="7905"/>
    <cellStyle name="Dane wejściowe 2 11 50 3" xfId="7906"/>
    <cellStyle name="Dane wejściowe 2 11 51" xfId="7907"/>
    <cellStyle name="Dane wejściowe 2 11 51 2" xfId="7908"/>
    <cellStyle name="Dane wejściowe 2 11 51 3" xfId="7909"/>
    <cellStyle name="Dane wejściowe 2 11 52" xfId="7910"/>
    <cellStyle name="Dane wejściowe 2 11 52 2" xfId="7911"/>
    <cellStyle name="Dane wejściowe 2 11 52 3" xfId="7912"/>
    <cellStyle name="Dane wejściowe 2 11 53" xfId="7913"/>
    <cellStyle name="Dane wejściowe 2 11 53 2" xfId="7914"/>
    <cellStyle name="Dane wejściowe 2 11 53 3" xfId="7915"/>
    <cellStyle name="Dane wejściowe 2 11 54" xfId="7916"/>
    <cellStyle name="Dane wejściowe 2 11 54 2" xfId="7917"/>
    <cellStyle name="Dane wejściowe 2 11 54 3" xfId="7918"/>
    <cellStyle name="Dane wejściowe 2 11 55" xfId="7919"/>
    <cellStyle name="Dane wejściowe 2 11 55 2" xfId="7920"/>
    <cellStyle name="Dane wejściowe 2 11 55 3" xfId="7921"/>
    <cellStyle name="Dane wejściowe 2 11 56" xfId="7922"/>
    <cellStyle name="Dane wejściowe 2 11 56 2" xfId="7923"/>
    <cellStyle name="Dane wejściowe 2 11 56 3" xfId="7924"/>
    <cellStyle name="Dane wejściowe 2 11 57" xfId="7925"/>
    <cellStyle name="Dane wejściowe 2 11 58" xfId="7926"/>
    <cellStyle name="Dane wejściowe 2 11 6" xfId="7927"/>
    <cellStyle name="Dane wejściowe 2 11 6 2" xfId="7928"/>
    <cellStyle name="Dane wejściowe 2 11 6 3" xfId="7929"/>
    <cellStyle name="Dane wejściowe 2 11 7" xfId="7930"/>
    <cellStyle name="Dane wejściowe 2 11 7 2" xfId="7931"/>
    <cellStyle name="Dane wejściowe 2 11 7 3" xfId="7932"/>
    <cellStyle name="Dane wejściowe 2 11 8" xfId="7933"/>
    <cellStyle name="Dane wejściowe 2 11 8 2" xfId="7934"/>
    <cellStyle name="Dane wejściowe 2 11 8 3" xfId="7935"/>
    <cellStyle name="Dane wejściowe 2 11 9" xfId="7936"/>
    <cellStyle name="Dane wejściowe 2 11 9 2" xfId="7937"/>
    <cellStyle name="Dane wejściowe 2 11 9 3" xfId="7938"/>
    <cellStyle name="Dane wejściowe 2 12" xfId="7939"/>
    <cellStyle name="Dane wejściowe 2 12 10" xfId="7940"/>
    <cellStyle name="Dane wejściowe 2 12 10 2" xfId="7941"/>
    <cellStyle name="Dane wejściowe 2 12 10 3" xfId="7942"/>
    <cellStyle name="Dane wejściowe 2 12 11" xfId="7943"/>
    <cellStyle name="Dane wejściowe 2 12 11 2" xfId="7944"/>
    <cellStyle name="Dane wejściowe 2 12 11 3" xfId="7945"/>
    <cellStyle name="Dane wejściowe 2 12 12" xfId="7946"/>
    <cellStyle name="Dane wejściowe 2 12 12 2" xfId="7947"/>
    <cellStyle name="Dane wejściowe 2 12 12 3" xfId="7948"/>
    <cellStyle name="Dane wejściowe 2 12 13" xfId="7949"/>
    <cellStyle name="Dane wejściowe 2 12 13 2" xfId="7950"/>
    <cellStyle name="Dane wejściowe 2 12 13 3" xfId="7951"/>
    <cellStyle name="Dane wejściowe 2 12 14" xfId="7952"/>
    <cellStyle name="Dane wejściowe 2 12 14 2" xfId="7953"/>
    <cellStyle name="Dane wejściowe 2 12 14 3" xfId="7954"/>
    <cellStyle name="Dane wejściowe 2 12 15" xfId="7955"/>
    <cellStyle name="Dane wejściowe 2 12 15 2" xfId="7956"/>
    <cellStyle name="Dane wejściowe 2 12 15 3" xfId="7957"/>
    <cellStyle name="Dane wejściowe 2 12 16" xfId="7958"/>
    <cellStyle name="Dane wejściowe 2 12 16 2" xfId="7959"/>
    <cellStyle name="Dane wejściowe 2 12 16 3" xfId="7960"/>
    <cellStyle name="Dane wejściowe 2 12 17" xfId="7961"/>
    <cellStyle name="Dane wejściowe 2 12 17 2" xfId="7962"/>
    <cellStyle name="Dane wejściowe 2 12 17 3" xfId="7963"/>
    <cellStyle name="Dane wejściowe 2 12 18" xfId="7964"/>
    <cellStyle name="Dane wejściowe 2 12 18 2" xfId="7965"/>
    <cellStyle name="Dane wejściowe 2 12 18 3" xfId="7966"/>
    <cellStyle name="Dane wejściowe 2 12 19" xfId="7967"/>
    <cellStyle name="Dane wejściowe 2 12 19 2" xfId="7968"/>
    <cellStyle name="Dane wejściowe 2 12 19 3" xfId="7969"/>
    <cellStyle name="Dane wejściowe 2 12 2" xfId="7970"/>
    <cellStyle name="Dane wejściowe 2 12 2 2" xfId="7971"/>
    <cellStyle name="Dane wejściowe 2 12 2 3" xfId="7972"/>
    <cellStyle name="Dane wejściowe 2 12 20" xfId="7973"/>
    <cellStyle name="Dane wejściowe 2 12 20 2" xfId="7974"/>
    <cellStyle name="Dane wejściowe 2 12 20 3" xfId="7975"/>
    <cellStyle name="Dane wejściowe 2 12 21" xfId="7976"/>
    <cellStyle name="Dane wejściowe 2 12 21 2" xfId="7977"/>
    <cellStyle name="Dane wejściowe 2 12 21 3" xfId="7978"/>
    <cellStyle name="Dane wejściowe 2 12 22" xfId="7979"/>
    <cellStyle name="Dane wejściowe 2 12 22 2" xfId="7980"/>
    <cellStyle name="Dane wejściowe 2 12 22 3" xfId="7981"/>
    <cellStyle name="Dane wejściowe 2 12 23" xfId="7982"/>
    <cellStyle name="Dane wejściowe 2 12 23 2" xfId="7983"/>
    <cellStyle name="Dane wejściowe 2 12 23 3" xfId="7984"/>
    <cellStyle name="Dane wejściowe 2 12 24" xfId="7985"/>
    <cellStyle name="Dane wejściowe 2 12 24 2" xfId="7986"/>
    <cellStyle name="Dane wejściowe 2 12 24 3" xfId="7987"/>
    <cellStyle name="Dane wejściowe 2 12 25" xfId="7988"/>
    <cellStyle name="Dane wejściowe 2 12 25 2" xfId="7989"/>
    <cellStyle name="Dane wejściowe 2 12 25 3" xfId="7990"/>
    <cellStyle name="Dane wejściowe 2 12 26" xfId="7991"/>
    <cellStyle name="Dane wejściowe 2 12 26 2" xfId="7992"/>
    <cellStyle name="Dane wejściowe 2 12 26 3" xfId="7993"/>
    <cellStyle name="Dane wejściowe 2 12 27" xfId="7994"/>
    <cellStyle name="Dane wejściowe 2 12 27 2" xfId="7995"/>
    <cellStyle name="Dane wejściowe 2 12 27 3" xfId="7996"/>
    <cellStyle name="Dane wejściowe 2 12 28" xfId="7997"/>
    <cellStyle name="Dane wejściowe 2 12 28 2" xfId="7998"/>
    <cellStyle name="Dane wejściowe 2 12 28 3" xfId="7999"/>
    <cellStyle name="Dane wejściowe 2 12 29" xfId="8000"/>
    <cellStyle name="Dane wejściowe 2 12 29 2" xfId="8001"/>
    <cellStyle name="Dane wejściowe 2 12 29 3" xfId="8002"/>
    <cellStyle name="Dane wejściowe 2 12 3" xfId="8003"/>
    <cellStyle name="Dane wejściowe 2 12 3 2" xfId="8004"/>
    <cellStyle name="Dane wejściowe 2 12 3 3" xfId="8005"/>
    <cellStyle name="Dane wejściowe 2 12 30" xfId="8006"/>
    <cellStyle name="Dane wejściowe 2 12 30 2" xfId="8007"/>
    <cellStyle name="Dane wejściowe 2 12 30 3" xfId="8008"/>
    <cellStyle name="Dane wejściowe 2 12 31" xfId="8009"/>
    <cellStyle name="Dane wejściowe 2 12 31 2" xfId="8010"/>
    <cellStyle name="Dane wejściowe 2 12 31 3" xfId="8011"/>
    <cellStyle name="Dane wejściowe 2 12 32" xfId="8012"/>
    <cellStyle name="Dane wejściowe 2 12 32 2" xfId="8013"/>
    <cellStyle name="Dane wejściowe 2 12 32 3" xfId="8014"/>
    <cellStyle name="Dane wejściowe 2 12 33" xfId="8015"/>
    <cellStyle name="Dane wejściowe 2 12 33 2" xfId="8016"/>
    <cellStyle name="Dane wejściowe 2 12 33 3" xfId="8017"/>
    <cellStyle name="Dane wejściowe 2 12 34" xfId="8018"/>
    <cellStyle name="Dane wejściowe 2 12 34 2" xfId="8019"/>
    <cellStyle name="Dane wejściowe 2 12 34 3" xfId="8020"/>
    <cellStyle name="Dane wejściowe 2 12 35" xfId="8021"/>
    <cellStyle name="Dane wejściowe 2 12 35 2" xfId="8022"/>
    <cellStyle name="Dane wejściowe 2 12 35 3" xfId="8023"/>
    <cellStyle name="Dane wejściowe 2 12 36" xfId="8024"/>
    <cellStyle name="Dane wejściowe 2 12 36 2" xfId="8025"/>
    <cellStyle name="Dane wejściowe 2 12 36 3" xfId="8026"/>
    <cellStyle name="Dane wejściowe 2 12 37" xfId="8027"/>
    <cellStyle name="Dane wejściowe 2 12 37 2" xfId="8028"/>
    <cellStyle name="Dane wejściowe 2 12 37 3" xfId="8029"/>
    <cellStyle name="Dane wejściowe 2 12 38" xfId="8030"/>
    <cellStyle name="Dane wejściowe 2 12 38 2" xfId="8031"/>
    <cellStyle name="Dane wejściowe 2 12 38 3" xfId="8032"/>
    <cellStyle name="Dane wejściowe 2 12 39" xfId="8033"/>
    <cellStyle name="Dane wejściowe 2 12 39 2" xfId="8034"/>
    <cellStyle name="Dane wejściowe 2 12 39 3" xfId="8035"/>
    <cellStyle name="Dane wejściowe 2 12 4" xfId="8036"/>
    <cellStyle name="Dane wejściowe 2 12 4 2" xfId="8037"/>
    <cellStyle name="Dane wejściowe 2 12 4 3" xfId="8038"/>
    <cellStyle name="Dane wejściowe 2 12 40" xfId="8039"/>
    <cellStyle name="Dane wejściowe 2 12 40 2" xfId="8040"/>
    <cellStyle name="Dane wejściowe 2 12 40 3" xfId="8041"/>
    <cellStyle name="Dane wejściowe 2 12 41" xfId="8042"/>
    <cellStyle name="Dane wejściowe 2 12 41 2" xfId="8043"/>
    <cellStyle name="Dane wejściowe 2 12 41 3" xfId="8044"/>
    <cellStyle name="Dane wejściowe 2 12 42" xfId="8045"/>
    <cellStyle name="Dane wejściowe 2 12 42 2" xfId="8046"/>
    <cellStyle name="Dane wejściowe 2 12 42 3" xfId="8047"/>
    <cellStyle name="Dane wejściowe 2 12 43" xfId="8048"/>
    <cellStyle name="Dane wejściowe 2 12 43 2" xfId="8049"/>
    <cellStyle name="Dane wejściowe 2 12 43 3" xfId="8050"/>
    <cellStyle name="Dane wejściowe 2 12 44" xfId="8051"/>
    <cellStyle name="Dane wejściowe 2 12 44 2" xfId="8052"/>
    <cellStyle name="Dane wejściowe 2 12 44 3" xfId="8053"/>
    <cellStyle name="Dane wejściowe 2 12 45" xfId="8054"/>
    <cellStyle name="Dane wejściowe 2 12 45 2" xfId="8055"/>
    <cellStyle name="Dane wejściowe 2 12 45 3" xfId="8056"/>
    <cellStyle name="Dane wejściowe 2 12 46" xfId="8057"/>
    <cellStyle name="Dane wejściowe 2 12 46 2" xfId="8058"/>
    <cellStyle name="Dane wejściowe 2 12 46 3" xfId="8059"/>
    <cellStyle name="Dane wejściowe 2 12 47" xfId="8060"/>
    <cellStyle name="Dane wejściowe 2 12 47 2" xfId="8061"/>
    <cellStyle name="Dane wejściowe 2 12 47 3" xfId="8062"/>
    <cellStyle name="Dane wejściowe 2 12 48" xfId="8063"/>
    <cellStyle name="Dane wejściowe 2 12 48 2" xfId="8064"/>
    <cellStyle name="Dane wejściowe 2 12 48 3" xfId="8065"/>
    <cellStyle name="Dane wejściowe 2 12 49" xfId="8066"/>
    <cellStyle name="Dane wejściowe 2 12 49 2" xfId="8067"/>
    <cellStyle name="Dane wejściowe 2 12 49 3" xfId="8068"/>
    <cellStyle name="Dane wejściowe 2 12 5" xfId="8069"/>
    <cellStyle name="Dane wejściowe 2 12 5 2" xfId="8070"/>
    <cellStyle name="Dane wejściowe 2 12 5 3" xfId="8071"/>
    <cellStyle name="Dane wejściowe 2 12 50" xfId="8072"/>
    <cellStyle name="Dane wejściowe 2 12 50 2" xfId="8073"/>
    <cellStyle name="Dane wejściowe 2 12 50 3" xfId="8074"/>
    <cellStyle name="Dane wejściowe 2 12 51" xfId="8075"/>
    <cellStyle name="Dane wejściowe 2 12 51 2" xfId="8076"/>
    <cellStyle name="Dane wejściowe 2 12 51 3" xfId="8077"/>
    <cellStyle name="Dane wejściowe 2 12 52" xfId="8078"/>
    <cellStyle name="Dane wejściowe 2 12 52 2" xfId="8079"/>
    <cellStyle name="Dane wejściowe 2 12 52 3" xfId="8080"/>
    <cellStyle name="Dane wejściowe 2 12 53" xfId="8081"/>
    <cellStyle name="Dane wejściowe 2 12 53 2" xfId="8082"/>
    <cellStyle name="Dane wejściowe 2 12 53 3" xfId="8083"/>
    <cellStyle name="Dane wejściowe 2 12 54" xfId="8084"/>
    <cellStyle name="Dane wejściowe 2 12 54 2" xfId="8085"/>
    <cellStyle name="Dane wejściowe 2 12 54 3" xfId="8086"/>
    <cellStyle name="Dane wejściowe 2 12 55" xfId="8087"/>
    <cellStyle name="Dane wejściowe 2 12 55 2" xfId="8088"/>
    <cellStyle name="Dane wejściowe 2 12 55 3" xfId="8089"/>
    <cellStyle name="Dane wejściowe 2 12 56" xfId="8090"/>
    <cellStyle name="Dane wejściowe 2 12 56 2" xfId="8091"/>
    <cellStyle name="Dane wejściowe 2 12 56 3" xfId="8092"/>
    <cellStyle name="Dane wejściowe 2 12 57" xfId="8093"/>
    <cellStyle name="Dane wejściowe 2 12 58" xfId="8094"/>
    <cellStyle name="Dane wejściowe 2 12 6" xfId="8095"/>
    <cellStyle name="Dane wejściowe 2 12 6 2" xfId="8096"/>
    <cellStyle name="Dane wejściowe 2 12 6 3" xfId="8097"/>
    <cellStyle name="Dane wejściowe 2 12 7" xfId="8098"/>
    <cellStyle name="Dane wejściowe 2 12 7 2" xfId="8099"/>
    <cellStyle name="Dane wejściowe 2 12 7 3" xfId="8100"/>
    <cellStyle name="Dane wejściowe 2 12 8" xfId="8101"/>
    <cellStyle name="Dane wejściowe 2 12 8 2" xfId="8102"/>
    <cellStyle name="Dane wejściowe 2 12 8 3" xfId="8103"/>
    <cellStyle name="Dane wejściowe 2 12 9" xfId="8104"/>
    <cellStyle name="Dane wejściowe 2 12 9 2" xfId="8105"/>
    <cellStyle name="Dane wejściowe 2 12 9 3" xfId="8106"/>
    <cellStyle name="Dane wejściowe 2 13" xfId="8107"/>
    <cellStyle name="Dane wejściowe 2 13 10" xfId="8108"/>
    <cellStyle name="Dane wejściowe 2 13 10 2" xfId="8109"/>
    <cellStyle name="Dane wejściowe 2 13 10 3" xfId="8110"/>
    <cellStyle name="Dane wejściowe 2 13 11" xfId="8111"/>
    <cellStyle name="Dane wejściowe 2 13 11 2" xfId="8112"/>
    <cellStyle name="Dane wejściowe 2 13 11 3" xfId="8113"/>
    <cellStyle name="Dane wejściowe 2 13 12" xfId="8114"/>
    <cellStyle name="Dane wejściowe 2 13 12 2" xfId="8115"/>
    <cellStyle name="Dane wejściowe 2 13 12 3" xfId="8116"/>
    <cellStyle name="Dane wejściowe 2 13 13" xfId="8117"/>
    <cellStyle name="Dane wejściowe 2 13 13 2" xfId="8118"/>
    <cellStyle name="Dane wejściowe 2 13 13 3" xfId="8119"/>
    <cellStyle name="Dane wejściowe 2 13 14" xfId="8120"/>
    <cellStyle name="Dane wejściowe 2 13 14 2" xfId="8121"/>
    <cellStyle name="Dane wejściowe 2 13 14 3" xfId="8122"/>
    <cellStyle name="Dane wejściowe 2 13 15" xfId="8123"/>
    <cellStyle name="Dane wejściowe 2 13 15 2" xfId="8124"/>
    <cellStyle name="Dane wejściowe 2 13 15 3" xfId="8125"/>
    <cellStyle name="Dane wejściowe 2 13 16" xfId="8126"/>
    <cellStyle name="Dane wejściowe 2 13 16 2" xfId="8127"/>
    <cellStyle name="Dane wejściowe 2 13 16 3" xfId="8128"/>
    <cellStyle name="Dane wejściowe 2 13 17" xfId="8129"/>
    <cellStyle name="Dane wejściowe 2 13 17 2" xfId="8130"/>
    <cellStyle name="Dane wejściowe 2 13 17 3" xfId="8131"/>
    <cellStyle name="Dane wejściowe 2 13 18" xfId="8132"/>
    <cellStyle name="Dane wejściowe 2 13 18 2" xfId="8133"/>
    <cellStyle name="Dane wejściowe 2 13 18 3" xfId="8134"/>
    <cellStyle name="Dane wejściowe 2 13 19" xfId="8135"/>
    <cellStyle name="Dane wejściowe 2 13 19 2" xfId="8136"/>
    <cellStyle name="Dane wejściowe 2 13 19 3" xfId="8137"/>
    <cellStyle name="Dane wejściowe 2 13 19 4" xfId="8138"/>
    <cellStyle name="Dane wejściowe 2 13 2" xfId="8139"/>
    <cellStyle name="Dane wejściowe 2 13 2 2" xfId="8140"/>
    <cellStyle name="Dane wejściowe 2 13 2 3" xfId="8141"/>
    <cellStyle name="Dane wejściowe 2 13 2 4" xfId="8142"/>
    <cellStyle name="Dane wejściowe 2 13 20" xfId="8143"/>
    <cellStyle name="Dane wejściowe 2 13 20 2" xfId="8144"/>
    <cellStyle name="Dane wejściowe 2 13 20 3" xfId="8145"/>
    <cellStyle name="Dane wejściowe 2 13 20 4" xfId="8146"/>
    <cellStyle name="Dane wejściowe 2 13 21" xfId="8147"/>
    <cellStyle name="Dane wejściowe 2 13 21 2" xfId="8148"/>
    <cellStyle name="Dane wejściowe 2 13 21 3" xfId="8149"/>
    <cellStyle name="Dane wejściowe 2 13 22" xfId="8150"/>
    <cellStyle name="Dane wejściowe 2 13 22 2" xfId="8151"/>
    <cellStyle name="Dane wejściowe 2 13 22 3" xfId="8152"/>
    <cellStyle name="Dane wejściowe 2 13 23" xfId="8153"/>
    <cellStyle name="Dane wejściowe 2 13 23 2" xfId="8154"/>
    <cellStyle name="Dane wejściowe 2 13 23 3" xfId="8155"/>
    <cellStyle name="Dane wejściowe 2 13 24" xfId="8156"/>
    <cellStyle name="Dane wejściowe 2 13 24 2" xfId="8157"/>
    <cellStyle name="Dane wejściowe 2 13 24 3" xfId="8158"/>
    <cellStyle name="Dane wejściowe 2 13 25" xfId="8159"/>
    <cellStyle name="Dane wejściowe 2 13 25 2" xfId="8160"/>
    <cellStyle name="Dane wejściowe 2 13 25 3" xfId="8161"/>
    <cellStyle name="Dane wejściowe 2 13 26" xfId="8162"/>
    <cellStyle name="Dane wejściowe 2 13 26 2" xfId="8163"/>
    <cellStyle name="Dane wejściowe 2 13 26 3" xfId="8164"/>
    <cellStyle name="Dane wejściowe 2 13 27" xfId="8165"/>
    <cellStyle name="Dane wejściowe 2 13 27 2" xfId="8166"/>
    <cellStyle name="Dane wejściowe 2 13 27 3" xfId="8167"/>
    <cellStyle name="Dane wejściowe 2 13 28" xfId="8168"/>
    <cellStyle name="Dane wejściowe 2 13 28 2" xfId="8169"/>
    <cellStyle name="Dane wejściowe 2 13 28 3" xfId="8170"/>
    <cellStyle name="Dane wejściowe 2 13 29" xfId="8171"/>
    <cellStyle name="Dane wejściowe 2 13 29 2" xfId="8172"/>
    <cellStyle name="Dane wejściowe 2 13 29 3" xfId="8173"/>
    <cellStyle name="Dane wejściowe 2 13 3" xfId="8174"/>
    <cellStyle name="Dane wejściowe 2 13 3 2" xfId="8175"/>
    <cellStyle name="Dane wejściowe 2 13 3 3" xfId="8176"/>
    <cellStyle name="Dane wejściowe 2 13 3 4" xfId="8177"/>
    <cellStyle name="Dane wejściowe 2 13 30" xfId="8178"/>
    <cellStyle name="Dane wejściowe 2 13 30 2" xfId="8179"/>
    <cellStyle name="Dane wejściowe 2 13 30 3" xfId="8180"/>
    <cellStyle name="Dane wejściowe 2 13 31" xfId="8181"/>
    <cellStyle name="Dane wejściowe 2 13 31 2" xfId="8182"/>
    <cellStyle name="Dane wejściowe 2 13 31 3" xfId="8183"/>
    <cellStyle name="Dane wejściowe 2 13 32" xfId="8184"/>
    <cellStyle name="Dane wejściowe 2 13 32 2" xfId="8185"/>
    <cellStyle name="Dane wejściowe 2 13 32 3" xfId="8186"/>
    <cellStyle name="Dane wejściowe 2 13 33" xfId="8187"/>
    <cellStyle name="Dane wejściowe 2 13 33 2" xfId="8188"/>
    <cellStyle name="Dane wejściowe 2 13 33 3" xfId="8189"/>
    <cellStyle name="Dane wejściowe 2 13 34" xfId="8190"/>
    <cellStyle name="Dane wejściowe 2 13 34 2" xfId="8191"/>
    <cellStyle name="Dane wejściowe 2 13 34 3" xfId="8192"/>
    <cellStyle name="Dane wejściowe 2 13 35" xfId="8193"/>
    <cellStyle name="Dane wejściowe 2 13 35 2" xfId="8194"/>
    <cellStyle name="Dane wejściowe 2 13 35 3" xfId="8195"/>
    <cellStyle name="Dane wejściowe 2 13 36" xfId="8196"/>
    <cellStyle name="Dane wejściowe 2 13 36 2" xfId="8197"/>
    <cellStyle name="Dane wejściowe 2 13 36 3" xfId="8198"/>
    <cellStyle name="Dane wejściowe 2 13 37" xfId="8199"/>
    <cellStyle name="Dane wejściowe 2 13 37 2" xfId="8200"/>
    <cellStyle name="Dane wejściowe 2 13 37 3" xfId="8201"/>
    <cellStyle name="Dane wejściowe 2 13 38" xfId="8202"/>
    <cellStyle name="Dane wejściowe 2 13 38 2" xfId="8203"/>
    <cellStyle name="Dane wejściowe 2 13 38 3" xfId="8204"/>
    <cellStyle name="Dane wejściowe 2 13 39" xfId="8205"/>
    <cellStyle name="Dane wejściowe 2 13 39 2" xfId="8206"/>
    <cellStyle name="Dane wejściowe 2 13 39 3" xfId="8207"/>
    <cellStyle name="Dane wejściowe 2 13 4" xfId="8208"/>
    <cellStyle name="Dane wejściowe 2 13 4 2" xfId="8209"/>
    <cellStyle name="Dane wejściowe 2 13 4 3" xfId="8210"/>
    <cellStyle name="Dane wejściowe 2 13 4 4" xfId="8211"/>
    <cellStyle name="Dane wejściowe 2 13 40" xfId="8212"/>
    <cellStyle name="Dane wejściowe 2 13 40 2" xfId="8213"/>
    <cellStyle name="Dane wejściowe 2 13 40 3" xfId="8214"/>
    <cellStyle name="Dane wejściowe 2 13 41" xfId="8215"/>
    <cellStyle name="Dane wejściowe 2 13 41 2" xfId="8216"/>
    <cellStyle name="Dane wejściowe 2 13 41 3" xfId="8217"/>
    <cellStyle name="Dane wejściowe 2 13 42" xfId="8218"/>
    <cellStyle name="Dane wejściowe 2 13 42 2" xfId="8219"/>
    <cellStyle name="Dane wejściowe 2 13 42 3" xfId="8220"/>
    <cellStyle name="Dane wejściowe 2 13 43" xfId="8221"/>
    <cellStyle name="Dane wejściowe 2 13 43 2" xfId="8222"/>
    <cellStyle name="Dane wejściowe 2 13 43 3" xfId="8223"/>
    <cellStyle name="Dane wejściowe 2 13 44" xfId="8224"/>
    <cellStyle name="Dane wejściowe 2 13 44 2" xfId="8225"/>
    <cellStyle name="Dane wejściowe 2 13 44 3" xfId="8226"/>
    <cellStyle name="Dane wejściowe 2 13 45" xfId="8227"/>
    <cellStyle name="Dane wejściowe 2 13 45 2" xfId="8228"/>
    <cellStyle name="Dane wejściowe 2 13 45 3" xfId="8229"/>
    <cellStyle name="Dane wejściowe 2 13 46" xfId="8230"/>
    <cellStyle name="Dane wejściowe 2 13 46 2" xfId="8231"/>
    <cellStyle name="Dane wejściowe 2 13 46 3" xfId="8232"/>
    <cellStyle name="Dane wejściowe 2 13 47" xfId="8233"/>
    <cellStyle name="Dane wejściowe 2 13 47 2" xfId="8234"/>
    <cellStyle name="Dane wejściowe 2 13 47 3" xfId="8235"/>
    <cellStyle name="Dane wejściowe 2 13 48" xfId="8236"/>
    <cellStyle name="Dane wejściowe 2 13 48 2" xfId="8237"/>
    <cellStyle name="Dane wejściowe 2 13 48 3" xfId="8238"/>
    <cellStyle name="Dane wejściowe 2 13 49" xfId="8239"/>
    <cellStyle name="Dane wejściowe 2 13 49 2" xfId="8240"/>
    <cellStyle name="Dane wejściowe 2 13 49 3" xfId="8241"/>
    <cellStyle name="Dane wejściowe 2 13 5" xfId="8242"/>
    <cellStyle name="Dane wejściowe 2 13 5 2" xfId="8243"/>
    <cellStyle name="Dane wejściowe 2 13 5 3" xfId="8244"/>
    <cellStyle name="Dane wejściowe 2 13 5 4" xfId="8245"/>
    <cellStyle name="Dane wejściowe 2 13 50" xfId="8246"/>
    <cellStyle name="Dane wejściowe 2 13 50 2" xfId="8247"/>
    <cellStyle name="Dane wejściowe 2 13 50 3" xfId="8248"/>
    <cellStyle name="Dane wejściowe 2 13 51" xfId="8249"/>
    <cellStyle name="Dane wejściowe 2 13 51 2" xfId="8250"/>
    <cellStyle name="Dane wejściowe 2 13 51 3" xfId="8251"/>
    <cellStyle name="Dane wejściowe 2 13 52" xfId="8252"/>
    <cellStyle name="Dane wejściowe 2 13 52 2" xfId="8253"/>
    <cellStyle name="Dane wejściowe 2 13 52 3" xfId="8254"/>
    <cellStyle name="Dane wejściowe 2 13 53" xfId="8255"/>
    <cellStyle name="Dane wejściowe 2 13 53 2" xfId="8256"/>
    <cellStyle name="Dane wejściowe 2 13 53 3" xfId="8257"/>
    <cellStyle name="Dane wejściowe 2 13 54" xfId="8258"/>
    <cellStyle name="Dane wejściowe 2 13 54 2" xfId="8259"/>
    <cellStyle name="Dane wejściowe 2 13 54 3" xfId="8260"/>
    <cellStyle name="Dane wejściowe 2 13 55" xfId="8261"/>
    <cellStyle name="Dane wejściowe 2 13 55 2" xfId="8262"/>
    <cellStyle name="Dane wejściowe 2 13 55 3" xfId="8263"/>
    <cellStyle name="Dane wejściowe 2 13 56" xfId="8264"/>
    <cellStyle name="Dane wejściowe 2 13 56 2" xfId="8265"/>
    <cellStyle name="Dane wejściowe 2 13 56 3" xfId="8266"/>
    <cellStyle name="Dane wejściowe 2 13 57" xfId="8267"/>
    <cellStyle name="Dane wejściowe 2 13 58" xfId="8268"/>
    <cellStyle name="Dane wejściowe 2 13 6" xfId="8269"/>
    <cellStyle name="Dane wejściowe 2 13 6 2" xfId="8270"/>
    <cellStyle name="Dane wejściowe 2 13 6 3" xfId="8271"/>
    <cellStyle name="Dane wejściowe 2 13 6 4" xfId="8272"/>
    <cellStyle name="Dane wejściowe 2 13 7" xfId="8273"/>
    <cellStyle name="Dane wejściowe 2 13 7 2" xfId="8274"/>
    <cellStyle name="Dane wejściowe 2 13 7 3" xfId="8275"/>
    <cellStyle name="Dane wejściowe 2 13 7 4" xfId="8276"/>
    <cellStyle name="Dane wejściowe 2 13 8" xfId="8277"/>
    <cellStyle name="Dane wejściowe 2 13 8 2" xfId="8278"/>
    <cellStyle name="Dane wejściowe 2 13 8 3" xfId="8279"/>
    <cellStyle name="Dane wejściowe 2 13 8 4" xfId="8280"/>
    <cellStyle name="Dane wejściowe 2 13 9" xfId="8281"/>
    <cellStyle name="Dane wejściowe 2 13 9 2" xfId="8282"/>
    <cellStyle name="Dane wejściowe 2 13 9 3" xfId="8283"/>
    <cellStyle name="Dane wejściowe 2 13 9 4" xfId="8284"/>
    <cellStyle name="Dane wejściowe 2 14" xfId="8285"/>
    <cellStyle name="Dane wejściowe 2 14 10" xfId="8286"/>
    <cellStyle name="Dane wejściowe 2 14 10 2" xfId="8287"/>
    <cellStyle name="Dane wejściowe 2 14 10 3" xfId="8288"/>
    <cellStyle name="Dane wejściowe 2 14 10 4" xfId="8289"/>
    <cellStyle name="Dane wejściowe 2 14 11" xfId="8290"/>
    <cellStyle name="Dane wejściowe 2 14 11 2" xfId="8291"/>
    <cellStyle name="Dane wejściowe 2 14 11 3" xfId="8292"/>
    <cellStyle name="Dane wejściowe 2 14 11 4" xfId="8293"/>
    <cellStyle name="Dane wejściowe 2 14 12" xfId="8294"/>
    <cellStyle name="Dane wejściowe 2 14 12 2" xfId="8295"/>
    <cellStyle name="Dane wejściowe 2 14 12 3" xfId="8296"/>
    <cellStyle name="Dane wejściowe 2 14 12 4" xfId="8297"/>
    <cellStyle name="Dane wejściowe 2 14 13" xfId="8298"/>
    <cellStyle name="Dane wejściowe 2 14 13 2" xfId="8299"/>
    <cellStyle name="Dane wejściowe 2 14 13 3" xfId="8300"/>
    <cellStyle name="Dane wejściowe 2 14 13 4" xfId="8301"/>
    <cellStyle name="Dane wejściowe 2 14 14" xfId="8302"/>
    <cellStyle name="Dane wejściowe 2 14 14 2" xfId="8303"/>
    <cellStyle name="Dane wejściowe 2 14 14 3" xfId="8304"/>
    <cellStyle name="Dane wejściowe 2 14 14 4" xfId="8305"/>
    <cellStyle name="Dane wejściowe 2 14 15" xfId="8306"/>
    <cellStyle name="Dane wejściowe 2 14 15 2" xfId="8307"/>
    <cellStyle name="Dane wejściowe 2 14 15 3" xfId="8308"/>
    <cellStyle name="Dane wejściowe 2 14 15 4" xfId="8309"/>
    <cellStyle name="Dane wejściowe 2 14 16" xfId="8310"/>
    <cellStyle name="Dane wejściowe 2 14 16 2" xfId="8311"/>
    <cellStyle name="Dane wejściowe 2 14 16 3" xfId="8312"/>
    <cellStyle name="Dane wejściowe 2 14 16 4" xfId="8313"/>
    <cellStyle name="Dane wejściowe 2 14 17" xfId="8314"/>
    <cellStyle name="Dane wejściowe 2 14 17 2" xfId="8315"/>
    <cellStyle name="Dane wejściowe 2 14 17 3" xfId="8316"/>
    <cellStyle name="Dane wejściowe 2 14 17 4" xfId="8317"/>
    <cellStyle name="Dane wejściowe 2 14 18" xfId="8318"/>
    <cellStyle name="Dane wejściowe 2 14 18 2" xfId="8319"/>
    <cellStyle name="Dane wejściowe 2 14 18 3" xfId="8320"/>
    <cellStyle name="Dane wejściowe 2 14 18 4" xfId="8321"/>
    <cellStyle name="Dane wejściowe 2 14 19" xfId="8322"/>
    <cellStyle name="Dane wejściowe 2 14 19 2" xfId="8323"/>
    <cellStyle name="Dane wejściowe 2 14 19 3" xfId="8324"/>
    <cellStyle name="Dane wejściowe 2 14 19 4" xfId="8325"/>
    <cellStyle name="Dane wejściowe 2 14 2" xfId="8326"/>
    <cellStyle name="Dane wejściowe 2 14 2 2" xfId="8327"/>
    <cellStyle name="Dane wejściowe 2 14 2 3" xfId="8328"/>
    <cellStyle name="Dane wejściowe 2 14 2 4" xfId="8329"/>
    <cellStyle name="Dane wejściowe 2 14 20" xfId="8330"/>
    <cellStyle name="Dane wejściowe 2 14 20 2" xfId="8331"/>
    <cellStyle name="Dane wejściowe 2 14 20 3" xfId="8332"/>
    <cellStyle name="Dane wejściowe 2 14 20 4" xfId="8333"/>
    <cellStyle name="Dane wejściowe 2 14 21" xfId="8334"/>
    <cellStyle name="Dane wejściowe 2 14 21 2" xfId="8335"/>
    <cellStyle name="Dane wejściowe 2 14 21 3" xfId="8336"/>
    <cellStyle name="Dane wejściowe 2 14 22" xfId="8337"/>
    <cellStyle name="Dane wejściowe 2 14 22 2" xfId="8338"/>
    <cellStyle name="Dane wejściowe 2 14 22 3" xfId="8339"/>
    <cellStyle name="Dane wejściowe 2 14 23" xfId="8340"/>
    <cellStyle name="Dane wejściowe 2 14 23 2" xfId="8341"/>
    <cellStyle name="Dane wejściowe 2 14 23 3" xfId="8342"/>
    <cellStyle name="Dane wejściowe 2 14 24" xfId="8343"/>
    <cellStyle name="Dane wejściowe 2 14 24 2" xfId="8344"/>
    <cellStyle name="Dane wejściowe 2 14 24 3" xfId="8345"/>
    <cellStyle name="Dane wejściowe 2 14 25" xfId="8346"/>
    <cellStyle name="Dane wejściowe 2 14 25 2" xfId="8347"/>
    <cellStyle name="Dane wejściowe 2 14 25 3" xfId="8348"/>
    <cellStyle name="Dane wejściowe 2 14 26" xfId="8349"/>
    <cellStyle name="Dane wejściowe 2 14 26 2" xfId="8350"/>
    <cellStyle name="Dane wejściowe 2 14 26 3" xfId="8351"/>
    <cellStyle name="Dane wejściowe 2 14 27" xfId="8352"/>
    <cellStyle name="Dane wejściowe 2 14 27 2" xfId="8353"/>
    <cellStyle name="Dane wejściowe 2 14 27 3" xfId="8354"/>
    <cellStyle name="Dane wejściowe 2 14 28" xfId="8355"/>
    <cellStyle name="Dane wejściowe 2 14 28 2" xfId="8356"/>
    <cellStyle name="Dane wejściowe 2 14 28 3" xfId="8357"/>
    <cellStyle name="Dane wejściowe 2 14 29" xfId="8358"/>
    <cellStyle name="Dane wejściowe 2 14 29 2" xfId="8359"/>
    <cellStyle name="Dane wejściowe 2 14 29 3" xfId="8360"/>
    <cellStyle name="Dane wejściowe 2 14 3" xfId="8361"/>
    <cellStyle name="Dane wejściowe 2 14 3 2" xfId="8362"/>
    <cellStyle name="Dane wejściowe 2 14 3 3" xfId="8363"/>
    <cellStyle name="Dane wejściowe 2 14 3 4" xfId="8364"/>
    <cellStyle name="Dane wejściowe 2 14 30" xfId="8365"/>
    <cellStyle name="Dane wejściowe 2 14 30 2" xfId="8366"/>
    <cellStyle name="Dane wejściowe 2 14 30 3" xfId="8367"/>
    <cellStyle name="Dane wejściowe 2 14 31" xfId="8368"/>
    <cellStyle name="Dane wejściowe 2 14 31 2" xfId="8369"/>
    <cellStyle name="Dane wejściowe 2 14 31 3" xfId="8370"/>
    <cellStyle name="Dane wejściowe 2 14 32" xfId="8371"/>
    <cellStyle name="Dane wejściowe 2 14 32 2" xfId="8372"/>
    <cellStyle name="Dane wejściowe 2 14 32 3" xfId="8373"/>
    <cellStyle name="Dane wejściowe 2 14 33" xfId="8374"/>
    <cellStyle name="Dane wejściowe 2 14 33 2" xfId="8375"/>
    <cellStyle name="Dane wejściowe 2 14 33 3" xfId="8376"/>
    <cellStyle name="Dane wejściowe 2 14 34" xfId="8377"/>
    <cellStyle name="Dane wejściowe 2 14 34 2" xfId="8378"/>
    <cellStyle name="Dane wejściowe 2 14 34 3" xfId="8379"/>
    <cellStyle name="Dane wejściowe 2 14 35" xfId="8380"/>
    <cellStyle name="Dane wejściowe 2 14 35 2" xfId="8381"/>
    <cellStyle name="Dane wejściowe 2 14 35 3" xfId="8382"/>
    <cellStyle name="Dane wejściowe 2 14 36" xfId="8383"/>
    <cellStyle name="Dane wejściowe 2 14 36 2" xfId="8384"/>
    <cellStyle name="Dane wejściowe 2 14 36 3" xfId="8385"/>
    <cellStyle name="Dane wejściowe 2 14 37" xfId="8386"/>
    <cellStyle name="Dane wejściowe 2 14 37 2" xfId="8387"/>
    <cellStyle name="Dane wejściowe 2 14 37 3" xfId="8388"/>
    <cellStyle name="Dane wejściowe 2 14 38" xfId="8389"/>
    <cellStyle name="Dane wejściowe 2 14 38 2" xfId="8390"/>
    <cellStyle name="Dane wejściowe 2 14 38 3" xfId="8391"/>
    <cellStyle name="Dane wejściowe 2 14 39" xfId="8392"/>
    <cellStyle name="Dane wejściowe 2 14 39 2" xfId="8393"/>
    <cellStyle name="Dane wejściowe 2 14 39 3" xfId="8394"/>
    <cellStyle name="Dane wejściowe 2 14 4" xfId="8395"/>
    <cellStyle name="Dane wejściowe 2 14 4 2" xfId="8396"/>
    <cellStyle name="Dane wejściowe 2 14 4 3" xfId="8397"/>
    <cellStyle name="Dane wejściowe 2 14 4 4" xfId="8398"/>
    <cellStyle name="Dane wejściowe 2 14 40" xfId="8399"/>
    <cellStyle name="Dane wejściowe 2 14 40 2" xfId="8400"/>
    <cellStyle name="Dane wejściowe 2 14 40 3" xfId="8401"/>
    <cellStyle name="Dane wejściowe 2 14 41" xfId="8402"/>
    <cellStyle name="Dane wejściowe 2 14 41 2" xfId="8403"/>
    <cellStyle name="Dane wejściowe 2 14 41 3" xfId="8404"/>
    <cellStyle name="Dane wejściowe 2 14 42" xfId="8405"/>
    <cellStyle name="Dane wejściowe 2 14 42 2" xfId="8406"/>
    <cellStyle name="Dane wejściowe 2 14 42 3" xfId="8407"/>
    <cellStyle name="Dane wejściowe 2 14 43" xfId="8408"/>
    <cellStyle name="Dane wejściowe 2 14 43 2" xfId="8409"/>
    <cellStyle name="Dane wejściowe 2 14 43 3" xfId="8410"/>
    <cellStyle name="Dane wejściowe 2 14 44" xfId="8411"/>
    <cellStyle name="Dane wejściowe 2 14 44 2" xfId="8412"/>
    <cellStyle name="Dane wejściowe 2 14 44 3" xfId="8413"/>
    <cellStyle name="Dane wejściowe 2 14 45" xfId="8414"/>
    <cellStyle name="Dane wejściowe 2 14 45 2" xfId="8415"/>
    <cellStyle name="Dane wejściowe 2 14 45 3" xfId="8416"/>
    <cellStyle name="Dane wejściowe 2 14 46" xfId="8417"/>
    <cellStyle name="Dane wejściowe 2 14 46 2" xfId="8418"/>
    <cellStyle name="Dane wejściowe 2 14 46 3" xfId="8419"/>
    <cellStyle name="Dane wejściowe 2 14 47" xfId="8420"/>
    <cellStyle name="Dane wejściowe 2 14 47 2" xfId="8421"/>
    <cellStyle name="Dane wejściowe 2 14 47 3" xfId="8422"/>
    <cellStyle name="Dane wejściowe 2 14 48" xfId="8423"/>
    <cellStyle name="Dane wejściowe 2 14 48 2" xfId="8424"/>
    <cellStyle name="Dane wejściowe 2 14 48 3" xfId="8425"/>
    <cellStyle name="Dane wejściowe 2 14 49" xfId="8426"/>
    <cellStyle name="Dane wejściowe 2 14 49 2" xfId="8427"/>
    <cellStyle name="Dane wejściowe 2 14 49 3" xfId="8428"/>
    <cellStyle name="Dane wejściowe 2 14 5" xfId="8429"/>
    <cellStyle name="Dane wejściowe 2 14 5 2" xfId="8430"/>
    <cellStyle name="Dane wejściowe 2 14 5 3" xfId="8431"/>
    <cellStyle name="Dane wejściowe 2 14 5 4" xfId="8432"/>
    <cellStyle name="Dane wejściowe 2 14 50" xfId="8433"/>
    <cellStyle name="Dane wejściowe 2 14 50 2" xfId="8434"/>
    <cellStyle name="Dane wejściowe 2 14 50 3" xfId="8435"/>
    <cellStyle name="Dane wejściowe 2 14 51" xfId="8436"/>
    <cellStyle name="Dane wejściowe 2 14 51 2" xfId="8437"/>
    <cellStyle name="Dane wejściowe 2 14 51 3" xfId="8438"/>
    <cellStyle name="Dane wejściowe 2 14 52" xfId="8439"/>
    <cellStyle name="Dane wejściowe 2 14 52 2" xfId="8440"/>
    <cellStyle name="Dane wejściowe 2 14 52 3" xfId="8441"/>
    <cellStyle name="Dane wejściowe 2 14 53" xfId="8442"/>
    <cellStyle name="Dane wejściowe 2 14 53 2" xfId="8443"/>
    <cellStyle name="Dane wejściowe 2 14 53 3" xfId="8444"/>
    <cellStyle name="Dane wejściowe 2 14 54" xfId="8445"/>
    <cellStyle name="Dane wejściowe 2 14 54 2" xfId="8446"/>
    <cellStyle name="Dane wejściowe 2 14 54 3" xfId="8447"/>
    <cellStyle name="Dane wejściowe 2 14 55" xfId="8448"/>
    <cellStyle name="Dane wejściowe 2 14 55 2" xfId="8449"/>
    <cellStyle name="Dane wejściowe 2 14 55 3" xfId="8450"/>
    <cellStyle name="Dane wejściowe 2 14 56" xfId="8451"/>
    <cellStyle name="Dane wejściowe 2 14 56 2" xfId="8452"/>
    <cellStyle name="Dane wejściowe 2 14 56 3" xfId="8453"/>
    <cellStyle name="Dane wejściowe 2 14 57" xfId="8454"/>
    <cellStyle name="Dane wejściowe 2 14 58" xfId="8455"/>
    <cellStyle name="Dane wejściowe 2 14 6" xfId="8456"/>
    <cellStyle name="Dane wejściowe 2 14 6 2" xfId="8457"/>
    <cellStyle name="Dane wejściowe 2 14 6 3" xfId="8458"/>
    <cellStyle name="Dane wejściowe 2 14 6 4" xfId="8459"/>
    <cellStyle name="Dane wejściowe 2 14 7" xfId="8460"/>
    <cellStyle name="Dane wejściowe 2 14 7 2" xfId="8461"/>
    <cellStyle name="Dane wejściowe 2 14 7 3" xfId="8462"/>
    <cellStyle name="Dane wejściowe 2 14 7 4" xfId="8463"/>
    <cellStyle name="Dane wejściowe 2 14 8" xfId="8464"/>
    <cellStyle name="Dane wejściowe 2 14 8 2" xfId="8465"/>
    <cellStyle name="Dane wejściowe 2 14 8 3" xfId="8466"/>
    <cellStyle name="Dane wejściowe 2 14 8 4" xfId="8467"/>
    <cellStyle name="Dane wejściowe 2 14 9" xfId="8468"/>
    <cellStyle name="Dane wejściowe 2 14 9 2" xfId="8469"/>
    <cellStyle name="Dane wejściowe 2 14 9 3" xfId="8470"/>
    <cellStyle name="Dane wejściowe 2 14 9 4" xfId="8471"/>
    <cellStyle name="Dane wejściowe 2 15" xfId="8472"/>
    <cellStyle name="Dane wejściowe 2 15 10" xfId="8473"/>
    <cellStyle name="Dane wejściowe 2 15 10 2" xfId="8474"/>
    <cellStyle name="Dane wejściowe 2 15 10 3" xfId="8475"/>
    <cellStyle name="Dane wejściowe 2 15 10 4" xfId="8476"/>
    <cellStyle name="Dane wejściowe 2 15 11" xfId="8477"/>
    <cellStyle name="Dane wejściowe 2 15 11 2" xfId="8478"/>
    <cellStyle name="Dane wejściowe 2 15 11 3" xfId="8479"/>
    <cellStyle name="Dane wejściowe 2 15 11 4" xfId="8480"/>
    <cellStyle name="Dane wejściowe 2 15 12" xfId="8481"/>
    <cellStyle name="Dane wejściowe 2 15 12 2" xfId="8482"/>
    <cellStyle name="Dane wejściowe 2 15 12 3" xfId="8483"/>
    <cellStyle name="Dane wejściowe 2 15 12 4" xfId="8484"/>
    <cellStyle name="Dane wejściowe 2 15 13" xfId="8485"/>
    <cellStyle name="Dane wejściowe 2 15 13 2" xfId="8486"/>
    <cellStyle name="Dane wejściowe 2 15 13 3" xfId="8487"/>
    <cellStyle name="Dane wejściowe 2 15 13 4" xfId="8488"/>
    <cellStyle name="Dane wejściowe 2 15 14" xfId="8489"/>
    <cellStyle name="Dane wejściowe 2 15 14 2" xfId="8490"/>
    <cellStyle name="Dane wejściowe 2 15 14 3" xfId="8491"/>
    <cellStyle name="Dane wejściowe 2 15 14 4" xfId="8492"/>
    <cellStyle name="Dane wejściowe 2 15 15" xfId="8493"/>
    <cellStyle name="Dane wejściowe 2 15 15 2" xfId="8494"/>
    <cellStyle name="Dane wejściowe 2 15 15 3" xfId="8495"/>
    <cellStyle name="Dane wejściowe 2 15 15 4" xfId="8496"/>
    <cellStyle name="Dane wejściowe 2 15 16" xfId="8497"/>
    <cellStyle name="Dane wejściowe 2 15 16 2" xfId="8498"/>
    <cellStyle name="Dane wejściowe 2 15 16 3" xfId="8499"/>
    <cellStyle name="Dane wejściowe 2 15 16 4" xfId="8500"/>
    <cellStyle name="Dane wejściowe 2 15 17" xfId="8501"/>
    <cellStyle name="Dane wejściowe 2 15 17 2" xfId="8502"/>
    <cellStyle name="Dane wejściowe 2 15 17 3" xfId="8503"/>
    <cellStyle name="Dane wejściowe 2 15 17 4" xfId="8504"/>
    <cellStyle name="Dane wejściowe 2 15 18" xfId="8505"/>
    <cellStyle name="Dane wejściowe 2 15 18 2" xfId="8506"/>
    <cellStyle name="Dane wejściowe 2 15 18 3" xfId="8507"/>
    <cellStyle name="Dane wejściowe 2 15 18 4" xfId="8508"/>
    <cellStyle name="Dane wejściowe 2 15 19" xfId="8509"/>
    <cellStyle name="Dane wejściowe 2 15 19 2" xfId="8510"/>
    <cellStyle name="Dane wejściowe 2 15 19 3" xfId="8511"/>
    <cellStyle name="Dane wejściowe 2 15 19 4" xfId="8512"/>
    <cellStyle name="Dane wejściowe 2 15 2" xfId="8513"/>
    <cellStyle name="Dane wejściowe 2 15 2 2" xfId="8514"/>
    <cellStyle name="Dane wejściowe 2 15 2 3" xfId="8515"/>
    <cellStyle name="Dane wejściowe 2 15 2 4" xfId="8516"/>
    <cellStyle name="Dane wejściowe 2 15 20" xfId="8517"/>
    <cellStyle name="Dane wejściowe 2 15 20 2" xfId="8518"/>
    <cellStyle name="Dane wejściowe 2 15 20 3" xfId="8519"/>
    <cellStyle name="Dane wejściowe 2 15 20 4" xfId="8520"/>
    <cellStyle name="Dane wejściowe 2 15 21" xfId="8521"/>
    <cellStyle name="Dane wejściowe 2 15 21 2" xfId="8522"/>
    <cellStyle name="Dane wejściowe 2 15 21 3" xfId="8523"/>
    <cellStyle name="Dane wejściowe 2 15 22" xfId="8524"/>
    <cellStyle name="Dane wejściowe 2 15 22 2" xfId="8525"/>
    <cellStyle name="Dane wejściowe 2 15 22 3" xfId="8526"/>
    <cellStyle name="Dane wejściowe 2 15 23" xfId="8527"/>
    <cellStyle name="Dane wejściowe 2 15 23 2" xfId="8528"/>
    <cellStyle name="Dane wejściowe 2 15 23 3" xfId="8529"/>
    <cellStyle name="Dane wejściowe 2 15 24" xfId="8530"/>
    <cellStyle name="Dane wejściowe 2 15 24 2" xfId="8531"/>
    <cellStyle name="Dane wejściowe 2 15 24 3" xfId="8532"/>
    <cellStyle name="Dane wejściowe 2 15 25" xfId="8533"/>
    <cellStyle name="Dane wejściowe 2 15 25 2" xfId="8534"/>
    <cellStyle name="Dane wejściowe 2 15 25 3" xfId="8535"/>
    <cellStyle name="Dane wejściowe 2 15 26" xfId="8536"/>
    <cellStyle name="Dane wejściowe 2 15 26 2" xfId="8537"/>
    <cellStyle name="Dane wejściowe 2 15 26 3" xfId="8538"/>
    <cellStyle name="Dane wejściowe 2 15 27" xfId="8539"/>
    <cellStyle name="Dane wejściowe 2 15 27 2" xfId="8540"/>
    <cellStyle name="Dane wejściowe 2 15 27 3" xfId="8541"/>
    <cellStyle name="Dane wejściowe 2 15 28" xfId="8542"/>
    <cellStyle name="Dane wejściowe 2 15 28 2" xfId="8543"/>
    <cellStyle name="Dane wejściowe 2 15 28 3" xfId="8544"/>
    <cellStyle name="Dane wejściowe 2 15 29" xfId="8545"/>
    <cellStyle name="Dane wejściowe 2 15 29 2" xfId="8546"/>
    <cellStyle name="Dane wejściowe 2 15 29 3" xfId="8547"/>
    <cellStyle name="Dane wejściowe 2 15 3" xfId="8548"/>
    <cellStyle name="Dane wejściowe 2 15 3 2" xfId="8549"/>
    <cellStyle name="Dane wejściowe 2 15 3 3" xfId="8550"/>
    <cellStyle name="Dane wejściowe 2 15 3 4" xfId="8551"/>
    <cellStyle name="Dane wejściowe 2 15 30" xfId="8552"/>
    <cellStyle name="Dane wejściowe 2 15 30 2" xfId="8553"/>
    <cellStyle name="Dane wejściowe 2 15 30 3" xfId="8554"/>
    <cellStyle name="Dane wejściowe 2 15 31" xfId="8555"/>
    <cellStyle name="Dane wejściowe 2 15 31 2" xfId="8556"/>
    <cellStyle name="Dane wejściowe 2 15 31 3" xfId="8557"/>
    <cellStyle name="Dane wejściowe 2 15 32" xfId="8558"/>
    <cellStyle name="Dane wejściowe 2 15 32 2" xfId="8559"/>
    <cellStyle name="Dane wejściowe 2 15 32 3" xfId="8560"/>
    <cellStyle name="Dane wejściowe 2 15 33" xfId="8561"/>
    <cellStyle name="Dane wejściowe 2 15 33 2" xfId="8562"/>
    <cellStyle name="Dane wejściowe 2 15 33 3" xfId="8563"/>
    <cellStyle name="Dane wejściowe 2 15 34" xfId="8564"/>
    <cellStyle name="Dane wejściowe 2 15 34 2" xfId="8565"/>
    <cellStyle name="Dane wejściowe 2 15 34 3" xfId="8566"/>
    <cellStyle name="Dane wejściowe 2 15 35" xfId="8567"/>
    <cellStyle name="Dane wejściowe 2 15 35 2" xfId="8568"/>
    <cellStyle name="Dane wejściowe 2 15 35 3" xfId="8569"/>
    <cellStyle name="Dane wejściowe 2 15 36" xfId="8570"/>
    <cellStyle name="Dane wejściowe 2 15 36 2" xfId="8571"/>
    <cellStyle name="Dane wejściowe 2 15 36 3" xfId="8572"/>
    <cellStyle name="Dane wejściowe 2 15 37" xfId="8573"/>
    <cellStyle name="Dane wejściowe 2 15 37 2" xfId="8574"/>
    <cellStyle name="Dane wejściowe 2 15 37 3" xfId="8575"/>
    <cellStyle name="Dane wejściowe 2 15 38" xfId="8576"/>
    <cellStyle name="Dane wejściowe 2 15 38 2" xfId="8577"/>
    <cellStyle name="Dane wejściowe 2 15 38 3" xfId="8578"/>
    <cellStyle name="Dane wejściowe 2 15 39" xfId="8579"/>
    <cellStyle name="Dane wejściowe 2 15 39 2" xfId="8580"/>
    <cellStyle name="Dane wejściowe 2 15 39 3" xfId="8581"/>
    <cellStyle name="Dane wejściowe 2 15 4" xfId="8582"/>
    <cellStyle name="Dane wejściowe 2 15 4 2" xfId="8583"/>
    <cellStyle name="Dane wejściowe 2 15 4 3" xfId="8584"/>
    <cellStyle name="Dane wejściowe 2 15 4 4" xfId="8585"/>
    <cellStyle name="Dane wejściowe 2 15 40" xfId="8586"/>
    <cellStyle name="Dane wejściowe 2 15 40 2" xfId="8587"/>
    <cellStyle name="Dane wejściowe 2 15 40 3" xfId="8588"/>
    <cellStyle name="Dane wejściowe 2 15 41" xfId="8589"/>
    <cellStyle name="Dane wejściowe 2 15 41 2" xfId="8590"/>
    <cellStyle name="Dane wejściowe 2 15 41 3" xfId="8591"/>
    <cellStyle name="Dane wejściowe 2 15 42" xfId="8592"/>
    <cellStyle name="Dane wejściowe 2 15 42 2" xfId="8593"/>
    <cellStyle name="Dane wejściowe 2 15 42 3" xfId="8594"/>
    <cellStyle name="Dane wejściowe 2 15 43" xfId="8595"/>
    <cellStyle name="Dane wejściowe 2 15 43 2" xfId="8596"/>
    <cellStyle name="Dane wejściowe 2 15 43 3" xfId="8597"/>
    <cellStyle name="Dane wejściowe 2 15 44" xfId="8598"/>
    <cellStyle name="Dane wejściowe 2 15 44 2" xfId="8599"/>
    <cellStyle name="Dane wejściowe 2 15 44 3" xfId="8600"/>
    <cellStyle name="Dane wejściowe 2 15 45" xfId="8601"/>
    <cellStyle name="Dane wejściowe 2 15 45 2" xfId="8602"/>
    <cellStyle name="Dane wejściowe 2 15 45 3" xfId="8603"/>
    <cellStyle name="Dane wejściowe 2 15 46" xfId="8604"/>
    <cellStyle name="Dane wejściowe 2 15 46 2" xfId="8605"/>
    <cellStyle name="Dane wejściowe 2 15 46 3" xfId="8606"/>
    <cellStyle name="Dane wejściowe 2 15 47" xfId="8607"/>
    <cellStyle name="Dane wejściowe 2 15 47 2" xfId="8608"/>
    <cellStyle name="Dane wejściowe 2 15 47 3" xfId="8609"/>
    <cellStyle name="Dane wejściowe 2 15 48" xfId="8610"/>
    <cellStyle name="Dane wejściowe 2 15 48 2" xfId="8611"/>
    <cellStyle name="Dane wejściowe 2 15 48 3" xfId="8612"/>
    <cellStyle name="Dane wejściowe 2 15 49" xfId="8613"/>
    <cellStyle name="Dane wejściowe 2 15 49 2" xfId="8614"/>
    <cellStyle name="Dane wejściowe 2 15 49 3" xfId="8615"/>
    <cellStyle name="Dane wejściowe 2 15 5" xfId="8616"/>
    <cellStyle name="Dane wejściowe 2 15 5 2" xfId="8617"/>
    <cellStyle name="Dane wejściowe 2 15 5 3" xfId="8618"/>
    <cellStyle name="Dane wejściowe 2 15 5 4" xfId="8619"/>
    <cellStyle name="Dane wejściowe 2 15 50" xfId="8620"/>
    <cellStyle name="Dane wejściowe 2 15 50 2" xfId="8621"/>
    <cellStyle name="Dane wejściowe 2 15 50 3" xfId="8622"/>
    <cellStyle name="Dane wejściowe 2 15 51" xfId="8623"/>
    <cellStyle name="Dane wejściowe 2 15 51 2" xfId="8624"/>
    <cellStyle name="Dane wejściowe 2 15 51 3" xfId="8625"/>
    <cellStyle name="Dane wejściowe 2 15 52" xfId="8626"/>
    <cellStyle name="Dane wejściowe 2 15 52 2" xfId="8627"/>
    <cellStyle name="Dane wejściowe 2 15 52 3" xfId="8628"/>
    <cellStyle name="Dane wejściowe 2 15 53" xfId="8629"/>
    <cellStyle name="Dane wejściowe 2 15 53 2" xfId="8630"/>
    <cellStyle name="Dane wejściowe 2 15 53 3" xfId="8631"/>
    <cellStyle name="Dane wejściowe 2 15 54" xfId="8632"/>
    <cellStyle name="Dane wejściowe 2 15 54 2" xfId="8633"/>
    <cellStyle name="Dane wejściowe 2 15 54 3" xfId="8634"/>
    <cellStyle name="Dane wejściowe 2 15 55" xfId="8635"/>
    <cellStyle name="Dane wejściowe 2 15 55 2" xfId="8636"/>
    <cellStyle name="Dane wejściowe 2 15 55 3" xfId="8637"/>
    <cellStyle name="Dane wejściowe 2 15 56" xfId="8638"/>
    <cellStyle name="Dane wejściowe 2 15 56 2" xfId="8639"/>
    <cellStyle name="Dane wejściowe 2 15 56 3" xfId="8640"/>
    <cellStyle name="Dane wejściowe 2 15 57" xfId="8641"/>
    <cellStyle name="Dane wejściowe 2 15 58" xfId="8642"/>
    <cellStyle name="Dane wejściowe 2 15 6" xfId="8643"/>
    <cellStyle name="Dane wejściowe 2 15 6 2" xfId="8644"/>
    <cellStyle name="Dane wejściowe 2 15 6 3" xfId="8645"/>
    <cellStyle name="Dane wejściowe 2 15 6 4" xfId="8646"/>
    <cellStyle name="Dane wejściowe 2 15 7" xfId="8647"/>
    <cellStyle name="Dane wejściowe 2 15 7 2" xfId="8648"/>
    <cellStyle name="Dane wejściowe 2 15 7 3" xfId="8649"/>
    <cellStyle name="Dane wejściowe 2 15 7 4" xfId="8650"/>
    <cellStyle name="Dane wejściowe 2 15 8" xfId="8651"/>
    <cellStyle name="Dane wejściowe 2 15 8 2" xfId="8652"/>
    <cellStyle name="Dane wejściowe 2 15 8 3" xfId="8653"/>
    <cellStyle name="Dane wejściowe 2 15 8 4" xfId="8654"/>
    <cellStyle name="Dane wejściowe 2 15 9" xfId="8655"/>
    <cellStyle name="Dane wejściowe 2 15 9 2" xfId="8656"/>
    <cellStyle name="Dane wejściowe 2 15 9 3" xfId="8657"/>
    <cellStyle name="Dane wejściowe 2 15 9 4" xfId="8658"/>
    <cellStyle name="Dane wejściowe 2 16" xfId="8659"/>
    <cellStyle name="Dane wejściowe 2 16 10" xfId="8660"/>
    <cellStyle name="Dane wejściowe 2 16 10 2" xfId="8661"/>
    <cellStyle name="Dane wejściowe 2 16 10 3" xfId="8662"/>
    <cellStyle name="Dane wejściowe 2 16 10 4" xfId="8663"/>
    <cellStyle name="Dane wejściowe 2 16 11" xfId="8664"/>
    <cellStyle name="Dane wejściowe 2 16 11 2" xfId="8665"/>
    <cellStyle name="Dane wejściowe 2 16 11 3" xfId="8666"/>
    <cellStyle name="Dane wejściowe 2 16 11 4" xfId="8667"/>
    <cellStyle name="Dane wejściowe 2 16 12" xfId="8668"/>
    <cellStyle name="Dane wejściowe 2 16 12 2" xfId="8669"/>
    <cellStyle name="Dane wejściowe 2 16 12 3" xfId="8670"/>
    <cellStyle name="Dane wejściowe 2 16 12 4" xfId="8671"/>
    <cellStyle name="Dane wejściowe 2 16 13" xfId="8672"/>
    <cellStyle name="Dane wejściowe 2 16 13 2" xfId="8673"/>
    <cellStyle name="Dane wejściowe 2 16 13 3" xfId="8674"/>
    <cellStyle name="Dane wejściowe 2 16 13 4" xfId="8675"/>
    <cellStyle name="Dane wejściowe 2 16 14" xfId="8676"/>
    <cellStyle name="Dane wejściowe 2 16 14 2" xfId="8677"/>
    <cellStyle name="Dane wejściowe 2 16 14 3" xfId="8678"/>
    <cellStyle name="Dane wejściowe 2 16 14 4" xfId="8679"/>
    <cellStyle name="Dane wejściowe 2 16 15" xfId="8680"/>
    <cellStyle name="Dane wejściowe 2 16 15 2" xfId="8681"/>
    <cellStyle name="Dane wejściowe 2 16 15 3" xfId="8682"/>
    <cellStyle name="Dane wejściowe 2 16 15 4" xfId="8683"/>
    <cellStyle name="Dane wejściowe 2 16 16" xfId="8684"/>
    <cellStyle name="Dane wejściowe 2 16 16 2" xfId="8685"/>
    <cellStyle name="Dane wejściowe 2 16 16 3" xfId="8686"/>
    <cellStyle name="Dane wejściowe 2 16 16 4" xfId="8687"/>
    <cellStyle name="Dane wejściowe 2 16 17" xfId="8688"/>
    <cellStyle name="Dane wejściowe 2 16 17 2" xfId="8689"/>
    <cellStyle name="Dane wejściowe 2 16 17 3" xfId="8690"/>
    <cellStyle name="Dane wejściowe 2 16 17 4" xfId="8691"/>
    <cellStyle name="Dane wejściowe 2 16 18" xfId="8692"/>
    <cellStyle name="Dane wejściowe 2 16 18 2" xfId="8693"/>
    <cellStyle name="Dane wejściowe 2 16 18 3" xfId="8694"/>
    <cellStyle name="Dane wejściowe 2 16 18 4" xfId="8695"/>
    <cellStyle name="Dane wejściowe 2 16 19" xfId="8696"/>
    <cellStyle name="Dane wejściowe 2 16 19 2" xfId="8697"/>
    <cellStyle name="Dane wejściowe 2 16 19 3" xfId="8698"/>
    <cellStyle name="Dane wejściowe 2 16 19 4" xfId="8699"/>
    <cellStyle name="Dane wejściowe 2 16 2" xfId="8700"/>
    <cellStyle name="Dane wejściowe 2 16 2 2" xfId="8701"/>
    <cellStyle name="Dane wejściowe 2 16 2 3" xfId="8702"/>
    <cellStyle name="Dane wejściowe 2 16 2 4" xfId="8703"/>
    <cellStyle name="Dane wejściowe 2 16 20" xfId="8704"/>
    <cellStyle name="Dane wejściowe 2 16 20 2" xfId="8705"/>
    <cellStyle name="Dane wejściowe 2 16 20 3" xfId="8706"/>
    <cellStyle name="Dane wejściowe 2 16 20 4" xfId="8707"/>
    <cellStyle name="Dane wejściowe 2 16 21" xfId="8708"/>
    <cellStyle name="Dane wejściowe 2 16 21 2" xfId="8709"/>
    <cellStyle name="Dane wejściowe 2 16 21 3" xfId="8710"/>
    <cellStyle name="Dane wejściowe 2 16 22" xfId="8711"/>
    <cellStyle name="Dane wejściowe 2 16 22 2" xfId="8712"/>
    <cellStyle name="Dane wejściowe 2 16 22 3" xfId="8713"/>
    <cellStyle name="Dane wejściowe 2 16 23" xfId="8714"/>
    <cellStyle name="Dane wejściowe 2 16 23 2" xfId="8715"/>
    <cellStyle name="Dane wejściowe 2 16 23 3" xfId="8716"/>
    <cellStyle name="Dane wejściowe 2 16 24" xfId="8717"/>
    <cellStyle name="Dane wejściowe 2 16 24 2" xfId="8718"/>
    <cellStyle name="Dane wejściowe 2 16 24 3" xfId="8719"/>
    <cellStyle name="Dane wejściowe 2 16 25" xfId="8720"/>
    <cellStyle name="Dane wejściowe 2 16 25 2" xfId="8721"/>
    <cellStyle name="Dane wejściowe 2 16 25 3" xfId="8722"/>
    <cellStyle name="Dane wejściowe 2 16 26" xfId="8723"/>
    <cellStyle name="Dane wejściowe 2 16 26 2" xfId="8724"/>
    <cellStyle name="Dane wejściowe 2 16 26 3" xfId="8725"/>
    <cellStyle name="Dane wejściowe 2 16 27" xfId="8726"/>
    <cellStyle name="Dane wejściowe 2 16 27 2" xfId="8727"/>
    <cellStyle name="Dane wejściowe 2 16 27 3" xfId="8728"/>
    <cellStyle name="Dane wejściowe 2 16 28" xfId="8729"/>
    <cellStyle name="Dane wejściowe 2 16 28 2" xfId="8730"/>
    <cellStyle name="Dane wejściowe 2 16 28 3" xfId="8731"/>
    <cellStyle name="Dane wejściowe 2 16 29" xfId="8732"/>
    <cellStyle name="Dane wejściowe 2 16 29 2" xfId="8733"/>
    <cellStyle name="Dane wejściowe 2 16 29 3" xfId="8734"/>
    <cellStyle name="Dane wejściowe 2 16 3" xfId="8735"/>
    <cellStyle name="Dane wejściowe 2 16 3 2" xfId="8736"/>
    <cellStyle name="Dane wejściowe 2 16 3 3" xfId="8737"/>
    <cellStyle name="Dane wejściowe 2 16 3 4" xfId="8738"/>
    <cellStyle name="Dane wejściowe 2 16 30" xfId="8739"/>
    <cellStyle name="Dane wejściowe 2 16 30 2" xfId="8740"/>
    <cellStyle name="Dane wejściowe 2 16 30 3" xfId="8741"/>
    <cellStyle name="Dane wejściowe 2 16 31" xfId="8742"/>
    <cellStyle name="Dane wejściowe 2 16 31 2" xfId="8743"/>
    <cellStyle name="Dane wejściowe 2 16 31 3" xfId="8744"/>
    <cellStyle name="Dane wejściowe 2 16 32" xfId="8745"/>
    <cellStyle name="Dane wejściowe 2 16 32 2" xfId="8746"/>
    <cellStyle name="Dane wejściowe 2 16 32 3" xfId="8747"/>
    <cellStyle name="Dane wejściowe 2 16 33" xfId="8748"/>
    <cellStyle name="Dane wejściowe 2 16 33 2" xfId="8749"/>
    <cellStyle name="Dane wejściowe 2 16 33 3" xfId="8750"/>
    <cellStyle name="Dane wejściowe 2 16 34" xfId="8751"/>
    <cellStyle name="Dane wejściowe 2 16 34 2" xfId="8752"/>
    <cellStyle name="Dane wejściowe 2 16 34 3" xfId="8753"/>
    <cellStyle name="Dane wejściowe 2 16 35" xfId="8754"/>
    <cellStyle name="Dane wejściowe 2 16 35 2" xfId="8755"/>
    <cellStyle name="Dane wejściowe 2 16 35 3" xfId="8756"/>
    <cellStyle name="Dane wejściowe 2 16 36" xfId="8757"/>
    <cellStyle name="Dane wejściowe 2 16 36 2" xfId="8758"/>
    <cellStyle name="Dane wejściowe 2 16 36 3" xfId="8759"/>
    <cellStyle name="Dane wejściowe 2 16 37" xfId="8760"/>
    <cellStyle name="Dane wejściowe 2 16 37 2" xfId="8761"/>
    <cellStyle name="Dane wejściowe 2 16 37 3" xfId="8762"/>
    <cellStyle name="Dane wejściowe 2 16 38" xfId="8763"/>
    <cellStyle name="Dane wejściowe 2 16 38 2" xfId="8764"/>
    <cellStyle name="Dane wejściowe 2 16 38 3" xfId="8765"/>
    <cellStyle name="Dane wejściowe 2 16 39" xfId="8766"/>
    <cellStyle name="Dane wejściowe 2 16 39 2" xfId="8767"/>
    <cellStyle name="Dane wejściowe 2 16 39 3" xfId="8768"/>
    <cellStyle name="Dane wejściowe 2 16 4" xfId="8769"/>
    <cellStyle name="Dane wejściowe 2 16 4 2" xfId="8770"/>
    <cellStyle name="Dane wejściowe 2 16 4 3" xfId="8771"/>
    <cellStyle name="Dane wejściowe 2 16 4 4" xfId="8772"/>
    <cellStyle name="Dane wejściowe 2 16 40" xfId="8773"/>
    <cellStyle name="Dane wejściowe 2 16 40 2" xfId="8774"/>
    <cellStyle name="Dane wejściowe 2 16 40 3" xfId="8775"/>
    <cellStyle name="Dane wejściowe 2 16 41" xfId="8776"/>
    <cellStyle name="Dane wejściowe 2 16 41 2" xfId="8777"/>
    <cellStyle name="Dane wejściowe 2 16 41 3" xfId="8778"/>
    <cellStyle name="Dane wejściowe 2 16 42" xfId="8779"/>
    <cellStyle name="Dane wejściowe 2 16 42 2" xfId="8780"/>
    <cellStyle name="Dane wejściowe 2 16 42 3" xfId="8781"/>
    <cellStyle name="Dane wejściowe 2 16 43" xfId="8782"/>
    <cellStyle name="Dane wejściowe 2 16 43 2" xfId="8783"/>
    <cellStyle name="Dane wejściowe 2 16 43 3" xfId="8784"/>
    <cellStyle name="Dane wejściowe 2 16 44" xfId="8785"/>
    <cellStyle name="Dane wejściowe 2 16 44 2" xfId="8786"/>
    <cellStyle name="Dane wejściowe 2 16 44 3" xfId="8787"/>
    <cellStyle name="Dane wejściowe 2 16 45" xfId="8788"/>
    <cellStyle name="Dane wejściowe 2 16 45 2" xfId="8789"/>
    <cellStyle name="Dane wejściowe 2 16 45 3" xfId="8790"/>
    <cellStyle name="Dane wejściowe 2 16 46" xfId="8791"/>
    <cellStyle name="Dane wejściowe 2 16 46 2" xfId="8792"/>
    <cellStyle name="Dane wejściowe 2 16 46 3" xfId="8793"/>
    <cellStyle name="Dane wejściowe 2 16 47" xfId="8794"/>
    <cellStyle name="Dane wejściowe 2 16 47 2" xfId="8795"/>
    <cellStyle name="Dane wejściowe 2 16 47 3" xfId="8796"/>
    <cellStyle name="Dane wejściowe 2 16 48" xfId="8797"/>
    <cellStyle name="Dane wejściowe 2 16 48 2" xfId="8798"/>
    <cellStyle name="Dane wejściowe 2 16 48 3" xfId="8799"/>
    <cellStyle name="Dane wejściowe 2 16 49" xfId="8800"/>
    <cellStyle name="Dane wejściowe 2 16 49 2" xfId="8801"/>
    <cellStyle name="Dane wejściowe 2 16 49 3" xfId="8802"/>
    <cellStyle name="Dane wejściowe 2 16 5" xfId="8803"/>
    <cellStyle name="Dane wejściowe 2 16 5 2" xfId="8804"/>
    <cellStyle name="Dane wejściowe 2 16 5 3" xfId="8805"/>
    <cellStyle name="Dane wejściowe 2 16 5 4" xfId="8806"/>
    <cellStyle name="Dane wejściowe 2 16 50" xfId="8807"/>
    <cellStyle name="Dane wejściowe 2 16 50 2" xfId="8808"/>
    <cellStyle name="Dane wejściowe 2 16 50 3" xfId="8809"/>
    <cellStyle name="Dane wejściowe 2 16 51" xfId="8810"/>
    <cellStyle name="Dane wejściowe 2 16 51 2" xfId="8811"/>
    <cellStyle name="Dane wejściowe 2 16 51 3" xfId="8812"/>
    <cellStyle name="Dane wejściowe 2 16 52" xfId="8813"/>
    <cellStyle name="Dane wejściowe 2 16 52 2" xfId="8814"/>
    <cellStyle name="Dane wejściowe 2 16 52 3" xfId="8815"/>
    <cellStyle name="Dane wejściowe 2 16 53" xfId="8816"/>
    <cellStyle name="Dane wejściowe 2 16 53 2" xfId="8817"/>
    <cellStyle name="Dane wejściowe 2 16 53 3" xfId="8818"/>
    <cellStyle name="Dane wejściowe 2 16 54" xfId="8819"/>
    <cellStyle name="Dane wejściowe 2 16 54 2" xfId="8820"/>
    <cellStyle name="Dane wejściowe 2 16 54 3" xfId="8821"/>
    <cellStyle name="Dane wejściowe 2 16 55" xfId="8822"/>
    <cellStyle name="Dane wejściowe 2 16 55 2" xfId="8823"/>
    <cellStyle name="Dane wejściowe 2 16 55 3" xfId="8824"/>
    <cellStyle name="Dane wejściowe 2 16 56" xfId="8825"/>
    <cellStyle name="Dane wejściowe 2 16 56 2" xfId="8826"/>
    <cellStyle name="Dane wejściowe 2 16 56 3" xfId="8827"/>
    <cellStyle name="Dane wejściowe 2 16 57" xfId="8828"/>
    <cellStyle name="Dane wejściowe 2 16 58" xfId="8829"/>
    <cellStyle name="Dane wejściowe 2 16 6" xfId="8830"/>
    <cellStyle name="Dane wejściowe 2 16 6 2" xfId="8831"/>
    <cellStyle name="Dane wejściowe 2 16 6 3" xfId="8832"/>
    <cellStyle name="Dane wejściowe 2 16 6 4" xfId="8833"/>
    <cellStyle name="Dane wejściowe 2 16 7" xfId="8834"/>
    <cellStyle name="Dane wejściowe 2 16 7 2" xfId="8835"/>
    <cellStyle name="Dane wejściowe 2 16 7 3" xfId="8836"/>
    <cellStyle name="Dane wejściowe 2 16 7 4" xfId="8837"/>
    <cellStyle name="Dane wejściowe 2 16 8" xfId="8838"/>
    <cellStyle name="Dane wejściowe 2 16 8 2" xfId="8839"/>
    <cellStyle name="Dane wejściowe 2 16 8 3" xfId="8840"/>
    <cellStyle name="Dane wejściowe 2 16 8 4" xfId="8841"/>
    <cellStyle name="Dane wejściowe 2 16 9" xfId="8842"/>
    <cellStyle name="Dane wejściowe 2 16 9 2" xfId="8843"/>
    <cellStyle name="Dane wejściowe 2 16 9 3" xfId="8844"/>
    <cellStyle name="Dane wejściowe 2 16 9 4" xfId="8845"/>
    <cellStyle name="Dane wejściowe 2 17" xfId="8846"/>
    <cellStyle name="Dane wejściowe 2 17 10" xfId="8847"/>
    <cellStyle name="Dane wejściowe 2 17 10 2" xfId="8848"/>
    <cellStyle name="Dane wejściowe 2 17 10 3" xfId="8849"/>
    <cellStyle name="Dane wejściowe 2 17 10 4" xfId="8850"/>
    <cellStyle name="Dane wejściowe 2 17 11" xfId="8851"/>
    <cellStyle name="Dane wejściowe 2 17 11 2" xfId="8852"/>
    <cellStyle name="Dane wejściowe 2 17 11 3" xfId="8853"/>
    <cellStyle name="Dane wejściowe 2 17 11 4" xfId="8854"/>
    <cellStyle name="Dane wejściowe 2 17 12" xfId="8855"/>
    <cellStyle name="Dane wejściowe 2 17 12 2" xfId="8856"/>
    <cellStyle name="Dane wejściowe 2 17 12 3" xfId="8857"/>
    <cellStyle name="Dane wejściowe 2 17 12 4" xfId="8858"/>
    <cellStyle name="Dane wejściowe 2 17 13" xfId="8859"/>
    <cellStyle name="Dane wejściowe 2 17 13 2" xfId="8860"/>
    <cellStyle name="Dane wejściowe 2 17 13 3" xfId="8861"/>
    <cellStyle name="Dane wejściowe 2 17 13 4" xfId="8862"/>
    <cellStyle name="Dane wejściowe 2 17 14" xfId="8863"/>
    <cellStyle name="Dane wejściowe 2 17 14 2" xfId="8864"/>
    <cellStyle name="Dane wejściowe 2 17 14 3" xfId="8865"/>
    <cellStyle name="Dane wejściowe 2 17 14 4" xfId="8866"/>
    <cellStyle name="Dane wejściowe 2 17 15" xfId="8867"/>
    <cellStyle name="Dane wejściowe 2 17 15 2" xfId="8868"/>
    <cellStyle name="Dane wejściowe 2 17 15 3" xfId="8869"/>
    <cellStyle name="Dane wejściowe 2 17 15 4" xfId="8870"/>
    <cellStyle name="Dane wejściowe 2 17 16" xfId="8871"/>
    <cellStyle name="Dane wejściowe 2 17 16 2" xfId="8872"/>
    <cellStyle name="Dane wejściowe 2 17 16 3" xfId="8873"/>
    <cellStyle name="Dane wejściowe 2 17 16 4" xfId="8874"/>
    <cellStyle name="Dane wejściowe 2 17 17" xfId="8875"/>
    <cellStyle name="Dane wejściowe 2 17 17 2" xfId="8876"/>
    <cellStyle name="Dane wejściowe 2 17 17 3" xfId="8877"/>
    <cellStyle name="Dane wejściowe 2 17 17 4" xfId="8878"/>
    <cellStyle name="Dane wejściowe 2 17 18" xfId="8879"/>
    <cellStyle name="Dane wejściowe 2 17 18 2" xfId="8880"/>
    <cellStyle name="Dane wejściowe 2 17 18 3" xfId="8881"/>
    <cellStyle name="Dane wejściowe 2 17 18 4" xfId="8882"/>
    <cellStyle name="Dane wejściowe 2 17 19" xfId="8883"/>
    <cellStyle name="Dane wejściowe 2 17 19 2" xfId="8884"/>
    <cellStyle name="Dane wejściowe 2 17 19 3" xfId="8885"/>
    <cellStyle name="Dane wejściowe 2 17 19 4" xfId="8886"/>
    <cellStyle name="Dane wejściowe 2 17 2" xfId="8887"/>
    <cellStyle name="Dane wejściowe 2 17 2 2" xfId="8888"/>
    <cellStyle name="Dane wejściowe 2 17 2 3" xfId="8889"/>
    <cellStyle name="Dane wejściowe 2 17 2 4" xfId="8890"/>
    <cellStyle name="Dane wejściowe 2 17 20" xfId="8891"/>
    <cellStyle name="Dane wejściowe 2 17 20 2" xfId="8892"/>
    <cellStyle name="Dane wejściowe 2 17 20 3" xfId="8893"/>
    <cellStyle name="Dane wejściowe 2 17 20 4" xfId="8894"/>
    <cellStyle name="Dane wejściowe 2 17 21" xfId="8895"/>
    <cellStyle name="Dane wejściowe 2 17 21 2" xfId="8896"/>
    <cellStyle name="Dane wejściowe 2 17 21 3" xfId="8897"/>
    <cellStyle name="Dane wejściowe 2 17 22" xfId="8898"/>
    <cellStyle name="Dane wejściowe 2 17 22 2" xfId="8899"/>
    <cellStyle name="Dane wejściowe 2 17 22 3" xfId="8900"/>
    <cellStyle name="Dane wejściowe 2 17 23" xfId="8901"/>
    <cellStyle name="Dane wejściowe 2 17 23 2" xfId="8902"/>
    <cellStyle name="Dane wejściowe 2 17 23 3" xfId="8903"/>
    <cellStyle name="Dane wejściowe 2 17 24" xfId="8904"/>
    <cellStyle name="Dane wejściowe 2 17 24 2" xfId="8905"/>
    <cellStyle name="Dane wejściowe 2 17 24 3" xfId="8906"/>
    <cellStyle name="Dane wejściowe 2 17 25" xfId="8907"/>
    <cellStyle name="Dane wejściowe 2 17 25 2" xfId="8908"/>
    <cellStyle name="Dane wejściowe 2 17 25 3" xfId="8909"/>
    <cellStyle name="Dane wejściowe 2 17 26" xfId="8910"/>
    <cellStyle name="Dane wejściowe 2 17 26 2" xfId="8911"/>
    <cellStyle name="Dane wejściowe 2 17 26 3" xfId="8912"/>
    <cellStyle name="Dane wejściowe 2 17 27" xfId="8913"/>
    <cellStyle name="Dane wejściowe 2 17 27 2" xfId="8914"/>
    <cellStyle name="Dane wejściowe 2 17 27 3" xfId="8915"/>
    <cellStyle name="Dane wejściowe 2 17 28" xfId="8916"/>
    <cellStyle name="Dane wejściowe 2 17 28 2" xfId="8917"/>
    <cellStyle name="Dane wejściowe 2 17 28 3" xfId="8918"/>
    <cellStyle name="Dane wejściowe 2 17 29" xfId="8919"/>
    <cellStyle name="Dane wejściowe 2 17 29 2" xfId="8920"/>
    <cellStyle name="Dane wejściowe 2 17 29 3" xfId="8921"/>
    <cellStyle name="Dane wejściowe 2 17 3" xfId="8922"/>
    <cellStyle name="Dane wejściowe 2 17 3 2" xfId="8923"/>
    <cellStyle name="Dane wejściowe 2 17 3 3" xfId="8924"/>
    <cellStyle name="Dane wejściowe 2 17 3 4" xfId="8925"/>
    <cellStyle name="Dane wejściowe 2 17 30" xfId="8926"/>
    <cellStyle name="Dane wejściowe 2 17 30 2" xfId="8927"/>
    <cellStyle name="Dane wejściowe 2 17 30 3" xfId="8928"/>
    <cellStyle name="Dane wejściowe 2 17 31" xfId="8929"/>
    <cellStyle name="Dane wejściowe 2 17 31 2" xfId="8930"/>
    <cellStyle name="Dane wejściowe 2 17 31 3" xfId="8931"/>
    <cellStyle name="Dane wejściowe 2 17 32" xfId="8932"/>
    <cellStyle name="Dane wejściowe 2 17 32 2" xfId="8933"/>
    <cellStyle name="Dane wejściowe 2 17 32 3" xfId="8934"/>
    <cellStyle name="Dane wejściowe 2 17 33" xfId="8935"/>
    <cellStyle name="Dane wejściowe 2 17 33 2" xfId="8936"/>
    <cellStyle name="Dane wejściowe 2 17 33 3" xfId="8937"/>
    <cellStyle name="Dane wejściowe 2 17 34" xfId="8938"/>
    <cellStyle name="Dane wejściowe 2 17 34 2" xfId="8939"/>
    <cellStyle name="Dane wejściowe 2 17 34 3" xfId="8940"/>
    <cellStyle name="Dane wejściowe 2 17 35" xfId="8941"/>
    <cellStyle name="Dane wejściowe 2 17 35 2" xfId="8942"/>
    <cellStyle name="Dane wejściowe 2 17 35 3" xfId="8943"/>
    <cellStyle name="Dane wejściowe 2 17 36" xfId="8944"/>
    <cellStyle name="Dane wejściowe 2 17 36 2" xfId="8945"/>
    <cellStyle name="Dane wejściowe 2 17 36 3" xfId="8946"/>
    <cellStyle name="Dane wejściowe 2 17 37" xfId="8947"/>
    <cellStyle name="Dane wejściowe 2 17 37 2" xfId="8948"/>
    <cellStyle name="Dane wejściowe 2 17 37 3" xfId="8949"/>
    <cellStyle name="Dane wejściowe 2 17 38" xfId="8950"/>
    <cellStyle name="Dane wejściowe 2 17 38 2" xfId="8951"/>
    <cellStyle name="Dane wejściowe 2 17 38 3" xfId="8952"/>
    <cellStyle name="Dane wejściowe 2 17 39" xfId="8953"/>
    <cellStyle name="Dane wejściowe 2 17 39 2" xfId="8954"/>
    <cellStyle name="Dane wejściowe 2 17 39 3" xfId="8955"/>
    <cellStyle name="Dane wejściowe 2 17 4" xfId="8956"/>
    <cellStyle name="Dane wejściowe 2 17 4 2" xfId="8957"/>
    <cellStyle name="Dane wejściowe 2 17 4 3" xfId="8958"/>
    <cellStyle name="Dane wejściowe 2 17 4 4" xfId="8959"/>
    <cellStyle name="Dane wejściowe 2 17 40" xfId="8960"/>
    <cellStyle name="Dane wejściowe 2 17 40 2" xfId="8961"/>
    <cellStyle name="Dane wejściowe 2 17 40 3" xfId="8962"/>
    <cellStyle name="Dane wejściowe 2 17 41" xfId="8963"/>
    <cellStyle name="Dane wejściowe 2 17 41 2" xfId="8964"/>
    <cellStyle name="Dane wejściowe 2 17 41 3" xfId="8965"/>
    <cellStyle name="Dane wejściowe 2 17 42" xfId="8966"/>
    <cellStyle name="Dane wejściowe 2 17 42 2" xfId="8967"/>
    <cellStyle name="Dane wejściowe 2 17 42 3" xfId="8968"/>
    <cellStyle name="Dane wejściowe 2 17 43" xfId="8969"/>
    <cellStyle name="Dane wejściowe 2 17 43 2" xfId="8970"/>
    <cellStyle name="Dane wejściowe 2 17 43 3" xfId="8971"/>
    <cellStyle name="Dane wejściowe 2 17 44" xfId="8972"/>
    <cellStyle name="Dane wejściowe 2 17 44 2" xfId="8973"/>
    <cellStyle name="Dane wejściowe 2 17 44 3" xfId="8974"/>
    <cellStyle name="Dane wejściowe 2 17 45" xfId="8975"/>
    <cellStyle name="Dane wejściowe 2 17 45 2" xfId="8976"/>
    <cellStyle name="Dane wejściowe 2 17 45 3" xfId="8977"/>
    <cellStyle name="Dane wejściowe 2 17 46" xfId="8978"/>
    <cellStyle name="Dane wejściowe 2 17 46 2" xfId="8979"/>
    <cellStyle name="Dane wejściowe 2 17 46 3" xfId="8980"/>
    <cellStyle name="Dane wejściowe 2 17 47" xfId="8981"/>
    <cellStyle name="Dane wejściowe 2 17 47 2" xfId="8982"/>
    <cellStyle name="Dane wejściowe 2 17 47 3" xfId="8983"/>
    <cellStyle name="Dane wejściowe 2 17 48" xfId="8984"/>
    <cellStyle name="Dane wejściowe 2 17 48 2" xfId="8985"/>
    <cellStyle name="Dane wejściowe 2 17 48 3" xfId="8986"/>
    <cellStyle name="Dane wejściowe 2 17 49" xfId="8987"/>
    <cellStyle name="Dane wejściowe 2 17 49 2" xfId="8988"/>
    <cellStyle name="Dane wejściowe 2 17 49 3" xfId="8989"/>
    <cellStyle name="Dane wejściowe 2 17 5" xfId="8990"/>
    <cellStyle name="Dane wejściowe 2 17 5 2" xfId="8991"/>
    <cellStyle name="Dane wejściowe 2 17 5 3" xfId="8992"/>
    <cellStyle name="Dane wejściowe 2 17 5 4" xfId="8993"/>
    <cellStyle name="Dane wejściowe 2 17 50" xfId="8994"/>
    <cellStyle name="Dane wejściowe 2 17 50 2" xfId="8995"/>
    <cellStyle name="Dane wejściowe 2 17 50 3" xfId="8996"/>
    <cellStyle name="Dane wejściowe 2 17 51" xfId="8997"/>
    <cellStyle name="Dane wejściowe 2 17 51 2" xfId="8998"/>
    <cellStyle name="Dane wejściowe 2 17 51 3" xfId="8999"/>
    <cellStyle name="Dane wejściowe 2 17 52" xfId="9000"/>
    <cellStyle name="Dane wejściowe 2 17 52 2" xfId="9001"/>
    <cellStyle name="Dane wejściowe 2 17 52 3" xfId="9002"/>
    <cellStyle name="Dane wejściowe 2 17 53" xfId="9003"/>
    <cellStyle name="Dane wejściowe 2 17 53 2" xfId="9004"/>
    <cellStyle name="Dane wejściowe 2 17 53 3" xfId="9005"/>
    <cellStyle name="Dane wejściowe 2 17 54" xfId="9006"/>
    <cellStyle name="Dane wejściowe 2 17 54 2" xfId="9007"/>
    <cellStyle name="Dane wejściowe 2 17 54 3" xfId="9008"/>
    <cellStyle name="Dane wejściowe 2 17 55" xfId="9009"/>
    <cellStyle name="Dane wejściowe 2 17 55 2" xfId="9010"/>
    <cellStyle name="Dane wejściowe 2 17 55 3" xfId="9011"/>
    <cellStyle name="Dane wejściowe 2 17 56" xfId="9012"/>
    <cellStyle name="Dane wejściowe 2 17 56 2" xfId="9013"/>
    <cellStyle name="Dane wejściowe 2 17 56 3" xfId="9014"/>
    <cellStyle name="Dane wejściowe 2 17 57" xfId="9015"/>
    <cellStyle name="Dane wejściowe 2 17 58" xfId="9016"/>
    <cellStyle name="Dane wejściowe 2 17 6" xfId="9017"/>
    <cellStyle name="Dane wejściowe 2 17 6 2" xfId="9018"/>
    <cellStyle name="Dane wejściowe 2 17 6 3" xfId="9019"/>
    <cellStyle name="Dane wejściowe 2 17 6 4" xfId="9020"/>
    <cellStyle name="Dane wejściowe 2 17 7" xfId="9021"/>
    <cellStyle name="Dane wejściowe 2 17 7 2" xfId="9022"/>
    <cellStyle name="Dane wejściowe 2 17 7 3" xfId="9023"/>
    <cellStyle name="Dane wejściowe 2 17 7 4" xfId="9024"/>
    <cellStyle name="Dane wejściowe 2 17 8" xfId="9025"/>
    <cellStyle name="Dane wejściowe 2 17 8 2" xfId="9026"/>
    <cellStyle name="Dane wejściowe 2 17 8 3" xfId="9027"/>
    <cellStyle name="Dane wejściowe 2 17 8 4" xfId="9028"/>
    <cellStyle name="Dane wejściowe 2 17 9" xfId="9029"/>
    <cellStyle name="Dane wejściowe 2 17 9 2" xfId="9030"/>
    <cellStyle name="Dane wejściowe 2 17 9 3" xfId="9031"/>
    <cellStyle name="Dane wejściowe 2 17 9 4" xfId="9032"/>
    <cellStyle name="Dane wejściowe 2 18" xfId="9033"/>
    <cellStyle name="Dane wejściowe 2 18 10" xfId="9034"/>
    <cellStyle name="Dane wejściowe 2 18 10 2" xfId="9035"/>
    <cellStyle name="Dane wejściowe 2 18 10 3" xfId="9036"/>
    <cellStyle name="Dane wejściowe 2 18 10 4" xfId="9037"/>
    <cellStyle name="Dane wejściowe 2 18 11" xfId="9038"/>
    <cellStyle name="Dane wejściowe 2 18 11 2" xfId="9039"/>
    <cellStyle name="Dane wejściowe 2 18 11 3" xfId="9040"/>
    <cellStyle name="Dane wejściowe 2 18 11 4" xfId="9041"/>
    <cellStyle name="Dane wejściowe 2 18 12" xfId="9042"/>
    <cellStyle name="Dane wejściowe 2 18 12 2" xfId="9043"/>
    <cellStyle name="Dane wejściowe 2 18 12 3" xfId="9044"/>
    <cellStyle name="Dane wejściowe 2 18 12 4" xfId="9045"/>
    <cellStyle name="Dane wejściowe 2 18 13" xfId="9046"/>
    <cellStyle name="Dane wejściowe 2 18 13 2" xfId="9047"/>
    <cellStyle name="Dane wejściowe 2 18 13 3" xfId="9048"/>
    <cellStyle name="Dane wejściowe 2 18 13 4" xfId="9049"/>
    <cellStyle name="Dane wejściowe 2 18 14" xfId="9050"/>
    <cellStyle name="Dane wejściowe 2 18 14 2" xfId="9051"/>
    <cellStyle name="Dane wejściowe 2 18 14 3" xfId="9052"/>
    <cellStyle name="Dane wejściowe 2 18 14 4" xfId="9053"/>
    <cellStyle name="Dane wejściowe 2 18 15" xfId="9054"/>
    <cellStyle name="Dane wejściowe 2 18 15 2" xfId="9055"/>
    <cellStyle name="Dane wejściowe 2 18 15 3" xfId="9056"/>
    <cellStyle name="Dane wejściowe 2 18 15 4" xfId="9057"/>
    <cellStyle name="Dane wejściowe 2 18 16" xfId="9058"/>
    <cellStyle name="Dane wejściowe 2 18 16 2" xfId="9059"/>
    <cellStyle name="Dane wejściowe 2 18 16 3" xfId="9060"/>
    <cellStyle name="Dane wejściowe 2 18 16 4" xfId="9061"/>
    <cellStyle name="Dane wejściowe 2 18 17" xfId="9062"/>
    <cellStyle name="Dane wejściowe 2 18 17 2" xfId="9063"/>
    <cellStyle name="Dane wejściowe 2 18 17 3" xfId="9064"/>
    <cellStyle name="Dane wejściowe 2 18 17 4" xfId="9065"/>
    <cellStyle name="Dane wejściowe 2 18 18" xfId="9066"/>
    <cellStyle name="Dane wejściowe 2 18 18 2" xfId="9067"/>
    <cellStyle name="Dane wejściowe 2 18 18 3" xfId="9068"/>
    <cellStyle name="Dane wejściowe 2 18 18 4" xfId="9069"/>
    <cellStyle name="Dane wejściowe 2 18 19" xfId="9070"/>
    <cellStyle name="Dane wejściowe 2 18 19 2" xfId="9071"/>
    <cellStyle name="Dane wejściowe 2 18 19 3" xfId="9072"/>
    <cellStyle name="Dane wejściowe 2 18 19 4" xfId="9073"/>
    <cellStyle name="Dane wejściowe 2 18 2" xfId="9074"/>
    <cellStyle name="Dane wejściowe 2 18 2 2" xfId="9075"/>
    <cellStyle name="Dane wejściowe 2 18 2 3" xfId="9076"/>
    <cellStyle name="Dane wejściowe 2 18 2 4" xfId="9077"/>
    <cellStyle name="Dane wejściowe 2 18 20" xfId="9078"/>
    <cellStyle name="Dane wejściowe 2 18 20 2" xfId="9079"/>
    <cellStyle name="Dane wejściowe 2 18 20 3" xfId="9080"/>
    <cellStyle name="Dane wejściowe 2 18 20 4" xfId="9081"/>
    <cellStyle name="Dane wejściowe 2 18 21" xfId="9082"/>
    <cellStyle name="Dane wejściowe 2 18 21 2" xfId="9083"/>
    <cellStyle name="Dane wejściowe 2 18 21 3" xfId="9084"/>
    <cellStyle name="Dane wejściowe 2 18 22" xfId="9085"/>
    <cellStyle name="Dane wejściowe 2 18 22 2" xfId="9086"/>
    <cellStyle name="Dane wejściowe 2 18 22 3" xfId="9087"/>
    <cellStyle name="Dane wejściowe 2 18 23" xfId="9088"/>
    <cellStyle name="Dane wejściowe 2 18 23 2" xfId="9089"/>
    <cellStyle name="Dane wejściowe 2 18 23 3" xfId="9090"/>
    <cellStyle name="Dane wejściowe 2 18 24" xfId="9091"/>
    <cellStyle name="Dane wejściowe 2 18 24 2" xfId="9092"/>
    <cellStyle name="Dane wejściowe 2 18 24 3" xfId="9093"/>
    <cellStyle name="Dane wejściowe 2 18 25" xfId="9094"/>
    <cellStyle name="Dane wejściowe 2 18 25 2" xfId="9095"/>
    <cellStyle name="Dane wejściowe 2 18 25 3" xfId="9096"/>
    <cellStyle name="Dane wejściowe 2 18 26" xfId="9097"/>
    <cellStyle name="Dane wejściowe 2 18 26 2" xfId="9098"/>
    <cellStyle name="Dane wejściowe 2 18 26 3" xfId="9099"/>
    <cellStyle name="Dane wejściowe 2 18 27" xfId="9100"/>
    <cellStyle name="Dane wejściowe 2 18 27 2" xfId="9101"/>
    <cellStyle name="Dane wejściowe 2 18 27 3" xfId="9102"/>
    <cellStyle name="Dane wejściowe 2 18 28" xfId="9103"/>
    <cellStyle name="Dane wejściowe 2 18 28 2" xfId="9104"/>
    <cellStyle name="Dane wejściowe 2 18 28 3" xfId="9105"/>
    <cellStyle name="Dane wejściowe 2 18 29" xfId="9106"/>
    <cellStyle name="Dane wejściowe 2 18 29 2" xfId="9107"/>
    <cellStyle name="Dane wejściowe 2 18 29 3" xfId="9108"/>
    <cellStyle name="Dane wejściowe 2 18 3" xfId="9109"/>
    <cellStyle name="Dane wejściowe 2 18 3 2" xfId="9110"/>
    <cellStyle name="Dane wejściowe 2 18 3 3" xfId="9111"/>
    <cellStyle name="Dane wejściowe 2 18 3 4" xfId="9112"/>
    <cellStyle name="Dane wejściowe 2 18 30" xfId="9113"/>
    <cellStyle name="Dane wejściowe 2 18 30 2" xfId="9114"/>
    <cellStyle name="Dane wejściowe 2 18 30 3" xfId="9115"/>
    <cellStyle name="Dane wejściowe 2 18 31" xfId="9116"/>
    <cellStyle name="Dane wejściowe 2 18 31 2" xfId="9117"/>
    <cellStyle name="Dane wejściowe 2 18 31 3" xfId="9118"/>
    <cellStyle name="Dane wejściowe 2 18 32" xfId="9119"/>
    <cellStyle name="Dane wejściowe 2 18 32 2" xfId="9120"/>
    <cellStyle name="Dane wejściowe 2 18 32 3" xfId="9121"/>
    <cellStyle name="Dane wejściowe 2 18 33" xfId="9122"/>
    <cellStyle name="Dane wejściowe 2 18 33 2" xfId="9123"/>
    <cellStyle name="Dane wejściowe 2 18 33 3" xfId="9124"/>
    <cellStyle name="Dane wejściowe 2 18 34" xfId="9125"/>
    <cellStyle name="Dane wejściowe 2 18 34 2" xfId="9126"/>
    <cellStyle name="Dane wejściowe 2 18 34 3" xfId="9127"/>
    <cellStyle name="Dane wejściowe 2 18 35" xfId="9128"/>
    <cellStyle name="Dane wejściowe 2 18 35 2" xfId="9129"/>
    <cellStyle name="Dane wejściowe 2 18 35 3" xfId="9130"/>
    <cellStyle name="Dane wejściowe 2 18 36" xfId="9131"/>
    <cellStyle name="Dane wejściowe 2 18 36 2" xfId="9132"/>
    <cellStyle name="Dane wejściowe 2 18 36 3" xfId="9133"/>
    <cellStyle name="Dane wejściowe 2 18 37" xfId="9134"/>
    <cellStyle name="Dane wejściowe 2 18 37 2" xfId="9135"/>
    <cellStyle name="Dane wejściowe 2 18 37 3" xfId="9136"/>
    <cellStyle name="Dane wejściowe 2 18 38" xfId="9137"/>
    <cellStyle name="Dane wejściowe 2 18 38 2" xfId="9138"/>
    <cellStyle name="Dane wejściowe 2 18 38 3" xfId="9139"/>
    <cellStyle name="Dane wejściowe 2 18 39" xfId="9140"/>
    <cellStyle name="Dane wejściowe 2 18 39 2" xfId="9141"/>
    <cellStyle name="Dane wejściowe 2 18 39 3" xfId="9142"/>
    <cellStyle name="Dane wejściowe 2 18 4" xfId="9143"/>
    <cellStyle name="Dane wejściowe 2 18 4 2" xfId="9144"/>
    <cellStyle name="Dane wejściowe 2 18 4 3" xfId="9145"/>
    <cellStyle name="Dane wejściowe 2 18 4 4" xfId="9146"/>
    <cellStyle name="Dane wejściowe 2 18 40" xfId="9147"/>
    <cellStyle name="Dane wejściowe 2 18 40 2" xfId="9148"/>
    <cellStyle name="Dane wejściowe 2 18 40 3" xfId="9149"/>
    <cellStyle name="Dane wejściowe 2 18 41" xfId="9150"/>
    <cellStyle name="Dane wejściowe 2 18 41 2" xfId="9151"/>
    <cellStyle name="Dane wejściowe 2 18 41 3" xfId="9152"/>
    <cellStyle name="Dane wejściowe 2 18 42" xfId="9153"/>
    <cellStyle name="Dane wejściowe 2 18 42 2" xfId="9154"/>
    <cellStyle name="Dane wejściowe 2 18 42 3" xfId="9155"/>
    <cellStyle name="Dane wejściowe 2 18 43" xfId="9156"/>
    <cellStyle name="Dane wejściowe 2 18 43 2" xfId="9157"/>
    <cellStyle name="Dane wejściowe 2 18 43 3" xfId="9158"/>
    <cellStyle name="Dane wejściowe 2 18 44" xfId="9159"/>
    <cellStyle name="Dane wejściowe 2 18 44 2" xfId="9160"/>
    <cellStyle name="Dane wejściowe 2 18 44 3" xfId="9161"/>
    <cellStyle name="Dane wejściowe 2 18 45" xfId="9162"/>
    <cellStyle name="Dane wejściowe 2 18 45 2" xfId="9163"/>
    <cellStyle name="Dane wejściowe 2 18 45 3" xfId="9164"/>
    <cellStyle name="Dane wejściowe 2 18 46" xfId="9165"/>
    <cellStyle name="Dane wejściowe 2 18 46 2" xfId="9166"/>
    <cellStyle name="Dane wejściowe 2 18 46 3" xfId="9167"/>
    <cellStyle name="Dane wejściowe 2 18 47" xfId="9168"/>
    <cellStyle name="Dane wejściowe 2 18 47 2" xfId="9169"/>
    <cellStyle name="Dane wejściowe 2 18 47 3" xfId="9170"/>
    <cellStyle name="Dane wejściowe 2 18 48" xfId="9171"/>
    <cellStyle name="Dane wejściowe 2 18 48 2" xfId="9172"/>
    <cellStyle name="Dane wejściowe 2 18 48 3" xfId="9173"/>
    <cellStyle name="Dane wejściowe 2 18 49" xfId="9174"/>
    <cellStyle name="Dane wejściowe 2 18 49 2" xfId="9175"/>
    <cellStyle name="Dane wejściowe 2 18 49 3" xfId="9176"/>
    <cellStyle name="Dane wejściowe 2 18 5" xfId="9177"/>
    <cellStyle name="Dane wejściowe 2 18 5 2" xfId="9178"/>
    <cellStyle name="Dane wejściowe 2 18 5 3" xfId="9179"/>
    <cellStyle name="Dane wejściowe 2 18 5 4" xfId="9180"/>
    <cellStyle name="Dane wejściowe 2 18 50" xfId="9181"/>
    <cellStyle name="Dane wejściowe 2 18 50 2" xfId="9182"/>
    <cellStyle name="Dane wejściowe 2 18 50 3" xfId="9183"/>
    <cellStyle name="Dane wejściowe 2 18 51" xfId="9184"/>
    <cellStyle name="Dane wejściowe 2 18 51 2" xfId="9185"/>
    <cellStyle name="Dane wejściowe 2 18 51 3" xfId="9186"/>
    <cellStyle name="Dane wejściowe 2 18 52" xfId="9187"/>
    <cellStyle name="Dane wejściowe 2 18 52 2" xfId="9188"/>
    <cellStyle name="Dane wejściowe 2 18 52 3" xfId="9189"/>
    <cellStyle name="Dane wejściowe 2 18 53" xfId="9190"/>
    <cellStyle name="Dane wejściowe 2 18 53 2" xfId="9191"/>
    <cellStyle name="Dane wejściowe 2 18 53 3" xfId="9192"/>
    <cellStyle name="Dane wejściowe 2 18 54" xfId="9193"/>
    <cellStyle name="Dane wejściowe 2 18 54 2" xfId="9194"/>
    <cellStyle name="Dane wejściowe 2 18 54 3" xfId="9195"/>
    <cellStyle name="Dane wejściowe 2 18 55" xfId="9196"/>
    <cellStyle name="Dane wejściowe 2 18 55 2" xfId="9197"/>
    <cellStyle name="Dane wejściowe 2 18 55 3" xfId="9198"/>
    <cellStyle name="Dane wejściowe 2 18 56" xfId="9199"/>
    <cellStyle name="Dane wejściowe 2 18 56 2" xfId="9200"/>
    <cellStyle name="Dane wejściowe 2 18 56 3" xfId="9201"/>
    <cellStyle name="Dane wejściowe 2 18 57" xfId="9202"/>
    <cellStyle name="Dane wejściowe 2 18 58" xfId="9203"/>
    <cellStyle name="Dane wejściowe 2 18 6" xfId="9204"/>
    <cellStyle name="Dane wejściowe 2 18 6 2" xfId="9205"/>
    <cellStyle name="Dane wejściowe 2 18 6 3" xfId="9206"/>
    <cellStyle name="Dane wejściowe 2 18 6 4" xfId="9207"/>
    <cellStyle name="Dane wejściowe 2 18 7" xfId="9208"/>
    <cellStyle name="Dane wejściowe 2 18 7 2" xfId="9209"/>
    <cellStyle name="Dane wejściowe 2 18 7 3" xfId="9210"/>
    <cellStyle name="Dane wejściowe 2 18 7 4" xfId="9211"/>
    <cellStyle name="Dane wejściowe 2 18 8" xfId="9212"/>
    <cellStyle name="Dane wejściowe 2 18 8 2" xfId="9213"/>
    <cellStyle name="Dane wejściowe 2 18 8 3" xfId="9214"/>
    <cellStyle name="Dane wejściowe 2 18 8 4" xfId="9215"/>
    <cellStyle name="Dane wejściowe 2 18 9" xfId="9216"/>
    <cellStyle name="Dane wejściowe 2 18 9 2" xfId="9217"/>
    <cellStyle name="Dane wejściowe 2 18 9 3" xfId="9218"/>
    <cellStyle name="Dane wejściowe 2 18 9 4" xfId="9219"/>
    <cellStyle name="Dane wejściowe 2 19" xfId="9220"/>
    <cellStyle name="Dane wejściowe 2 19 10" xfId="9221"/>
    <cellStyle name="Dane wejściowe 2 19 10 2" xfId="9222"/>
    <cellStyle name="Dane wejściowe 2 19 10 3" xfId="9223"/>
    <cellStyle name="Dane wejściowe 2 19 10 4" xfId="9224"/>
    <cellStyle name="Dane wejściowe 2 19 11" xfId="9225"/>
    <cellStyle name="Dane wejściowe 2 19 11 2" xfId="9226"/>
    <cellStyle name="Dane wejściowe 2 19 11 3" xfId="9227"/>
    <cellStyle name="Dane wejściowe 2 19 11 4" xfId="9228"/>
    <cellStyle name="Dane wejściowe 2 19 12" xfId="9229"/>
    <cellStyle name="Dane wejściowe 2 19 12 2" xfId="9230"/>
    <cellStyle name="Dane wejściowe 2 19 12 3" xfId="9231"/>
    <cellStyle name="Dane wejściowe 2 19 12 4" xfId="9232"/>
    <cellStyle name="Dane wejściowe 2 19 13" xfId="9233"/>
    <cellStyle name="Dane wejściowe 2 19 13 2" xfId="9234"/>
    <cellStyle name="Dane wejściowe 2 19 13 3" xfId="9235"/>
    <cellStyle name="Dane wejściowe 2 19 13 4" xfId="9236"/>
    <cellStyle name="Dane wejściowe 2 19 14" xfId="9237"/>
    <cellStyle name="Dane wejściowe 2 19 14 2" xfId="9238"/>
    <cellStyle name="Dane wejściowe 2 19 14 3" xfId="9239"/>
    <cellStyle name="Dane wejściowe 2 19 14 4" xfId="9240"/>
    <cellStyle name="Dane wejściowe 2 19 15" xfId="9241"/>
    <cellStyle name="Dane wejściowe 2 19 15 2" xfId="9242"/>
    <cellStyle name="Dane wejściowe 2 19 15 3" xfId="9243"/>
    <cellStyle name="Dane wejściowe 2 19 15 4" xfId="9244"/>
    <cellStyle name="Dane wejściowe 2 19 16" xfId="9245"/>
    <cellStyle name="Dane wejściowe 2 19 16 2" xfId="9246"/>
    <cellStyle name="Dane wejściowe 2 19 16 3" xfId="9247"/>
    <cellStyle name="Dane wejściowe 2 19 16 4" xfId="9248"/>
    <cellStyle name="Dane wejściowe 2 19 17" xfId="9249"/>
    <cellStyle name="Dane wejściowe 2 19 17 2" xfId="9250"/>
    <cellStyle name="Dane wejściowe 2 19 17 3" xfId="9251"/>
    <cellStyle name="Dane wejściowe 2 19 17 4" xfId="9252"/>
    <cellStyle name="Dane wejściowe 2 19 18" xfId="9253"/>
    <cellStyle name="Dane wejściowe 2 19 18 2" xfId="9254"/>
    <cellStyle name="Dane wejściowe 2 19 18 3" xfId="9255"/>
    <cellStyle name="Dane wejściowe 2 19 18 4" xfId="9256"/>
    <cellStyle name="Dane wejściowe 2 19 19" xfId="9257"/>
    <cellStyle name="Dane wejściowe 2 19 19 2" xfId="9258"/>
    <cellStyle name="Dane wejściowe 2 19 19 3" xfId="9259"/>
    <cellStyle name="Dane wejściowe 2 19 19 4" xfId="9260"/>
    <cellStyle name="Dane wejściowe 2 19 2" xfId="9261"/>
    <cellStyle name="Dane wejściowe 2 19 2 2" xfId="9262"/>
    <cellStyle name="Dane wejściowe 2 19 2 3" xfId="9263"/>
    <cellStyle name="Dane wejściowe 2 19 2 4" xfId="9264"/>
    <cellStyle name="Dane wejściowe 2 19 20" xfId="9265"/>
    <cellStyle name="Dane wejściowe 2 19 20 2" xfId="9266"/>
    <cellStyle name="Dane wejściowe 2 19 20 3" xfId="9267"/>
    <cellStyle name="Dane wejściowe 2 19 20 4" xfId="9268"/>
    <cellStyle name="Dane wejściowe 2 19 21" xfId="9269"/>
    <cellStyle name="Dane wejściowe 2 19 21 2" xfId="9270"/>
    <cellStyle name="Dane wejściowe 2 19 21 3" xfId="9271"/>
    <cellStyle name="Dane wejściowe 2 19 22" xfId="9272"/>
    <cellStyle name="Dane wejściowe 2 19 22 2" xfId="9273"/>
    <cellStyle name="Dane wejściowe 2 19 22 3" xfId="9274"/>
    <cellStyle name="Dane wejściowe 2 19 23" xfId="9275"/>
    <cellStyle name="Dane wejściowe 2 19 23 2" xfId="9276"/>
    <cellStyle name="Dane wejściowe 2 19 23 3" xfId="9277"/>
    <cellStyle name="Dane wejściowe 2 19 24" xfId="9278"/>
    <cellStyle name="Dane wejściowe 2 19 24 2" xfId="9279"/>
    <cellStyle name="Dane wejściowe 2 19 24 3" xfId="9280"/>
    <cellStyle name="Dane wejściowe 2 19 25" xfId="9281"/>
    <cellStyle name="Dane wejściowe 2 19 25 2" xfId="9282"/>
    <cellStyle name="Dane wejściowe 2 19 25 3" xfId="9283"/>
    <cellStyle name="Dane wejściowe 2 19 26" xfId="9284"/>
    <cellStyle name="Dane wejściowe 2 19 26 2" xfId="9285"/>
    <cellStyle name="Dane wejściowe 2 19 26 3" xfId="9286"/>
    <cellStyle name="Dane wejściowe 2 19 27" xfId="9287"/>
    <cellStyle name="Dane wejściowe 2 19 27 2" xfId="9288"/>
    <cellStyle name="Dane wejściowe 2 19 27 3" xfId="9289"/>
    <cellStyle name="Dane wejściowe 2 19 28" xfId="9290"/>
    <cellStyle name="Dane wejściowe 2 19 28 2" xfId="9291"/>
    <cellStyle name="Dane wejściowe 2 19 28 3" xfId="9292"/>
    <cellStyle name="Dane wejściowe 2 19 29" xfId="9293"/>
    <cellStyle name="Dane wejściowe 2 19 29 2" xfId="9294"/>
    <cellStyle name="Dane wejściowe 2 19 29 3" xfId="9295"/>
    <cellStyle name="Dane wejściowe 2 19 3" xfId="9296"/>
    <cellStyle name="Dane wejściowe 2 19 3 2" xfId="9297"/>
    <cellStyle name="Dane wejściowe 2 19 3 3" xfId="9298"/>
    <cellStyle name="Dane wejściowe 2 19 3 4" xfId="9299"/>
    <cellStyle name="Dane wejściowe 2 19 30" xfId="9300"/>
    <cellStyle name="Dane wejściowe 2 19 30 2" xfId="9301"/>
    <cellStyle name="Dane wejściowe 2 19 30 3" xfId="9302"/>
    <cellStyle name="Dane wejściowe 2 19 31" xfId="9303"/>
    <cellStyle name="Dane wejściowe 2 19 31 2" xfId="9304"/>
    <cellStyle name="Dane wejściowe 2 19 31 3" xfId="9305"/>
    <cellStyle name="Dane wejściowe 2 19 32" xfId="9306"/>
    <cellStyle name="Dane wejściowe 2 19 32 2" xfId="9307"/>
    <cellStyle name="Dane wejściowe 2 19 32 3" xfId="9308"/>
    <cellStyle name="Dane wejściowe 2 19 33" xfId="9309"/>
    <cellStyle name="Dane wejściowe 2 19 33 2" xfId="9310"/>
    <cellStyle name="Dane wejściowe 2 19 33 3" xfId="9311"/>
    <cellStyle name="Dane wejściowe 2 19 34" xfId="9312"/>
    <cellStyle name="Dane wejściowe 2 19 34 2" xfId="9313"/>
    <cellStyle name="Dane wejściowe 2 19 34 3" xfId="9314"/>
    <cellStyle name="Dane wejściowe 2 19 35" xfId="9315"/>
    <cellStyle name="Dane wejściowe 2 19 35 2" xfId="9316"/>
    <cellStyle name="Dane wejściowe 2 19 35 3" xfId="9317"/>
    <cellStyle name="Dane wejściowe 2 19 36" xfId="9318"/>
    <cellStyle name="Dane wejściowe 2 19 36 2" xfId="9319"/>
    <cellStyle name="Dane wejściowe 2 19 36 3" xfId="9320"/>
    <cellStyle name="Dane wejściowe 2 19 37" xfId="9321"/>
    <cellStyle name="Dane wejściowe 2 19 37 2" xfId="9322"/>
    <cellStyle name="Dane wejściowe 2 19 37 3" xfId="9323"/>
    <cellStyle name="Dane wejściowe 2 19 38" xfId="9324"/>
    <cellStyle name="Dane wejściowe 2 19 38 2" xfId="9325"/>
    <cellStyle name="Dane wejściowe 2 19 38 3" xfId="9326"/>
    <cellStyle name="Dane wejściowe 2 19 39" xfId="9327"/>
    <cellStyle name="Dane wejściowe 2 19 39 2" xfId="9328"/>
    <cellStyle name="Dane wejściowe 2 19 39 3" xfId="9329"/>
    <cellStyle name="Dane wejściowe 2 19 4" xfId="9330"/>
    <cellStyle name="Dane wejściowe 2 19 4 2" xfId="9331"/>
    <cellStyle name="Dane wejściowe 2 19 4 3" xfId="9332"/>
    <cellStyle name="Dane wejściowe 2 19 4 4" xfId="9333"/>
    <cellStyle name="Dane wejściowe 2 19 40" xfId="9334"/>
    <cellStyle name="Dane wejściowe 2 19 40 2" xfId="9335"/>
    <cellStyle name="Dane wejściowe 2 19 40 3" xfId="9336"/>
    <cellStyle name="Dane wejściowe 2 19 41" xfId="9337"/>
    <cellStyle name="Dane wejściowe 2 19 41 2" xfId="9338"/>
    <cellStyle name="Dane wejściowe 2 19 41 3" xfId="9339"/>
    <cellStyle name="Dane wejściowe 2 19 42" xfId="9340"/>
    <cellStyle name="Dane wejściowe 2 19 42 2" xfId="9341"/>
    <cellStyle name="Dane wejściowe 2 19 42 3" xfId="9342"/>
    <cellStyle name="Dane wejściowe 2 19 43" xfId="9343"/>
    <cellStyle name="Dane wejściowe 2 19 43 2" xfId="9344"/>
    <cellStyle name="Dane wejściowe 2 19 43 3" xfId="9345"/>
    <cellStyle name="Dane wejściowe 2 19 44" xfId="9346"/>
    <cellStyle name="Dane wejściowe 2 19 44 2" xfId="9347"/>
    <cellStyle name="Dane wejściowe 2 19 44 3" xfId="9348"/>
    <cellStyle name="Dane wejściowe 2 19 45" xfId="9349"/>
    <cellStyle name="Dane wejściowe 2 19 45 2" xfId="9350"/>
    <cellStyle name="Dane wejściowe 2 19 45 3" xfId="9351"/>
    <cellStyle name="Dane wejściowe 2 19 46" xfId="9352"/>
    <cellStyle name="Dane wejściowe 2 19 46 2" xfId="9353"/>
    <cellStyle name="Dane wejściowe 2 19 46 3" xfId="9354"/>
    <cellStyle name="Dane wejściowe 2 19 47" xfId="9355"/>
    <cellStyle name="Dane wejściowe 2 19 47 2" xfId="9356"/>
    <cellStyle name="Dane wejściowe 2 19 47 3" xfId="9357"/>
    <cellStyle name="Dane wejściowe 2 19 48" xfId="9358"/>
    <cellStyle name="Dane wejściowe 2 19 48 2" xfId="9359"/>
    <cellStyle name="Dane wejściowe 2 19 48 3" xfId="9360"/>
    <cellStyle name="Dane wejściowe 2 19 49" xfId="9361"/>
    <cellStyle name="Dane wejściowe 2 19 49 2" xfId="9362"/>
    <cellStyle name="Dane wejściowe 2 19 49 3" xfId="9363"/>
    <cellStyle name="Dane wejściowe 2 19 5" xfId="9364"/>
    <cellStyle name="Dane wejściowe 2 19 5 2" xfId="9365"/>
    <cellStyle name="Dane wejściowe 2 19 5 3" xfId="9366"/>
    <cellStyle name="Dane wejściowe 2 19 5 4" xfId="9367"/>
    <cellStyle name="Dane wejściowe 2 19 50" xfId="9368"/>
    <cellStyle name="Dane wejściowe 2 19 50 2" xfId="9369"/>
    <cellStyle name="Dane wejściowe 2 19 50 3" xfId="9370"/>
    <cellStyle name="Dane wejściowe 2 19 51" xfId="9371"/>
    <cellStyle name="Dane wejściowe 2 19 51 2" xfId="9372"/>
    <cellStyle name="Dane wejściowe 2 19 51 3" xfId="9373"/>
    <cellStyle name="Dane wejściowe 2 19 52" xfId="9374"/>
    <cellStyle name="Dane wejściowe 2 19 52 2" xfId="9375"/>
    <cellStyle name="Dane wejściowe 2 19 52 3" xfId="9376"/>
    <cellStyle name="Dane wejściowe 2 19 53" xfId="9377"/>
    <cellStyle name="Dane wejściowe 2 19 53 2" xfId="9378"/>
    <cellStyle name="Dane wejściowe 2 19 53 3" xfId="9379"/>
    <cellStyle name="Dane wejściowe 2 19 54" xfId="9380"/>
    <cellStyle name="Dane wejściowe 2 19 54 2" xfId="9381"/>
    <cellStyle name="Dane wejściowe 2 19 54 3" xfId="9382"/>
    <cellStyle name="Dane wejściowe 2 19 55" xfId="9383"/>
    <cellStyle name="Dane wejściowe 2 19 55 2" xfId="9384"/>
    <cellStyle name="Dane wejściowe 2 19 55 3" xfId="9385"/>
    <cellStyle name="Dane wejściowe 2 19 56" xfId="9386"/>
    <cellStyle name="Dane wejściowe 2 19 56 2" xfId="9387"/>
    <cellStyle name="Dane wejściowe 2 19 56 3" xfId="9388"/>
    <cellStyle name="Dane wejściowe 2 19 57" xfId="9389"/>
    <cellStyle name="Dane wejściowe 2 19 58" xfId="9390"/>
    <cellStyle name="Dane wejściowe 2 19 6" xfId="9391"/>
    <cellStyle name="Dane wejściowe 2 19 6 2" xfId="9392"/>
    <cellStyle name="Dane wejściowe 2 19 6 3" xfId="9393"/>
    <cellStyle name="Dane wejściowe 2 19 6 4" xfId="9394"/>
    <cellStyle name="Dane wejściowe 2 19 7" xfId="9395"/>
    <cellStyle name="Dane wejściowe 2 19 7 2" xfId="9396"/>
    <cellStyle name="Dane wejściowe 2 19 7 3" xfId="9397"/>
    <cellStyle name="Dane wejściowe 2 19 7 4" xfId="9398"/>
    <cellStyle name="Dane wejściowe 2 19 8" xfId="9399"/>
    <cellStyle name="Dane wejściowe 2 19 8 2" xfId="9400"/>
    <cellStyle name="Dane wejściowe 2 19 8 3" xfId="9401"/>
    <cellStyle name="Dane wejściowe 2 19 8 4" xfId="9402"/>
    <cellStyle name="Dane wejściowe 2 19 9" xfId="9403"/>
    <cellStyle name="Dane wejściowe 2 19 9 2" xfId="9404"/>
    <cellStyle name="Dane wejściowe 2 19 9 3" xfId="9405"/>
    <cellStyle name="Dane wejściowe 2 19 9 4" xfId="9406"/>
    <cellStyle name="Dane wejściowe 2 2" xfId="9407"/>
    <cellStyle name="Dane wejściowe 2 2 10" xfId="9408"/>
    <cellStyle name="Dane wejściowe 2 2 10 2" xfId="9409"/>
    <cellStyle name="Dane wejściowe 2 2 10 3" xfId="9410"/>
    <cellStyle name="Dane wejściowe 2 2 10 4" xfId="9411"/>
    <cellStyle name="Dane wejściowe 2 2 11" xfId="9412"/>
    <cellStyle name="Dane wejściowe 2 2 11 2" xfId="9413"/>
    <cellStyle name="Dane wejściowe 2 2 11 3" xfId="9414"/>
    <cellStyle name="Dane wejściowe 2 2 11 4" xfId="9415"/>
    <cellStyle name="Dane wejściowe 2 2 12" xfId="9416"/>
    <cellStyle name="Dane wejściowe 2 2 12 2" xfId="9417"/>
    <cellStyle name="Dane wejściowe 2 2 12 3" xfId="9418"/>
    <cellStyle name="Dane wejściowe 2 2 12 4" xfId="9419"/>
    <cellStyle name="Dane wejściowe 2 2 13" xfId="9420"/>
    <cellStyle name="Dane wejściowe 2 2 13 2" xfId="9421"/>
    <cellStyle name="Dane wejściowe 2 2 13 3" xfId="9422"/>
    <cellStyle name="Dane wejściowe 2 2 13 4" xfId="9423"/>
    <cellStyle name="Dane wejściowe 2 2 14" xfId="9424"/>
    <cellStyle name="Dane wejściowe 2 2 14 2" xfId="9425"/>
    <cellStyle name="Dane wejściowe 2 2 14 3" xfId="9426"/>
    <cellStyle name="Dane wejściowe 2 2 14 4" xfId="9427"/>
    <cellStyle name="Dane wejściowe 2 2 15" xfId="9428"/>
    <cellStyle name="Dane wejściowe 2 2 15 2" xfId="9429"/>
    <cellStyle name="Dane wejściowe 2 2 15 3" xfId="9430"/>
    <cellStyle name="Dane wejściowe 2 2 15 4" xfId="9431"/>
    <cellStyle name="Dane wejściowe 2 2 16" xfId="9432"/>
    <cellStyle name="Dane wejściowe 2 2 16 2" xfId="9433"/>
    <cellStyle name="Dane wejściowe 2 2 16 3" xfId="9434"/>
    <cellStyle name="Dane wejściowe 2 2 16 4" xfId="9435"/>
    <cellStyle name="Dane wejściowe 2 2 17" xfId="9436"/>
    <cellStyle name="Dane wejściowe 2 2 17 2" xfId="9437"/>
    <cellStyle name="Dane wejściowe 2 2 17 3" xfId="9438"/>
    <cellStyle name="Dane wejściowe 2 2 17 4" xfId="9439"/>
    <cellStyle name="Dane wejściowe 2 2 18" xfId="9440"/>
    <cellStyle name="Dane wejściowe 2 2 18 2" xfId="9441"/>
    <cellStyle name="Dane wejściowe 2 2 18 3" xfId="9442"/>
    <cellStyle name="Dane wejściowe 2 2 18 4" xfId="9443"/>
    <cellStyle name="Dane wejściowe 2 2 19" xfId="9444"/>
    <cellStyle name="Dane wejściowe 2 2 19 2" xfId="9445"/>
    <cellStyle name="Dane wejściowe 2 2 19 3" xfId="9446"/>
    <cellStyle name="Dane wejściowe 2 2 19 4" xfId="9447"/>
    <cellStyle name="Dane wejściowe 2 2 2" xfId="9448"/>
    <cellStyle name="Dane wejściowe 2 2 2 2" xfId="9449"/>
    <cellStyle name="Dane wejściowe 2 2 2 3" xfId="9450"/>
    <cellStyle name="Dane wejściowe 2 2 2 4" xfId="9451"/>
    <cellStyle name="Dane wejściowe 2 2 20" xfId="9452"/>
    <cellStyle name="Dane wejściowe 2 2 20 2" xfId="9453"/>
    <cellStyle name="Dane wejściowe 2 2 20 3" xfId="9454"/>
    <cellStyle name="Dane wejściowe 2 2 20 4" xfId="9455"/>
    <cellStyle name="Dane wejściowe 2 2 21" xfId="9456"/>
    <cellStyle name="Dane wejściowe 2 2 21 2" xfId="9457"/>
    <cellStyle name="Dane wejściowe 2 2 21 3" xfId="9458"/>
    <cellStyle name="Dane wejściowe 2 2 22" xfId="9459"/>
    <cellStyle name="Dane wejściowe 2 2 22 2" xfId="9460"/>
    <cellStyle name="Dane wejściowe 2 2 22 3" xfId="9461"/>
    <cellStyle name="Dane wejściowe 2 2 22 4" xfId="9462"/>
    <cellStyle name="Dane wejściowe 2 2 23" xfId="9463"/>
    <cellStyle name="Dane wejściowe 2 2 23 2" xfId="9464"/>
    <cellStyle name="Dane wejściowe 2 2 23 3" xfId="9465"/>
    <cellStyle name="Dane wejściowe 2 2 23 4" xfId="9466"/>
    <cellStyle name="Dane wejściowe 2 2 24" xfId="9467"/>
    <cellStyle name="Dane wejściowe 2 2 24 2" xfId="9468"/>
    <cellStyle name="Dane wejściowe 2 2 24 3" xfId="9469"/>
    <cellStyle name="Dane wejściowe 2 2 24 4" xfId="9470"/>
    <cellStyle name="Dane wejściowe 2 2 25" xfId="9471"/>
    <cellStyle name="Dane wejściowe 2 2 25 2" xfId="9472"/>
    <cellStyle name="Dane wejściowe 2 2 25 3" xfId="9473"/>
    <cellStyle name="Dane wejściowe 2 2 26" xfId="9474"/>
    <cellStyle name="Dane wejściowe 2 2 26 2" xfId="9475"/>
    <cellStyle name="Dane wejściowe 2 2 26 3" xfId="9476"/>
    <cellStyle name="Dane wejściowe 2 2 27" xfId="9477"/>
    <cellStyle name="Dane wejściowe 2 2 27 2" xfId="9478"/>
    <cellStyle name="Dane wejściowe 2 2 27 3" xfId="9479"/>
    <cellStyle name="Dane wejściowe 2 2 28" xfId="9480"/>
    <cellStyle name="Dane wejściowe 2 2 28 2" xfId="9481"/>
    <cellStyle name="Dane wejściowe 2 2 28 3" xfId="9482"/>
    <cellStyle name="Dane wejściowe 2 2 29" xfId="9483"/>
    <cellStyle name="Dane wejściowe 2 2 29 2" xfId="9484"/>
    <cellStyle name="Dane wejściowe 2 2 29 3" xfId="9485"/>
    <cellStyle name="Dane wejściowe 2 2 3" xfId="9486"/>
    <cellStyle name="Dane wejściowe 2 2 3 2" xfId="9487"/>
    <cellStyle name="Dane wejściowe 2 2 3 3" xfId="9488"/>
    <cellStyle name="Dane wejściowe 2 2 3 4" xfId="9489"/>
    <cellStyle name="Dane wejściowe 2 2 30" xfId="9490"/>
    <cellStyle name="Dane wejściowe 2 2 30 2" xfId="9491"/>
    <cellStyle name="Dane wejściowe 2 2 30 3" xfId="9492"/>
    <cellStyle name="Dane wejściowe 2 2 31" xfId="9493"/>
    <cellStyle name="Dane wejściowe 2 2 31 2" xfId="9494"/>
    <cellStyle name="Dane wejściowe 2 2 31 3" xfId="9495"/>
    <cellStyle name="Dane wejściowe 2 2 32" xfId="9496"/>
    <cellStyle name="Dane wejściowe 2 2 32 2" xfId="9497"/>
    <cellStyle name="Dane wejściowe 2 2 32 3" xfId="9498"/>
    <cellStyle name="Dane wejściowe 2 2 33" xfId="9499"/>
    <cellStyle name="Dane wejściowe 2 2 33 2" xfId="9500"/>
    <cellStyle name="Dane wejściowe 2 2 33 3" xfId="9501"/>
    <cellStyle name="Dane wejściowe 2 2 34" xfId="9502"/>
    <cellStyle name="Dane wejściowe 2 2 34 2" xfId="9503"/>
    <cellStyle name="Dane wejściowe 2 2 34 3" xfId="9504"/>
    <cellStyle name="Dane wejściowe 2 2 35" xfId="9505"/>
    <cellStyle name="Dane wejściowe 2 2 35 2" xfId="9506"/>
    <cellStyle name="Dane wejściowe 2 2 35 3" xfId="9507"/>
    <cellStyle name="Dane wejściowe 2 2 36" xfId="9508"/>
    <cellStyle name="Dane wejściowe 2 2 36 2" xfId="9509"/>
    <cellStyle name="Dane wejściowe 2 2 36 3" xfId="9510"/>
    <cellStyle name="Dane wejściowe 2 2 37" xfId="9511"/>
    <cellStyle name="Dane wejściowe 2 2 37 2" xfId="9512"/>
    <cellStyle name="Dane wejściowe 2 2 37 3" xfId="9513"/>
    <cellStyle name="Dane wejściowe 2 2 38" xfId="9514"/>
    <cellStyle name="Dane wejściowe 2 2 38 2" xfId="9515"/>
    <cellStyle name="Dane wejściowe 2 2 38 3" xfId="9516"/>
    <cellStyle name="Dane wejściowe 2 2 39" xfId="9517"/>
    <cellStyle name="Dane wejściowe 2 2 39 2" xfId="9518"/>
    <cellStyle name="Dane wejściowe 2 2 39 3" xfId="9519"/>
    <cellStyle name="Dane wejściowe 2 2 4" xfId="9520"/>
    <cellStyle name="Dane wejściowe 2 2 4 2" xfId="9521"/>
    <cellStyle name="Dane wejściowe 2 2 4 3" xfId="9522"/>
    <cellStyle name="Dane wejściowe 2 2 4 4" xfId="9523"/>
    <cellStyle name="Dane wejściowe 2 2 40" xfId="9524"/>
    <cellStyle name="Dane wejściowe 2 2 40 2" xfId="9525"/>
    <cellStyle name="Dane wejściowe 2 2 40 3" xfId="9526"/>
    <cellStyle name="Dane wejściowe 2 2 41" xfId="9527"/>
    <cellStyle name="Dane wejściowe 2 2 41 2" xfId="9528"/>
    <cellStyle name="Dane wejściowe 2 2 41 3" xfId="9529"/>
    <cellStyle name="Dane wejściowe 2 2 42" xfId="9530"/>
    <cellStyle name="Dane wejściowe 2 2 42 2" xfId="9531"/>
    <cellStyle name="Dane wejściowe 2 2 42 3" xfId="9532"/>
    <cellStyle name="Dane wejściowe 2 2 43" xfId="9533"/>
    <cellStyle name="Dane wejściowe 2 2 43 2" xfId="9534"/>
    <cellStyle name="Dane wejściowe 2 2 43 3" xfId="9535"/>
    <cellStyle name="Dane wejściowe 2 2 44" xfId="9536"/>
    <cellStyle name="Dane wejściowe 2 2 44 2" xfId="9537"/>
    <cellStyle name="Dane wejściowe 2 2 44 3" xfId="9538"/>
    <cellStyle name="Dane wejściowe 2 2 45" xfId="9539"/>
    <cellStyle name="Dane wejściowe 2 2 45 2" xfId="9540"/>
    <cellStyle name="Dane wejściowe 2 2 45 3" xfId="9541"/>
    <cellStyle name="Dane wejściowe 2 2 46" xfId="9542"/>
    <cellStyle name="Dane wejściowe 2 2 46 2" xfId="9543"/>
    <cellStyle name="Dane wejściowe 2 2 46 3" xfId="9544"/>
    <cellStyle name="Dane wejściowe 2 2 47" xfId="9545"/>
    <cellStyle name="Dane wejściowe 2 2 47 2" xfId="9546"/>
    <cellStyle name="Dane wejściowe 2 2 47 3" xfId="9547"/>
    <cellStyle name="Dane wejściowe 2 2 48" xfId="9548"/>
    <cellStyle name="Dane wejściowe 2 2 48 2" xfId="9549"/>
    <cellStyle name="Dane wejściowe 2 2 48 3" xfId="9550"/>
    <cellStyle name="Dane wejściowe 2 2 49" xfId="9551"/>
    <cellStyle name="Dane wejściowe 2 2 49 2" xfId="9552"/>
    <cellStyle name="Dane wejściowe 2 2 49 3" xfId="9553"/>
    <cellStyle name="Dane wejściowe 2 2 5" xfId="9554"/>
    <cellStyle name="Dane wejściowe 2 2 5 2" xfId="9555"/>
    <cellStyle name="Dane wejściowe 2 2 5 3" xfId="9556"/>
    <cellStyle name="Dane wejściowe 2 2 5 4" xfId="9557"/>
    <cellStyle name="Dane wejściowe 2 2 50" xfId="9558"/>
    <cellStyle name="Dane wejściowe 2 2 50 2" xfId="9559"/>
    <cellStyle name="Dane wejściowe 2 2 50 3" xfId="9560"/>
    <cellStyle name="Dane wejściowe 2 2 51" xfId="9561"/>
    <cellStyle name="Dane wejściowe 2 2 51 2" xfId="9562"/>
    <cellStyle name="Dane wejściowe 2 2 51 3" xfId="9563"/>
    <cellStyle name="Dane wejściowe 2 2 52" xfId="9564"/>
    <cellStyle name="Dane wejściowe 2 2 52 2" xfId="9565"/>
    <cellStyle name="Dane wejściowe 2 2 52 3" xfId="9566"/>
    <cellStyle name="Dane wejściowe 2 2 53" xfId="9567"/>
    <cellStyle name="Dane wejściowe 2 2 53 2" xfId="9568"/>
    <cellStyle name="Dane wejściowe 2 2 53 3" xfId="9569"/>
    <cellStyle name="Dane wejściowe 2 2 54" xfId="9570"/>
    <cellStyle name="Dane wejściowe 2 2 54 2" xfId="9571"/>
    <cellStyle name="Dane wejściowe 2 2 54 3" xfId="9572"/>
    <cellStyle name="Dane wejściowe 2 2 55" xfId="9573"/>
    <cellStyle name="Dane wejściowe 2 2 55 2" xfId="9574"/>
    <cellStyle name="Dane wejściowe 2 2 55 3" xfId="9575"/>
    <cellStyle name="Dane wejściowe 2 2 56" xfId="9576"/>
    <cellStyle name="Dane wejściowe 2 2 56 2" xfId="9577"/>
    <cellStyle name="Dane wejściowe 2 2 56 3" xfId="9578"/>
    <cellStyle name="Dane wejściowe 2 2 57" xfId="9579"/>
    <cellStyle name="Dane wejściowe 2 2 58" xfId="9580"/>
    <cellStyle name="Dane wejściowe 2 2 59" xfId="9581"/>
    <cellStyle name="Dane wejściowe 2 2 6" xfId="9582"/>
    <cellStyle name="Dane wejściowe 2 2 6 2" xfId="9583"/>
    <cellStyle name="Dane wejściowe 2 2 6 3" xfId="9584"/>
    <cellStyle name="Dane wejściowe 2 2 6 4" xfId="9585"/>
    <cellStyle name="Dane wejściowe 2 2 7" xfId="9586"/>
    <cellStyle name="Dane wejściowe 2 2 7 2" xfId="9587"/>
    <cellStyle name="Dane wejściowe 2 2 7 3" xfId="9588"/>
    <cellStyle name="Dane wejściowe 2 2 7 4" xfId="9589"/>
    <cellStyle name="Dane wejściowe 2 2 8" xfId="9590"/>
    <cellStyle name="Dane wejściowe 2 2 8 2" xfId="9591"/>
    <cellStyle name="Dane wejściowe 2 2 8 3" xfId="9592"/>
    <cellStyle name="Dane wejściowe 2 2 8 4" xfId="9593"/>
    <cellStyle name="Dane wejściowe 2 2 9" xfId="9594"/>
    <cellStyle name="Dane wejściowe 2 2 9 2" xfId="9595"/>
    <cellStyle name="Dane wejściowe 2 2 9 3" xfId="9596"/>
    <cellStyle name="Dane wejściowe 2 2 9 4" xfId="9597"/>
    <cellStyle name="Dane wejściowe 2 20" xfId="9598"/>
    <cellStyle name="Dane wejściowe 2 20 10" xfId="9599"/>
    <cellStyle name="Dane wejściowe 2 20 10 2" xfId="9600"/>
    <cellStyle name="Dane wejściowe 2 20 10 3" xfId="9601"/>
    <cellStyle name="Dane wejściowe 2 20 10 4" xfId="9602"/>
    <cellStyle name="Dane wejściowe 2 20 11" xfId="9603"/>
    <cellStyle name="Dane wejściowe 2 20 11 2" xfId="9604"/>
    <cellStyle name="Dane wejściowe 2 20 11 3" xfId="9605"/>
    <cellStyle name="Dane wejściowe 2 20 11 4" xfId="9606"/>
    <cellStyle name="Dane wejściowe 2 20 12" xfId="9607"/>
    <cellStyle name="Dane wejściowe 2 20 12 2" xfId="9608"/>
    <cellStyle name="Dane wejściowe 2 20 12 3" xfId="9609"/>
    <cellStyle name="Dane wejściowe 2 20 12 4" xfId="9610"/>
    <cellStyle name="Dane wejściowe 2 20 13" xfId="9611"/>
    <cellStyle name="Dane wejściowe 2 20 13 2" xfId="9612"/>
    <cellStyle name="Dane wejściowe 2 20 13 3" xfId="9613"/>
    <cellStyle name="Dane wejściowe 2 20 13 4" xfId="9614"/>
    <cellStyle name="Dane wejściowe 2 20 14" xfId="9615"/>
    <cellStyle name="Dane wejściowe 2 20 14 2" xfId="9616"/>
    <cellStyle name="Dane wejściowe 2 20 14 3" xfId="9617"/>
    <cellStyle name="Dane wejściowe 2 20 14 4" xfId="9618"/>
    <cellStyle name="Dane wejściowe 2 20 15" xfId="9619"/>
    <cellStyle name="Dane wejściowe 2 20 15 2" xfId="9620"/>
    <cellStyle name="Dane wejściowe 2 20 15 3" xfId="9621"/>
    <cellStyle name="Dane wejściowe 2 20 15 4" xfId="9622"/>
    <cellStyle name="Dane wejściowe 2 20 16" xfId="9623"/>
    <cellStyle name="Dane wejściowe 2 20 16 2" xfId="9624"/>
    <cellStyle name="Dane wejściowe 2 20 16 3" xfId="9625"/>
    <cellStyle name="Dane wejściowe 2 20 16 4" xfId="9626"/>
    <cellStyle name="Dane wejściowe 2 20 17" xfId="9627"/>
    <cellStyle name="Dane wejściowe 2 20 17 2" xfId="9628"/>
    <cellStyle name="Dane wejściowe 2 20 17 3" xfId="9629"/>
    <cellStyle name="Dane wejściowe 2 20 17 4" xfId="9630"/>
    <cellStyle name="Dane wejściowe 2 20 18" xfId="9631"/>
    <cellStyle name="Dane wejściowe 2 20 18 2" xfId="9632"/>
    <cellStyle name="Dane wejściowe 2 20 18 3" xfId="9633"/>
    <cellStyle name="Dane wejściowe 2 20 18 4" xfId="9634"/>
    <cellStyle name="Dane wejściowe 2 20 19" xfId="9635"/>
    <cellStyle name="Dane wejściowe 2 20 19 2" xfId="9636"/>
    <cellStyle name="Dane wejściowe 2 20 19 3" xfId="9637"/>
    <cellStyle name="Dane wejściowe 2 20 19 4" xfId="9638"/>
    <cellStyle name="Dane wejściowe 2 20 2" xfId="9639"/>
    <cellStyle name="Dane wejściowe 2 20 2 2" xfId="9640"/>
    <cellStyle name="Dane wejściowe 2 20 2 3" xfId="9641"/>
    <cellStyle name="Dane wejściowe 2 20 2 4" xfId="9642"/>
    <cellStyle name="Dane wejściowe 2 20 20" xfId="9643"/>
    <cellStyle name="Dane wejściowe 2 20 20 2" xfId="9644"/>
    <cellStyle name="Dane wejściowe 2 20 20 3" xfId="9645"/>
    <cellStyle name="Dane wejściowe 2 20 20 4" xfId="9646"/>
    <cellStyle name="Dane wejściowe 2 20 21" xfId="9647"/>
    <cellStyle name="Dane wejściowe 2 20 21 2" xfId="9648"/>
    <cellStyle name="Dane wejściowe 2 20 21 3" xfId="9649"/>
    <cellStyle name="Dane wejściowe 2 20 22" xfId="9650"/>
    <cellStyle name="Dane wejściowe 2 20 22 2" xfId="9651"/>
    <cellStyle name="Dane wejściowe 2 20 22 3" xfId="9652"/>
    <cellStyle name="Dane wejściowe 2 20 23" xfId="9653"/>
    <cellStyle name="Dane wejściowe 2 20 23 2" xfId="9654"/>
    <cellStyle name="Dane wejściowe 2 20 23 3" xfId="9655"/>
    <cellStyle name="Dane wejściowe 2 20 24" xfId="9656"/>
    <cellStyle name="Dane wejściowe 2 20 24 2" xfId="9657"/>
    <cellStyle name="Dane wejściowe 2 20 24 3" xfId="9658"/>
    <cellStyle name="Dane wejściowe 2 20 25" xfId="9659"/>
    <cellStyle name="Dane wejściowe 2 20 25 2" xfId="9660"/>
    <cellStyle name="Dane wejściowe 2 20 25 3" xfId="9661"/>
    <cellStyle name="Dane wejściowe 2 20 26" xfId="9662"/>
    <cellStyle name="Dane wejściowe 2 20 26 2" xfId="9663"/>
    <cellStyle name="Dane wejściowe 2 20 26 3" xfId="9664"/>
    <cellStyle name="Dane wejściowe 2 20 27" xfId="9665"/>
    <cellStyle name="Dane wejściowe 2 20 27 2" xfId="9666"/>
    <cellStyle name="Dane wejściowe 2 20 27 3" xfId="9667"/>
    <cellStyle name="Dane wejściowe 2 20 28" xfId="9668"/>
    <cellStyle name="Dane wejściowe 2 20 28 2" xfId="9669"/>
    <cellStyle name="Dane wejściowe 2 20 28 3" xfId="9670"/>
    <cellStyle name="Dane wejściowe 2 20 29" xfId="9671"/>
    <cellStyle name="Dane wejściowe 2 20 29 2" xfId="9672"/>
    <cellStyle name="Dane wejściowe 2 20 29 3" xfId="9673"/>
    <cellStyle name="Dane wejściowe 2 20 3" xfId="9674"/>
    <cellStyle name="Dane wejściowe 2 20 3 2" xfId="9675"/>
    <cellStyle name="Dane wejściowe 2 20 3 3" xfId="9676"/>
    <cellStyle name="Dane wejściowe 2 20 3 4" xfId="9677"/>
    <cellStyle name="Dane wejściowe 2 20 30" xfId="9678"/>
    <cellStyle name="Dane wejściowe 2 20 30 2" xfId="9679"/>
    <cellStyle name="Dane wejściowe 2 20 30 3" xfId="9680"/>
    <cellStyle name="Dane wejściowe 2 20 31" xfId="9681"/>
    <cellStyle name="Dane wejściowe 2 20 31 2" xfId="9682"/>
    <cellStyle name="Dane wejściowe 2 20 31 3" xfId="9683"/>
    <cellStyle name="Dane wejściowe 2 20 32" xfId="9684"/>
    <cellStyle name="Dane wejściowe 2 20 32 2" xfId="9685"/>
    <cellStyle name="Dane wejściowe 2 20 32 3" xfId="9686"/>
    <cellStyle name="Dane wejściowe 2 20 33" xfId="9687"/>
    <cellStyle name="Dane wejściowe 2 20 33 2" xfId="9688"/>
    <cellStyle name="Dane wejściowe 2 20 33 3" xfId="9689"/>
    <cellStyle name="Dane wejściowe 2 20 34" xfId="9690"/>
    <cellStyle name="Dane wejściowe 2 20 34 2" xfId="9691"/>
    <cellStyle name="Dane wejściowe 2 20 34 3" xfId="9692"/>
    <cellStyle name="Dane wejściowe 2 20 35" xfId="9693"/>
    <cellStyle name="Dane wejściowe 2 20 35 2" xfId="9694"/>
    <cellStyle name="Dane wejściowe 2 20 35 3" xfId="9695"/>
    <cellStyle name="Dane wejściowe 2 20 36" xfId="9696"/>
    <cellStyle name="Dane wejściowe 2 20 36 2" xfId="9697"/>
    <cellStyle name="Dane wejściowe 2 20 36 3" xfId="9698"/>
    <cellStyle name="Dane wejściowe 2 20 37" xfId="9699"/>
    <cellStyle name="Dane wejściowe 2 20 37 2" xfId="9700"/>
    <cellStyle name="Dane wejściowe 2 20 37 3" xfId="9701"/>
    <cellStyle name="Dane wejściowe 2 20 38" xfId="9702"/>
    <cellStyle name="Dane wejściowe 2 20 38 2" xfId="9703"/>
    <cellStyle name="Dane wejściowe 2 20 38 3" xfId="9704"/>
    <cellStyle name="Dane wejściowe 2 20 39" xfId="9705"/>
    <cellStyle name="Dane wejściowe 2 20 39 2" xfId="9706"/>
    <cellStyle name="Dane wejściowe 2 20 39 3" xfId="9707"/>
    <cellStyle name="Dane wejściowe 2 20 4" xfId="9708"/>
    <cellStyle name="Dane wejściowe 2 20 4 2" xfId="9709"/>
    <cellStyle name="Dane wejściowe 2 20 4 3" xfId="9710"/>
    <cellStyle name="Dane wejściowe 2 20 4 4" xfId="9711"/>
    <cellStyle name="Dane wejściowe 2 20 40" xfId="9712"/>
    <cellStyle name="Dane wejściowe 2 20 40 2" xfId="9713"/>
    <cellStyle name="Dane wejściowe 2 20 40 3" xfId="9714"/>
    <cellStyle name="Dane wejściowe 2 20 41" xfId="9715"/>
    <cellStyle name="Dane wejściowe 2 20 41 2" xfId="9716"/>
    <cellStyle name="Dane wejściowe 2 20 41 3" xfId="9717"/>
    <cellStyle name="Dane wejściowe 2 20 42" xfId="9718"/>
    <cellStyle name="Dane wejściowe 2 20 42 2" xfId="9719"/>
    <cellStyle name="Dane wejściowe 2 20 42 3" xfId="9720"/>
    <cellStyle name="Dane wejściowe 2 20 43" xfId="9721"/>
    <cellStyle name="Dane wejściowe 2 20 43 2" xfId="9722"/>
    <cellStyle name="Dane wejściowe 2 20 43 3" xfId="9723"/>
    <cellStyle name="Dane wejściowe 2 20 44" xfId="9724"/>
    <cellStyle name="Dane wejściowe 2 20 44 2" xfId="9725"/>
    <cellStyle name="Dane wejściowe 2 20 44 3" xfId="9726"/>
    <cellStyle name="Dane wejściowe 2 20 45" xfId="9727"/>
    <cellStyle name="Dane wejściowe 2 20 45 2" xfId="9728"/>
    <cellStyle name="Dane wejściowe 2 20 45 3" xfId="9729"/>
    <cellStyle name="Dane wejściowe 2 20 46" xfId="9730"/>
    <cellStyle name="Dane wejściowe 2 20 46 2" xfId="9731"/>
    <cellStyle name="Dane wejściowe 2 20 46 3" xfId="9732"/>
    <cellStyle name="Dane wejściowe 2 20 47" xfId="9733"/>
    <cellStyle name="Dane wejściowe 2 20 47 2" xfId="9734"/>
    <cellStyle name="Dane wejściowe 2 20 47 3" xfId="9735"/>
    <cellStyle name="Dane wejściowe 2 20 48" xfId="9736"/>
    <cellStyle name="Dane wejściowe 2 20 48 2" xfId="9737"/>
    <cellStyle name="Dane wejściowe 2 20 48 3" xfId="9738"/>
    <cellStyle name="Dane wejściowe 2 20 49" xfId="9739"/>
    <cellStyle name="Dane wejściowe 2 20 49 2" xfId="9740"/>
    <cellStyle name="Dane wejściowe 2 20 49 3" xfId="9741"/>
    <cellStyle name="Dane wejściowe 2 20 5" xfId="9742"/>
    <cellStyle name="Dane wejściowe 2 20 5 2" xfId="9743"/>
    <cellStyle name="Dane wejściowe 2 20 5 3" xfId="9744"/>
    <cellStyle name="Dane wejściowe 2 20 5 4" xfId="9745"/>
    <cellStyle name="Dane wejściowe 2 20 50" xfId="9746"/>
    <cellStyle name="Dane wejściowe 2 20 50 2" xfId="9747"/>
    <cellStyle name="Dane wejściowe 2 20 50 3" xfId="9748"/>
    <cellStyle name="Dane wejściowe 2 20 51" xfId="9749"/>
    <cellStyle name="Dane wejściowe 2 20 51 2" xfId="9750"/>
    <cellStyle name="Dane wejściowe 2 20 51 3" xfId="9751"/>
    <cellStyle name="Dane wejściowe 2 20 52" xfId="9752"/>
    <cellStyle name="Dane wejściowe 2 20 52 2" xfId="9753"/>
    <cellStyle name="Dane wejściowe 2 20 52 3" xfId="9754"/>
    <cellStyle name="Dane wejściowe 2 20 53" xfId="9755"/>
    <cellStyle name="Dane wejściowe 2 20 53 2" xfId="9756"/>
    <cellStyle name="Dane wejściowe 2 20 53 3" xfId="9757"/>
    <cellStyle name="Dane wejściowe 2 20 54" xfId="9758"/>
    <cellStyle name="Dane wejściowe 2 20 54 2" xfId="9759"/>
    <cellStyle name="Dane wejściowe 2 20 54 3" xfId="9760"/>
    <cellStyle name="Dane wejściowe 2 20 55" xfId="9761"/>
    <cellStyle name="Dane wejściowe 2 20 55 2" xfId="9762"/>
    <cellStyle name="Dane wejściowe 2 20 55 3" xfId="9763"/>
    <cellStyle name="Dane wejściowe 2 20 56" xfId="9764"/>
    <cellStyle name="Dane wejściowe 2 20 56 2" xfId="9765"/>
    <cellStyle name="Dane wejściowe 2 20 56 3" xfId="9766"/>
    <cellStyle name="Dane wejściowe 2 20 57" xfId="9767"/>
    <cellStyle name="Dane wejściowe 2 20 58" xfId="9768"/>
    <cellStyle name="Dane wejściowe 2 20 6" xfId="9769"/>
    <cellStyle name="Dane wejściowe 2 20 6 2" xfId="9770"/>
    <cellStyle name="Dane wejściowe 2 20 6 3" xfId="9771"/>
    <cellStyle name="Dane wejściowe 2 20 6 4" xfId="9772"/>
    <cellStyle name="Dane wejściowe 2 20 7" xfId="9773"/>
    <cellStyle name="Dane wejściowe 2 20 7 2" xfId="9774"/>
    <cellStyle name="Dane wejściowe 2 20 7 3" xfId="9775"/>
    <cellStyle name="Dane wejściowe 2 20 7 4" xfId="9776"/>
    <cellStyle name="Dane wejściowe 2 20 8" xfId="9777"/>
    <cellStyle name="Dane wejściowe 2 20 8 2" xfId="9778"/>
    <cellStyle name="Dane wejściowe 2 20 8 3" xfId="9779"/>
    <cellStyle name="Dane wejściowe 2 20 8 4" xfId="9780"/>
    <cellStyle name="Dane wejściowe 2 20 9" xfId="9781"/>
    <cellStyle name="Dane wejściowe 2 20 9 2" xfId="9782"/>
    <cellStyle name="Dane wejściowe 2 20 9 3" xfId="9783"/>
    <cellStyle name="Dane wejściowe 2 20 9 4" xfId="9784"/>
    <cellStyle name="Dane wejściowe 2 21" xfId="9785"/>
    <cellStyle name="Dane wejściowe 2 21 10" xfId="9786"/>
    <cellStyle name="Dane wejściowe 2 21 10 2" xfId="9787"/>
    <cellStyle name="Dane wejściowe 2 21 10 3" xfId="9788"/>
    <cellStyle name="Dane wejściowe 2 21 10 4" xfId="9789"/>
    <cellStyle name="Dane wejściowe 2 21 11" xfId="9790"/>
    <cellStyle name="Dane wejściowe 2 21 11 2" xfId="9791"/>
    <cellStyle name="Dane wejściowe 2 21 11 3" xfId="9792"/>
    <cellStyle name="Dane wejściowe 2 21 11 4" xfId="9793"/>
    <cellStyle name="Dane wejściowe 2 21 12" xfId="9794"/>
    <cellStyle name="Dane wejściowe 2 21 12 2" xfId="9795"/>
    <cellStyle name="Dane wejściowe 2 21 12 3" xfId="9796"/>
    <cellStyle name="Dane wejściowe 2 21 12 4" xfId="9797"/>
    <cellStyle name="Dane wejściowe 2 21 13" xfId="9798"/>
    <cellStyle name="Dane wejściowe 2 21 13 2" xfId="9799"/>
    <cellStyle name="Dane wejściowe 2 21 13 3" xfId="9800"/>
    <cellStyle name="Dane wejściowe 2 21 13 4" xfId="9801"/>
    <cellStyle name="Dane wejściowe 2 21 14" xfId="9802"/>
    <cellStyle name="Dane wejściowe 2 21 14 2" xfId="9803"/>
    <cellStyle name="Dane wejściowe 2 21 14 3" xfId="9804"/>
    <cellStyle name="Dane wejściowe 2 21 14 4" xfId="9805"/>
    <cellStyle name="Dane wejściowe 2 21 15" xfId="9806"/>
    <cellStyle name="Dane wejściowe 2 21 15 2" xfId="9807"/>
    <cellStyle name="Dane wejściowe 2 21 15 3" xfId="9808"/>
    <cellStyle name="Dane wejściowe 2 21 15 4" xfId="9809"/>
    <cellStyle name="Dane wejściowe 2 21 16" xfId="9810"/>
    <cellStyle name="Dane wejściowe 2 21 16 2" xfId="9811"/>
    <cellStyle name="Dane wejściowe 2 21 16 3" xfId="9812"/>
    <cellStyle name="Dane wejściowe 2 21 16 4" xfId="9813"/>
    <cellStyle name="Dane wejściowe 2 21 17" xfId="9814"/>
    <cellStyle name="Dane wejściowe 2 21 17 2" xfId="9815"/>
    <cellStyle name="Dane wejściowe 2 21 17 3" xfId="9816"/>
    <cellStyle name="Dane wejściowe 2 21 17 4" xfId="9817"/>
    <cellStyle name="Dane wejściowe 2 21 18" xfId="9818"/>
    <cellStyle name="Dane wejściowe 2 21 18 2" xfId="9819"/>
    <cellStyle name="Dane wejściowe 2 21 18 3" xfId="9820"/>
    <cellStyle name="Dane wejściowe 2 21 18 4" xfId="9821"/>
    <cellStyle name="Dane wejściowe 2 21 19" xfId="9822"/>
    <cellStyle name="Dane wejściowe 2 21 19 2" xfId="9823"/>
    <cellStyle name="Dane wejściowe 2 21 19 3" xfId="9824"/>
    <cellStyle name="Dane wejściowe 2 21 19 4" xfId="9825"/>
    <cellStyle name="Dane wejściowe 2 21 2" xfId="9826"/>
    <cellStyle name="Dane wejściowe 2 21 2 2" xfId="9827"/>
    <cellStyle name="Dane wejściowe 2 21 2 3" xfId="9828"/>
    <cellStyle name="Dane wejściowe 2 21 2 4" xfId="9829"/>
    <cellStyle name="Dane wejściowe 2 21 20" xfId="9830"/>
    <cellStyle name="Dane wejściowe 2 21 20 2" xfId="9831"/>
    <cellStyle name="Dane wejściowe 2 21 20 3" xfId="9832"/>
    <cellStyle name="Dane wejściowe 2 21 20 4" xfId="9833"/>
    <cellStyle name="Dane wejściowe 2 21 21" xfId="9834"/>
    <cellStyle name="Dane wejściowe 2 21 21 2" xfId="9835"/>
    <cellStyle name="Dane wejściowe 2 21 21 3" xfId="9836"/>
    <cellStyle name="Dane wejściowe 2 21 22" xfId="9837"/>
    <cellStyle name="Dane wejściowe 2 21 22 2" xfId="9838"/>
    <cellStyle name="Dane wejściowe 2 21 22 3" xfId="9839"/>
    <cellStyle name="Dane wejściowe 2 21 23" xfId="9840"/>
    <cellStyle name="Dane wejściowe 2 21 23 2" xfId="9841"/>
    <cellStyle name="Dane wejściowe 2 21 23 3" xfId="9842"/>
    <cellStyle name="Dane wejściowe 2 21 24" xfId="9843"/>
    <cellStyle name="Dane wejściowe 2 21 24 2" xfId="9844"/>
    <cellStyle name="Dane wejściowe 2 21 24 3" xfId="9845"/>
    <cellStyle name="Dane wejściowe 2 21 25" xfId="9846"/>
    <cellStyle name="Dane wejściowe 2 21 25 2" xfId="9847"/>
    <cellStyle name="Dane wejściowe 2 21 25 3" xfId="9848"/>
    <cellStyle name="Dane wejściowe 2 21 26" xfId="9849"/>
    <cellStyle name="Dane wejściowe 2 21 26 2" xfId="9850"/>
    <cellStyle name="Dane wejściowe 2 21 26 3" xfId="9851"/>
    <cellStyle name="Dane wejściowe 2 21 27" xfId="9852"/>
    <cellStyle name="Dane wejściowe 2 21 27 2" xfId="9853"/>
    <cellStyle name="Dane wejściowe 2 21 27 3" xfId="9854"/>
    <cellStyle name="Dane wejściowe 2 21 28" xfId="9855"/>
    <cellStyle name="Dane wejściowe 2 21 28 2" xfId="9856"/>
    <cellStyle name="Dane wejściowe 2 21 28 3" xfId="9857"/>
    <cellStyle name="Dane wejściowe 2 21 29" xfId="9858"/>
    <cellStyle name="Dane wejściowe 2 21 29 2" xfId="9859"/>
    <cellStyle name="Dane wejściowe 2 21 29 3" xfId="9860"/>
    <cellStyle name="Dane wejściowe 2 21 3" xfId="9861"/>
    <cellStyle name="Dane wejściowe 2 21 3 2" xfId="9862"/>
    <cellStyle name="Dane wejściowe 2 21 3 3" xfId="9863"/>
    <cellStyle name="Dane wejściowe 2 21 3 4" xfId="9864"/>
    <cellStyle name="Dane wejściowe 2 21 30" xfId="9865"/>
    <cellStyle name="Dane wejściowe 2 21 30 2" xfId="9866"/>
    <cellStyle name="Dane wejściowe 2 21 30 3" xfId="9867"/>
    <cellStyle name="Dane wejściowe 2 21 31" xfId="9868"/>
    <cellStyle name="Dane wejściowe 2 21 31 2" xfId="9869"/>
    <cellStyle name="Dane wejściowe 2 21 31 3" xfId="9870"/>
    <cellStyle name="Dane wejściowe 2 21 32" xfId="9871"/>
    <cellStyle name="Dane wejściowe 2 21 32 2" xfId="9872"/>
    <cellStyle name="Dane wejściowe 2 21 32 3" xfId="9873"/>
    <cellStyle name="Dane wejściowe 2 21 33" xfId="9874"/>
    <cellStyle name="Dane wejściowe 2 21 33 2" xfId="9875"/>
    <cellStyle name="Dane wejściowe 2 21 33 3" xfId="9876"/>
    <cellStyle name="Dane wejściowe 2 21 34" xfId="9877"/>
    <cellStyle name="Dane wejściowe 2 21 34 2" xfId="9878"/>
    <cellStyle name="Dane wejściowe 2 21 34 3" xfId="9879"/>
    <cellStyle name="Dane wejściowe 2 21 35" xfId="9880"/>
    <cellStyle name="Dane wejściowe 2 21 35 2" xfId="9881"/>
    <cellStyle name="Dane wejściowe 2 21 35 3" xfId="9882"/>
    <cellStyle name="Dane wejściowe 2 21 36" xfId="9883"/>
    <cellStyle name="Dane wejściowe 2 21 36 2" xfId="9884"/>
    <cellStyle name="Dane wejściowe 2 21 36 3" xfId="9885"/>
    <cellStyle name="Dane wejściowe 2 21 37" xfId="9886"/>
    <cellStyle name="Dane wejściowe 2 21 37 2" xfId="9887"/>
    <cellStyle name="Dane wejściowe 2 21 37 3" xfId="9888"/>
    <cellStyle name="Dane wejściowe 2 21 38" xfId="9889"/>
    <cellStyle name="Dane wejściowe 2 21 38 2" xfId="9890"/>
    <cellStyle name="Dane wejściowe 2 21 38 3" xfId="9891"/>
    <cellStyle name="Dane wejściowe 2 21 39" xfId="9892"/>
    <cellStyle name="Dane wejściowe 2 21 39 2" xfId="9893"/>
    <cellStyle name="Dane wejściowe 2 21 39 3" xfId="9894"/>
    <cellStyle name="Dane wejściowe 2 21 4" xfId="9895"/>
    <cellStyle name="Dane wejściowe 2 21 4 2" xfId="9896"/>
    <cellStyle name="Dane wejściowe 2 21 4 3" xfId="9897"/>
    <cellStyle name="Dane wejściowe 2 21 4 4" xfId="9898"/>
    <cellStyle name="Dane wejściowe 2 21 40" xfId="9899"/>
    <cellStyle name="Dane wejściowe 2 21 40 2" xfId="9900"/>
    <cellStyle name="Dane wejściowe 2 21 40 3" xfId="9901"/>
    <cellStyle name="Dane wejściowe 2 21 41" xfId="9902"/>
    <cellStyle name="Dane wejściowe 2 21 41 2" xfId="9903"/>
    <cellStyle name="Dane wejściowe 2 21 41 3" xfId="9904"/>
    <cellStyle name="Dane wejściowe 2 21 42" xfId="9905"/>
    <cellStyle name="Dane wejściowe 2 21 42 2" xfId="9906"/>
    <cellStyle name="Dane wejściowe 2 21 42 3" xfId="9907"/>
    <cellStyle name="Dane wejściowe 2 21 43" xfId="9908"/>
    <cellStyle name="Dane wejściowe 2 21 43 2" xfId="9909"/>
    <cellStyle name="Dane wejściowe 2 21 43 3" xfId="9910"/>
    <cellStyle name="Dane wejściowe 2 21 44" xfId="9911"/>
    <cellStyle name="Dane wejściowe 2 21 44 2" xfId="9912"/>
    <cellStyle name="Dane wejściowe 2 21 44 3" xfId="9913"/>
    <cellStyle name="Dane wejściowe 2 21 45" xfId="9914"/>
    <cellStyle name="Dane wejściowe 2 21 45 2" xfId="9915"/>
    <cellStyle name="Dane wejściowe 2 21 45 3" xfId="9916"/>
    <cellStyle name="Dane wejściowe 2 21 46" xfId="9917"/>
    <cellStyle name="Dane wejściowe 2 21 46 2" xfId="9918"/>
    <cellStyle name="Dane wejściowe 2 21 46 3" xfId="9919"/>
    <cellStyle name="Dane wejściowe 2 21 47" xfId="9920"/>
    <cellStyle name="Dane wejściowe 2 21 47 2" xfId="9921"/>
    <cellStyle name="Dane wejściowe 2 21 47 3" xfId="9922"/>
    <cellStyle name="Dane wejściowe 2 21 48" xfId="9923"/>
    <cellStyle name="Dane wejściowe 2 21 48 2" xfId="9924"/>
    <cellStyle name="Dane wejściowe 2 21 48 3" xfId="9925"/>
    <cellStyle name="Dane wejściowe 2 21 49" xfId="9926"/>
    <cellStyle name="Dane wejściowe 2 21 49 2" xfId="9927"/>
    <cellStyle name="Dane wejściowe 2 21 49 3" xfId="9928"/>
    <cellStyle name="Dane wejściowe 2 21 5" xfId="9929"/>
    <cellStyle name="Dane wejściowe 2 21 5 2" xfId="9930"/>
    <cellStyle name="Dane wejściowe 2 21 5 3" xfId="9931"/>
    <cellStyle name="Dane wejściowe 2 21 5 4" xfId="9932"/>
    <cellStyle name="Dane wejściowe 2 21 50" xfId="9933"/>
    <cellStyle name="Dane wejściowe 2 21 50 2" xfId="9934"/>
    <cellStyle name="Dane wejściowe 2 21 50 3" xfId="9935"/>
    <cellStyle name="Dane wejściowe 2 21 51" xfId="9936"/>
    <cellStyle name="Dane wejściowe 2 21 51 2" xfId="9937"/>
    <cellStyle name="Dane wejściowe 2 21 51 3" xfId="9938"/>
    <cellStyle name="Dane wejściowe 2 21 52" xfId="9939"/>
    <cellStyle name="Dane wejściowe 2 21 52 2" xfId="9940"/>
    <cellStyle name="Dane wejściowe 2 21 52 3" xfId="9941"/>
    <cellStyle name="Dane wejściowe 2 21 53" xfId="9942"/>
    <cellStyle name="Dane wejściowe 2 21 53 2" xfId="9943"/>
    <cellStyle name="Dane wejściowe 2 21 53 3" xfId="9944"/>
    <cellStyle name="Dane wejściowe 2 21 54" xfId="9945"/>
    <cellStyle name="Dane wejściowe 2 21 54 2" xfId="9946"/>
    <cellStyle name="Dane wejściowe 2 21 54 3" xfId="9947"/>
    <cellStyle name="Dane wejściowe 2 21 55" xfId="9948"/>
    <cellStyle name="Dane wejściowe 2 21 55 2" xfId="9949"/>
    <cellStyle name="Dane wejściowe 2 21 55 3" xfId="9950"/>
    <cellStyle name="Dane wejściowe 2 21 56" xfId="9951"/>
    <cellStyle name="Dane wejściowe 2 21 56 2" xfId="9952"/>
    <cellStyle name="Dane wejściowe 2 21 56 3" xfId="9953"/>
    <cellStyle name="Dane wejściowe 2 21 57" xfId="9954"/>
    <cellStyle name="Dane wejściowe 2 21 58" xfId="9955"/>
    <cellStyle name="Dane wejściowe 2 21 6" xfId="9956"/>
    <cellStyle name="Dane wejściowe 2 21 6 2" xfId="9957"/>
    <cellStyle name="Dane wejściowe 2 21 6 3" xfId="9958"/>
    <cellStyle name="Dane wejściowe 2 21 6 4" xfId="9959"/>
    <cellStyle name="Dane wejściowe 2 21 7" xfId="9960"/>
    <cellStyle name="Dane wejściowe 2 21 7 2" xfId="9961"/>
    <cellStyle name="Dane wejściowe 2 21 7 3" xfId="9962"/>
    <cellStyle name="Dane wejściowe 2 21 7 4" xfId="9963"/>
    <cellStyle name="Dane wejściowe 2 21 8" xfId="9964"/>
    <cellStyle name="Dane wejściowe 2 21 8 2" xfId="9965"/>
    <cellStyle name="Dane wejściowe 2 21 8 3" xfId="9966"/>
    <cellStyle name="Dane wejściowe 2 21 8 4" xfId="9967"/>
    <cellStyle name="Dane wejściowe 2 21 9" xfId="9968"/>
    <cellStyle name="Dane wejściowe 2 21 9 2" xfId="9969"/>
    <cellStyle name="Dane wejściowe 2 21 9 3" xfId="9970"/>
    <cellStyle name="Dane wejściowe 2 21 9 4" xfId="9971"/>
    <cellStyle name="Dane wejściowe 2 22" xfId="9972"/>
    <cellStyle name="Dane wejściowe 2 22 10" xfId="9973"/>
    <cellStyle name="Dane wejściowe 2 22 10 2" xfId="9974"/>
    <cellStyle name="Dane wejściowe 2 22 10 3" xfId="9975"/>
    <cellStyle name="Dane wejściowe 2 22 10 4" xfId="9976"/>
    <cellStyle name="Dane wejściowe 2 22 11" xfId="9977"/>
    <cellStyle name="Dane wejściowe 2 22 11 2" xfId="9978"/>
    <cellStyle name="Dane wejściowe 2 22 11 3" xfId="9979"/>
    <cellStyle name="Dane wejściowe 2 22 11 4" xfId="9980"/>
    <cellStyle name="Dane wejściowe 2 22 12" xfId="9981"/>
    <cellStyle name="Dane wejściowe 2 22 12 2" xfId="9982"/>
    <cellStyle name="Dane wejściowe 2 22 12 3" xfId="9983"/>
    <cellStyle name="Dane wejściowe 2 22 12 4" xfId="9984"/>
    <cellStyle name="Dane wejściowe 2 22 13" xfId="9985"/>
    <cellStyle name="Dane wejściowe 2 22 13 2" xfId="9986"/>
    <cellStyle name="Dane wejściowe 2 22 13 3" xfId="9987"/>
    <cellStyle name="Dane wejściowe 2 22 13 4" xfId="9988"/>
    <cellStyle name="Dane wejściowe 2 22 14" xfId="9989"/>
    <cellStyle name="Dane wejściowe 2 22 14 2" xfId="9990"/>
    <cellStyle name="Dane wejściowe 2 22 14 3" xfId="9991"/>
    <cellStyle name="Dane wejściowe 2 22 14 4" xfId="9992"/>
    <cellStyle name="Dane wejściowe 2 22 15" xfId="9993"/>
    <cellStyle name="Dane wejściowe 2 22 15 2" xfId="9994"/>
    <cellStyle name="Dane wejściowe 2 22 15 3" xfId="9995"/>
    <cellStyle name="Dane wejściowe 2 22 15 4" xfId="9996"/>
    <cellStyle name="Dane wejściowe 2 22 16" xfId="9997"/>
    <cellStyle name="Dane wejściowe 2 22 16 2" xfId="9998"/>
    <cellStyle name="Dane wejściowe 2 22 16 3" xfId="9999"/>
    <cellStyle name="Dane wejściowe 2 22 16 4" xfId="10000"/>
    <cellStyle name="Dane wejściowe 2 22 17" xfId="10001"/>
    <cellStyle name="Dane wejściowe 2 22 17 2" xfId="10002"/>
    <cellStyle name="Dane wejściowe 2 22 17 3" xfId="10003"/>
    <cellStyle name="Dane wejściowe 2 22 17 4" xfId="10004"/>
    <cellStyle name="Dane wejściowe 2 22 18" xfId="10005"/>
    <cellStyle name="Dane wejściowe 2 22 18 2" xfId="10006"/>
    <cellStyle name="Dane wejściowe 2 22 18 3" xfId="10007"/>
    <cellStyle name="Dane wejściowe 2 22 18 4" xfId="10008"/>
    <cellStyle name="Dane wejściowe 2 22 19" xfId="10009"/>
    <cellStyle name="Dane wejściowe 2 22 19 2" xfId="10010"/>
    <cellStyle name="Dane wejściowe 2 22 19 3" xfId="10011"/>
    <cellStyle name="Dane wejściowe 2 22 19 4" xfId="10012"/>
    <cellStyle name="Dane wejściowe 2 22 2" xfId="10013"/>
    <cellStyle name="Dane wejściowe 2 22 2 2" xfId="10014"/>
    <cellStyle name="Dane wejściowe 2 22 2 3" xfId="10015"/>
    <cellStyle name="Dane wejściowe 2 22 2 4" xfId="10016"/>
    <cellStyle name="Dane wejściowe 2 22 20" xfId="10017"/>
    <cellStyle name="Dane wejściowe 2 22 20 2" xfId="10018"/>
    <cellStyle name="Dane wejściowe 2 22 20 3" xfId="10019"/>
    <cellStyle name="Dane wejściowe 2 22 20 4" xfId="10020"/>
    <cellStyle name="Dane wejściowe 2 22 21" xfId="10021"/>
    <cellStyle name="Dane wejściowe 2 22 21 2" xfId="10022"/>
    <cellStyle name="Dane wejściowe 2 22 21 3" xfId="10023"/>
    <cellStyle name="Dane wejściowe 2 22 22" xfId="10024"/>
    <cellStyle name="Dane wejściowe 2 22 22 2" xfId="10025"/>
    <cellStyle name="Dane wejściowe 2 22 22 3" xfId="10026"/>
    <cellStyle name="Dane wejściowe 2 22 23" xfId="10027"/>
    <cellStyle name="Dane wejściowe 2 22 23 2" xfId="10028"/>
    <cellStyle name="Dane wejściowe 2 22 23 3" xfId="10029"/>
    <cellStyle name="Dane wejściowe 2 22 24" xfId="10030"/>
    <cellStyle name="Dane wejściowe 2 22 24 2" xfId="10031"/>
    <cellStyle name="Dane wejściowe 2 22 24 3" xfId="10032"/>
    <cellStyle name="Dane wejściowe 2 22 25" xfId="10033"/>
    <cellStyle name="Dane wejściowe 2 22 25 2" xfId="10034"/>
    <cellStyle name="Dane wejściowe 2 22 25 3" xfId="10035"/>
    <cellStyle name="Dane wejściowe 2 22 26" xfId="10036"/>
    <cellStyle name="Dane wejściowe 2 22 26 2" xfId="10037"/>
    <cellStyle name="Dane wejściowe 2 22 26 3" xfId="10038"/>
    <cellStyle name="Dane wejściowe 2 22 27" xfId="10039"/>
    <cellStyle name="Dane wejściowe 2 22 27 2" xfId="10040"/>
    <cellStyle name="Dane wejściowe 2 22 27 3" xfId="10041"/>
    <cellStyle name="Dane wejściowe 2 22 28" xfId="10042"/>
    <cellStyle name="Dane wejściowe 2 22 28 2" xfId="10043"/>
    <cellStyle name="Dane wejściowe 2 22 28 3" xfId="10044"/>
    <cellStyle name="Dane wejściowe 2 22 29" xfId="10045"/>
    <cellStyle name="Dane wejściowe 2 22 29 2" xfId="10046"/>
    <cellStyle name="Dane wejściowe 2 22 29 3" xfId="10047"/>
    <cellStyle name="Dane wejściowe 2 22 3" xfId="10048"/>
    <cellStyle name="Dane wejściowe 2 22 3 2" xfId="10049"/>
    <cellStyle name="Dane wejściowe 2 22 3 3" xfId="10050"/>
    <cellStyle name="Dane wejściowe 2 22 3 4" xfId="10051"/>
    <cellStyle name="Dane wejściowe 2 22 30" xfId="10052"/>
    <cellStyle name="Dane wejściowe 2 22 30 2" xfId="10053"/>
    <cellStyle name="Dane wejściowe 2 22 30 3" xfId="10054"/>
    <cellStyle name="Dane wejściowe 2 22 31" xfId="10055"/>
    <cellStyle name="Dane wejściowe 2 22 31 2" xfId="10056"/>
    <cellStyle name="Dane wejściowe 2 22 31 3" xfId="10057"/>
    <cellStyle name="Dane wejściowe 2 22 32" xfId="10058"/>
    <cellStyle name="Dane wejściowe 2 22 32 2" xfId="10059"/>
    <cellStyle name="Dane wejściowe 2 22 32 3" xfId="10060"/>
    <cellStyle name="Dane wejściowe 2 22 33" xfId="10061"/>
    <cellStyle name="Dane wejściowe 2 22 33 2" xfId="10062"/>
    <cellStyle name="Dane wejściowe 2 22 33 3" xfId="10063"/>
    <cellStyle name="Dane wejściowe 2 22 34" xfId="10064"/>
    <cellStyle name="Dane wejściowe 2 22 34 2" xfId="10065"/>
    <cellStyle name="Dane wejściowe 2 22 34 3" xfId="10066"/>
    <cellStyle name="Dane wejściowe 2 22 35" xfId="10067"/>
    <cellStyle name="Dane wejściowe 2 22 35 2" xfId="10068"/>
    <cellStyle name="Dane wejściowe 2 22 35 3" xfId="10069"/>
    <cellStyle name="Dane wejściowe 2 22 36" xfId="10070"/>
    <cellStyle name="Dane wejściowe 2 22 36 2" xfId="10071"/>
    <cellStyle name="Dane wejściowe 2 22 36 3" xfId="10072"/>
    <cellStyle name="Dane wejściowe 2 22 37" xfId="10073"/>
    <cellStyle name="Dane wejściowe 2 22 37 2" xfId="10074"/>
    <cellStyle name="Dane wejściowe 2 22 37 3" xfId="10075"/>
    <cellStyle name="Dane wejściowe 2 22 38" xfId="10076"/>
    <cellStyle name="Dane wejściowe 2 22 38 2" xfId="10077"/>
    <cellStyle name="Dane wejściowe 2 22 38 3" xfId="10078"/>
    <cellStyle name="Dane wejściowe 2 22 39" xfId="10079"/>
    <cellStyle name="Dane wejściowe 2 22 39 2" xfId="10080"/>
    <cellStyle name="Dane wejściowe 2 22 39 3" xfId="10081"/>
    <cellStyle name="Dane wejściowe 2 22 4" xfId="10082"/>
    <cellStyle name="Dane wejściowe 2 22 4 2" xfId="10083"/>
    <cellStyle name="Dane wejściowe 2 22 4 3" xfId="10084"/>
    <cellStyle name="Dane wejściowe 2 22 4 4" xfId="10085"/>
    <cellStyle name="Dane wejściowe 2 22 40" xfId="10086"/>
    <cellStyle name="Dane wejściowe 2 22 40 2" xfId="10087"/>
    <cellStyle name="Dane wejściowe 2 22 40 3" xfId="10088"/>
    <cellStyle name="Dane wejściowe 2 22 41" xfId="10089"/>
    <cellStyle name="Dane wejściowe 2 22 41 2" xfId="10090"/>
    <cellStyle name="Dane wejściowe 2 22 41 3" xfId="10091"/>
    <cellStyle name="Dane wejściowe 2 22 42" xfId="10092"/>
    <cellStyle name="Dane wejściowe 2 22 42 2" xfId="10093"/>
    <cellStyle name="Dane wejściowe 2 22 42 3" xfId="10094"/>
    <cellStyle name="Dane wejściowe 2 22 43" xfId="10095"/>
    <cellStyle name="Dane wejściowe 2 22 43 2" xfId="10096"/>
    <cellStyle name="Dane wejściowe 2 22 43 3" xfId="10097"/>
    <cellStyle name="Dane wejściowe 2 22 44" xfId="10098"/>
    <cellStyle name="Dane wejściowe 2 22 44 2" xfId="10099"/>
    <cellStyle name="Dane wejściowe 2 22 44 3" xfId="10100"/>
    <cellStyle name="Dane wejściowe 2 22 45" xfId="10101"/>
    <cellStyle name="Dane wejściowe 2 22 45 2" xfId="10102"/>
    <cellStyle name="Dane wejściowe 2 22 45 3" xfId="10103"/>
    <cellStyle name="Dane wejściowe 2 22 46" xfId="10104"/>
    <cellStyle name="Dane wejściowe 2 22 46 2" xfId="10105"/>
    <cellStyle name="Dane wejściowe 2 22 46 3" xfId="10106"/>
    <cellStyle name="Dane wejściowe 2 22 47" xfId="10107"/>
    <cellStyle name="Dane wejściowe 2 22 47 2" xfId="10108"/>
    <cellStyle name="Dane wejściowe 2 22 47 3" xfId="10109"/>
    <cellStyle name="Dane wejściowe 2 22 48" xfId="10110"/>
    <cellStyle name="Dane wejściowe 2 22 48 2" xfId="10111"/>
    <cellStyle name="Dane wejściowe 2 22 48 3" xfId="10112"/>
    <cellStyle name="Dane wejściowe 2 22 49" xfId="10113"/>
    <cellStyle name="Dane wejściowe 2 22 49 2" xfId="10114"/>
    <cellStyle name="Dane wejściowe 2 22 49 3" xfId="10115"/>
    <cellStyle name="Dane wejściowe 2 22 5" xfId="10116"/>
    <cellStyle name="Dane wejściowe 2 22 5 2" xfId="10117"/>
    <cellStyle name="Dane wejściowe 2 22 5 3" xfId="10118"/>
    <cellStyle name="Dane wejściowe 2 22 5 4" xfId="10119"/>
    <cellStyle name="Dane wejściowe 2 22 50" xfId="10120"/>
    <cellStyle name="Dane wejściowe 2 22 50 2" xfId="10121"/>
    <cellStyle name="Dane wejściowe 2 22 50 3" xfId="10122"/>
    <cellStyle name="Dane wejściowe 2 22 51" xfId="10123"/>
    <cellStyle name="Dane wejściowe 2 22 51 2" xfId="10124"/>
    <cellStyle name="Dane wejściowe 2 22 51 3" xfId="10125"/>
    <cellStyle name="Dane wejściowe 2 22 52" xfId="10126"/>
    <cellStyle name="Dane wejściowe 2 22 52 2" xfId="10127"/>
    <cellStyle name="Dane wejściowe 2 22 52 3" xfId="10128"/>
    <cellStyle name="Dane wejściowe 2 22 53" xfId="10129"/>
    <cellStyle name="Dane wejściowe 2 22 53 2" xfId="10130"/>
    <cellStyle name="Dane wejściowe 2 22 53 3" xfId="10131"/>
    <cellStyle name="Dane wejściowe 2 22 54" xfId="10132"/>
    <cellStyle name="Dane wejściowe 2 22 54 2" xfId="10133"/>
    <cellStyle name="Dane wejściowe 2 22 54 3" xfId="10134"/>
    <cellStyle name="Dane wejściowe 2 22 55" xfId="10135"/>
    <cellStyle name="Dane wejściowe 2 22 55 2" xfId="10136"/>
    <cellStyle name="Dane wejściowe 2 22 55 3" xfId="10137"/>
    <cellStyle name="Dane wejściowe 2 22 56" xfId="10138"/>
    <cellStyle name="Dane wejściowe 2 22 56 2" xfId="10139"/>
    <cellStyle name="Dane wejściowe 2 22 56 3" xfId="10140"/>
    <cellStyle name="Dane wejściowe 2 22 57" xfId="10141"/>
    <cellStyle name="Dane wejściowe 2 22 58" xfId="10142"/>
    <cellStyle name="Dane wejściowe 2 22 6" xfId="10143"/>
    <cellStyle name="Dane wejściowe 2 22 6 2" xfId="10144"/>
    <cellStyle name="Dane wejściowe 2 22 6 3" xfId="10145"/>
    <cellStyle name="Dane wejściowe 2 22 6 4" xfId="10146"/>
    <cellStyle name="Dane wejściowe 2 22 7" xfId="10147"/>
    <cellStyle name="Dane wejściowe 2 22 7 2" xfId="10148"/>
    <cellStyle name="Dane wejściowe 2 22 7 3" xfId="10149"/>
    <cellStyle name="Dane wejściowe 2 22 7 4" xfId="10150"/>
    <cellStyle name="Dane wejściowe 2 22 8" xfId="10151"/>
    <cellStyle name="Dane wejściowe 2 22 8 2" xfId="10152"/>
    <cellStyle name="Dane wejściowe 2 22 8 3" xfId="10153"/>
    <cellStyle name="Dane wejściowe 2 22 8 4" xfId="10154"/>
    <cellStyle name="Dane wejściowe 2 22 9" xfId="10155"/>
    <cellStyle name="Dane wejściowe 2 22 9 2" xfId="10156"/>
    <cellStyle name="Dane wejściowe 2 22 9 3" xfId="10157"/>
    <cellStyle name="Dane wejściowe 2 22 9 4" xfId="10158"/>
    <cellStyle name="Dane wejściowe 2 23" xfId="10159"/>
    <cellStyle name="Dane wejściowe 2 23 10" xfId="10160"/>
    <cellStyle name="Dane wejściowe 2 23 10 2" xfId="10161"/>
    <cellStyle name="Dane wejściowe 2 23 10 3" xfId="10162"/>
    <cellStyle name="Dane wejściowe 2 23 10 4" xfId="10163"/>
    <cellStyle name="Dane wejściowe 2 23 11" xfId="10164"/>
    <cellStyle name="Dane wejściowe 2 23 11 2" xfId="10165"/>
    <cellStyle name="Dane wejściowe 2 23 11 3" xfId="10166"/>
    <cellStyle name="Dane wejściowe 2 23 11 4" xfId="10167"/>
    <cellStyle name="Dane wejściowe 2 23 12" xfId="10168"/>
    <cellStyle name="Dane wejściowe 2 23 12 2" xfId="10169"/>
    <cellStyle name="Dane wejściowe 2 23 12 3" xfId="10170"/>
    <cellStyle name="Dane wejściowe 2 23 12 4" xfId="10171"/>
    <cellStyle name="Dane wejściowe 2 23 13" xfId="10172"/>
    <cellStyle name="Dane wejściowe 2 23 13 2" xfId="10173"/>
    <cellStyle name="Dane wejściowe 2 23 13 3" xfId="10174"/>
    <cellStyle name="Dane wejściowe 2 23 13 4" xfId="10175"/>
    <cellStyle name="Dane wejściowe 2 23 14" xfId="10176"/>
    <cellStyle name="Dane wejściowe 2 23 14 2" xfId="10177"/>
    <cellStyle name="Dane wejściowe 2 23 14 3" xfId="10178"/>
    <cellStyle name="Dane wejściowe 2 23 14 4" xfId="10179"/>
    <cellStyle name="Dane wejściowe 2 23 15" xfId="10180"/>
    <cellStyle name="Dane wejściowe 2 23 15 2" xfId="10181"/>
    <cellStyle name="Dane wejściowe 2 23 15 3" xfId="10182"/>
    <cellStyle name="Dane wejściowe 2 23 15 4" xfId="10183"/>
    <cellStyle name="Dane wejściowe 2 23 16" xfId="10184"/>
    <cellStyle name="Dane wejściowe 2 23 16 2" xfId="10185"/>
    <cellStyle name="Dane wejściowe 2 23 16 3" xfId="10186"/>
    <cellStyle name="Dane wejściowe 2 23 16 4" xfId="10187"/>
    <cellStyle name="Dane wejściowe 2 23 17" xfId="10188"/>
    <cellStyle name="Dane wejściowe 2 23 17 2" xfId="10189"/>
    <cellStyle name="Dane wejściowe 2 23 17 3" xfId="10190"/>
    <cellStyle name="Dane wejściowe 2 23 17 4" xfId="10191"/>
    <cellStyle name="Dane wejściowe 2 23 18" xfId="10192"/>
    <cellStyle name="Dane wejściowe 2 23 18 2" xfId="10193"/>
    <cellStyle name="Dane wejściowe 2 23 18 3" xfId="10194"/>
    <cellStyle name="Dane wejściowe 2 23 18 4" xfId="10195"/>
    <cellStyle name="Dane wejściowe 2 23 19" xfId="10196"/>
    <cellStyle name="Dane wejściowe 2 23 19 2" xfId="10197"/>
    <cellStyle name="Dane wejściowe 2 23 19 3" xfId="10198"/>
    <cellStyle name="Dane wejściowe 2 23 19 4" xfId="10199"/>
    <cellStyle name="Dane wejściowe 2 23 2" xfId="10200"/>
    <cellStyle name="Dane wejściowe 2 23 2 2" xfId="10201"/>
    <cellStyle name="Dane wejściowe 2 23 2 3" xfId="10202"/>
    <cellStyle name="Dane wejściowe 2 23 2 4" xfId="10203"/>
    <cellStyle name="Dane wejściowe 2 23 20" xfId="10204"/>
    <cellStyle name="Dane wejściowe 2 23 20 2" xfId="10205"/>
    <cellStyle name="Dane wejściowe 2 23 20 3" xfId="10206"/>
    <cellStyle name="Dane wejściowe 2 23 20 4" xfId="10207"/>
    <cellStyle name="Dane wejściowe 2 23 21" xfId="10208"/>
    <cellStyle name="Dane wejściowe 2 23 21 2" xfId="10209"/>
    <cellStyle name="Dane wejściowe 2 23 21 3" xfId="10210"/>
    <cellStyle name="Dane wejściowe 2 23 22" xfId="10211"/>
    <cellStyle name="Dane wejściowe 2 23 22 2" xfId="10212"/>
    <cellStyle name="Dane wejściowe 2 23 22 3" xfId="10213"/>
    <cellStyle name="Dane wejściowe 2 23 23" xfId="10214"/>
    <cellStyle name="Dane wejściowe 2 23 23 2" xfId="10215"/>
    <cellStyle name="Dane wejściowe 2 23 23 3" xfId="10216"/>
    <cellStyle name="Dane wejściowe 2 23 24" xfId="10217"/>
    <cellStyle name="Dane wejściowe 2 23 24 2" xfId="10218"/>
    <cellStyle name="Dane wejściowe 2 23 24 3" xfId="10219"/>
    <cellStyle name="Dane wejściowe 2 23 25" xfId="10220"/>
    <cellStyle name="Dane wejściowe 2 23 25 2" xfId="10221"/>
    <cellStyle name="Dane wejściowe 2 23 25 3" xfId="10222"/>
    <cellStyle name="Dane wejściowe 2 23 26" xfId="10223"/>
    <cellStyle name="Dane wejściowe 2 23 26 2" xfId="10224"/>
    <cellStyle name="Dane wejściowe 2 23 26 3" xfId="10225"/>
    <cellStyle name="Dane wejściowe 2 23 27" xfId="10226"/>
    <cellStyle name="Dane wejściowe 2 23 27 2" xfId="10227"/>
    <cellStyle name="Dane wejściowe 2 23 27 3" xfId="10228"/>
    <cellStyle name="Dane wejściowe 2 23 28" xfId="10229"/>
    <cellStyle name="Dane wejściowe 2 23 28 2" xfId="10230"/>
    <cellStyle name="Dane wejściowe 2 23 28 3" xfId="10231"/>
    <cellStyle name="Dane wejściowe 2 23 29" xfId="10232"/>
    <cellStyle name="Dane wejściowe 2 23 29 2" xfId="10233"/>
    <cellStyle name="Dane wejściowe 2 23 29 3" xfId="10234"/>
    <cellStyle name="Dane wejściowe 2 23 3" xfId="10235"/>
    <cellStyle name="Dane wejściowe 2 23 3 2" xfId="10236"/>
    <cellStyle name="Dane wejściowe 2 23 3 3" xfId="10237"/>
    <cellStyle name="Dane wejściowe 2 23 3 4" xfId="10238"/>
    <cellStyle name="Dane wejściowe 2 23 30" xfId="10239"/>
    <cellStyle name="Dane wejściowe 2 23 30 2" xfId="10240"/>
    <cellStyle name="Dane wejściowe 2 23 30 3" xfId="10241"/>
    <cellStyle name="Dane wejściowe 2 23 31" xfId="10242"/>
    <cellStyle name="Dane wejściowe 2 23 31 2" xfId="10243"/>
    <cellStyle name="Dane wejściowe 2 23 31 3" xfId="10244"/>
    <cellStyle name="Dane wejściowe 2 23 32" xfId="10245"/>
    <cellStyle name="Dane wejściowe 2 23 32 2" xfId="10246"/>
    <cellStyle name="Dane wejściowe 2 23 32 3" xfId="10247"/>
    <cellStyle name="Dane wejściowe 2 23 33" xfId="10248"/>
    <cellStyle name="Dane wejściowe 2 23 33 2" xfId="10249"/>
    <cellStyle name="Dane wejściowe 2 23 33 3" xfId="10250"/>
    <cellStyle name="Dane wejściowe 2 23 34" xfId="10251"/>
    <cellStyle name="Dane wejściowe 2 23 34 2" xfId="10252"/>
    <cellStyle name="Dane wejściowe 2 23 34 3" xfId="10253"/>
    <cellStyle name="Dane wejściowe 2 23 35" xfId="10254"/>
    <cellStyle name="Dane wejściowe 2 23 35 2" xfId="10255"/>
    <cellStyle name="Dane wejściowe 2 23 35 3" xfId="10256"/>
    <cellStyle name="Dane wejściowe 2 23 36" xfId="10257"/>
    <cellStyle name="Dane wejściowe 2 23 36 2" xfId="10258"/>
    <cellStyle name="Dane wejściowe 2 23 36 3" xfId="10259"/>
    <cellStyle name="Dane wejściowe 2 23 37" xfId="10260"/>
    <cellStyle name="Dane wejściowe 2 23 37 2" xfId="10261"/>
    <cellStyle name="Dane wejściowe 2 23 37 3" xfId="10262"/>
    <cellStyle name="Dane wejściowe 2 23 38" xfId="10263"/>
    <cellStyle name="Dane wejściowe 2 23 38 2" xfId="10264"/>
    <cellStyle name="Dane wejściowe 2 23 38 3" xfId="10265"/>
    <cellStyle name="Dane wejściowe 2 23 39" xfId="10266"/>
    <cellStyle name="Dane wejściowe 2 23 39 2" xfId="10267"/>
    <cellStyle name="Dane wejściowe 2 23 39 3" xfId="10268"/>
    <cellStyle name="Dane wejściowe 2 23 4" xfId="10269"/>
    <cellStyle name="Dane wejściowe 2 23 4 2" xfId="10270"/>
    <cellStyle name="Dane wejściowe 2 23 4 3" xfId="10271"/>
    <cellStyle name="Dane wejściowe 2 23 4 4" xfId="10272"/>
    <cellStyle name="Dane wejściowe 2 23 40" xfId="10273"/>
    <cellStyle name="Dane wejściowe 2 23 40 2" xfId="10274"/>
    <cellStyle name="Dane wejściowe 2 23 40 3" xfId="10275"/>
    <cellStyle name="Dane wejściowe 2 23 41" xfId="10276"/>
    <cellStyle name="Dane wejściowe 2 23 41 2" xfId="10277"/>
    <cellStyle name="Dane wejściowe 2 23 41 3" xfId="10278"/>
    <cellStyle name="Dane wejściowe 2 23 42" xfId="10279"/>
    <cellStyle name="Dane wejściowe 2 23 42 2" xfId="10280"/>
    <cellStyle name="Dane wejściowe 2 23 42 3" xfId="10281"/>
    <cellStyle name="Dane wejściowe 2 23 43" xfId="10282"/>
    <cellStyle name="Dane wejściowe 2 23 43 2" xfId="10283"/>
    <cellStyle name="Dane wejściowe 2 23 43 3" xfId="10284"/>
    <cellStyle name="Dane wejściowe 2 23 44" xfId="10285"/>
    <cellStyle name="Dane wejściowe 2 23 44 2" xfId="10286"/>
    <cellStyle name="Dane wejściowe 2 23 44 3" xfId="10287"/>
    <cellStyle name="Dane wejściowe 2 23 45" xfId="10288"/>
    <cellStyle name="Dane wejściowe 2 23 45 2" xfId="10289"/>
    <cellStyle name="Dane wejściowe 2 23 45 3" xfId="10290"/>
    <cellStyle name="Dane wejściowe 2 23 46" xfId="10291"/>
    <cellStyle name="Dane wejściowe 2 23 46 2" xfId="10292"/>
    <cellStyle name="Dane wejściowe 2 23 46 3" xfId="10293"/>
    <cellStyle name="Dane wejściowe 2 23 47" xfId="10294"/>
    <cellStyle name="Dane wejściowe 2 23 47 2" xfId="10295"/>
    <cellStyle name="Dane wejściowe 2 23 47 3" xfId="10296"/>
    <cellStyle name="Dane wejściowe 2 23 48" xfId="10297"/>
    <cellStyle name="Dane wejściowe 2 23 48 2" xfId="10298"/>
    <cellStyle name="Dane wejściowe 2 23 48 3" xfId="10299"/>
    <cellStyle name="Dane wejściowe 2 23 49" xfId="10300"/>
    <cellStyle name="Dane wejściowe 2 23 49 2" xfId="10301"/>
    <cellStyle name="Dane wejściowe 2 23 49 3" xfId="10302"/>
    <cellStyle name="Dane wejściowe 2 23 5" xfId="10303"/>
    <cellStyle name="Dane wejściowe 2 23 5 2" xfId="10304"/>
    <cellStyle name="Dane wejściowe 2 23 5 3" xfId="10305"/>
    <cellStyle name="Dane wejściowe 2 23 5 4" xfId="10306"/>
    <cellStyle name="Dane wejściowe 2 23 50" xfId="10307"/>
    <cellStyle name="Dane wejściowe 2 23 50 2" xfId="10308"/>
    <cellStyle name="Dane wejściowe 2 23 50 3" xfId="10309"/>
    <cellStyle name="Dane wejściowe 2 23 51" xfId="10310"/>
    <cellStyle name="Dane wejściowe 2 23 51 2" xfId="10311"/>
    <cellStyle name="Dane wejściowe 2 23 51 3" xfId="10312"/>
    <cellStyle name="Dane wejściowe 2 23 52" xfId="10313"/>
    <cellStyle name="Dane wejściowe 2 23 52 2" xfId="10314"/>
    <cellStyle name="Dane wejściowe 2 23 52 3" xfId="10315"/>
    <cellStyle name="Dane wejściowe 2 23 53" xfId="10316"/>
    <cellStyle name="Dane wejściowe 2 23 53 2" xfId="10317"/>
    <cellStyle name="Dane wejściowe 2 23 53 3" xfId="10318"/>
    <cellStyle name="Dane wejściowe 2 23 54" xfId="10319"/>
    <cellStyle name="Dane wejściowe 2 23 54 2" xfId="10320"/>
    <cellStyle name="Dane wejściowe 2 23 54 3" xfId="10321"/>
    <cellStyle name="Dane wejściowe 2 23 55" xfId="10322"/>
    <cellStyle name="Dane wejściowe 2 23 55 2" xfId="10323"/>
    <cellStyle name="Dane wejściowe 2 23 55 3" xfId="10324"/>
    <cellStyle name="Dane wejściowe 2 23 56" xfId="10325"/>
    <cellStyle name="Dane wejściowe 2 23 56 2" xfId="10326"/>
    <cellStyle name="Dane wejściowe 2 23 56 3" xfId="10327"/>
    <cellStyle name="Dane wejściowe 2 23 57" xfId="10328"/>
    <cellStyle name="Dane wejściowe 2 23 58" xfId="10329"/>
    <cellStyle name="Dane wejściowe 2 23 6" xfId="10330"/>
    <cellStyle name="Dane wejściowe 2 23 6 2" xfId="10331"/>
    <cellStyle name="Dane wejściowe 2 23 6 3" xfId="10332"/>
    <cellStyle name="Dane wejściowe 2 23 6 4" xfId="10333"/>
    <cellStyle name="Dane wejściowe 2 23 7" xfId="10334"/>
    <cellStyle name="Dane wejściowe 2 23 7 2" xfId="10335"/>
    <cellStyle name="Dane wejściowe 2 23 7 3" xfId="10336"/>
    <cellStyle name="Dane wejściowe 2 23 7 4" xfId="10337"/>
    <cellStyle name="Dane wejściowe 2 23 8" xfId="10338"/>
    <cellStyle name="Dane wejściowe 2 23 8 2" xfId="10339"/>
    <cellStyle name="Dane wejściowe 2 23 8 3" xfId="10340"/>
    <cellStyle name="Dane wejściowe 2 23 8 4" xfId="10341"/>
    <cellStyle name="Dane wejściowe 2 23 9" xfId="10342"/>
    <cellStyle name="Dane wejściowe 2 23 9 2" xfId="10343"/>
    <cellStyle name="Dane wejściowe 2 23 9 3" xfId="10344"/>
    <cellStyle name="Dane wejściowe 2 23 9 4" xfId="10345"/>
    <cellStyle name="Dane wejściowe 2 24" xfId="10346"/>
    <cellStyle name="Dane wejściowe 2 24 10" xfId="10347"/>
    <cellStyle name="Dane wejściowe 2 24 10 2" xfId="10348"/>
    <cellStyle name="Dane wejściowe 2 24 10 3" xfId="10349"/>
    <cellStyle name="Dane wejściowe 2 24 10 4" xfId="10350"/>
    <cellStyle name="Dane wejściowe 2 24 11" xfId="10351"/>
    <cellStyle name="Dane wejściowe 2 24 11 2" xfId="10352"/>
    <cellStyle name="Dane wejściowe 2 24 11 3" xfId="10353"/>
    <cellStyle name="Dane wejściowe 2 24 11 4" xfId="10354"/>
    <cellStyle name="Dane wejściowe 2 24 12" xfId="10355"/>
    <cellStyle name="Dane wejściowe 2 24 12 2" xfId="10356"/>
    <cellStyle name="Dane wejściowe 2 24 12 3" xfId="10357"/>
    <cellStyle name="Dane wejściowe 2 24 12 4" xfId="10358"/>
    <cellStyle name="Dane wejściowe 2 24 13" xfId="10359"/>
    <cellStyle name="Dane wejściowe 2 24 13 2" xfId="10360"/>
    <cellStyle name="Dane wejściowe 2 24 13 3" xfId="10361"/>
    <cellStyle name="Dane wejściowe 2 24 13 4" xfId="10362"/>
    <cellStyle name="Dane wejściowe 2 24 14" xfId="10363"/>
    <cellStyle name="Dane wejściowe 2 24 14 2" xfId="10364"/>
    <cellStyle name="Dane wejściowe 2 24 14 3" xfId="10365"/>
    <cellStyle name="Dane wejściowe 2 24 14 4" xfId="10366"/>
    <cellStyle name="Dane wejściowe 2 24 15" xfId="10367"/>
    <cellStyle name="Dane wejściowe 2 24 15 2" xfId="10368"/>
    <cellStyle name="Dane wejściowe 2 24 15 3" xfId="10369"/>
    <cellStyle name="Dane wejściowe 2 24 15 4" xfId="10370"/>
    <cellStyle name="Dane wejściowe 2 24 16" xfId="10371"/>
    <cellStyle name="Dane wejściowe 2 24 16 2" xfId="10372"/>
    <cellStyle name="Dane wejściowe 2 24 16 3" xfId="10373"/>
    <cellStyle name="Dane wejściowe 2 24 16 4" xfId="10374"/>
    <cellStyle name="Dane wejściowe 2 24 17" xfId="10375"/>
    <cellStyle name="Dane wejściowe 2 24 17 2" xfId="10376"/>
    <cellStyle name="Dane wejściowe 2 24 17 3" xfId="10377"/>
    <cellStyle name="Dane wejściowe 2 24 17 4" xfId="10378"/>
    <cellStyle name="Dane wejściowe 2 24 18" xfId="10379"/>
    <cellStyle name="Dane wejściowe 2 24 18 2" xfId="10380"/>
    <cellStyle name="Dane wejściowe 2 24 18 3" xfId="10381"/>
    <cellStyle name="Dane wejściowe 2 24 18 4" xfId="10382"/>
    <cellStyle name="Dane wejściowe 2 24 19" xfId="10383"/>
    <cellStyle name="Dane wejściowe 2 24 19 2" xfId="10384"/>
    <cellStyle name="Dane wejściowe 2 24 19 3" xfId="10385"/>
    <cellStyle name="Dane wejściowe 2 24 19 4" xfId="10386"/>
    <cellStyle name="Dane wejściowe 2 24 2" xfId="10387"/>
    <cellStyle name="Dane wejściowe 2 24 2 2" xfId="10388"/>
    <cellStyle name="Dane wejściowe 2 24 2 3" xfId="10389"/>
    <cellStyle name="Dane wejściowe 2 24 2 4" xfId="10390"/>
    <cellStyle name="Dane wejściowe 2 24 20" xfId="10391"/>
    <cellStyle name="Dane wejściowe 2 24 20 2" xfId="10392"/>
    <cellStyle name="Dane wejściowe 2 24 20 3" xfId="10393"/>
    <cellStyle name="Dane wejściowe 2 24 20 4" xfId="10394"/>
    <cellStyle name="Dane wejściowe 2 24 21" xfId="10395"/>
    <cellStyle name="Dane wejściowe 2 24 21 2" xfId="10396"/>
    <cellStyle name="Dane wejściowe 2 24 21 3" xfId="10397"/>
    <cellStyle name="Dane wejściowe 2 24 22" xfId="10398"/>
    <cellStyle name="Dane wejściowe 2 24 22 2" xfId="10399"/>
    <cellStyle name="Dane wejściowe 2 24 22 3" xfId="10400"/>
    <cellStyle name="Dane wejściowe 2 24 23" xfId="10401"/>
    <cellStyle name="Dane wejściowe 2 24 23 2" xfId="10402"/>
    <cellStyle name="Dane wejściowe 2 24 23 3" xfId="10403"/>
    <cellStyle name="Dane wejściowe 2 24 24" xfId="10404"/>
    <cellStyle name="Dane wejściowe 2 24 24 2" xfId="10405"/>
    <cellStyle name="Dane wejściowe 2 24 24 3" xfId="10406"/>
    <cellStyle name="Dane wejściowe 2 24 25" xfId="10407"/>
    <cellStyle name="Dane wejściowe 2 24 25 2" xfId="10408"/>
    <cellStyle name="Dane wejściowe 2 24 25 3" xfId="10409"/>
    <cellStyle name="Dane wejściowe 2 24 26" xfId="10410"/>
    <cellStyle name="Dane wejściowe 2 24 26 2" xfId="10411"/>
    <cellStyle name="Dane wejściowe 2 24 26 3" xfId="10412"/>
    <cellStyle name="Dane wejściowe 2 24 27" xfId="10413"/>
    <cellStyle name="Dane wejściowe 2 24 27 2" xfId="10414"/>
    <cellStyle name="Dane wejściowe 2 24 27 3" xfId="10415"/>
    <cellStyle name="Dane wejściowe 2 24 28" xfId="10416"/>
    <cellStyle name="Dane wejściowe 2 24 28 2" xfId="10417"/>
    <cellStyle name="Dane wejściowe 2 24 28 3" xfId="10418"/>
    <cellStyle name="Dane wejściowe 2 24 29" xfId="10419"/>
    <cellStyle name="Dane wejściowe 2 24 29 2" xfId="10420"/>
    <cellStyle name="Dane wejściowe 2 24 29 3" xfId="10421"/>
    <cellStyle name="Dane wejściowe 2 24 3" xfId="10422"/>
    <cellStyle name="Dane wejściowe 2 24 3 2" xfId="10423"/>
    <cellStyle name="Dane wejściowe 2 24 3 3" xfId="10424"/>
    <cellStyle name="Dane wejściowe 2 24 3 4" xfId="10425"/>
    <cellStyle name="Dane wejściowe 2 24 30" xfId="10426"/>
    <cellStyle name="Dane wejściowe 2 24 30 2" xfId="10427"/>
    <cellStyle name="Dane wejściowe 2 24 30 3" xfId="10428"/>
    <cellStyle name="Dane wejściowe 2 24 31" xfId="10429"/>
    <cellStyle name="Dane wejściowe 2 24 31 2" xfId="10430"/>
    <cellStyle name="Dane wejściowe 2 24 31 3" xfId="10431"/>
    <cellStyle name="Dane wejściowe 2 24 32" xfId="10432"/>
    <cellStyle name="Dane wejściowe 2 24 32 2" xfId="10433"/>
    <cellStyle name="Dane wejściowe 2 24 32 3" xfId="10434"/>
    <cellStyle name="Dane wejściowe 2 24 33" xfId="10435"/>
    <cellStyle name="Dane wejściowe 2 24 33 2" xfId="10436"/>
    <cellStyle name="Dane wejściowe 2 24 33 3" xfId="10437"/>
    <cellStyle name="Dane wejściowe 2 24 34" xfId="10438"/>
    <cellStyle name="Dane wejściowe 2 24 34 2" xfId="10439"/>
    <cellStyle name="Dane wejściowe 2 24 34 3" xfId="10440"/>
    <cellStyle name="Dane wejściowe 2 24 35" xfId="10441"/>
    <cellStyle name="Dane wejściowe 2 24 35 2" xfId="10442"/>
    <cellStyle name="Dane wejściowe 2 24 35 3" xfId="10443"/>
    <cellStyle name="Dane wejściowe 2 24 36" xfId="10444"/>
    <cellStyle name="Dane wejściowe 2 24 36 2" xfId="10445"/>
    <cellStyle name="Dane wejściowe 2 24 36 3" xfId="10446"/>
    <cellStyle name="Dane wejściowe 2 24 37" xfId="10447"/>
    <cellStyle name="Dane wejściowe 2 24 37 2" xfId="10448"/>
    <cellStyle name="Dane wejściowe 2 24 37 3" xfId="10449"/>
    <cellStyle name="Dane wejściowe 2 24 38" xfId="10450"/>
    <cellStyle name="Dane wejściowe 2 24 38 2" xfId="10451"/>
    <cellStyle name="Dane wejściowe 2 24 38 3" xfId="10452"/>
    <cellStyle name="Dane wejściowe 2 24 39" xfId="10453"/>
    <cellStyle name="Dane wejściowe 2 24 39 2" xfId="10454"/>
    <cellStyle name="Dane wejściowe 2 24 39 3" xfId="10455"/>
    <cellStyle name="Dane wejściowe 2 24 4" xfId="10456"/>
    <cellStyle name="Dane wejściowe 2 24 4 2" xfId="10457"/>
    <cellStyle name="Dane wejściowe 2 24 4 3" xfId="10458"/>
    <cellStyle name="Dane wejściowe 2 24 4 4" xfId="10459"/>
    <cellStyle name="Dane wejściowe 2 24 40" xfId="10460"/>
    <cellStyle name="Dane wejściowe 2 24 40 2" xfId="10461"/>
    <cellStyle name="Dane wejściowe 2 24 40 3" xfId="10462"/>
    <cellStyle name="Dane wejściowe 2 24 41" xfId="10463"/>
    <cellStyle name="Dane wejściowe 2 24 41 2" xfId="10464"/>
    <cellStyle name="Dane wejściowe 2 24 41 3" xfId="10465"/>
    <cellStyle name="Dane wejściowe 2 24 42" xfId="10466"/>
    <cellStyle name="Dane wejściowe 2 24 42 2" xfId="10467"/>
    <cellStyle name="Dane wejściowe 2 24 42 3" xfId="10468"/>
    <cellStyle name="Dane wejściowe 2 24 43" xfId="10469"/>
    <cellStyle name="Dane wejściowe 2 24 43 2" xfId="10470"/>
    <cellStyle name="Dane wejściowe 2 24 43 3" xfId="10471"/>
    <cellStyle name="Dane wejściowe 2 24 44" xfId="10472"/>
    <cellStyle name="Dane wejściowe 2 24 44 2" xfId="10473"/>
    <cellStyle name="Dane wejściowe 2 24 44 3" xfId="10474"/>
    <cellStyle name="Dane wejściowe 2 24 45" xfId="10475"/>
    <cellStyle name="Dane wejściowe 2 24 45 2" xfId="10476"/>
    <cellStyle name="Dane wejściowe 2 24 45 3" xfId="10477"/>
    <cellStyle name="Dane wejściowe 2 24 46" xfId="10478"/>
    <cellStyle name="Dane wejściowe 2 24 46 2" xfId="10479"/>
    <cellStyle name="Dane wejściowe 2 24 46 3" xfId="10480"/>
    <cellStyle name="Dane wejściowe 2 24 47" xfId="10481"/>
    <cellStyle name="Dane wejściowe 2 24 47 2" xfId="10482"/>
    <cellStyle name="Dane wejściowe 2 24 47 3" xfId="10483"/>
    <cellStyle name="Dane wejściowe 2 24 48" xfId="10484"/>
    <cellStyle name="Dane wejściowe 2 24 48 2" xfId="10485"/>
    <cellStyle name="Dane wejściowe 2 24 48 3" xfId="10486"/>
    <cellStyle name="Dane wejściowe 2 24 49" xfId="10487"/>
    <cellStyle name="Dane wejściowe 2 24 49 2" xfId="10488"/>
    <cellStyle name="Dane wejściowe 2 24 49 3" xfId="10489"/>
    <cellStyle name="Dane wejściowe 2 24 5" xfId="10490"/>
    <cellStyle name="Dane wejściowe 2 24 5 2" xfId="10491"/>
    <cellStyle name="Dane wejściowe 2 24 5 3" xfId="10492"/>
    <cellStyle name="Dane wejściowe 2 24 5 4" xfId="10493"/>
    <cellStyle name="Dane wejściowe 2 24 50" xfId="10494"/>
    <cellStyle name="Dane wejściowe 2 24 50 2" xfId="10495"/>
    <cellStyle name="Dane wejściowe 2 24 50 3" xfId="10496"/>
    <cellStyle name="Dane wejściowe 2 24 51" xfId="10497"/>
    <cellStyle name="Dane wejściowe 2 24 51 2" xfId="10498"/>
    <cellStyle name="Dane wejściowe 2 24 51 3" xfId="10499"/>
    <cellStyle name="Dane wejściowe 2 24 52" xfId="10500"/>
    <cellStyle name="Dane wejściowe 2 24 52 2" xfId="10501"/>
    <cellStyle name="Dane wejściowe 2 24 52 3" xfId="10502"/>
    <cellStyle name="Dane wejściowe 2 24 53" xfId="10503"/>
    <cellStyle name="Dane wejściowe 2 24 53 2" xfId="10504"/>
    <cellStyle name="Dane wejściowe 2 24 53 3" xfId="10505"/>
    <cellStyle name="Dane wejściowe 2 24 54" xfId="10506"/>
    <cellStyle name="Dane wejściowe 2 24 54 2" xfId="10507"/>
    <cellStyle name="Dane wejściowe 2 24 54 3" xfId="10508"/>
    <cellStyle name="Dane wejściowe 2 24 55" xfId="10509"/>
    <cellStyle name="Dane wejściowe 2 24 55 2" xfId="10510"/>
    <cellStyle name="Dane wejściowe 2 24 55 3" xfId="10511"/>
    <cellStyle name="Dane wejściowe 2 24 56" xfId="10512"/>
    <cellStyle name="Dane wejściowe 2 24 56 2" xfId="10513"/>
    <cellStyle name="Dane wejściowe 2 24 56 3" xfId="10514"/>
    <cellStyle name="Dane wejściowe 2 24 57" xfId="10515"/>
    <cellStyle name="Dane wejściowe 2 24 58" xfId="10516"/>
    <cellStyle name="Dane wejściowe 2 24 6" xfId="10517"/>
    <cellStyle name="Dane wejściowe 2 24 6 2" xfId="10518"/>
    <cellStyle name="Dane wejściowe 2 24 6 3" xfId="10519"/>
    <cellStyle name="Dane wejściowe 2 24 6 4" xfId="10520"/>
    <cellStyle name="Dane wejściowe 2 24 7" xfId="10521"/>
    <cellStyle name="Dane wejściowe 2 24 7 2" xfId="10522"/>
    <cellStyle name="Dane wejściowe 2 24 7 3" xfId="10523"/>
    <cellStyle name="Dane wejściowe 2 24 7 4" xfId="10524"/>
    <cellStyle name="Dane wejściowe 2 24 8" xfId="10525"/>
    <cellStyle name="Dane wejściowe 2 24 8 2" xfId="10526"/>
    <cellStyle name="Dane wejściowe 2 24 8 3" xfId="10527"/>
    <cellStyle name="Dane wejściowe 2 24 8 4" xfId="10528"/>
    <cellStyle name="Dane wejściowe 2 24 9" xfId="10529"/>
    <cellStyle name="Dane wejściowe 2 24 9 2" xfId="10530"/>
    <cellStyle name="Dane wejściowe 2 24 9 3" xfId="10531"/>
    <cellStyle name="Dane wejściowe 2 24 9 4" xfId="10532"/>
    <cellStyle name="Dane wejściowe 2 25" xfId="10533"/>
    <cellStyle name="Dane wejściowe 2 25 10" xfId="10534"/>
    <cellStyle name="Dane wejściowe 2 25 10 2" xfId="10535"/>
    <cellStyle name="Dane wejściowe 2 25 10 3" xfId="10536"/>
    <cellStyle name="Dane wejściowe 2 25 10 4" xfId="10537"/>
    <cellStyle name="Dane wejściowe 2 25 11" xfId="10538"/>
    <cellStyle name="Dane wejściowe 2 25 11 2" xfId="10539"/>
    <cellStyle name="Dane wejściowe 2 25 11 3" xfId="10540"/>
    <cellStyle name="Dane wejściowe 2 25 11 4" xfId="10541"/>
    <cellStyle name="Dane wejściowe 2 25 12" xfId="10542"/>
    <cellStyle name="Dane wejściowe 2 25 12 2" xfId="10543"/>
    <cellStyle name="Dane wejściowe 2 25 12 3" xfId="10544"/>
    <cellStyle name="Dane wejściowe 2 25 12 4" xfId="10545"/>
    <cellStyle name="Dane wejściowe 2 25 13" xfId="10546"/>
    <cellStyle name="Dane wejściowe 2 25 13 2" xfId="10547"/>
    <cellStyle name="Dane wejściowe 2 25 13 3" xfId="10548"/>
    <cellStyle name="Dane wejściowe 2 25 13 4" xfId="10549"/>
    <cellStyle name="Dane wejściowe 2 25 14" xfId="10550"/>
    <cellStyle name="Dane wejściowe 2 25 14 2" xfId="10551"/>
    <cellStyle name="Dane wejściowe 2 25 14 3" xfId="10552"/>
    <cellStyle name="Dane wejściowe 2 25 14 4" xfId="10553"/>
    <cellStyle name="Dane wejściowe 2 25 15" xfId="10554"/>
    <cellStyle name="Dane wejściowe 2 25 15 2" xfId="10555"/>
    <cellStyle name="Dane wejściowe 2 25 15 3" xfId="10556"/>
    <cellStyle name="Dane wejściowe 2 25 15 4" xfId="10557"/>
    <cellStyle name="Dane wejściowe 2 25 16" xfId="10558"/>
    <cellStyle name="Dane wejściowe 2 25 16 2" xfId="10559"/>
    <cellStyle name="Dane wejściowe 2 25 16 3" xfId="10560"/>
    <cellStyle name="Dane wejściowe 2 25 16 4" xfId="10561"/>
    <cellStyle name="Dane wejściowe 2 25 17" xfId="10562"/>
    <cellStyle name="Dane wejściowe 2 25 17 2" xfId="10563"/>
    <cellStyle name="Dane wejściowe 2 25 17 3" xfId="10564"/>
    <cellStyle name="Dane wejściowe 2 25 17 4" xfId="10565"/>
    <cellStyle name="Dane wejściowe 2 25 18" xfId="10566"/>
    <cellStyle name="Dane wejściowe 2 25 18 2" xfId="10567"/>
    <cellStyle name="Dane wejściowe 2 25 18 3" xfId="10568"/>
    <cellStyle name="Dane wejściowe 2 25 18 4" xfId="10569"/>
    <cellStyle name="Dane wejściowe 2 25 19" xfId="10570"/>
    <cellStyle name="Dane wejściowe 2 25 19 2" xfId="10571"/>
    <cellStyle name="Dane wejściowe 2 25 19 3" xfId="10572"/>
    <cellStyle name="Dane wejściowe 2 25 19 4" xfId="10573"/>
    <cellStyle name="Dane wejściowe 2 25 2" xfId="10574"/>
    <cellStyle name="Dane wejściowe 2 25 2 2" xfId="10575"/>
    <cellStyle name="Dane wejściowe 2 25 2 3" xfId="10576"/>
    <cellStyle name="Dane wejściowe 2 25 2 4" xfId="10577"/>
    <cellStyle name="Dane wejściowe 2 25 20" xfId="10578"/>
    <cellStyle name="Dane wejściowe 2 25 20 2" xfId="10579"/>
    <cellStyle name="Dane wejściowe 2 25 20 3" xfId="10580"/>
    <cellStyle name="Dane wejściowe 2 25 20 4" xfId="10581"/>
    <cellStyle name="Dane wejściowe 2 25 21" xfId="10582"/>
    <cellStyle name="Dane wejściowe 2 25 21 2" xfId="10583"/>
    <cellStyle name="Dane wejściowe 2 25 21 3" xfId="10584"/>
    <cellStyle name="Dane wejściowe 2 25 22" xfId="10585"/>
    <cellStyle name="Dane wejściowe 2 25 22 2" xfId="10586"/>
    <cellStyle name="Dane wejściowe 2 25 22 3" xfId="10587"/>
    <cellStyle name="Dane wejściowe 2 25 23" xfId="10588"/>
    <cellStyle name="Dane wejściowe 2 25 23 2" xfId="10589"/>
    <cellStyle name="Dane wejściowe 2 25 23 3" xfId="10590"/>
    <cellStyle name="Dane wejściowe 2 25 24" xfId="10591"/>
    <cellStyle name="Dane wejściowe 2 25 24 2" xfId="10592"/>
    <cellStyle name="Dane wejściowe 2 25 24 3" xfId="10593"/>
    <cellStyle name="Dane wejściowe 2 25 25" xfId="10594"/>
    <cellStyle name="Dane wejściowe 2 25 25 2" xfId="10595"/>
    <cellStyle name="Dane wejściowe 2 25 25 3" xfId="10596"/>
    <cellStyle name="Dane wejściowe 2 25 26" xfId="10597"/>
    <cellStyle name="Dane wejściowe 2 25 26 2" xfId="10598"/>
    <cellStyle name="Dane wejściowe 2 25 26 3" xfId="10599"/>
    <cellStyle name="Dane wejściowe 2 25 27" xfId="10600"/>
    <cellStyle name="Dane wejściowe 2 25 27 2" xfId="10601"/>
    <cellStyle name="Dane wejściowe 2 25 27 3" xfId="10602"/>
    <cellStyle name="Dane wejściowe 2 25 28" xfId="10603"/>
    <cellStyle name="Dane wejściowe 2 25 28 2" xfId="10604"/>
    <cellStyle name="Dane wejściowe 2 25 28 3" xfId="10605"/>
    <cellStyle name="Dane wejściowe 2 25 29" xfId="10606"/>
    <cellStyle name="Dane wejściowe 2 25 29 2" xfId="10607"/>
    <cellStyle name="Dane wejściowe 2 25 29 3" xfId="10608"/>
    <cellStyle name="Dane wejściowe 2 25 3" xfId="10609"/>
    <cellStyle name="Dane wejściowe 2 25 3 2" xfId="10610"/>
    <cellStyle name="Dane wejściowe 2 25 3 3" xfId="10611"/>
    <cellStyle name="Dane wejściowe 2 25 3 4" xfId="10612"/>
    <cellStyle name="Dane wejściowe 2 25 30" xfId="10613"/>
    <cellStyle name="Dane wejściowe 2 25 30 2" xfId="10614"/>
    <cellStyle name="Dane wejściowe 2 25 30 3" xfId="10615"/>
    <cellStyle name="Dane wejściowe 2 25 31" xfId="10616"/>
    <cellStyle name="Dane wejściowe 2 25 31 2" xfId="10617"/>
    <cellStyle name="Dane wejściowe 2 25 31 3" xfId="10618"/>
    <cellStyle name="Dane wejściowe 2 25 32" xfId="10619"/>
    <cellStyle name="Dane wejściowe 2 25 32 2" xfId="10620"/>
    <cellStyle name="Dane wejściowe 2 25 32 3" xfId="10621"/>
    <cellStyle name="Dane wejściowe 2 25 33" xfId="10622"/>
    <cellStyle name="Dane wejściowe 2 25 33 2" xfId="10623"/>
    <cellStyle name="Dane wejściowe 2 25 33 3" xfId="10624"/>
    <cellStyle name="Dane wejściowe 2 25 34" xfId="10625"/>
    <cellStyle name="Dane wejściowe 2 25 34 2" xfId="10626"/>
    <cellStyle name="Dane wejściowe 2 25 34 3" xfId="10627"/>
    <cellStyle name="Dane wejściowe 2 25 35" xfId="10628"/>
    <cellStyle name="Dane wejściowe 2 25 35 2" xfId="10629"/>
    <cellStyle name="Dane wejściowe 2 25 35 3" xfId="10630"/>
    <cellStyle name="Dane wejściowe 2 25 36" xfId="10631"/>
    <cellStyle name="Dane wejściowe 2 25 36 2" xfId="10632"/>
    <cellStyle name="Dane wejściowe 2 25 36 3" xfId="10633"/>
    <cellStyle name="Dane wejściowe 2 25 37" xfId="10634"/>
    <cellStyle name="Dane wejściowe 2 25 37 2" xfId="10635"/>
    <cellStyle name="Dane wejściowe 2 25 37 3" xfId="10636"/>
    <cellStyle name="Dane wejściowe 2 25 38" xfId="10637"/>
    <cellStyle name="Dane wejściowe 2 25 38 2" xfId="10638"/>
    <cellStyle name="Dane wejściowe 2 25 38 3" xfId="10639"/>
    <cellStyle name="Dane wejściowe 2 25 39" xfId="10640"/>
    <cellStyle name="Dane wejściowe 2 25 39 2" xfId="10641"/>
    <cellStyle name="Dane wejściowe 2 25 39 3" xfId="10642"/>
    <cellStyle name="Dane wejściowe 2 25 4" xfId="10643"/>
    <cellStyle name="Dane wejściowe 2 25 4 2" xfId="10644"/>
    <cellStyle name="Dane wejściowe 2 25 4 3" xfId="10645"/>
    <cellStyle name="Dane wejściowe 2 25 4 4" xfId="10646"/>
    <cellStyle name="Dane wejściowe 2 25 40" xfId="10647"/>
    <cellStyle name="Dane wejściowe 2 25 40 2" xfId="10648"/>
    <cellStyle name="Dane wejściowe 2 25 40 3" xfId="10649"/>
    <cellStyle name="Dane wejściowe 2 25 41" xfId="10650"/>
    <cellStyle name="Dane wejściowe 2 25 41 2" xfId="10651"/>
    <cellStyle name="Dane wejściowe 2 25 41 3" xfId="10652"/>
    <cellStyle name="Dane wejściowe 2 25 42" xfId="10653"/>
    <cellStyle name="Dane wejściowe 2 25 42 2" xfId="10654"/>
    <cellStyle name="Dane wejściowe 2 25 42 3" xfId="10655"/>
    <cellStyle name="Dane wejściowe 2 25 43" xfId="10656"/>
    <cellStyle name="Dane wejściowe 2 25 43 2" xfId="10657"/>
    <cellStyle name="Dane wejściowe 2 25 43 3" xfId="10658"/>
    <cellStyle name="Dane wejściowe 2 25 44" xfId="10659"/>
    <cellStyle name="Dane wejściowe 2 25 44 2" xfId="10660"/>
    <cellStyle name="Dane wejściowe 2 25 44 3" xfId="10661"/>
    <cellStyle name="Dane wejściowe 2 25 45" xfId="10662"/>
    <cellStyle name="Dane wejściowe 2 25 45 2" xfId="10663"/>
    <cellStyle name="Dane wejściowe 2 25 45 3" xfId="10664"/>
    <cellStyle name="Dane wejściowe 2 25 46" xfId="10665"/>
    <cellStyle name="Dane wejściowe 2 25 46 2" xfId="10666"/>
    <cellStyle name="Dane wejściowe 2 25 46 3" xfId="10667"/>
    <cellStyle name="Dane wejściowe 2 25 47" xfId="10668"/>
    <cellStyle name="Dane wejściowe 2 25 47 2" xfId="10669"/>
    <cellStyle name="Dane wejściowe 2 25 47 3" xfId="10670"/>
    <cellStyle name="Dane wejściowe 2 25 48" xfId="10671"/>
    <cellStyle name="Dane wejściowe 2 25 48 2" xfId="10672"/>
    <cellStyle name="Dane wejściowe 2 25 48 3" xfId="10673"/>
    <cellStyle name="Dane wejściowe 2 25 49" xfId="10674"/>
    <cellStyle name="Dane wejściowe 2 25 49 2" xfId="10675"/>
    <cellStyle name="Dane wejściowe 2 25 49 3" xfId="10676"/>
    <cellStyle name="Dane wejściowe 2 25 5" xfId="10677"/>
    <cellStyle name="Dane wejściowe 2 25 5 2" xfId="10678"/>
    <cellStyle name="Dane wejściowe 2 25 5 3" xfId="10679"/>
    <cellStyle name="Dane wejściowe 2 25 5 4" xfId="10680"/>
    <cellStyle name="Dane wejściowe 2 25 50" xfId="10681"/>
    <cellStyle name="Dane wejściowe 2 25 50 2" xfId="10682"/>
    <cellStyle name="Dane wejściowe 2 25 50 3" xfId="10683"/>
    <cellStyle name="Dane wejściowe 2 25 51" xfId="10684"/>
    <cellStyle name="Dane wejściowe 2 25 51 2" xfId="10685"/>
    <cellStyle name="Dane wejściowe 2 25 51 3" xfId="10686"/>
    <cellStyle name="Dane wejściowe 2 25 52" xfId="10687"/>
    <cellStyle name="Dane wejściowe 2 25 52 2" xfId="10688"/>
    <cellStyle name="Dane wejściowe 2 25 52 3" xfId="10689"/>
    <cellStyle name="Dane wejściowe 2 25 53" xfId="10690"/>
    <cellStyle name="Dane wejściowe 2 25 53 2" xfId="10691"/>
    <cellStyle name="Dane wejściowe 2 25 53 3" xfId="10692"/>
    <cellStyle name="Dane wejściowe 2 25 54" xfId="10693"/>
    <cellStyle name="Dane wejściowe 2 25 54 2" xfId="10694"/>
    <cellStyle name="Dane wejściowe 2 25 54 3" xfId="10695"/>
    <cellStyle name="Dane wejściowe 2 25 55" xfId="10696"/>
    <cellStyle name="Dane wejściowe 2 25 55 2" xfId="10697"/>
    <cellStyle name="Dane wejściowe 2 25 55 3" xfId="10698"/>
    <cellStyle name="Dane wejściowe 2 25 56" xfId="10699"/>
    <cellStyle name="Dane wejściowe 2 25 56 2" xfId="10700"/>
    <cellStyle name="Dane wejściowe 2 25 56 3" xfId="10701"/>
    <cellStyle name="Dane wejściowe 2 25 57" xfId="10702"/>
    <cellStyle name="Dane wejściowe 2 25 58" xfId="10703"/>
    <cellStyle name="Dane wejściowe 2 25 6" xfId="10704"/>
    <cellStyle name="Dane wejściowe 2 25 6 2" xfId="10705"/>
    <cellStyle name="Dane wejściowe 2 25 6 3" xfId="10706"/>
    <cellStyle name="Dane wejściowe 2 25 6 4" xfId="10707"/>
    <cellStyle name="Dane wejściowe 2 25 7" xfId="10708"/>
    <cellStyle name="Dane wejściowe 2 25 7 2" xfId="10709"/>
    <cellStyle name="Dane wejściowe 2 25 7 3" xfId="10710"/>
    <cellStyle name="Dane wejściowe 2 25 7 4" xfId="10711"/>
    <cellStyle name="Dane wejściowe 2 25 8" xfId="10712"/>
    <cellStyle name="Dane wejściowe 2 25 8 2" xfId="10713"/>
    <cellStyle name="Dane wejściowe 2 25 8 3" xfId="10714"/>
    <cellStyle name="Dane wejściowe 2 25 8 4" xfId="10715"/>
    <cellStyle name="Dane wejściowe 2 25 9" xfId="10716"/>
    <cellStyle name="Dane wejściowe 2 25 9 2" xfId="10717"/>
    <cellStyle name="Dane wejściowe 2 25 9 3" xfId="10718"/>
    <cellStyle name="Dane wejściowe 2 25 9 4" xfId="10719"/>
    <cellStyle name="Dane wejściowe 2 26" xfId="10720"/>
    <cellStyle name="Dane wejściowe 2 26 10" xfId="10721"/>
    <cellStyle name="Dane wejściowe 2 26 10 2" xfId="10722"/>
    <cellStyle name="Dane wejściowe 2 26 10 3" xfId="10723"/>
    <cellStyle name="Dane wejściowe 2 26 10 4" xfId="10724"/>
    <cellStyle name="Dane wejściowe 2 26 11" xfId="10725"/>
    <cellStyle name="Dane wejściowe 2 26 11 2" xfId="10726"/>
    <cellStyle name="Dane wejściowe 2 26 11 3" xfId="10727"/>
    <cellStyle name="Dane wejściowe 2 26 11 4" xfId="10728"/>
    <cellStyle name="Dane wejściowe 2 26 12" xfId="10729"/>
    <cellStyle name="Dane wejściowe 2 26 12 2" xfId="10730"/>
    <cellStyle name="Dane wejściowe 2 26 12 3" xfId="10731"/>
    <cellStyle name="Dane wejściowe 2 26 12 4" xfId="10732"/>
    <cellStyle name="Dane wejściowe 2 26 13" xfId="10733"/>
    <cellStyle name="Dane wejściowe 2 26 13 2" xfId="10734"/>
    <cellStyle name="Dane wejściowe 2 26 13 3" xfId="10735"/>
    <cellStyle name="Dane wejściowe 2 26 13 4" xfId="10736"/>
    <cellStyle name="Dane wejściowe 2 26 14" xfId="10737"/>
    <cellStyle name="Dane wejściowe 2 26 14 2" xfId="10738"/>
    <cellStyle name="Dane wejściowe 2 26 14 3" xfId="10739"/>
    <cellStyle name="Dane wejściowe 2 26 14 4" xfId="10740"/>
    <cellStyle name="Dane wejściowe 2 26 15" xfId="10741"/>
    <cellStyle name="Dane wejściowe 2 26 15 2" xfId="10742"/>
    <cellStyle name="Dane wejściowe 2 26 15 3" xfId="10743"/>
    <cellStyle name="Dane wejściowe 2 26 15 4" xfId="10744"/>
    <cellStyle name="Dane wejściowe 2 26 16" xfId="10745"/>
    <cellStyle name="Dane wejściowe 2 26 16 2" xfId="10746"/>
    <cellStyle name="Dane wejściowe 2 26 16 3" xfId="10747"/>
    <cellStyle name="Dane wejściowe 2 26 16 4" xfId="10748"/>
    <cellStyle name="Dane wejściowe 2 26 17" xfId="10749"/>
    <cellStyle name="Dane wejściowe 2 26 17 2" xfId="10750"/>
    <cellStyle name="Dane wejściowe 2 26 17 3" xfId="10751"/>
    <cellStyle name="Dane wejściowe 2 26 17 4" xfId="10752"/>
    <cellStyle name="Dane wejściowe 2 26 18" xfId="10753"/>
    <cellStyle name="Dane wejściowe 2 26 18 2" xfId="10754"/>
    <cellStyle name="Dane wejściowe 2 26 18 3" xfId="10755"/>
    <cellStyle name="Dane wejściowe 2 26 18 4" xfId="10756"/>
    <cellStyle name="Dane wejściowe 2 26 19" xfId="10757"/>
    <cellStyle name="Dane wejściowe 2 26 19 2" xfId="10758"/>
    <cellStyle name="Dane wejściowe 2 26 19 3" xfId="10759"/>
    <cellStyle name="Dane wejściowe 2 26 19 4" xfId="10760"/>
    <cellStyle name="Dane wejściowe 2 26 2" xfId="10761"/>
    <cellStyle name="Dane wejściowe 2 26 2 2" xfId="10762"/>
    <cellStyle name="Dane wejściowe 2 26 2 3" xfId="10763"/>
    <cellStyle name="Dane wejściowe 2 26 2 4" xfId="10764"/>
    <cellStyle name="Dane wejściowe 2 26 20" xfId="10765"/>
    <cellStyle name="Dane wejściowe 2 26 20 2" xfId="10766"/>
    <cellStyle name="Dane wejściowe 2 26 20 3" xfId="10767"/>
    <cellStyle name="Dane wejściowe 2 26 20 4" xfId="10768"/>
    <cellStyle name="Dane wejściowe 2 26 21" xfId="10769"/>
    <cellStyle name="Dane wejściowe 2 26 21 2" xfId="10770"/>
    <cellStyle name="Dane wejściowe 2 26 21 3" xfId="10771"/>
    <cellStyle name="Dane wejściowe 2 26 22" xfId="10772"/>
    <cellStyle name="Dane wejściowe 2 26 22 2" xfId="10773"/>
    <cellStyle name="Dane wejściowe 2 26 22 3" xfId="10774"/>
    <cellStyle name="Dane wejściowe 2 26 23" xfId="10775"/>
    <cellStyle name="Dane wejściowe 2 26 23 2" xfId="10776"/>
    <cellStyle name="Dane wejściowe 2 26 23 3" xfId="10777"/>
    <cellStyle name="Dane wejściowe 2 26 24" xfId="10778"/>
    <cellStyle name="Dane wejściowe 2 26 24 2" xfId="10779"/>
    <cellStyle name="Dane wejściowe 2 26 24 3" xfId="10780"/>
    <cellStyle name="Dane wejściowe 2 26 25" xfId="10781"/>
    <cellStyle name="Dane wejściowe 2 26 25 2" xfId="10782"/>
    <cellStyle name="Dane wejściowe 2 26 25 3" xfId="10783"/>
    <cellStyle name="Dane wejściowe 2 26 26" xfId="10784"/>
    <cellStyle name="Dane wejściowe 2 26 26 2" xfId="10785"/>
    <cellStyle name="Dane wejściowe 2 26 26 3" xfId="10786"/>
    <cellStyle name="Dane wejściowe 2 26 27" xfId="10787"/>
    <cellStyle name="Dane wejściowe 2 26 27 2" xfId="10788"/>
    <cellStyle name="Dane wejściowe 2 26 27 3" xfId="10789"/>
    <cellStyle name="Dane wejściowe 2 26 28" xfId="10790"/>
    <cellStyle name="Dane wejściowe 2 26 28 2" xfId="10791"/>
    <cellStyle name="Dane wejściowe 2 26 28 3" xfId="10792"/>
    <cellStyle name="Dane wejściowe 2 26 29" xfId="10793"/>
    <cellStyle name="Dane wejściowe 2 26 29 2" xfId="10794"/>
    <cellStyle name="Dane wejściowe 2 26 29 3" xfId="10795"/>
    <cellStyle name="Dane wejściowe 2 26 3" xfId="10796"/>
    <cellStyle name="Dane wejściowe 2 26 3 2" xfId="10797"/>
    <cellStyle name="Dane wejściowe 2 26 3 3" xfId="10798"/>
    <cellStyle name="Dane wejściowe 2 26 3 4" xfId="10799"/>
    <cellStyle name="Dane wejściowe 2 26 30" xfId="10800"/>
    <cellStyle name="Dane wejściowe 2 26 30 2" xfId="10801"/>
    <cellStyle name="Dane wejściowe 2 26 30 3" xfId="10802"/>
    <cellStyle name="Dane wejściowe 2 26 31" xfId="10803"/>
    <cellStyle name="Dane wejściowe 2 26 31 2" xfId="10804"/>
    <cellStyle name="Dane wejściowe 2 26 31 3" xfId="10805"/>
    <cellStyle name="Dane wejściowe 2 26 32" xfId="10806"/>
    <cellStyle name="Dane wejściowe 2 26 32 2" xfId="10807"/>
    <cellStyle name="Dane wejściowe 2 26 32 3" xfId="10808"/>
    <cellStyle name="Dane wejściowe 2 26 33" xfId="10809"/>
    <cellStyle name="Dane wejściowe 2 26 33 2" xfId="10810"/>
    <cellStyle name="Dane wejściowe 2 26 33 3" xfId="10811"/>
    <cellStyle name="Dane wejściowe 2 26 34" xfId="10812"/>
    <cellStyle name="Dane wejściowe 2 26 34 2" xfId="10813"/>
    <cellStyle name="Dane wejściowe 2 26 34 3" xfId="10814"/>
    <cellStyle name="Dane wejściowe 2 26 35" xfId="10815"/>
    <cellStyle name="Dane wejściowe 2 26 35 2" xfId="10816"/>
    <cellStyle name="Dane wejściowe 2 26 35 3" xfId="10817"/>
    <cellStyle name="Dane wejściowe 2 26 36" xfId="10818"/>
    <cellStyle name="Dane wejściowe 2 26 36 2" xfId="10819"/>
    <cellStyle name="Dane wejściowe 2 26 36 3" xfId="10820"/>
    <cellStyle name="Dane wejściowe 2 26 37" xfId="10821"/>
    <cellStyle name="Dane wejściowe 2 26 37 2" xfId="10822"/>
    <cellStyle name="Dane wejściowe 2 26 37 3" xfId="10823"/>
    <cellStyle name="Dane wejściowe 2 26 38" xfId="10824"/>
    <cellStyle name="Dane wejściowe 2 26 38 2" xfId="10825"/>
    <cellStyle name="Dane wejściowe 2 26 38 3" xfId="10826"/>
    <cellStyle name="Dane wejściowe 2 26 39" xfId="10827"/>
    <cellStyle name="Dane wejściowe 2 26 39 2" xfId="10828"/>
    <cellStyle name="Dane wejściowe 2 26 39 3" xfId="10829"/>
    <cellStyle name="Dane wejściowe 2 26 4" xfId="10830"/>
    <cellStyle name="Dane wejściowe 2 26 4 2" xfId="10831"/>
    <cellStyle name="Dane wejściowe 2 26 4 3" xfId="10832"/>
    <cellStyle name="Dane wejściowe 2 26 4 4" xfId="10833"/>
    <cellStyle name="Dane wejściowe 2 26 40" xfId="10834"/>
    <cellStyle name="Dane wejściowe 2 26 40 2" xfId="10835"/>
    <cellStyle name="Dane wejściowe 2 26 40 3" xfId="10836"/>
    <cellStyle name="Dane wejściowe 2 26 41" xfId="10837"/>
    <cellStyle name="Dane wejściowe 2 26 41 2" xfId="10838"/>
    <cellStyle name="Dane wejściowe 2 26 41 3" xfId="10839"/>
    <cellStyle name="Dane wejściowe 2 26 42" xfId="10840"/>
    <cellStyle name="Dane wejściowe 2 26 42 2" xfId="10841"/>
    <cellStyle name="Dane wejściowe 2 26 42 3" xfId="10842"/>
    <cellStyle name="Dane wejściowe 2 26 43" xfId="10843"/>
    <cellStyle name="Dane wejściowe 2 26 43 2" xfId="10844"/>
    <cellStyle name="Dane wejściowe 2 26 43 3" xfId="10845"/>
    <cellStyle name="Dane wejściowe 2 26 44" xfId="10846"/>
    <cellStyle name="Dane wejściowe 2 26 44 2" xfId="10847"/>
    <cellStyle name="Dane wejściowe 2 26 44 3" xfId="10848"/>
    <cellStyle name="Dane wejściowe 2 26 45" xfId="10849"/>
    <cellStyle name="Dane wejściowe 2 26 45 2" xfId="10850"/>
    <cellStyle name="Dane wejściowe 2 26 45 3" xfId="10851"/>
    <cellStyle name="Dane wejściowe 2 26 46" xfId="10852"/>
    <cellStyle name="Dane wejściowe 2 26 46 2" xfId="10853"/>
    <cellStyle name="Dane wejściowe 2 26 46 3" xfId="10854"/>
    <cellStyle name="Dane wejściowe 2 26 47" xfId="10855"/>
    <cellStyle name="Dane wejściowe 2 26 47 2" xfId="10856"/>
    <cellStyle name="Dane wejściowe 2 26 47 3" xfId="10857"/>
    <cellStyle name="Dane wejściowe 2 26 48" xfId="10858"/>
    <cellStyle name="Dane wejściowe 2 26 48 2" xfId="10859"/>
    <cellStyle name="Dane wejściowe 2 26 48 3" xfId="10860"/>
    <cellStyle name="Dane wejściowe 2 26 49" xfId="10861"/>
    <cellStyle name="Dane wejściowe 2 26 49 2" xfId="10862"/>
    <cellStyle name="Dane wejściowe 2 26 49 3" xfId="10863"/>
    <cellStyle name="Dane wejściowe 2 26 5" xfId="10864"/>
    <cellStyle name="Dane wejściowe 2 26 5 2" xfId="10865"/>
    <cellStyle name="Dane wejściowe 2 26 5 3" xfId="10866"/>
    <cellStyle name="Dane wejściowe 2 26 5 4" xfId="10867"/>
    <cellStyle name="Dane wejściowe 2 26 50" xfId="10868"/>
    <cellStyle name="Dane wejściowe 2 26 50 2" xfId="10869"/>
    <cellStyle name="Dane wejściowe 2 26 50 3" xfId="10870"/>
    <cellStyle name="Dane wejściowe 2 26 51" xfId="10871"/>
    <cellStyle name="Dane wejściowe 2 26 51 2" xfId="10872"/>
    <cellStyle name="Dane wejściowe 2 26 51 3" xfId="10873"/>
    <cellStyle name="Dane wejściowe 2 26 52" xfId="10874"/>
    <cellStyle name="Dane wejściowe 2 26 52 2" xfId="10875"/>
    <cellStyle name="Dane wejściowe 2 26 52 3" xfId="10876"/>
    <cellStyle name="Dane wejściowe 2 26 53" xfId="10877"/>
    <cellStyle name="Dane wejściowe 2 26 53 2" xfId="10878"/>
    <cellStyle name="Dane wejściowe 2 26 53 3" xfId="10879"/>
    <cellStyle name="Dane wejściowe 2 26 54" xfId="10880"/>
    <cellStyle name="Dane wejściowe 2 26 54 2" xfId="10881"/>
    <cellStyle name="Dane wejściowe 2 26 54 3" xfId="10882"/>
    <cellStyle name="Dane wejściowe 2 26 55" xfId="10883"/>
    <cellStyle name="Dane wejściowe 2 26 55 2" xfId="10884"/>
    <cellStyle name="Dane wejściowe 2 26 55 3" xfId="10885"/>
    <cellStyle name="Dane wejściowe 2 26 56" xfId="10886"/>
    <cellStyle name="Dane wejściowe 2 26 56 2" xfId="10887"/>
    <cellStyle name="Dane wejściowe 2 26 56 3" xfId="10888"/>
    <cellStyle name="Dane wejściowe 2 26 57" xfId="10889"/>
    <cellStyle name="Dane wejściowe 2 26 58" xfId="10890"/>
    <cellStyle name="Dane wejściowe 2 26 6" xfId="10891"/>
    <cellStyle name="Dane wejściowe 2 26 6 2" xfId="10892"/>
    <cellStyle name="Dane wejściowe 2 26 6 3" xfId="10893"/>
    <cellStyle name="Dane wejściowe 2 26 6 4" xfId="10894"/>
    <cellStyle name="Dane wejściowe 2 26 7" xfId="10895"/>
    <cellStyle name="Dane wejściowe 2 26 7 2" xfId="10896"/>
    <cellStyle name="Dane wejściowe 2 26 7 3" xfId="10897"/>
    <cellStyle name="Dane wejściowe 2 26 7 4" xfId="10898"/>
    <cellStyle name="Dane wejściowe 2 26 8" xfId="10899"/>
    <cellStyle name="Dane wejściowe 2 26 8 2" xfId="10900"/>
    <cellStyle name="Dane wejściowe 2 26 8 3" xfId="10901"/>
    <cellStyle name="Dane wejściowe 2 26 8 4" xfId="10902"/>
    <cellStyle name="Dane wejściowe 2 26 9" xfId="10903"/>
    <cellStyle name="Dane wejściowe 2 26 9 2" xfId="10904"/>
    <cellStyle name="Dane wejściowe 2 26 9 3" xfId="10905"/>
    <cellStyle name="Dane wejściowe 2 26 9 4" xfId="10906"/>
    <cellStyle name="Dane wejściowe 2 27" xfId="10907"/>
    <cellStyle name="Dane wejściowe 2 27 10" xfId="10908"/>
    <cellStyle name="Dane wejściowe 2 27 10 2" xfId="10909"/>
    <cellStyle name="Dane wejściowe 2 27 10 3" xfId="10910"/>
    <cellStyle name="Dane wejściowe 2 27 10 4" xfId="10911"/>
    <cellStyle name="Dane wejściowe 2 27 11" xfId="10912"/>
    <cellStyle name="Dane wejściowe 2 27 11 2" xfId="10913"/>
    <cellStyle name="Dane wejściowe 2 27 11 3" xfId="10914"/>
    <cellStyle name="Dane wejściowe 2 27 11 4" xfId="10915"/>
    <cellStyle name="Dane wejściowe 2 27 12" xfId="10916"/>
    <cellStyle name="Dane wejściowe 2 27 12 2" xfId="10917"/>
    <cellStyle name="Dane wejściowe 2 27 12 3" xfId="10918"/>
    <cellStyle name="Dane wejściowe 2 27 12 4" xfId="10919"/>
    <cellStyle name="Dane wejściowe 2 27 13" xfId="10920"/>
    <cellStyle name="Dane wejściowe 2 27 13 2" xfId="10921"/>
    <cellStyle name="Dane wejściowe 2 27 13 3" xfId="10922"/>
    <cellStyle name="Dane wejściowe 2 27 13 4" xfId="10923"/>
    <cellStyle name="Dane wejściowe 2 27 14" xfId="10924"/>
    <cellStyle name="Dane wejściowe 2 27 14 2" xfId="10925"/>
    <cellStyle name="Dane wejściowe 2 27 14 3" xfId="10926"/>
    <cellStyle name="Dane wejściowe 2 27 14 4" xfId="10927"/>
    <cellStyle name="Dane wejściowe 2 27 15" xfId="10928"/>
    <cellStyle name="Dane wejściowe 2 27 15 2" xfId="10929"/>
    <cellStyle name="Dane wejściowe 2 27 15 3" xfId="10930"/>
    <cellStyle name="Dane wejściowe 2 27 15 4" xfId="10931"/>
    <cellStyle name="Dane wejściowe 2 27 16" xfId="10932"/>
    <cellStyle name="Dane wejściowe 2 27 16 2" xfId="10933"/>
    <cellStyle name="Dane wejściowe 2 27 16 3" xfId="10934"/>
    <cellStyle name="Dane wejściowe 2 27 16 4" xfId="10935"/>
    <cellStyle name="Dane wejściowe 2 27 17" xfId="10936"/>
    <cellStyle name="Dane wejściowe 2 27 17 2" xfId="10937"/>
    <cellStyle name="Dane wejściowe 2 27 17 3" xfId="10938"/>
    <cellStyle name="Dane wejściowe 2 27 17 4" xfId="10939"/>
    <cellStyle name="Dane wejściowe 2 27 18" xfId="10940"/>
    <cellStyle name="Dane wejściowe 2 27 18 2" xfId="10941"/>
    <cellStyle name="Dane wejściowe 2 27 18 3" xfId="10942"/>
    <cellStyle name="Dane wejściowe 2 27 18 4" xfId="10943"/>
    <cellStyle name="Dane wejściowe 2 27 19" xfId="10944"/>
    <cellStyle name="Dane wejściowe 2 27 19 2" xfId="10945"/>
    <cellStyle name="Dane wejściowe 2 27 19 3" xfId="10946"/>
    <cellStyle name="Dane wejściowe 2 27 19 4" xfId="10947"/>
    <cellStyle name="Dane wejściowe 2 27 2" xfId="10948"/>
    <cellStyle name="Dane wejściowe 2 27 2 2" xfId="10949"/>
    <cellStyle name="Dane wejściowe 2 27 2 3" xfId="10950"/>
    <cellStyle name="Dane wejściowe 2 27 2 4" xfId="10951"/>
    <cellStyle name="Dane wejściowe 2 27 20" xfId="10952"/>
    <cellStyle name="Dane wejściowe 2 27 20 2" xfId="10953"/>
    <cellStyle name="Dane wejściowe 2 27 20 3" xfId="10954"/>
    <cellStyle name="Dane wejściowe 2 27 20 4" xfId="10955"/>
    <cellStyle name="Dane wejściowe 2 27 21" xfId="10956"/>
    <cellStyle name="Dane wejściowe 2 27 21 2" xfId="10957"/>
    <cellStyle name="Dane wejściowe 2 27 21 3" xfId="10958"/>
    <cellStyle name="Dane wejściowe 2 27 22" xfId="10959"/>
    <cellStyle name="Dane wejściowe 2 27 22 2" xfId="10960"/>
    <cellStyle name="Dane wejściowe 2 27 22 3" xfId="10961"/>
    <cellStyle name="Dane wejściowe 2 27 23" xfId="10962"/>
    <cellStyle name="Dane wejściowe 2 27 23 2" xfId="10963"/>
    <cellStyle name="Dane wejściowe 2 27 23 3" xfId="10964"/>
    <cellStyle name="Dane wejściowe 2 27 24" xfId="10965"/>
    <cellStyle name="Dane wejściowe 2 27 24 2" xfId="10966"/>
    <cellStyle name="Dane wejściowe 2 27 24 3" xfId="10967"/>
    <cellStyle name="Dane wejściowe 2 27 25" xfId="10968"/>
    <cellStyle name="Dane wejściowe 2 27 25 2" xfId="10969"/>
    <cellStyle name="Dane wejściowe 2 27 25 3" xfId="10970"/>
    <cellStyle name="Dane wejściowe 2 27 26" xfId="10971"/>
    <cellStyle name="Dane wejściowe 2 27 26 2" xfId="10972"/>
    <cellStyle name="Dane wejściowe 2 27 26 3" xfId="10973"/>
    <cellStyle name="Dane wejściowe 2 27 27" xfId="10974"/>
    <cellStyle name="Dane wejściowe 2 27 27 2" xfId="10975"/>
    <cellStyle name="Dane wejściowe 2 27 27 3" xfId="10976"/>
    <cellStyle name="Dane wejściowe 2 27 28" xfId="10977"/>
    <cellStyle name="Dane wejściowe 2 27 28 2" xfId="10978"/>
    <cellStyle name="Dane wejściowe 2 27 28 3" xfId="10979"/>
    <cellStyle name="Dane wejściowe 2 27 29" xfId="10980"/>
    <cellStyle name="Dane wejściowe 2 27 29 2" xfId="10981"/>
    <cellStyle name="Dane wejściowe 2 27 29 3" xfId="10982"/>
    <cellStyle name="Dane wejściowe 2 27 3" xfId="10983"/>
    <cellStyle name="Dane wejściowe 2 27 3 2" xfId="10984"/>
    <cellStyle name="Dane wejściowe 2 27 3 3" xfId="10985"/>
    <cellStyle name="Dane wejściowe 2 27 3 4" xfId="10986"/>
    <cellStyle name="Dane wejściowe 2 27 30" xfId="10987"/>
    <cellStyle name="Dane wejściowe 2 27 30 2" xfId="10988"/>
    <cellStyle name="Dane wejściowe 2 27 30 3" xfId="10989"/>
    <cellStyle name="Dane wejściowe 2 27 31" xfId="10990"/>
    <cellStyle name="Dane wejściowe 2 27 31 2" xfId="10991"/>
    <cellStyle name="Dane wejściowe 2 27 31 3" xfId="10992"/>
    <cellStyle name="Dane wejściowe 2 27 32" xfId="10993"/>
    <cellStyle name="Dane wejściowe 2 27 32 2" xfId="10994"/>
    <cellStyle name="Dane wejściowe 2 27 32 3" xfId="10995"/>
    <cellStyle name="Dane wejściowe 2 27 33" xfId="10996"/>
    <cellStyle name="Dane wejściowe 2 27 33 2" xfId="10997"/>
    <cellStyle name="Dane wejściowe 2 27 33 3" xfId="10998"/>
    <cellStyle name="Dane wejściowe 2 27 34" xfId="10999"/>
    <cellStyle name="Dane wejściowe 2 27 34 2" xfId="11000"/>
    <cellStyle name="Dane wejściowe 2 27 34 3" xfId="11001"/>
    <cellStyle name="Dane wejściowe 2 27 35" xfId="11002"/>
    <cellStyle name="Dane wejściowe 2 27 35 2" xfId="11003"/>
    <cellStyle name="Dane wejściowe 2 27 35 3" xfId="11004"/>
    <cellStyle name="Dane wejściowe 2 27 36" xfId="11005"/>
    <cellStyle name="Dane wejściowe 2 27 36 2" xfId="11006"/>
    <cellStyle name="Dane wejściowe 2 27 36 3" xfId="11007"/>
    <cellStyle name="Dane wejściowe 2 27 37" xfId="11008"/>
    <cellStyle name="Dane wejściowe 2 27 37 2" xfId="11009"/>
    <cellStyle name="Dane wejściowe 2 27 37 3" xfId="11010"/>
    <cellStyle name="Dane wejściowe 2 27 38" xfId="11011"/>
    <cellStyle name="Dane wejściowe 2 27 38 2" xfId="11012"/>
    <cellStyle name="Dane wejściowe 2 27 38 3" xfId="11013"/>
    <cellStyle name="Dane wejściowe 2 27 39" xfId="11014"/>
    <cellStyle name="Dane wejściowe 2 27 39 2" xfId="11015"/>
    <cellStyle name="Dane wejściowe 2 27 39 3" xfId="11016"/>
    <cellStyle name="Dane wejściowe 2 27 4" xfId="11017"/>
    <cellStyle name="Dane wejściowe 2 27 4 2" xfId="11018"/>
    <cellStyle name="Dane wejściowe 2 27 4 3" xfId="11019"/>
    <cellStyle name="Dane wejściowe 2 27 4 4" xfId="11020"/>
    <cellStyle name="Dane wejściowe 2 27 40" xfId="11021"/>
    <cellStyle name="Dane wejściowe 2 27 40 2" xfId="11022"/>
    <cellStyle name="Dane wejściowe 2 27 40 3" xfId="11023"/>
    <cellStyle name="Dane wejściowe 2 27 41" xfId="11024"/>
    <cellStyle name="Dane wejściowe 2 27 41 2" xfId="11025"/>
    <cellStyle name="Dane wejściowe 2 27 41 3" xfId="11026"/>
    <cellStyle name="Dane wejściowe 2 27 42" xfId="11027"/>
    <cellStyle name="Dane wejściowe 2 27 42 2" xfId="11028"/>
    <cellStyle name="Dane wejściowe 2 27 42 3" xfId="11029"/>
    <cellStyle name="Dane wejściowe 2 27 43" xfId="11030"/>
    <cellStyle name="Dane wejściowe 2 27 43 2" xfId="11031"/>
    <cellStyle name="Dane wejściowe 2 27 43 3" xfId="11032"/>
    <cellStyle name="Dane wejściowe 2 27 44" xfId="11033"/>
    <cellStyle name="Dane wejściowe 2 27 44 2" xfId="11034"/>
    <cellStyle name="Dane wejściowe 2 27 44 3" xfId="11035"/>
    <cellStyle name="Dane wejściowe 2 27 45" xfId="11036"/>
    <cellStyle name="Dane wejściowe 2 27 45 2" xfId="11037"/>
    <cellStyle name="Dane wejściowe 2 27 45 3" xfId="11038"/>
    <cellStyle name="Dane wejściowe 2 27 46" xfId="11039"/>
    <cellStyle name="Dane wejściowe 2 27 46 2" xfId="11040"/>
    <cellStyle name="Dane wejściowe 2 27 46 3" xfId="11041"/>
    <cellStyle name="Dane wejściowe 2 27 47" xfId="11042"/>
    <cellStyle name="Dane wejściowe 2 27 47 2" xfId="11043"/>
    <cellStyle name="Dane wejściowe 2 27 47 3" xfId="11044"/>
    <cellStyle name="Dane wejściowe 2 27 48" xfId="11045"/>
    <cellStyle name="Dane wejściowe 2 27 48 2" xfId="11046"/>
    <cellStyle name="Dane wejściowe 2 27 48 3" xfId="11047"/>
    <cellStyle name="Dane wejściowe 2 27 49" xfId="11048"/>
    <cellStyle name="Dane wejściowe 2 27 49 2" xfId="11049"/>
    <cellStyle name="Dane wejściowe 2 27 49 3" xfId="11050"/>
    <cellStyle name="Dane wejściowe 2 27 5" xfId="11051"/>
    <cellStyle name="Dane wejściowe 2 27 5 2" xfId="11052"/>
    <cellStyle name="Dane wejściowe 2 27 5 3" xfId="11053"/>
    <cellStyle name="Dane wejściowe 2 27 5 4" xfId="11054"/>
    <cellStyle name="Dane wejściowe 2 27 50" xfId="11055"/>
    <cellStyle name="Dane wejściowe 2 27 50 2" xfId="11056"/>
    <cellStyle name="Dane wejściowe 2 27 50 3" xfId="11057"/>
    <cellStyle name="Dane wejściowe 2 27 51" xfId="11058"/>
    <cellStyle name="Dane wejściowe 2 27 51 2" xfId="11059"/>
    <cellStyle name="Dane wejściowe 2 27 51 3" xfId="11060"/>
    <cellStyle name="Dane wejściowe 2 27 52" xfId="11061"/>
    <cellStyle name="Dane wejściowe 2 27 52 2" xfId="11062"/>
    <cellStyle name="Dane wejściowe 2 27 52 3" xfId="11063"/>
    <cellStyle name="Dane wejściowe 2 27 53" xfId="11064"/>
    <cellStyle name="Dane wejściowe 2 27 53 2" xfId="11065"/>
    <cellStyle name="Dane wejściowe 2 27 53 3" xfId="11066"/>
    <cellStyle name="Dane wejściowe 2 27 54" xfId="11067"/>
    <cellStyle name="Dane wejściowe 2 27 54 2" xfId="11068"/>
    <cellStyle name="Dane wejściowe 2 27 54 3" xfId="11069"/>
    <cellStyle name="Dane wejściowe 2 27 55" xfId="11070"/>
    <cellStyle name="Dane wejściowe 2 27 55 2" xfId="11071"/>
    <cellStyle name="Dane wejściowe 2 27 55 3" xfId="11072"/>
    <cellStyle name="Dane wejściowe 2 27 56" xfId="11073"/>
    <cellStyle name="Dane wejściowe 2 27 56 2" xfId="11074"/>
    <cellStyle name="Dane wejściowe 2 27 56 3" xfId="11075"/>
    <cellStyle name="Dane wejściowe 2 27 57" xfId="11076"/>
    <cellStyle name="Dane wejściowe 2 27 58" xfId="11077"/>
    <cellStyle name="Dane wejściowe 2 27 6" xfId="11078"/>
    <cellStyle name="Dane wejściowe 2 27 6 2" xfId="11079"/>
    <cellStyle name="Dane wejściowe 2 27 6 3" xfId="11080"/>
    <cellStyle name="Dane wejściowe 2 27 6 4" xfId="11081"/>
    <cellStyle name="Dane wejściowe 2 27 7" xfId="11082"/>
    <cellStyle name="Dane wejściowe 2 27 7 2" xfId="11083"/>
    <cellStyle name="Dane wejściowe 2 27 7 3" xfId="11084"/>
    <cellStyle name="Dane wejściowe 2 27 7 4" xfId="11085"/>
    <cellStyle name="Dane wejściowe 2 27 8" xfId="11086"/>
    <cellStyle name="Dane wejściowe 2 27 8 2" xfId="11087"/>
    <cellStyle name="Dane wejściowe 2 27 8 3" xfId="11088"/>
    <cellStyle name="Dane wejściowe 2 27 8 4" xfId="11089"/>
    <cellStyle name="Dane wejściowe 2 27 9" xfId="11090"/>
    <cellStyle name="Dane wejściowe 2 27 9 2" xfId="11091"/>
    <cellStyle name="Dane wejściowe 2 27 9 3" xfId="11092"/>
    <cellStyle name="Dane wejściowe 2 27 9 4" xfId="11093"/>
    <cellStyle name="Dane wejściowe 2 28" xfId="11094"/>
    <cellStyle name="Dane wejściowe 2 28 10" xfId="11095"/>
    <cellStyle name="Dane wejściowe 2 28 10 2" xfId="11096"/>
    <cellStyle name="Dane wejściowe 2 28 10 3" xfId="11097"/>
    <cellStyle name="Dane wejściowe 2 28 10 4" xfId="11098"/>
    <cellStyle name="Dane wejściowe 2 28 11" xfId="11099"/>
    <cellStyle name="Dane wejściowe 2 28 11 2" xfId="11100"/>
    <cellStyle name="Dane wejściowe 2 28 11 3" xfId="11101"/>
    <cellStyle name="Dane wejściowe 2 28 11 4" xfId="11102"/>
    <cellStyle name="Dane wejściowe 2 28 12" xfId="11103"/>
    <cellStyle name="Dane wejściowe 2 28 12 2" xfId="11104"/>
    <cellStyle name="Dane wejściowe 2 28 12 3" xfId="11105"/>
    <cellStyle name="Dane wejściowe 2 28 12 4" xfId="11106"/>
    <cellStyle name="Dane wejściowe 2 28 13" xfId="11107"/>
    <cellStyle name="Dane wejściowe 2 28 13 2" xfId="11108"/>
    <cellStyle name="Dane wejściowe 2 28 13 3" xfId="11109"/>
    <cellStyle name="Dane wejściowe 2 28 13 4" xfId="11110"/>
    <cellStyle name="Dane wejściowe 2 28 14" xfId="11111"/>
    <cellStyle name="Dane wejściowe 2 28 14 2" xfId="11112"/>
    <cellStyle name="Dane wejściowe 2 28 14 3" xfId="11113"/>
    <cellStyle name="Dane wejściowe 2 28 14 4" xfId="11114"/>
    <cellStyle name="Dane wejściowe 2 28 15" xfId="11115"/>
    <cellStyle name="Dane wejściowe 2 28 15 2" xfId="11116"/>
    <cellStyle name="Dane wejściowe 2 28 15 3" xfId="11117"/>
    <cellStyle name="Dane wejściowe 2 28 15 4" xfId="11118"/>
    <cellStyle name="Dane wejściowe 2 28 16" xfId="11119"/>
    <cellStyle name="Dane wejściowe 2 28 16 2" xfId="11120"/>
    <cellStyle name="Dane wejściowe 2 28 16 3" xfId="11121"/>
    <cellStyle name="Dane wejściowe 2 28 16 4" xfId="11122"/>
    <cellStyle name="Dane wejściowe 2 28 17" xfId="11123"/>
    <cellStyle name="Dane wejściowe 2 28 17 2" xfId="11124"/>
    <cellStyle name="Dane wejściowe 2 28 17 3" xfId="11125"/>
    <cellStyle name="Dane wejściowe 2 28 17 4" xfId="11126"/>
    <cellStyle name="Dane wejściowe 2 28 18" xfId="11127"/>
    <cellStyle name="Dane wejściowe 2 28 18 2" xfId="11128"/>
    <cellStyle name="Dane wejściowe 2 28 18 3" xfId="11129"/>
    <cellStyle name="Dane wejściowe 2 28 18 4" xfId="11130"/>
    <cellStyle name="Dane wejściowe 2 28 19" xfId="11131"/>
    <cellStyle name="Dane wejściowe 2 28 19 2" xfId="11132"/>
    <cellStyle name="Dane wejściowe 2 28 19 3" xfId="11133"/>
    <cellStyle name="Dane wejściowe 2 28 19 4" xfId="11134"/>
    <cellStyle name="Dane wejściowe 2 28 2" xfId="11135"/>
    <cellStyle name="Dane wejściowe 2 28 2 2" xfId="11136"/>
    <cellStyle name="Dane wejściowe 2 28 2 3" xfId="11137"/>
    <cellStyle name="Dane wejściowe 2 28 2 4" xfId="11138"/>
    <cellStyle name="Dane wejściowe 2 28 20" xfId="11139"/>
    <cellStyle name="Dane wejściowe 2 28 20 2" xfId="11140"/>
    <cellStyle name="Dane wejściowe 2 28 20 3" xfId="11141"/>
    <cellStyle name="Dane wejściowe 2 28 20 4" xfId="11142"/>
    <cellStyle name="Dane wejściowe 2 28 21" xfId="11143"/>
    <cellStyle name="Dane wejściowe 2 28 21 2" xfId="11144"/>
    <cellStyle name="Dane wejściowe 2 28 21 3" xfId="11145"/>
    <cellStyle name="Dane wejściowe 2 28 22" xfId="11146"/>
    <cellStyle name="Dane wejściowe 2 28 22 2" xfId="11147"/>
    <cellStyle name="Dane wejściowe 2 28 22 3" xfId="11148"/>
    <cellStyle name="Dane wejściowe 2 28 23" xfId="11149"/>
    <cellStyle name="Dane wejściowe 2 28 23 2" xfId="11150"/>
    <cellStyle name="Dane wejściowe 2 28 23 3" xfId="11151"/>
    <cellStyle name="Dane wejściowe 2 28 24" xfId="11152"/>
    <cellStyle name="Dane wejściowe 2 28 24 2" xfId="11153"/>
    <cellStyle name="Dane wejściowe 2 28 24 3" xfId="11154"/>
    <cellStyle name="Dane wejściowe 2 28 25" xfId="11155"/>
    <cellStyle name="Dane wejściowe 2 28 25 2" xfId="11156"/>
    <cellStyle name="Dane wejściowe 2 28 25 3" xfId="11157"/>
    <cellStyle name="Dane wejściowe 2 28 26" xfId="11158"/>
    <cellStyle name="Dane wejściowe 2 28 26 2" xfId="11159"/>
    <cellStyle name="Dane wejściowe 2 28 26 3" xfId="11160"/>
    <cellStyle name="Dane wejściowe 2 28 27" xfId="11161"/>
    <cellStyle name="Dane wejściowe 2 28 27 2" xfId="11162"/>
    <cellStyle name="Dane wejściowe 2 28 27 3" xfId="11163"/>
    <cellStyle name="Dane wejściowe 2 28 28" xfId="11164"/>
    <cellStyle name="Dane wejściowe 2 28 28 2" xfId="11165"/>
    <cellStyle name="Dane wejściowe 2 28 28 3" xfId="11166"/>
    <cellStyle name="Dane wejściowe 2 28 29" xfId="11167"/>
    <cellStyle name="Dane wejściowe 2 28 29 2" xfId="11168"/>
    <cellStyle name="Dane wejściowe 2 28 29 3" xfId="11169"/>
    <cellStyle name="Dane wejściowe 2 28 3" xfId="11170"/>
    <cellStyle name="Dane wejściowe 2 28 3 2" xfId="11171"/>
    <cellStyle name="Dane wejściowe 2 28 3 3" xfId="11172"/>
    <cellStyle name="Dane wejściowe 2 28 3 4" xfId="11173"/>
    <cellStyle name="Dane wejściowe 2 28 30" xfId="11174"/>
    <cellStyle name="Dane wejściowe 2 28 30 2" xfId="11175"/>
    <cellStyle name="Dane wejściowe 2 28 30 3" xfId="11176"/>
    <cellStyle name="Dane wejściowe 2 28 31" xfId="11177"/>
    <cellStyle name="Dane wejściowe 2 28 31 2" xfId="11178"/>
    <cellStyle name="Dane wejściowe 2 28 31 3" xfId="11179"/>
    <cellStyle name="Dane wejściowe 2 28 32" xfId="11180"/>
    <cellStyle name="Dane wejściowe 2 28 32 2" xfId="11181"/>
    <cellStyle name="Dane wejściowe 2 28 32 3" xfId="11182"/>
    <cellStyle name="Dane wejściowe 2 28 33" xfId="11183"/>
    <cellStyle name="Dane wejściowe 2 28 33 2" xfId="11184"/>
    <cellStyle name="Dane wejściowe 2 28 33 3" xfId="11185"/>
    <cellStyle name="Dane wejściowe 2 28 34" xfId="11186"/>
    <cellStyle name="Dane wejściowe 2 28 34 2" xfId="11187"/>
    <cellStyle name="Dane wejściowe 2 28 34 3" xfId="11188"/>
    <cellStyle name="Dane wejściowe 2 28 35" xfId="11189"/>
    <cellStyle name="Dane wejściowe 2 28 35 2" xfId="11190"/>
    <cellStyle name="Dane wejściowe 2 28 35 3" xfId="11191"/>
    <cellStyle name="Dane wejściowe 2 28 36" xfId="11192"/>
    <cellStyle name="Dane wejściowe 2 28 36 2" xfId="11193"/>
    <cellStyle name="Dane wejściowe 2 28 36 3" xfId="11194"/>
    <cellStyle name="Dane wejściowe 2 28 37" xfId="11195"/>
    <cellStyle name="Dane wejściowe 2 28 37 2" xfId="11196"/>
    <cellStyle name="Dane wejściowe 2 28 37 3" xfId="11197"/>
    <cellStyle name="Dane wejściowe 2 28 38" xfId="11198"/>
    <cellStyle name="Dane wejściowe 2 28 38 2" xfId="11199"/>
    <cellStyle name="Dane wejściowe 2 28 38 3" xfId="11200"/>
    <cellStyle name="Dane wejściowe 2 28 39" xfId="11201"/>
    <cellStyle name="Dane wejściowe 2 28 39 2" xfId="11202"/>
    <cellStyle name="Dane wejściowe 2 28 39 3" xfId="11203"/>
    <cellStyle name="Dane wejściowe 2 28 4" xfId="11204"/>
    <cellStyle name="Dane wejściowe 2 28 4 2" xfId="11205"/>
    <cellStyle name="Dane wejściowe 2 28 4 3" xfId="11206"/>
    <cellStyle name="Dane wejściowe 2 28 4 4" xfId="11207"/>
    <cellStyle name="Dane wejściowe 2 28 40" xfId="11208"/>
    <cellStyle name="Dane wejściowe 2 28 40 2" xfId="11209"/>
    <cellStyle name="Dane wejściowe 2 28 40 3" xfId="11210"/>
    <cellStyle name="Dane wejściowe 2 28 41" xfId="11211"/>
    <cellStyle name="Dane wejściowe 2 28 41 2" xfId="11212"/>
    <cellStyle name="Dane wejściowe 2 28 41 3" xfId="11213"/>
    <cellStyle name="Dane wejściowe 2 28 42" xfId="11214"/>
    <cellStyle name="Dane wejściowe 2 28 42 2" xfId="11215"/>
    <cellStyle name="Dane wejściowe 2 28 42 3" xfId="11216"/>
    <cellStyle name="Dane wejściowe 2 28 43" xfId="11217"/>
    <cellStyle name="Dane wejściowe 2 28 43 2" xfId="11218"/>
    <cellStyle name="Dane wejściowe 2 28 43 3" xfId="11219"/>
    <cellStyle name="Dane wejściowe 2 28 44" xfId="11220"/>
    <cellStyle name="Dane wejściowe 2 28 44 2" xfId="11221"/>
    <cellStyle name="Dane wejściowe 2 28 44 3" xfId="11222"/>
    <cellStyle name="Dane wejściowe 2 28 45" xfId="11223"/>
    <cellStyle name="Dane wejściowe 2 28 45 2" xfId="11224"/>
    <cellStyle name="Dane wejściowe 2 28 45 3" xfId="11225"/>
    <cellStyle name="Dane wejściowe 2 28 46" xfId="11226"/>
    <cellStyle name="Dane wejściowe 2 28 46 2" xfId="11227"/>
    <cellStyle name="Dane wejściowe 2 28 46 3" xfId="11228"/>
    <cellStyle name="Dane wejściowe 2 28 47" xfId="11229"/>
    <cellStyle name="Dane wejściowe 2 28 47 2" xfId="11230"/>
    <cellStyle name="Dane wejściowe 2 28 47 3" xfId="11231"/>
    <cellStyle name="Dane wejściowe 2 28 48" xfId="11232"/>
    <cellStyle name="Dane wejściowe 2 28 48 2" xfId="11233"/>
    <cellStyle name="Dane wejściowe 2 28 48 3" xfId="11234"/>
    <cellStyle name="Dane wejściowe 2 28 49" xfId="11235"/>
    <cellStyle name="Dane wejściowe 2 28 49 2" xfId="11236"/>
    <cellStyle name="Dane wejściowe 2 28 49 3" xfId="11237"/>
    <cellStyle name="Dane wejściowe 2 28 5" xfId="11238"/>
    <cellStyle name="Dane wejściowe 2 28 5 2" xfId="11239"/>
    <cellStyle name="Dane wejściowe 2 28 5 3" xfId="11240"/>
    <cellStyle name="Dane wejściowe 2 28 5 4" xfId="11241"/>
    <cellStyle name="Dane wejściowe 2 28 50" xfId="11242"/>
    <cellStyle name="Dane wejściowe 2 28 50 2" xfId="11243"/>
    <cellStyle name="Dane wejściowe 2 28 50 3" xfId="11244"/>
    <cellStyle name="Dane wejściowe 2 28 51" xfId="11245"/>
    <cellStyle name="Dane wejściowe 2 28 51 2" xfId="11246"/>
    <cellStyle name="Dane wejściowe 2 28 51 3" xfId="11247"/>
    <cellStyle name="Dane wejściowe 2 28 52" xfId="11248"/>
    <cellStyle name="Dane wejściowe 2 28 52 2" xfId="11249"/>
    <cellStyle name="Dane wejściowe 2 28 52 3" xfId="11250"/>
    <cellStyle name="Dane wejściowe 2 28 53" xfId="11251"/>
    <cellStyle name="Dane wejściowe 2 28 53 2" xfId="11252"/>
    <cellStyle name="Dane wejściowe 2 28 53 3" xfId="11253"/>
    <cellStyle name="Dane wejściowe 2 28 54" xfId="11254"/>
    <cellStyle name="Dane wejściowe 2 28 54 2" xfId="11255"/>
    <cellStyle name="Dane wejściowe 2 28 54 3" xfId="11256"/>
    <cellStyle name="Dane wejściowe 2 28 55" xfId="11257"/>
    <cellStyle name="Dane wejściowe 2 28 55 2" xfId="11258"/>
    <cellStyle name="Dane wejściowe 2 28 55 3" xfId="11259"/>
    <cellStyle name="Dane wejściowe 2 28 56" xfId="11260"/>
    <cellStyle name="Dane wejściowe 2 28 56 2" xfId="11261"/>
    <cellStyle name="Dane wejściowe 2 28 56 3" xfId="11262"/>
    <cellStyle name="Dane wejściowe 2 28 57" xfId="11263"/>
    <cellStyle name="Dane wejściowe 2 28 58" xfId="11264"/>
    <cellStyle name="Dane wejściowe 2 28 6" xfId="11265"/>
    <cellStyle name="Dane wejściowe 2 28 6 2" xfId="11266"/>
    <cellStyle name="Dane wejściowe 2 28 6 3" xfId="11267"/>
    <cellStyle name="Dane wejściowe 2 28 6 4" xfId="11268"/>
    <cellStyle name="Dane wejściowe 2 28 7" xfId="11269"/>
    <cellStyle name="Dane wejściowe 2 28 7 2" xfId="11270"/>
    <cellStyle name="Dane wejściowe 2 28 7 3" xfId="11271"/>
    <cellStyle name="Dane wejściowe 2 28 7 4" xfId="11272"/>
    <cellStyle name="Dane wejściowe 2 28 8" xfId="11273"/>
    <cellStyle name="Dane wejściowe 2 28 8 2" xfId="11274"/>
    <cellStyle name="Dane wejściowe 2 28 8 3" xfId="11275"/>
    <cellStyle name="Dane wejściowe 2 28 8 4" xfId="11276"/>
    <cellStyle name="Dane wejściowe 2 28 9" xfId="11277"/>
    <cellStyle name="Dane wejściowe 2 28 9 2" xfId="11278"/>
    <cellStyle name="Dane wejściowe 2 28 9 3" xfId="11279"/>
    <cellStyle name="Dane wejściowe 2 28 9 4" xfId="11280"/>
    <cellStyle name="Dane wejściowe 2 29" xfId="11281"/>
    <cellStyle name="Dane wejściowe 2 29 2" xfId="11282"/>
    <cellStyle name="Dane wejściowe 2 29 3" xfId="11283"/>
    <cellStyle name="Dane wejściowe 2 29 4" xfId="11284"/>
    <cellStyle name="Dane wejściowe 2 3" xfId="11285"/>
    <cellStyle name="Dane wejściowe 2 3 10" xfId="11286"/>
    <cellStyle name="Dane wejściowe 2 3 10 2" xfId="11287"/>
    <cellStyle name="Dane wejściowe 2 3 10 3" xfId="11288"/>
    <cellStyle name="Dane wejściowe 2 3 10 4" xfId="11289"/>
    <cellStyle name="Dane wejściowe 2 3 11" xfId="11290"/>
    <cellStyle name="Dane wejściowe 2 3 11 2" xfId="11291"/>
    <cellStyle name="Dane wejściowe 2 3 11 3" xfId="11292"/>
    <cellStyle name="Dane wejściowe 2 3 11 4" xfId="11293"/>
    <cellStyle name="Dane wejściowe 2 3 12" xfId="11294"/>
    <cellStyle name="Dane wejściowe 2 3 12 2" xfId="11295"/>
    <cellStyle name="Dane wejściowe 2 3 12 3" xfId="11296"/>
    <cellStyle name="Dane wejściowe 2 3 12 4" xfId="11297"/>
    <cellStyle name="Dane wejściowe 2 3 13" xfId="11298"/>
    <cellStyle name="Dane wejściowe 2 3 13 2" xfId="11299"/>
    <cellStyle name="Dane wejściowe 2 3 13 3" xfId="11300"/>
    <cellStyle name="Dane wejściowe 2 3 13 4" xfId="11301"/>
    <cellStyle name="Dane wejściowe 2 3 14" xfId="11302"/>
    <cellStyle name="Dane wejściowe 2 3 14 2" xfId="11303"/>
    <cellStyle name="Dane wejściowe 2 3 14 3" xfId="11304"/>
    <cellStyle name="Dane wejściowe 2 3 14 4" xfId="11305"/>
    <cellStyle name="Dane wejściowe 2 3 15" xfId="11306"/>
    <cellStyle name="Dane wejściowe 2 3 15 2" xfId="11307"/>
    <cellStyle name="Dane wejściowe 2 3 15 3" xfId="11308"/>
    <cellStyle name="Dane wejściowe 2 3 15 4" xfId="11309"/>
    <cellStyle name="Dane wejściowe 2 3 16" xfId="11310"/>
    <cellStyle name="Dane wejściowe 2 3 16 2" xfId="11311"/>
    <cellStyle name="Dane wejściowe 2 3 16 3" xfId="11312"/>
    <cellStyle name="Dane wejściowe 2 3 16 4" xfId="11313"/>
    <cellStyle name="Dane wejściowe 2 3 17" xfId="11314"/>
    <cellStyle name="Dane wejściowe 2 3 17 2" xfId="11315"/>
    <cellStyle name="Dane wejściowe 2 3 17 3" xfId="11316"/>
    <cellStyle name="Dane wejściowe 2 3 17 4" xfId="11317"/>
    <cellStyle name="Dane wejściowe 2 3 18" xfId="11318"/>
    <cellStyle name="Dane wejściowe 2 3 18 2" xfId="11319"/>
    <cellStyle name="Dane wejściowe 2 3 18 3" xfId="11320"/>
    <cellStyle name="Dane wejściowe 2 3 18 4" xfId="11321"/>
    <cellStyle name="Dane wejściowe 2 3 19" xfId="11322"/>
    <cellStyle name="Dane wejściowe 2 3 19 2" xfId="11323"/>
    <cellStyle name="Dane wejściowe 2 3 19 3" xfId="11324"/>
    <cellStyle name="Dane wejściowe 2 3 19 4" xfId="11325"/>
    <cellStyle name="Dane wejściowe 2 3 2" xfId="11326"/>
    <cellStyle name="Dane wejściowe 2 3 2 2" xfId="11327"/>
    <cellStyle name="Dane wejściowe 2 3 2 3" xfId="11328"/>
    <cellStyle name="Dane wejściowe 2 3 2 4" xfId="11329"/>
    <cellStyle name="Dane wejściowe 2 3 20" xfId="11330"/>
    <cellStyle name="Dane wejściowe 2 3 20 2" xfId="11331"/>
    <cellStyle name="Dane wejściowe 2 3 20 3" xfId="11332"/>
    <cellStyle name="Dane wejściowe 2 3 20 4" xfId="11333"/>
    <cellStyle name="Dane wejściowe 2 3 21" xfId="11334"/>
    <cellStyle name="Dane wejściowe 2 3 21 2" xfId="11335"/>
    <cellStyle name="Dane wejściowe 2 3 21 3" xfId="11336"/>
    <cellStyle name="Dane wejściowe 2 3 22" xfId="11337"/>
    <cellStyle name="Dane wejściowe 2 3 22 2" xfId="11338"/>
    <cellStyle name="Dane wejściowe 2 3 22 3" xfId="11339"/>
    <cellStyle name="Dane wejściowe 2 3 23" xfId="11340"/>
    <cellStyle name="Dane wejściowe 2 3 23 2" xfId="11341"/>
    <cellStyle name="Dane wejściowe 2 3 23 3" xfId="11342"/>
    <cellStyle name="Dane wejściowe 2 3 24" xfId="11343"/>
    <cellStyle name="Dane wejściowe 2 3 24 2" xfId="11344"/>
    <cellStyle name="Dane wejściowe 2 3 24 3" xfId="11345"/>
    <cellStyle name="Dane wejściowe 2 3 25" xfId="11346"/>
    <cellStyle name="Dane wejściowe 2 3 25 2" xfId="11347"/>
    <cellStyle name="Dane wejściowe 2 3 25 3" xfId="11348"/>
    <cellStyle name="Dane wejściowe 2 3 26" xfId="11349"/>
    <cellStyle name="Dane wejściowe 2 3 26 2" xfId="11350"/>
    <cellStyle name="Dane wejściowe 2 3 26 3" xfId="11351"/>
    <cellStyle name="Dane wejściowe 2 3 27" xfId="11352"/>
    <cellStyle name="Dane wejściowe 2 3 27 2" xfId="11353"/>
    <cellStyle name="Dane wejściowe 2 3 27 3" xfId="11354"/>
    <cellStyle name="Dane wejściowe 2 3 28" xfId="11355"/>
    <cellStyle name="Dane wejściowe 2 3 28 2" xfId="11356"/>
    <cellStyle name="Dane wejściowe 2 3 28 3" xfId="11357"/>
    <cellStyle name="Dane wejściowe 2 3 29" xfId="11358"/>
    <cellStyle name="Dane wejściowe 2 3 29 2" xfId="11359"/>
    <cellStyle name="Dane wejściowe 2 3 29 3" xfId="11360"/>
    <cellStyle name="Dane wejściowe 2 3 3" xfId="11361"/>
    <cellStyle name="Dane wejściowe 2 3 3 2" xfId="11362"/>
    <cellStyle name="Dane wejściowe 2 3 3 3" xfId="11363"/>
    <cellStyle name="Dane wejściowe 2 3 3 4" xfId="11364"/>
    <cellStyle name="Dane wejściowe 2 3 30" xfId="11365"/>
    <cellStyle name="Dane wejściowe 2 3 30 2" xfId="11366"/>
    <cellStyle name="Dane wejściowe 2 3 30 3" xfId="11367"/>
    <cellStyle name="Dane wejściowe 2 3 31" xfId="11368"/>
    <cellStyle name="Dane wejściowe 2 3 31 2" xfId="11369"/>
    <cellStyle name="Dane wejściowe 2 3 31 3" xfId="11370"/>
    <cellStyle name="Dane wejściowe 2 3 32" xfId="11371"/>
    <cellStyle name="Dane wejściowe 2 3 32 2" xfId="11372"/>
    <cellStyle name="Dane wejściowe 2 3 32 3" xfId="11373"/>
    <cellStyle name="Dane wejściowe 2 3 33" xfId="11374"/>
    <cellStyle name="Dane wejściowe 2 3 33 2" xfId="11375"/>
    <cellStyle name="Dane wejściowe 2 3 33 3" xfId="11376"/>
    <cellStyle name="Dane wejściowe 2 3 34" xfId="11377"/>
    <cellStyle name="Dane wejściowe 2 3 34 2" xfId="11378"/>
    <cellStyle name="Dane wejściowe 2 3 34 3" xfId="11379"/>
    <cellStyle name="Dane wejściowe 2 3 35" xfId="11380"/>
    <cellStyle name="Dane wejściowe 2 3 35 2" xfId="11381"/>
    <cellStyle name="Dane wejściowe 2 3 35 3" xfId="11382"/>
    <cellStyle name="Dane wejściowe 2 3 36" xfId="11383"/>
    <cellStyle name="Dane wejściowe 2 3 36 2" xfId="11384"/>
    <cellStyle name="Dane wejściowe 2 3 36 3" xfId="11385"/>
    <cellStyle name="Dane wejściowe 2 3 37" xfId="11386"/>
    <cellStyle name="Dane wejściowe 2 3 37 2" xfId="11387"/>
    <cellStyle name="Dane wejściowe 2 3 37 3" xfId="11388"/>
    <cellStyle name="Dane wejściowe 2 3 38" xfId="11389"/>
    <cellStyle name="Dane wejściowe 2 3 38 2" xfId="11390"/>
    <cellStyle name="Dane wejściowe 2 3 38 3" xfId="11391"/>
    <cellStyle name="Dane wejściowe 2 3 39" xfId="11392"/>
    <cellStyle name="Dane wejściowe 2 3 39 2" xfId="11393"/>
    <cellStyle name="Dane wejściowe 2 3 39 3" xfId="11394"/>
    <cellStyle name="Dane wejściowe 2 3 4" xfId="11395"/>
    <cellStyle name="Dane wejściowe 2 3 4 2" xfId="11396"/>
    <cellStyle name="Dane wejściowe 2 3 4 3" xfId="11397"/>
    <cellStyle name="Dane wejściowe 2 3 4 4" xfId="11398"/>
    <cellStyle name="Dane wejściowe 2 3 40" xfId="11399"/>
    <cellStyle name="Dane wejściowe 2 3 40 2" xfId="11400"/>
    <cellStyle name="Dane wejściowe 2 3 40 3" xfId="11401"/>
    <cellStyle name="Dane wejściowe 2 3 41" xfId="11402"/>
    <cellStyle name="Dane wejściowe 2 3 41 2" xfId="11403"/>
    <cellStyle name="Dane wejściowe 2 3 41 3" xfId="11404"/>
    <cellStyle name="Dane wejściowe 2 3 42" xfId="11405"/>
    <cellStyle name="Dane wejściowe 2 3 42 2" xfId="11406"/>
    <cellStyle name="Dane wejściowe 2 3 42 3" xfId="11407"/>
    <cellStyle name="Dane wejściowe 2 3 43" xfId="11408"/>
    <cellStyle name="Dane wejściowe 2 3 43 2" xfId="11409"/>
    <cellStyle name="Dane wejściowe 2 3 43 3" xfId="11410"/>
    <cellStyle name="Dane wejściowe 2 3 44" xfId="11411"/>
    <cellStyle name="Dane wejściowe 2 3 44 2" xfId="11412"/>
    <cellStyle name="Dane wejściowe 2 3 44 3" xfId="11413"/>
    <cellStyle name="Dane wejściowe 2 3 45" xfId="11414"/>
    <cellStyle name="Dane wejściowe 2 3 45 2" xfId="11415"/>
    <cellStyle name="Dane wejściowe 2 3 45 3" xfId="11416"/>
    <cellStyle name="Dane wejściowe 2 3 46" xfId="11417"/>
    <cellStyle name="Dane wejściowe 2 3 46 2" xfId="11418"/>
    <cellStyle name="Dane wejściowe 2 3 46 3" xfId="11419"/>
    <cellStyle name="Dane wejściowe 2 3 47" xfId="11420"/>
    <cellStyle name="Dane wejściowe 2 3 47 2" xfId="11421"/>
    <cellStyle name="Dane wejściowe 2 3 47 3" xfId="11422"/>
    <cellStyle name="Dane wejściowe 2 3 48" xfId="11423"/>
    <cellStyle name="Dane wejściowe 2 3 48 2" xfId="11424"/>
    <cellStyle name="Dane wejściowe 2 3 48 3" xfId="11425"/>
    <cellStyle name="Dane wejściowe 2 3 49" xfId="11426"/>
    <cellStyle name="Dane wejściowe 2 3 49 2" xfId="11427"/>
    <cellStyle name="Dane wejściowe 2 3 49 3" xfId="11428"/>
    <cellStyle name="Dane wejściowe 2 3 5" xfId="11429"/>
    <cellStyle name="Dane wejściowe 2 3 5 2" xfId="11430"/>
    <cellStyle name="Dane wejściowe 2 3 5 3" xfId="11431"/>
    <cellStyle name="Dane wejściowe 2 3 5 4" xfId="11432"/>
    <cellStyle name="Dane wejściowe 2 3 50" xfId="11433"/>
    <cellStyle name="Dane wejściowe 2 3 50 2" xfId="11434"/>
    <cellStyle name="Dane wejściowe 2 3 50 3" xfId="11435"/>
    <cellStyle name="Dane wejściowe 2 3 51" xfId="11436"/>
    <cellStyle name="Dane wejściowe 2 3 51 2" xfId="11437"/>
    <cellStyle name="Dane wejściowe 2 3 51 3" xfId="11438"/>
    <cellStyle name="Dane wejściowe 2 3 52" xfId="11439"/>
    <cellStyle name="Dane wejściowe 2 3 52 2" xfId="11440"/>
    <cellStyle name="Dane wejściowe 2 3 52 3" xfId="11441"/>
    <cellStyle name="Dane wejściowe 2 3 53" xfId="11442"/>
    <cellStyle name="Dane wejściowe 2 3 53 2" xfId="11443"/>
    <cellStyle name="Dane wejściowe 2 3 53 3" xfId="11444"/>
    <cellStyle name="Dane wejściowe 2 3 54" xfId="11445"/>
    <cellStyle name="Dane wejściowe 2 3 54 2" xfId="11446"/>
    <cellStyle name="Dane wejściowe 2 3 54 3" xfId="11447"/>
    <cellStyle name="Dane wejściowe 2 3 55" xfId="11448"/>
    <cellStyle name="Dane wejściowe 2 3 55 2" xfId="11449"/>
    <cellStyle name="Dane wejściowe 2 3 55 3" xfId="11450"/>
    <cellStyle name="Dane wejściowe 2 3 56" xfId="11451"/>
    <cellStyle name="Dane wejściowe 2 3 56 2" xfId="11452"/>
    <cellStyle name="Dane wejściowe 2 3 56 3" xfId="11453"/>
    <cellStyle name="Dane wejściowe 2 3 57" xfId="11454"/>
    <cellStyle name="Dane wejściowe 2 3 58" xfId="11455"/>
    <cellStyle name="Dane wejściowe 2 3 6" xfId="11456"/>
    <cellStyle name="Dane wejściowe 2 3 6 2" xfId="11457"/>
    <cellStyle name="Dane wejściowe 2 3 6 3" xfId="11458"/>
    <cellStyle name="Dane wejściowe 2 3 6 4" xfId="11459"/>
    <cellStyle name="Dane wejściowe 2 3 7" xfId="11460"/>
    <cellStyle name="Dane wejściowe 2 3 7 2" xfId="11461"/>
    <cellStyle name="Dane wejściowe 2 3 7 3" xfId="11462"/>
    <cellStyle name="Dane wejściowe 2 3 7 4" xfId="11463"/>
    <cellStyle name="Dane wejściowe 2 3 8" xfId="11464"/>
    <cellStyle name="Dane wejściowe 2 3 8 2" xfId="11465"/>
    <cellStyle name="Dane wejściowe 2 3 8 3" xfId="11466"/>
    <cellStyle name="Dane wejściowe 2 3 8 4" xfId="11467"/>
    <cellStyle name="Dane wejściowe 2 3 9" xfId="11468"/>
    <cellStyle name="Dane wejściowe 2 3 9 2" xfId="11469"/>
    <cellStyle name="Dane wejściowe 2 3 9 3" xfId="11470"/>
    <cellStyle name="Dane wejściowe 2 3 9 4" xfId="11471"/>
    <cellStyle name="Dane wejściowe 2 30" xfId="11472"/>
    <cellStyle name="Dane wejściowe 2 30 2" xfId="11473"/>
    <cellStyle name="Dane wejściowe 2 30 3" xfId="11474"/>
    <cellStyle name="Dane wejściowe 2 30 4" xfId="11475"/>
    <cellStyle name="Dane wejściowe 2 31" xfId="11476"/>
    <cellStyle name="Dane wejściowe 2 31 2" xfId="11477"/>
    <cellStyle name="Dane wejściowe 2 31 3" xfId="11478"/>
    <cellStyle name="Dane wejściowe 2 31 4" xfId="11479"/>
    <cellStyle name="Dane wejściowe 2 32" xfId="11480"/>
    <cellStyle name="Dane wejściowe 2 32 2" xfId="11481"/>
    <cellStyle name="Dane wejściowe 2 32 3" xfId="11482"/>
    <cellStyle name="Dane wejściowe 2 32 4" xfId="11483"/>
    <cellStyle name="Dane wejściowe 2 33" xfId="11484"/>
    <cellStyle name="Dane wejściowe 2 33 2" xfId="11485"/>
    <cellStyle name="Dane wejściowe 2 33 3" xfId="11486"/>
    <cellStyle name="Dane wejściowe 2 33 4" xfId="11487"/>
    <cellStyle name="Dane wejściowe 2 34" xfId="11488"/>
    <cellStyle name="Dane wejściowe 2 34 2" xfId="11489"/>
    <cellStyle name="Dane wejściowe 2 34 3" xfId="11490"/>
    <cellStyle name="Dane wejściowe 2 34 4" xfId="11491"/>
    <cellStyle name="Dane wejściowe 2 35" xfId="11492"/>
    <cellStyle name="Dane wejściowe 2 35 2" xfId="11493"/>
    <cellStyle name="Dane wejściowe 2 35 3" xfId="11494"/>
    <cellStyle name="Dane wejściowe 2 35 4" xfId="11495"/>
    <cellStyle name="Dane wejściowe 2 36" xfId="11496"/>
    <cellStyle name="Dane wejściowe 2 36 2" xfId="11497"/>
    <cellStyle name="Dane wejściowe 2 36 3" xfId="11498"/>
    <cellStyle name="Dane wejściowe 2 36 4" xfId="11499"/>
    <cellStyle name="Dane wejściowe 2 37" xfId="11500"/>
    <cellStyle name="Dane wejściowe 2 37 2" xfId="11501"/>
    <cellStyle name="Dane wejściowe 2 37 3" xfId="11502"/>
    <cellStyle name="Dane wejściowe 2 37 4" xfId="11503"/>
    <cellStyle name="Dane wejściowe 2 38" xfId="11504"/>
    <cellStyle name="Dane wejściowe 2 38 2" xfId="11505"/>
    <cellStyle name="Dane wejściowe 2 38 3" xfId="11506"/>
    <cellStyle name="Dane wejściowe 2 38 4" xfId="11507"/>
    <cellStyle name="Dane wejściowe 2 39" xfId="11508"/>
    <cellStyle name="Dane wejściowe 2 39 2" xfId="11509"/>
    <cellStyle name="Dane wejściowe 2 39 3" xfId="11510"/>
    <cellStyle name="Dane wejściowe 2 39 4" xfId="11511"/>
    <cellStyle name="Dane wejściowe 2 4" xfId="11512"/>
    <cellStyle name="Dane wejściowe 2 4 10" xfId="11513"/>
    <cellStyle name="Dane wejściowe 2 4 10 2" xfId="11514"/>
    <cellStyle name="Dane wejściowe 2 4 10 3" xfId="11515"/>
    <cellStyle name="Dane wejściowe 2 4 10 4" xfId="11516"/>
    <cellStyle name="Dane wejściowe 2 4 11" xfId="11517"/>
    <cellStyle name="Dane wejściowe 2 4 11 2" xfId="11518"/>
    <cellStyle name="Dane wejściowe 2 4 11 3" xfId="11519"/>
    <cellStyle name="Dane wejściowe 2 4 11 4" xfId="11520"/>
    <cellStyle name="Dane wejściowe 2 4 12" xfId="11521"/>
    <cellStyle name="Dane wejściowe 2 4 12 2" xfId="11522"/>
    <cellStyle name="Dane wejściowe 2 4 12 3" xfId="11523"/>
    <cellStyle name="Dane wejściowe 2 4 12 4" xfId="11524"/>
    <cellStyle name="Dane wejściowe 2 4 13" xfId="11525"/>
    <cellStyle name="Dane wejściowe 2 4 13 2" xfId="11526"/>
    <cellStyle name="Dane wejściowe 2 4 13 3" xfId="11527"/>
    <cellStyle name="Dane wejściowe 2 4 13 4" xfId="11528"/>
    <cellStyle name="Dane wejściowe 2 4 14" xfId="11529"/>
    <cellStyle name="Dane wejściowe 2 4 14 2" xfId="11530"/>
    <cellStyle name="Dane wejściowe 2 4 14 3" xfId="11531"/>
    <cellStyle name="Dane wejściowe 2 4 14 4" xfId="11532"/>
    <cellStyle name="Dane wejściowe 2 4 15" xfId="11533"/>
    <cellStyle name="Dane wejściowe 2 4 15 2" xfId="11534"/>
    <cellStyle name="Dane wejściowe 2 4 15 3" xfId="11535"/>
    <cellStyle name="Dane wejściowe 2 4 15 4" xfId="11536"/>
    <cellStyle name="Dane wejściowe 2 4 16" xfId="11537"/>
    <cellStyle name="Dane wejściowe 2 4 16 2" xfId="11538"/>
    <cellStyle name="Dane wejściowe 2 4 16 3" xfId="11539"/>
    <cellStyle name="Dane wejściowe 2 4 16 4" xfId="11540"/>
    <cellStyle name="Dane wejściowe 2 4 17" xfId="11541"/>
    <cellStyle name="Dane wejściowe 2 4 17 2" xfId="11542"/>
    <cellStyle name="Dane wejściowe 2 4 17 3" xfId="11543"/>
    <cellStyle name="Dane wejściowe 2 4 17 4" xfId="11544"/>
    <cellStyle name="Dane wejściowe 2 4 18" xfId="11545"/>
    <cellStyle name="Dane wejściowe 2 4 18 2" xfId="11546"/>
    <cellStyle name="Dane wejściowe 2 4 18 3" xfId="11547"/>
    <cellStyle name="Dane wejściowe 2 4 18 4" xfId="11548"/>
    <cellStyle name="Dane wejściowe 2 4 19" xfId="11549"/>
    <cellStyle name="Dane wejściowe 2 4 19 2" xfId="11550"/>
    <cellStyle name="Dane wejściowe 2 4 19 3" xfId="11551"/>
    <cellStyle name="Dane wejściowe 2 4 19 4" xfId="11552"/>
    <cellStyle name="Dane wejściowe 2 4 2" xfId="11553"/>
    <cellStyle name="Dane wejściowe 2 4 2 2" xfId="11554"/>
    <cellStyle name="Dane wejściowe 2 4 2 3" xfId="11555"/>
    <cellStyle name="Dane wejściowe 2 4 2 4" xfId="11556"/>
    <cellStyle name="Dane wejściowe 2 4 20" xfId="11557"/>
    <cellStyle name="Dane wejściowe 2 4 20 2" xfId="11558"/>
    <cellStyle name="Dane wejściowe 2 4 20 3" xfId="11559"/>
    <cellStyle name="Dane wejściowe 2 4 20 4" xfId="11560"/>
    <cellStyle name="Dane wejściowe 2 4 21" xfId="11561"/>
    <cellStyle name="Dane wejściowe 2 4 21 2" xfId="11562"/>
    <cellStyle name="Dane wejściowe 2 4 21 3" xfId="11563"/>
    <cellStyle name="Dane wejściowe 2 4 22" xfId="11564"/>
    <cellStyle name="Dane wejściowe 2 4 22 2" xfId="11565"/>
    <cellStyle name="Dane wejściowe 2 4 22 3" xfId="11566"/>
    <cellStyle name="Dane wejściowe 2 4 23" xfId="11567"/>
    <cellStyle name="Dane wejściowe 2 4 23 2" xfId="11568"/>
    <cellStyle name="Dane wejściowe 2 4 23 3" xfId="11569"/>
    <cellStyle name="Dane wejściowe 2 4 24" xfId="11570"/>
    <cellStyle name="Dane wejściowe 2 4 24 2" xfId="11571"/>
    <cellStyle name="Dane wejściowe 2 4 24 3" xfId="11572"/>
    <cellStyle name="Dane wejściowe 2 4 25" xfId="11573"/>
    <cellStyle name="Dane wejściowe 2 4 25 2" xfId="11574"/>
    <cellStyle name="Dane wejściowe 2 4 25 3" xfId="11575"/>
    <cellStyle name="Dane wejściowe 2 4 26" xfId="11576"/>
    <cellStyle name="Dane wejściowe 2 4 26 2" xfId="11577"/>
    <cellStyle name="Dane wejściowe 2 4 26 3" xfId="11578"/>
    <cellStyle name="Dane wejściowe 2 4 27" xfId="11579"/>
    <cellStyle name="Dane wejściowe 2 4 27 2" xfId="11580"/>
    <cellStyle name="Dane wejściowe 2 4 27 3" xfId="11581"/>
    <cellStyle name="Dane wejściowe 2 4 28" xfId="11582"/>
    <cellStyle name="Dane wejściowe 2 4 28 2" xfId="11583"/>
    <cellStyle name="Dane wejściowe 2 4 28 3" xfId="11584"/>
    <cellStyle name="Dane wejściowe 2 4 29" xfId="11585"/>
    <cellStyle name="Dane wejściowe 2 4 29 2" xfId="11586"/>
    <cellStyle name="Dane wejściowe 2 4 29 3" xfId="11587"/>
    <cellStyle name="Dane wejściowe 2 4 3" xfId="11588"/>
    <cellStyle name="Dane wejściowe 2 4 3 2" xfId="11589"/>
    <cellStyle name="Dane wejściowe 2 4 3 3" xfId="11590"/>
    <cellStyle name="Dane wejściowe 2 4 3 4" xfId="11591"/>
    <cellStyle name="Dane wejściowe 2 4 30" xfId="11592"/>
    <cellStyle name="Dane wejściowe 2 4 30 2" xfId="11593"/>
    <cellStyle name="Dane wejściowe 2 4 30 3" xfId="11594"/>
    <cellStyle name="Dane wejściowe 2 4 31" xfId="11595"/>
    <cellStyle name="Dane wejściowe 2 4 31 2" xfId="11596"/>
    <cellStyle name="Dane wejściowe 2 4 31 3" xfId="11597"/>
    <cellStyle name="Dane wejściowe 2 4 32" xfId="11598"/>
    <cellStyle name="Dane wejściowe 2 4 32 2" xfId="11599"/>
    <cellStyle name="Dane wejściowe 2 4 32 3" xfId="11600"/>
    <cellStyle name="Dane wejściowe 2 4 33" xfId="11601"/>
    <cellStyle name="Dane wejściowe 2 4 33 2" xfId="11602"/>
    <cellStyle name="Dane wejściowe 2 4 33 3" xfId="11603"/>
    <cellStyle name="Dane wejściowe 2 4 34" xfId="11604"/>
    <cellStyle name="Dane wejściowe 2 4 34 2" xfId="11605"/>
    <cellStyle name="Dane wejściowe 2 4 34 3" xfId="11606"/>
    <cellStyle name="Dane wejściowe 2 4 35" xfId="11607"/>
    <cellStyle name="Dane wejściowe 2 4 35 2" xfId="11608"/>
    <cellStyle name="Dane wejściowe 2 4 35 3" xfId="11609"/>
    <cellStyle name="Dane wejściowe 2 4 36" xfId="11610"/>
    <cellStyle name="Dane wejściowe 2 4 36 2" xfId="11611"/>
    <cellStyle name="Dane wejściowe 2 4 36 3" xfId="11612"/>
    <cellStyle name="Dane wejściowe 2 4 37" xfId="11613"/>
    <cellStyle name="Dane wejściowe 2 4 37 2" xfId="11614"/>
    <cellStyle name="Dane wejściowe 2 4 37 3" xfId="11615"/>
    <cellStyle name="Dane wejściowe 2 4 38" xfId="11616"/>
    <cellStyle name="Dane wejściowe 2 4 38 2" xfId="11617"/>
    <cellStyle name="Dane wejściowe 2 4 38 3" xfId="11618"/>
    <cellStyle name="Dane wejściowe 2 4 39" xfId="11619"/>
    <cellStyle name="Dane wejściowe 2 4 39 2" xfId="11620"/>
    <cellStyle name="Dane wejściowe 2 4 39 3" xfId="11621"/>
    <cellStyle name="Dane wejściowe 2 4 4" xfId="11622"/>
    <cellStyle name="Dane wejściowe 2 4 4 2" xfId="11623"/>
    <cellStyle name="Dane wejściowe 2 4 4 3" xfId="11624"/>
    <cellStyle name="Dane wejściowe 2 4 4 4" xfId="11625"/>
    <cellStyle name="Dane wejściowe 2 4 40" xfId="11626"/>
    <cellStyle name="Dane wejściowe 2 4 40 2" xfId="11627"/>
    <cellStyle name="Dane wejściowe 2 4 40 3" xfId="11628"/>
    <cellStyle name="Dane wejściowe 2 4 41" xfId="11629"/>
    <cellStyle name="Dane wejściowe 2 4 41 2" xfId="11630"/>
    <cellStyle name="Dane wejściowe 2 4 41 3" xfId="11631"/>
    <cellStyle name="Dane wejściowe 2 4 42" xfId="11632"/>
    <cellStyle name="Dane wejściowe 2 4 42 2" xfId="11633"/>
    <cellStyle name="Dane wejściowe 2 4 42 3" xfId="11634"/>
    <cellStyle name="Dane wejściowe 2 4 43" xfId="11635"/>
    <cellStyle name="Dane wejściowe 2 4 43 2" xfId="11636"/>
    <cellStyle name="Dane wejściowe 2 4 43 3" xfId="11637"/>
    <cellStyle name="Dane wejściowe 2 4 44" xfId="11638"/>
    <cellStyle name="Dane wejściowe 2 4 44 2" xfId="11639"/>
    <cellStyle name="Dane wejściowe 2 4 44 3" xfId="11640"/>
    <cellStyle name="Dane wejściowe 2 4 45" xfId="11641"/>
    <cellStyle name="Dane wejściowe 2 4 45 2" xfId="11642"/>
    <cellStyle name="Dane wejściowe 2 4 45 3" xfId="11643"/>
    <cellStyle name="Dane wejściowe 2 4 46" xfId="11644"/>
    <cellStyle name="Dane wejściowe 2 4 46 2" xfId="11645"/>
    <cellStyle name="Dane wejściowe 2 4 46 3" xfId="11646"/>
    <cellStyle name="Dane wejściowe 2 4 47" xfId="11647"/>
    <cellStyle name="Dane wejściowe 2 4 47 2" xfId="11648"/>
    <cellStyle name="Dane wejściowe 2 4 47 3" xfId="11649"/>
    <cellStyle name="Dane wejściowe 2 4 48" xfId="11650"/>
    <cellStyle name="Dane wejściowe 2 4 48 2" xfId="11651"/>
    <cellStyle name="Dane wejściowe 2 4 48 3" xfId="11652"/>
    <cellStyle name="Dane wejściowe 2 4 49" xfId="11653"/>
    <cellStyle name="Dane wejściowe 2 4 49 2" xfId="11654"/>
    <cellStyle name="Dane wejściowe 2 4 49 3" xfId="11655"/>
    <cellStyle name="Dane wejściowe 2 4 5" xfId="11656"/>
    <cellStyle name="Dane wejściowe 2 4 5 2" xfId="11657"/>
    <cellStyle name="Dane wejściowe 2 4 5 3" xfId="11658"/>
    <cellStyle name="Dane wejściowe 2 4 5 4" xfId="11659"/>
    <cellStyle name="Dane wejściowe 2 4 50" xfId="11660"/>
    <cellStyle name="Dane wejściowe 2 4 50 2" xfId="11661"/>
    <cellStyle name="Dane wejściowe 2 4 50 3" xfId="11662"/>
    <cellStyle name="Dane wejściowe 2 4 51" xfId="11663"/>
    <cellStyle name="Dane wejściowe 2 4 51 2" xfId="11664"/>
    <cellStyle name="Dane wejściowe 2 4 51 3" xfId="11665"/>
    <cellStyle name="Dane wejściowe 2 4 52" xfId="11666"/>
    <cellStyle name="Dane wejściowe 2 4 52 2" xfId="11667"/>
    <cellStyle name="Dane wejściowe 2 4 52 3" xfId="11668"/>
    <cellStyle name="Dane wejściowe 2 4 53" xfId="11669"/>
    <cellStyle name="Dane wejściowe 2 4 53 2" xfId="11670"/>
    <cellStyle name="Dane wejściowe 2 4 53 3" xfId="11671"/>
    <cellStyle name="Dane wejściowe 2 4 54" xfId="11672"/>
    <cellStyle name="Dane wejściowe 2 4 54 2" xfId="11673"/>
    <cellStyle name="Dane wejściowe 2 4 54 3" xfId="11674"/>
    <cellStyle name="Dane wejściowe 2 4 55" xfId="11675"/>
    <cellStyle name="Dane wejściowe 2 4 55 2" xfId="11676"/>
    <cellStyle name="Dane wejściowe 2 4 55 3" xfId="11677"/>
    <cellStyle name="Dane wejściowe 2 4 56" xfId="11678"/>
    <cellStyle name="Dane wejściowe 2 4 56 2" xfId="11679"/>
    <cellStyle name="Dane wejściowe 2 4 56 3" xfId="11680"/>
    <cellStyle name="Dane wejściowe 2 4 57" xfId="11681"/>
    <cellStyle name="Dane wejściowe 2 4 58" xfId="11682"/>
    <cellStyle name="Dane wejściowe 2 4 6" xfId="11683"/>
    <cellStyle name="Dane wejściowe 2 4 6 2" xfId="11684"/>
    <cellStyle name="Dane wejściowe 2 4 6 3" xfId="11685"/>
    <cellStyle name="Dane wejściowe 2 4 6 4" xfId="11686"/>
    <cellStyle name="Dane wejściowe 2 4 7" xfId="11687"/>
    <cellStyle name="Dane wejściowe 2 4 7 2" xfId="11688"/>
    <cellStyle name="Dane wejściowe 2 4 7 3" xfId="11689"/>
    <cellStyle name="Dane wejściowe 2 4 7 4" xfId="11690"/>
    <cellStyle name="Dane wejściowe 2 4 8" xfId="11691"/>
    <cellStyle name="Dane wejściowe 2 4 8 2" xfId="11692"/>
    <cellStyle name="Dane wejściowe 2 4 8 3" xfId="11693"/>
    <cellStyle name="Dane wejściowe 2 4 8 4" xfId="11694"/>
    <cellStyle name="Dane wejściowe 2 4 9" xfId="11695"/>
    <cellStyle name="Dane wejściowe 2 4 9 2" xfId="11696"/>
    <cellStyle name="Dane wejściowe 2 4 9 3" xfId="11697"/>
    <cellStyle name="Dane wejściowe 2 4 9 4" xfId="11698"/>
    <cellStyle name="Dane wejściowe 2 40" xfId="11699"/>
    <cellStyle name="Dane wejściowe 2 40 2" xfId="11700"/>
    <cellStyle name="Dane wejściowe 2 40 3" xfId="11701"/>
    <cellStyle name="Dane wejściowe 2 40 4" xfId="11702"/>
    <cellStyle name="Dane wejściowe 2 41" xfId="11703"/>
    <cellStyle name="Dane wejściowe 2 41 2" xfId="11704"/>
    <cellStyle name="Dane wejściowe 2 41 3" xfId="11705"/>
    <cellStyle name="Dane wejściowe 2 41 4" xfId="11706"/>
    <cellStyle name="Dane wejściowe 2 42" xfId="11707"/>
    <cellStyle name="Dane wejściowe 2 42 2" xfId="11708"/>
    <cellStyle name="Dane wejściowe 2 42 3" xfId="11709"/>
    <cellStyle name="Dane wejściowe 2 42 4" xfId="11710"/>
    <cellStyle name="Dane wejściowe 2 43" xfId="11711"/>
    <cellStyle name="Dane wejściowe 2 43 2" xfId="11712"/>
    <cellStyle name="Dane wejściowe 2 43 3" xfId="11713"/>
    <cellStyle name="Dane wejściowe 2 43 4" xfId="11714"/>
    <cellStyle name="Dane wejściowe 2 44" xfId="11715"/>
    <cellStyle name="Dane wejściowe 2 44 2" xfId="11716"/>
    <cellStyle name="Dane wejściowe 2 44 3" xfId="11717"/>
    <cellStyle name="Dane wejściowe 2 44 4" xfId="11718"/>
    <cellStyle name="Dane wejściowe 2 45" xfId="11719"/>
    <cellStyle name="Dane wejściowe 2 45 2" xfId="11720"/>
    <cellStyle name="Dane wejściowe 2 45 3" xfId="11721"/>
    <cellStyle name="Dane wejściowe 2 45 4" xfId="11722"/>
    <cellStyle name="Dane wejściowe 2 46" xfId="11723"/>
    <cellStyle name="Dane wejściowe 2 46 2" xfId="11724"/>
    <cellStyle name="Dane wejściowe 2 46 3" xfId="11725"/>
    <cellStyle name="Dane wejściowe 2 46 4" xfId="11726"/>
    <cellStyle name="Dane wejściowe 2 47" xfId="11727"/>
    <cellStyle name="Dane wejściowe 2 47 2" xfId="11728"/>
    <cellStyle name="Dane wejściowe 2 47 3" xfId="11729"/>
    <cellStyle name="Dane wejściowe 2 47 4" xfId="11730"/>
    <cellStyle name="Dane wejściowe 2 48" xfId="11731"/>
    <cellStyle name="Dane wejściowe 2 48 2" xfId="11732"/>
    <cellStyle name="Dane wejściowe 2 48 3" xfId="11733"/>
    <cellStyle name="Dane wejściowe 2 49" xfId="11734"/>
    <cellStyle name="Dane wejściowe 2 49 2" xfId="11735"/>
    <cellStyle name="Dane wejściowe 2 49 3" xfId="11736"/>
    <cellStyle name="Dane wejściowe 2 5" xfId="11737"/>
    <cellStyle name="Dane wejściowe 2 5 10" xfId="11738"/>
    <cellStyle name="Dane wejściowe 2 5 10 2" xfId="11739"/>
    <cellStyle name="Dane wejściowe 2 5 10 3" xfId="11740"/>
    <cellStyle name="Dane wejściowe 2 5 10 4" xfId="11741"/>
    <cellStyle name="Dane wejściowe 2 5 11" xfId="11742"/>
    <cellStyle name="Dane wejściowe 2 5 11 2" xfId="11743"/>
    <cellStyle name="Dane wejściowe 2 5 11 3" xfId="11744"/>
    <cellStyle name="Dane wejściowe 2 5 11 4" xfId="11745"/>
    <cellStyle name="Dane wejściowe 2 5 12" xfId="11746"/>
    <cellStyle name="Dane wejściowe 2 5 12 2" xfId="11747"/>
    <cellStyle name="Dane wejściowe 2 5 12 3" xfId="11748"/>
    <cellStyle name="Dane wejściowe 2 5 12 4" xfId="11749"/>
    <cellStyle name="Dane wejściowe 2 5 13" xfId="11750"/>
    <cellStyle name="Dane wejściowe 2 5 13 2" xfId="11751"/>
    <cellStyle name="Dane wejściowe 2 5 13 3" xfId="11752"/>
    <cellStyle name="Dane wejściowe 2 5 13 4" xfId="11753"/>
    <cellStyle name="Dane wejściowe 2 5 14" xfId="11754"/>
    <cellStyle name="Dane wejściowe 2 5 14 2" xfId="11755"/>
    <cellStyle name="Dane wejściowe 2 5 14 3" xfId="11756"/>
    <cellStyle name="Dane wejściowe 2 5 14 4" xfId="11757"/>
    <cellStyle name="Dane wejściowe 2 5 15" xfId="11758"/>
    <cellStyle name="Dane wejściowe 2 5 15 2" xfId="11759"/>
    <cellStyle name="Dane wejściowe 2 5 15 3" xfId="11760"/>
    <cellStyle name="Dane wejściowe 2 5 15 4" xfId="11761"/>
    <cellStyle name="Dane wejściowe 2 5 16" xfId="11762"/>
    <cellStyle name="Dane wejściowe 2 5 16 2" xfId="11763"/>
    <cellStyle name="Dane wejściowe 2 5 16 3" xfId="11764"/>
    <cellStyle name="Dane wejściowe 2 5 16 4" xfId="11765"/>
    <cellStyle name="Dane wejściowe 2 5 17" xfId="11766"/>
    <cellStyle name="Dane wejściowe 2 5 17 2" xfId="11767"/>
    <cellStyle name="Dane wejściowe 2 5 17 3" xfId="11768"/>
    <cellStyle name="Dane wejściowe 2 5 17 4" xfId="11769"/>
    <cellStyle name="Dane wejściowe 2 5 18" xfId="11770"/>
    <cellStyle name="Dane wejściowe 2 5 18 2" xfId="11771"/>
    <cellStyle name="Dane wejściowe 2 5 18 3" xfId="11772"/>
    <cellStyle name="Dane wejściowe 2 5 18 4" xfId="11773"/>
    <cellStyle name="Dane wejściowe 2 5 19" xfId="11774"/>
    <cellStyle name="Dane wejściowe 2 5 19 2" xfId="11775"/>
    <cellStyle name="Dane wejściowe 2 5 19 3" xfId="11776"/>
    <cellStyle name="Dane wejściowe 2 5 19 4" xfId="11777"/>
    <cellStyle name="Dane wejściowe 2 5 2" xfId="11778"/>
    <cellStyle name="Dane wejściowe 2 5 2 2" xfId="11779"/>
    <cellStyle name="Dane wejściowe 2 5 2 3" xfId="11780"/>
    <cellStyle name="Dane wejściowe 2 5 2 4" xfId="11781"/>
    <cellStyle name="Dane wejściowe 2 5 20" xfId="11782"/>
    <cellStyle name="Dane wejściowe 2 5 20 2" xfId="11783"/>
    <cellStyle name="Dane wejściowe 2 5 20 3" xfId="11784"/>
    <cellStyle name="Dane wejściowe 2 5 20 4" xfId="11785"/>
    <cellStyle name="Dane wejściowe 2 5 21" xfId="11786"/>
    <cellStyle name="Dane wejściowe 2 5 21 2" xfId="11787"/>
    <cellStyle name="Dane wejściowe 2 5 21 3" xfId="11788"/>
    <cellStyle name="Dane wejściowe 2 5 22" xfId="11789"/>
    <cellStyle name="Dane wejściowe 2 5 22 2" xfId="11790"/>
    <cellStyle name="Dane wejściowe 2 5 22 3" xfId="11791"/>
    <cellStyle name="Dane wejściowe 2 5 23" xfId="11792"/>
    <cellStyle name="Dane wejściowe 2 5 23 2" xfId="11793"/>
    <cellStyle name="Dane wejściowe 2 5 23 3" xfId="11794"/>
    <cellStyle name="Dane wejściowe 2 5 24" xfId="11795"/>
    <cellStyle name="Dane wejściowe 2 5 24 2" xfId="11796"/>
    <cellStyle name="Dane wejściowe 2 5 24 3" xfId="11797"/>
    <cellStyle name="Dane wejściowe 2 5 25" xfId="11798"/>
    <cellStyle name="Dane wejściowe 2 5 25 2" xfId="11799"/>
    <cellStyle name="Dane wejściowe 2 5 25 3" xfId="11800"/>
    <cellStyle name="Dane wejściowe 2 5 26" xfId="11801"/>
    <cellStyle name="Dane wejściowe 2 5 26 2" xfId="11802"/>
    <cellStyle name="Dane wejściowe 2 5 26 3" xfId="11803"/>
    <cellStyle name="Dane wejściowe 2 5 27" xfId="11804"/>
    <cellStyle name="Dane wejściowe 2 5 27 2" xfId="11805"/>
    <cellStyle name="Dane wejściowe 2 5 27 3" xfId="11806"/>
    <cellStyle name="Dane wejściowe 2 5 28" xfId="11807"/>
    <cellStyle name="Dane wejściowe 2 5 28 2" xfId="11808"/>
    <cellStyle name="Dane wejściowe 2 5 28 3" xfId="11809"/>
    <cellStyle name="Dane wejściowe 2 5 29" xfId="11810"/>
    <cellStyle name="Dane wejściowe 2 5 29 2" xfId="11811"/>
    <cellStyle name="Dane wejściowe 2 5 29 3" xfId="11812"/>
    <cellStyle name="Dane wejściowe 2 5 3" xfId="11813"/>
    <cellStyle name="Dane wejściowe 2 5 3 2" xfId="11814"/>
    <cellStyle name="Dane wejściowe 2 5 3 3" xfId="11815"/>
    <cellStyle name="Dane wejściowe 2 5 3 4" xfId="11816"/>
    <cellStyle name="Dane wejściowe 2 5 30" xfId="11817"/>
    <cellStyle name="Dane wejściowe 2 5 30 2" xfId="11818"/>
    <cellStyle name="Dane wejściowe 2 5 30 3" xfId="11819"/>
    <cellStyle name="Dane wejściowe 2 5 31" xfId="11820"/>
    <cellStyle name="Dane wejściowe 2 5 31 2" xfId="11821"/>
    <cellStyle name="Dane wejściowe 2 5 31 3" xfId="11822"/>
    <cellStyle name="Dane wejściowe 2 5 32" xfId="11823"/>
    <cellStyle name="Dane wejściowe 2 5 32 2" xfId="11824"/>
    <cellStyle name="Dane wejściowe 2 5 32 3" xfId="11825"/>
    <cellStyle name="Dane wejściowe 2 5 33" xfId="11826"/>
    <cellStyle name="Dane wejściowe 2 5 33 2" xfId="11827"/>
    <cellStyle name="Dane wejściowe 2 5 33 3" xfId="11828"/>
    <cellStyle name="Dane wejściowe 2 5 34" xfId="11829"/>
    <cellStyle name="Dane wejściowe 2 5 34 2" xfId="11830"/>
    <cellStyle name="Dane wejściowe 2 5 34 3" xfId="11831"/>
    <cellStyle name="Dane wejściowe 2 5 35" xfId="11832"/>
    <cellStyle name="Dane wejściowe 2 5 35 2" xfId="11833"/>
    <cellStyle name="Dane wejściowe 2 5 35 3" xfId="11834"/>
    <cellStyle name="Dane wejściowe 2 5 36" xfId="11835"/>
    <cellStyle name="Dane wejściowe 2 5 36 2" xfId="11836"/>
    <cellStyle name="Dane wejściowe 2 5 36 3" xfId="11837"/>
    <cellStyle name="Dane wejściowe 2 5 37" xfId="11838"/>
    <cellStyle name="Dane wejściowe 2 5 37 2" xfId="11839"/>
    <cellStyle name="Dane wejściowe 2 5 37 3" xfId="11840"/>
    <cellStyle name="Dane wejściowe 2 5 38" xfId="11841"/>
    <cellStyle name="Dane wejściowe 2 5 38 2" xfId="11842"/>
    <cellStyle name="Dane wejściowe 2 5 38 3" xfId="11843"/>
    <cellStyle name="Dane wejściowe 2 5 39" xfId="11844"/>
    <cellStyle name="Dane wejściowe 2 5 39 2" xfId="11845"/>
    <cellStyle name="Dane wejściowe 2 5 39 3" xfId="11846"/>
    <cellStyle name="Dane wejściowe 2 5 4" xfId="11847"/>
    <cellStyle name="Dane wejściowe 2 5 4 2" xfId="11848"/>
    <cellStyle name="Dane wejściowe 2 5 4 3" xfId="11849"/>
    <cellStyle name="Dane wejściowe 2 5 4 4" xfId="11850"/>
    <cellStyle name="Dane wejściowe 2 5 40" xfId="11851"/>
    <cellStyle name="Dane wejściowe 2 5 40 2" xfId="11852"/>
    <cellStyle name="Dane wejściowe 2 5 40 3" xfId="11853"/>
    <cellStyle name="Dane wejściowe 2 5 41" xfId="11854"/>
    <cellStyle name="Dane wejściowe 2 5 41 2" xfId="11855"/>
    <cellStyle name="Dane wejściowe 2 5 41 3" xfId="11856"/>
    <cellStyle name="Dane wejściowe 2 5 42" xfId="11857"/>
    <cellStyle name="Dane wejściowe 2 5 42 2" xfId="11858"/>
    <cellStyle name="Dane wejściowe 2 5 42 3" xfId="11859"/>
    <cellStyle name="Dane wejściowe 2 5 43" xfId="11860"/>
    <cellStyle name="Dane wejściowe 2 5 43 2" xfId="11861"/>
    <cellStyle name="Dane wejściowe 2 5 43 3" xfId="11862"/>
    <cellStyle name="Dane wejściowe 2 5 44" xfId="11863"/>
    <cellStyle name="Dane wejściowe 2 5 44 2" xfId="11864"/>
    <cellStyle name="Dane wejściowe 2 5 44 3" xfId="11865"/>
    <cellStyle name="Dane wejściowe 2 5 45" xfId="11866"/>
    <cellStyle name="Dane wejściowe 2 5 45 2" xfId="11867"/>
    <cellStyle name="Dane wejściowe 2 5 45 3" xfId="11868"/>
    <cellStyle name="Dane wejściowe 2 5 46" xfId="11869"/>
    <cellStyle name="Dane wejściowe 2 5 46 2" xfId="11870"/>
    <cellStyle name="Dane wejściowe 2 5 46 3" xfId="11871"/>
    <cellStyle name="Dane wejściowe 2 5 47" xfId="11872"/>
    <cellStyle name="Dane wejściowe 2 5 47 2" xfId="11873"/>
    <cellStyle name="Dane wejściowe 2 5 47 3" xfId="11874"/>
    <cellStyle name="Dane wejściowe 2 5 48" xfId="11875"/>
    <cellStyle name="Dane wejściowe 2 5 48 2" xfId="11876"/>
    <cellStyle name="Dane wejściowe 2 5 48 3" xfId="11877"/>
    <cellStyle name="Dane wejściowe 2 5 49" xfId="11878"/>
    <cellStyle name="Dane wejściowe 2 5 49 2" xfId="11879"/>
    <cellStyle name="Dane wejściowe 2 5 49 3" xfId="11880"/>
    <cellStyle name="Dane wejściowe 2 5 5" xfId="11881"/>
    <cellStyle name="Dane wejściowe 2 5 5 2" xfId="11882"/>
    <cellStyle name="Dane wejściowe 2 5 5 3" xfId="11883"/>
    <cellStyle name="Dane wejściowe 2 5 5 4" xfId="11884"/>
    <cellStyle name="Dane wejściowe 2 5 50" xfId="11885"/>
    <cellStyle name="Dane wejściowe 2 5 50 2" xfId="11886"/>
    <cellStyle name="Dane wejściowe 2 5 50 3" xfId="11887"/>
    <cellStyle name="Dane wejściowe 2 5 51" xfId="11888"/>
    <cellStyle name="Dane wejściowe 2 5 51 2" xfId="11889"/>
    <cellStyle name="Dane wejściowe 2 5 51 3" xfId="11890"/>
    <cellStyle name="Dane wejściowe 2 5 52" xfId="11891"/>
    <cellStyle name="Dane wejściowe 2 5 52 2" xfId="11892"/>
    <cellStyle name="Dane wejściowe 2 5 52 3" xfId="11893"/>
    <cellStyle name="Dane wejściowe 2 5 53" xfId="11894"/>
    <cellStyle name="Dane wejściowe 2 5 53 2" xfId="11895"/>
    <cellStyle name="Dane wejściowe 2 5 53 3" xfId="11896"/>
    <cellStyle name="Dane wejściowe 2 5 54" xfId="11897"/>
    <cellStyle name="Dane wejściowe 2 5 54 2" xfId="11898"/>
    <cellStyle name="Dane wejściowe 2 5 54 3" xfId="11899"/>
    <cellStyle name="Dane wejściowe 2 5 55" xfId="11900"/>
    <cellStyle name="Dane wejściowe 2 5 55 2" xfId="11901"/>
    <cellStyle name="Dane wejściowe 2 5 55 3" xfId="11902"/>
    <cellStyle name="Dane wejściowe 2 5 56" xfId="11903"/>
    <cellStyle name="Dane wejściowe 2 5 56 2" xfId="11904"/>
    <cellStyle name="Dane wejściowe 2 5 56 3" xfId="11905"/>
    <cellStyle name="Dane wejściowe 2 5 57" xfId="11906"/>
    <cellStyle name="Dane wejściowe 2 5 58" xfId="11907"/>
    <cellStyle name="Dane wejściowe 2 5 6" xfId="11908"/>
    <cellStyle name="Dane wejściowe 2 5 6 2" xfId="11909"/>
    <cellStyle name="Dane wejściowe 2 5 6 3" xfId="11910"/>
    <cellStyle name="Dane wejściowe 2 5 6 4" xfId="11911"/>
    <cellStyle name="Dane wejściowe 2 5 7" xfId="11912"/>
    <cellStyle name="Dane wejściowe 2 5 7 2" xfId="11913"/>
    <cellStyle name="Dane wejściowe 2 5 7 3" xfId="11914"/>
    <cellStyle name="Dane wejściowe 2 5 7 4" xfId="11915"/>
    <cellStyle name="Dane wejściowe 2 5 8" xfId="11916"/>
    <cellStyle name="Dane wejściowe 2 5 8 2" xfId="11917"/>
    <cellStyle name="Dane wejściowe 2 5 8 3" xfId="11918"/>
    <cellStyle name="Dane wejściowe 2 5 8 4" xfId="11919"/>
    <cellStyle name="Dane wejściowe 2 5 9" xfId="11920"/>
    <cellStyle name="Dane wejściowe 2 5 9 2" xfId="11921"/>
    <cellStyle name="Dane wejściowe 2 5 9 3" xfId="11922"/>
    <cellStyle name="Dane wejściowe 2 5 9 4" xfId="11923"/>
    <cellStyle name="Dane wejściowe 2 50" xfId="11924"/>
    <cellStyle name="Dane wejściowe 2 50 2" xfId="11925"/>
    <cellStyle name="Dane wejściowe 2 50 3" xfId="11926"/>
    <cellStyle name="Dane wejściowe 2 51" xfId="11927"/>
    <cellStyle name="Dane wejściowe 2 51 2" xfId="11928"/>
    <cellStyle name="Dane wejściowe 2 51 3" xfId="11929"/>
    <cellStyle name="Dane wejściowe 2 52" xfId="11930"/>
    <cellStyle name="Dane wejściowe 2 52 2" xfId="11931"/>
    <cellStyle name="Dane wejściowe 2 52 3" xfId="11932"/>
    <cellStyle name="Dane wejściowe 2 53" xfId="11933"/>
    <cellStyle name="Dane wejściowe 2 53 2" xfId="11934"/>
    <cellStyle name="Dane wejściowe 2 53 3" xfId="11935"/>
    <cellStyle name="Dane wejściowe 2 54" xfId="11936"/>
    <cellStyle name="Dane wejściowe 2 54 2" xfId="11937"/>
    <cellStyle name="Dane wejściowe 2 54 3" xfId="11938"/>
    <cellStyle name="Dane wejściowe 2 55" xfId="11939"/>
    <cellStyle name="Dane wejściowe 2 55 2" xfId="11940"/>
    <cellStyle name="Dane wejściowe 2 55 3" xfId="11941"/>
    <cellStyle name="Dane wejściowe 2 56" xfId="11942"/>
    <cellStyle name="Dane wejściowe 2 56 2" xfId="11943"/>
    <cellStyle name="Dane wejściowe 2 56 3" xfId="11944"/>
    <cellStyle name="Dane wejściowe 2 57" xfId="11945"/>
    <cellStyle name="Dane wejściowe 2 57 2" xfId="11946"/>
    <cellStyle name="Dane wejściowe 2 57 3" xfId="11947"/>
    <cellStyle name="Dane wejściowe 2 58" xfId="11948"/>
    <cellStyle name="Dane wejściowe 2 58 2" xfId="11949"/>
    <cellStyle name="Dane wejściowe 2 58 3" xfId="11950"/>
    <cellStyle name="Dane wejściowe 2 59" xfId="11951"/>
    <cellStyle name="Dane wejściowe 2 59 2" xfId="11952"/>
    <cellStyle name="Dane wejściowe 2 59 3" xfId="11953"/>
    <cellStyle name="Dane wejściowe 2 6" xfId="11954"/>
    <cellStyle name="Dane wejściowe 2 6 10" xfId="11955"/>
    <cellStyle name="Dane wejściowe 2 6 10 2" xfId="11956"/>
    <cellStyle name="Dane wejściowe 2 6 10 3" xfId="11957"/>
    <cellStyle name="Dane wejściowe 2 6 10 4" xfId="11958"/>
    <cellStyle name="Dane wejściowe 2 6 11" xfId="11959"/>
    <cellStyle name="Dane wejściowe 2 6 11 2" xfId="11960"/>
    <cellStyle name="Dane wejściowe 2 6 11 3" xfId="11961"/>
    <cellStyle name="Dane wejściowe 2 6 11 4" xfId="11962"/>
    <cellStyle name="Dane wejściowe 2 6 12" xfId="11963"/>
    <cellStyle name="Dane wejściowe 2 6 12 2" xfId="11964"/>
    <cellStyle name="Dane wejściowe 2 6 12 3" xfId="11965"/>
    <cellStyle name="Dane wejściowe 2 6 12 4" xfId="11966"/>
    <cellStyle name="Dane wejściowe 2 6 13" xfId="11967"/>
    <cellStyle name="Dane wejściowe 2 6 13 2" xfId="11968"/>
    <cellStyle name="Dane wejściowe 2 6 13 3" xfId="11969"/>
    <cellStyle name="Dane wejściowe 2 6 13 4" xfId="11970"/>
    <cellStyle name="Dane wejściowe 2 6 14" xfId="11971"/>
    <cellStyle name="Dane wejściowe 2 6 14 2" xfId="11972"/>
    <cellStyle name="Dane wejściowe 2 6 14 3" xfId="11973"/>
    <cellStyle name="Dane wejściowe 2 6 14 4" xfId="11974"/>
    <cellStyle name="Dane wejściowe 2 6 15" xfId="11975"/>
    <cellStyle name="Dane wejściowe 2 6 15 2" xfId="11976"/>
    <cellStyle name="Dane wejściowe 2 6 15 3" xfId="11977"/>
    <cellStyle name="Dane wejściowe 2 6 15 4" xfId="11978"/>
    <cellStyle name="Dane wejściowe 2 6 16" xfId="11979"/>
    <cellStyle name="Dane wejściowe 2 6 16 2" xfId="11980"/>
    <cellStyle name="Dane wejściowe 2 6 16 3" xfId="11981"/>
    <cellStyle name="Dane wejściowe 2 6 16 4" xfId="11982"/>
    <cellStyle name="Dane wejściowe 2 6 17" xfId="11983"/>
    <cellStyle name="Dane wejściowe 2 6 17 2" xfId="11984"/>
    <cellStyle name="Dane wejściowe 2 6 17 3" xfId="11985"/>
    <cellStyle name="Dane wejściowe 2 6 17 4" xfId="11986"/>
    <cellStyle name="Dane wejściowe 2 6 18" xfId="11987"/>
    <cellStyle name="Dane wejściowe 2 6 18 2" xfId="11988"/>
    <cellStyle name="Dane wejściowe 2 6 18 3" xfId="11989"/>
    <cellStyle name="Dane wejściowe 2 6 18 4" xfId="11990"/>
    <cellStyle name="Dane wejściowe 2 6 19" xfId="11991"/>
    <cellStyle name="Dane wejściowe 2 6 19 2" xfId="11992"/>
    <cellStyle name="Dane wejściowe 2 6 19 3" xfId="11993"/>
    <cellStyle name="Dane wejściowe 2 6 19 4" xfId="11994"/>
    <cellStyle name="Dane wejściowe 2 6 2" xfId="11995"/>
    <cellStyle name="Dane wejściowe 2 6 2 2" xfId="11996"/>
    <cellStyle name="Dane wejściowe 2 6 2 3" xfId="11997"/>
    <cellStyle name="Dane wejściowe 2 6 2 4" xfId="11998"/>
    <cellStyle name="Dane wejściowe 2 6 20" xfId="11999"/>
    <cellStyle name="Dane wejściowe 2 6 20 2" xfId="12000"/>
    <cellStyle name="Dane wejściowe 2 6 20 3" xfId="12001"/>
    <cellStyle name="Dane wejściowe 2 6 20 4" xfId="12002"/>
    <cellStyle name="Dane wejściowe 2 6 21" xfId="12003"/>
    <cellStyle name="Dane wejściowe 2 6 21 2" xfId="12004"/>
    <cellStyle name="Dane wejściowe 2 6 21 3" xfId="12005"/>
    <cellStyle name="Dane wejściowe 2 6 22" xfId="12006"/>
    <cellStyle name="Dane wejściowe 2 6 22 2" xfId="12007"/>
    <cellStyle name="Dane wejściowe 2 6 22 3" xfId="12008"/>
    <cellStyle name="Dane wejściowe 2 6 23" xfId="12009"/>
    <cellStyle name="Dane wejściowe 2 6 23 2" xfId="12010"/>
    <cellStyle name="Dane wejściowe 2 6 23 3" xfId="12011"/>
    <cellStyle name="Dane wejściowe 2 6 24" xfId="12012"/>
    <cellStyle name="Dane wejściowe 2 6 24 2" xfId="12013"/>
    <cellStyle name="Dane wejściowe 2 6 24 3" xfId="12014"/>
    <cellStyle name="Dane wejściowe 2 6 25" xfId="12015"/>
    <cellStyle name="Dane wejściowe 2 6 25 2" xfId="12016"/>
    <cellStyle name="Dane wejściowe 2 6 25 3" xfId="12017"/>
    <cellStyle name="Dane wejściowe 2 6 26" xfId="12018"/>
    <cellStyle name="Dane wejściowe 2 6 26 2" xfId="12019"/>
    <cellStyle name="Dane wejściowe 2 6 26 3" xfId="12020"/>
    <cellStyle name="Dane wejściowe 2 6 27" xfId="12021"/>
    <cellStyle name="Dane wejściowe 2 6 27 2" xfId="12022"/>
    <cellStyle name="Dane wejściowe 2 6 27 3" xfId="12023"/>
    <cellStyle name="Dane wejściowe 2 6 28" xfId="12024"/>
    <cellStyle name="Dane wejściowe 2 6 28 2" xfId="12025"/>
    <cellStyle name="Dane wejściowe 2 6 28 3" xfId="12026"/>
    <cellStyle name="Dane wejściowe 2 6 29" xfId="12027"/>
    <cellStyle name="Dane wejściowe 2 6 29 2" xfId="12028"/>
    <cellStyle name="Dane wejściowe 2 6 29 3" xfId="12029"/>
    <cellStyle name="Dane wejściowe 2 6 3" xfId="12030"/>
    <cellStyle name="Dane wejściowe 2 6 3 2" xfId="12031"/>
    <cellStyle name="Dane wejściowe 2 6 3 3" xfId="12032"/>
    <cellStyle name="Dane wejściowe 2 6 3 4" xfId="12033"/>
    <cellStyle name="Dane wejściowe 2 6 30" xfId="12034"/>
    <cellStyle name="Dane wejściowe 2 6 30 2" xfId="12035"/>
    <cellStyle name="Dane wejściowe 2 6 30 3" xfId="12036"/>
    <cellStyle name="Dane wejściowe 2 6 31" xfId="12037"/>
    <cellStyle name="Dane wejściowe 2 6 31 2" xfId="12038"/>
    <cellStyle name="Dane wejściowe 2 6 31 3" xfId="12039"/>
    <cellStyle name="Dane wejściowe 2 6 32" xfId="12040"/>
    <cellStyle name="Dane wejściowe 2 6 32 2" xfId="12041"/>
    <cellStyle name="Dane wejściowe 2 6 32 3" xfId="12042"/>
    <cellStyle name="Dane wejściowe 2 6 33" xfId="12043"/>
    <cellStyle name="Dane wejściowe 2 6 33 2" xfId="12044"/>
    <cellStyle name="Dane wejściowe 2 6 33 3" xfId="12045"/>
    <cellStyle name="Dane wejściowe 2 6 34" xfId="12046"/>
    <cellStyle name="Dane wejściowe 2 6 34 2" xfId="12047"/>
    <cellStyle name="Dane wejściowe 2 6 34 3" xfId="12048"/>
    <cellStyle name="Dane wejściowe 2 6 35" xfId="12049"/>
    <cellStyle name="Dane wejściowe 2 6 35 2" xfId="12050"/>
    <cellStyle name="Dane wejściowe 2 6 35 3" xfId="12051"/>
    <cellStyle name="Dane wejściowe 2 6 36" xfId="12052"/>
    <cellStyle name="Dane wejściowe 2 6 36 2" xfId="12053"/>
    <cellStyle name="Dane wejściowe 2 6 36 3" xfId="12054"/>
    <cellStyle name="Dane wejściowe 2 6 37" xfId="12055"/>
    <cellStyle name="Dane wejściowe 2 6 37 2" xfId="12056"/>
    <cellStyle name="Dane wejściowe 2 6 37 3" xfId="12057"/>
    <cellStyle name="Dane wejściowe 2 6 38" xfId="12058"/>
    <cellStyle name="Dane wejściowe 2 6 38 2" xfId="12059"/>
    <cellStyle name="Dane wejściowe 2 6 38 3" xfId="12060"/>
    <cellStyle name="Dane wejściowe 2 6 39" xfId="12061"/>
    <cellStyle name="Dane wejściowe 2 6 39 2" xfId="12062"/>
    <cellStyle name="Dane wejściowe 2 6 39 3" xfId="12063"/>
    <cellStyle name="Dane wejściowe 2 6 4" xfId="12064"/>
    <cellStyle name="Dane wejściowe 2 6 4 2" xfId="12065"/>
    <cellStyle name="Dane wejściowe 2 6 4 3" xfId="12066"/>
    <cellStyle name="Dane wejściowe 2 6 4 4" xfId="12067"/>
    <cellStyle name="Dane wejściowe 2 6 40" xfId="12068"/>
    <cellStyle name="Dane wejściowe 2 6 40 2" xfId="12069"/>
    <cellStyle name="Dane wejściowe 2 6 40 3" xfId="12070"/>
    <cellStyle name="Dane wejściowe 2 6 41" xfId="12071"/>
    <cellStyle name="Dane wejściowe 2 6 41 2" xfId="12072"/>
    <cellStyle name="Dane wejściowe 2 6 41 3" xfId="12073"/>
    <cellStyle name="Dane wejściowe 2 6 42" xfId="12074"/>
    <cellStyle name="Dane wejściowe 2 6 42 2" xfId="12075"/>
    <cellStyle name="Dane wejściowe 2 6 42 3" xfId="12076"/>
    <cellStyle name="Dane wejściowe 2 6 43" xfId="12077"/>
    <cellStyle name="Dane wejściowe 2 6 43 2" xfId="12078"/>
    <cellStyle name="Dane wejściowe 2 6 43 3" xfId="12079"/>
    <cellStyle name="Dane wejściowe 2 6 44" xfId="12080"/>
    <cellStyle name="Dane wejściowe 2 6 44 2" xfId="12081"/>
    <cellStyle name="Dane wejściowe 2 6 44 3" xfId="12082"/>
    <cellStyle name="Dane wejściowe 2 6 45" xfId="12083"/>
    <cellStyle name="Dane wejściowe 2 6 45 2" xfId="12084"/>
    <cellStyle name="Dane wejściowe 2 6 45 3" xfId="12085"/>
    <cellStyle name="Dane wejściowe 2 6 46" xfId="12086"/>
    <cellStyle name="Dane wejściowe 2 6 46 2" xfId="12087"/>
    <cellStyle name="Dane wejściowe 2 6 46 3" xfId="12088"/>
    <cellStyle name="Dane wejściowe 2 6 47" xfId="12089"/>
    <cellStyle name="Dane wejściowe 2 6 47 2" xfId="12090"/>
    <cellStyle name="Dane wejściowe 2 6 47 3" xfId="12091"/>
    <cellStyle name="Dane wejściowe 2 6 48" xfId="12092"/>
    <cellStyle name="Dane wejściowe 2 6 48 2" xfId="12093"/>
    <cellStyle name="Dane wejściowe 2 6 48 3" xfId="12094"/>
    <cellStyle name="Dane wejściowe 2 6 49" xfId="12095"/>
    <cellStyle name="Dane wejściowe 2 6 49 2" xfId="12096"/>
    <cellStyle name="Dane wejściowe 2 6 49 3" xfId="12097"/>
    <cellStyle name="Dane wejściowe 2 6 5" xfId="12098"/>
    <cellStyle name="Dane wejściowe 2 6 5 2" xfId="12099"/>
    <cellStyle name="Dane wejściowe 2 6 5 3" xfId="12100"/>
    <cellStyle name="Dane wejściowe 2 6 5 4" xfId="12101"/>
    <cellStyle name="Dane wejściowe 2 6 50" xfId="12102"/>
    <cellStyle name="Dane wejściowe 2 6 50 2" xfId="12103"/>
    <cellStyle name="Dane wejściowe 2 6 50 3" xfId="12104"/>
    <cellStyle name="Dane wejściowe 2 6 51" xfId="12105"/>
    <cellStyle name="Dane wejściowe 2 6 51 2" xfId="12106"/>
    <cellStyle name="Dane wejściowe 2 6 51 3" xfId="12107"/>
    <cellStyle name="Dane wejściowe 2 6 52" xfId="12108"/>
    <cellStyle name="Dane wejściowe 2 6 52 2" xfId="12109"/>
    <cellStyle name="Dane wejściowe 2 6 52 3" xfId="12110"/>
    <cellStyle name="Dane wejściowe 2 6 53" xfId="12111"/>
    <cellStyle name="Dane wejściowe 2 6 53 2" xfId="12112"/>
    <cellStyle name="Dane wejściowe 2 6 53 3" xfId="12113"/>
    <cellStyle name="Dane wejściowe 2 6 54" xfId="12114"/>
    <cellStyle name="Dane wejściowe 2 6 54 2" xfId="12115"/>
    <cellStyle name="Dane wejściowe 2 6 54 3" xfId="12116"/>
    <cellStyle name="Dane wejściowe 2 6 55" xfId="12117"/>
    <cellStyle name="Dane wejściowe 2 6 55 2" xfId="12118"/>
    <cellStyle name="Dane wejściowe 2 6 55 3" xfId="12119"/>
    <cellStyle name="Dane wejściowe 2 6 56" xfId="12120"/>
    <cellStyle name="Dane wejściowe 2 6 56 2" xfId="12121"/>
    <cellStyle name="Dane wejściowe 2 6 56 3" xfId="12122"/>
    <cellStyle name="Dane wejściowe 2 6 57" xfId="12123"/>
    <cellStyle name="Dane wejściowe 2 6 58" xfId="12124"/>
    <cellStyle name="Dane wejściowe 2 6 6" xfId="12125"/>
    <cellStyle name="Dane wejściowe 2 6 6 2" xfId="12126"/>
    <cellStyle name="Dane wejściowe 2 6 6 3" xfId="12127"/>
    <cellStyle name="Dane wejściowe 2 6 6 4" xfId="12128"/>
    <cellStyle name="Dane wejściowe 2 6 7" xfId="12129"/>
    <cellStyle name="Dane wejściowe 2 6 7 2" xfId="12130"/>
    <cellStyle name="Dane wejściowe 2 6 7 3" xfId="12131"/>
    <cellStyle name="Dane wejściowe 2 6 7 4" xfId="12132"/>
    <cellStyle name="Dane wejściowe 2 6 8" xfId="12133"/>
    <cellStyle name="Dane wejściowe 2 6 8 2" xfId="12134"/>
    <cellStyle name="Dane wejściowe 2 6 8 3" xfId="12135"/>
    <cellStyle name="Dane wejściowe 2 6 8 4" xfId="12136"/>
    <cellStyle name="Dane wejściowe 2 6 9" xfId="12137"/>
    <cellStyle name="Dane wejściowe 2 6 9 2" xfId="12138"/>
    <cellStyle name="Dane wejściowe 2 6 9 3" xfId="12139"/>
    <cellStyle name="Dane wejściowe 2 6 9 4" xfId="12140"/>
    <cellStyle name="Dane wejściowe 2 60" xfId="12141"/>
    <cellStyle name="Dane wejściowe 2 60 2" xfId="12142"/>
    <cellStyle name="Dane wejściowe 2 60 3" xfId="12143"/>
    <cellStyle name="Dane wejściowe 2 61" xfId="12144"/>
    <cellStyle name="Dane wejściowe 2 61 2" xfId="12145"/>
    <cellStyle name="Dane wejściowe 2 61 3" xfId="12146"/>
    <cellStyle name="Dane wejściowe 2 62" xfId="12147"/>
    <cellStyle name="Dane wejściowe 2 62 2" xfId="12148"/>
    <cellStyle name="Dane wejściowe 2 62 3" xfId="12149"/>
    <cellStyle name="Dane wejściowe 2 63" xfId="12150"/>
    <cellStyle name="Dane wejściowe 2 63 2" xfId="12151"/>
    <cellStyle name="Dane wejściowe 2 63 3" xfId="12152"/>
    <cellStyle name="Dane wejściowe 2 64" xfId="12153"/>
    <cellStyle name="Dane wejściowe 2 64 2" xfId="12154"/>
    <cellStyle name="Dane wejściowe 2 64 3" xfId="12155"/>
    <cellStyle name="Dane wejściowe 2 65" xfId="12156"/>
    <cellStyle name="Dane wejściowe 2 65 2" xfId="12157"/>
    <cellStyle name="Dane wejściowe 2 65 3" xfId="12158"/>
    <cellStyle name="Dane wejściowe 2 66" xfId="12159"/>
    <cellStyle name="Dane wejściowe 2 66 2" xfId="12160"/>
    <cellStyle name="Dane wejściowe 2 66 3" xfId="12161"/>
    <cellStyle name="Dane wejściowe 2 67" xfId="12162"/>
    <cellStyle name="Dane wejściowe 2 67 2" xfId="12163"/>
    <cellStyle name="Dane wejściowe 2 67 3" xfId="12164"/>
    <cellStyle name="Dane wejściowe 2 68" xfId="12165"/>
    <cellStyle name="Dane wejściowe 2 68 2" xfId="12166"/>
    <cellStyle name="Dane wejściowe 2 68 3" xfId="12167"/>
    <cellStyle name="Dane wejściowe 2 69" xfId="12168"/>
    <cellStyle name="Dane wejściowe 2 69 2" xfId="12169"/>
    <cellStyle name="Dane wejściowe 2 69 3" xfId="12170"/>
    <cellStyle name="Dane wejściowe 2 7" xfId="12171"/>
    <cellStyle name="Dane wejściowe 2 7 10" xfId="12172"/>
    <cellStyle name="Dane wejściowe 2 7 10 2" xfId="12173"/>
    <cellStyle name="Dane wejściowe 2 7 10 3" xfId="12174"/>
    <cellStyle name="Dane wejściowe 2 7 10 4" xfId="12175"/>
    <cellStyle name="Dane wejściowe 2 7 11" xfId="12176"/>
    <cellStyle name="Dane wejściowe 2 7 11 2" xfId="12177"/>
    <cellStyle name="Dane wejściowe 2 7 11 3" xfId="12178"/>
    <cellStyle name="Dane wejściowe 2 7 11 4" xfId="12179"/>
    <cellStyle name="Dane wejściowe 2 7 12" xfId="12180"/>
    <cellStyle name="Dane wejściowe 2 7 12 2" xfId="12181"/>
    <cellStyle name="Dane wejściowe 2 7 12 3" xfId="12182"/>
    <cellStyle name="Dane wejściowe 2 7 12 4" xfId="12183"/>
    <cellStyle name="Dane wejściowe 2 7 13" xfId="12184"/>
    <cellStyle name="Dane wejściowe 2 7 13 2" xfId="12185"/>
    <cellStyle name="Dane wejściowe 2 7 13 3" xfId="12186"/>
    <cellStyle name="Dane wejściowe 2 7 13 4" xfId="12187"/>
    <cellStyle name="Dane wejściowe 2 7 14" xfId="12188"/>
    <cellStyle name="Dane wejściowe 2 7 14 2" xfId="12189"/>
    <cellStyle name="Dane wejściowe 2 7 14 3" xfId="12190"/>
    <cellStyle name="Dane wejściowe 2 7 14 4" xfId="12191"/>
    <cellStyle name="Dane wejściowe 2 7 15" xfId="12192"/>
    <cellStyle name="Dane wejściowe 2 7 15 2" xfId="12193"/>
    <cellStyle name="Dane wejściowe 2 7 15 3" xfId="12194"/>
    <cellStyle name="Dane wejściowe 2 7 15 4" xfId="12195"/>
    <cellStyle name="Dane wejściowe 2 7 16" xfId="12196"/>
    <cellStyle name="Dane wejściowe 2 7 16 2" xfId="12197"/>
    <cellStyle name="Dane wejściowe 2 7 16 3" xfId="12198"/>
    <cellStyle name="Dane wejściowe 2 7 16 4" xfId="12199"/>
    <cellStyle name="Dane wejściowe 2 7 17" xfId="12200"/>
    <cellStyle name="Dane wejściowe 2 7 17 2" xfId="12201"/>
    <cellStyle name="Dane wejściowe 2 7 17 3" xfId="12202"/>
    <cellStyle name="Dane wejściowe 2 7 17 4" xfId="12203"/>
    <cellStyle name="Dane wejściowe 2 7 18" xfId="12204"/>
    <cellStyle name="Dane wejściowe 2 7 18 2" xfId="12205"/>
    <cellStyle name="Dane wejściowe 2 7 18 3" xfId="12206"/>
    <cellStyle name="Dane wejściowe 2 7 18 4" xfId="12207"/>
    <cellStyle name="Dane wejściowe 2 7 19" xfId="12208"/>
    <cellStyle name="Dane wejściowe 2 7 19 2" xfId="12209"/>
    <cellStyle name="Dane wejściowe 2 7 19 3" xfId="12210"/>
    <cellStyle name="Dane wejściowe 2 7 19 4" xfId="12211"/>
    <cellStyle name="Dane wejściowe 2 7 2" xfId="12212"/>
    <cellStyle name="Dane wejściowe 2 7 2 2" xfId="12213"/>
    <cellStyle name="Dane wejściowe 2 7 2 3" xfId="12214"/>
    <cellStyle name="Dane wejściowe 2 7 2 4" xfId="12215"/>
    <cellStyle name="Dane wejściowe 2 7 20" xfId="12216"/>
    <cellStyle name="Dane wejściowe 2 7 20 2" xfId="12217"/>
    <cellStyle name="Dane wejściowe 2 7 20 3" xfId="12218"/>
    <cellStyle name="Dane wejściowe 2 7 20 4" xfId="12219"/>
    <cellStyle name="Dane wejściowe 2 7 21" xfId="12220"/>
    <cellStyle name="Dane wejściowe 2 7 21 2" xfId="12221"/>
    <cellStyle name="Dane wejściowe 2 7 21 3" xfId="12222"/>
    <cellStyle name="Dane wejściowe 2 7 22" xfId="12223"/>
    <cellStyle name="Dane wejściowe 2 7 22 2" xfId="12224"/>
    <cellStyle name="Dane wejściowe 2 7 22 3" xfId="12225"/>
    <cellStyle name="Dane wejściowe 2 7 23" xfId="12226"/>
    <cellStyle name="Dane wejściowe 2 7 23 2" xfId="12227"/>
    <cellStyle name="Dane wejściowe 2 7 23 3" xfId="12228"/>
    <cellStyle name="Dane wejściowe 2 7 24" xfId="12229"/>
    <cellStyle name="Dane wejściowe 2 7 24 2" xfId="12230"/>
    <cellStyle name="Dane wejściowe 2 7 24 3" xfId="12231"/>
    <cellStyle name="Dane wejściowe 2 7 25" xfId="12232"/>
    <cellStyle name="Dane wejściowe 2 7 25 2" xfId="12233"/>
    <cellStyle name="Dane wejściowe 2 7 25 3" xfId="12234"/>
    <cellStyle name="Dane wejściowe 2 7 26" xfId="12235"/>
    <cellStyle name="Dane wejściowe 2 7 26 2" xfId="12236"/>
    <cellStyle name="Dane wejściowe 2 7 26 3" xfId="12237"/>
    <cellStyle name="Dane wejściowe 2 7 27" xfId="12238"/>
    <cellStyle name="Dane wejściowe 2 7 27 2" xfId="12239"/>
    <cellStyle name="Dane wejściowe 2 7 27 3" xfId="12240"/>
    <cellStyle name="Dane wejściowe 2 7 28" xfId="12241"/>
    <cellStyle name="Dane wejściowe 2 7 28 2" xfId="12242"/>
    <cellStyle name="Dane wejściowe 2 7 28 3" xfId="12243"/>
    <cellStyle name="Dane wejściowe 2 7 29" xfId="12244"/>
    <cellStyle name="Dane wejściowe 2 7 29 2" xfId="12245"/>
    <cellStyle name="Dane wejściowe 2 7 29 3" xfId="12246"/>
    <cellStyle name="Dane wejściowe 2 7 3" xfId="12247"/>
    <cellStyle name="Dane wejściowe 2 7 3 2" xfId="12248"/>
    <cellStyle name="Dane wejściowe 2 7 3 3" xfId="12249"/>
    <cellStyle name="Dane wejściowe 2 7 3 4" xfId="12250"/>
    <cellStyle name="Dane wejściowe 2 7 30" xfId="12251"/>
    <cellStyle name="Dane wejściowe 2 7 30 2" xfId="12252"/>
    <cellStyle name="Dane wejściowe 2 7 30 3" xfId="12253"/>
    <cellStyle name="Dane wejściowe 2 7 31" xfId="12254"/>
    <cellStyle name="Dane wejściowe 2 7 31 2" xfId="12255"/>
    <cellStyle name="Dane wejściowe 2 7 31 3" xfId="12256"/>
    <cellStyle name="Dane wejściowe 2 7 32" xfId="12257"/>
    <cellStyle name="Dane wejściowe 2 7 32 2" xfId="12258"/>
    <cellStyle name="Dane wejściowe 2 7 32 3" xfId="12259"/>
    <cellStyle name="Dane wejściowe 2 7 33" xfId="12260"/>
    <cellStyle name="Dane wejściowe 2 7 33 2" xfId="12261"/>
    <cellStyle name="Dane wejściowe 2 7 33 3" xfId="12262"/>
    <cellStyle name="Dane wejściowe 2 7 34" xfId="12263"/>
    <cellStyle name="Dane wejściowe 2 7 34 2" xfId="12264"/>
    <cellStyle name="Dane wejściowe 2 7 34 3" xfId="12265"/>
    <cellStyle name="Dane wejściowe 2 7 35" xfId="12266"/>
    <cellStyle name="Dane wejściowe 2 7 35 2" xfId="12267"/>
    <cellStyle name="Dane wejściowe 2 7 35 3" xfId="12268"/>
    <cellStyle name="Dane wejściowe 2 7 36" xfId="12269"/>
    <cellStyle name="Dane wejściowe 2 7 36 2" xfId="12270"/>
    <cellStyle name="Dane wejściowe 2 7 36 3" xfId="12271"/>
    <cellStyle name="Dane wejściowe 2 7 37" xfId="12272"/>
    <cellStyle name="Dane wejściowe 2 7 37 2" xfId="12273"/>
    <cellStyle name="Dane wejściowe 2 7 37 3" xfId="12274"/>
    <cellStyle name="Dane wejściowe 2 7 38" xfId="12275"/>
    <cellStyle name="Dane wejściowe 2 7 38 2" xfId="12276"/>
    <cellStyle name="Dane wejściowe 2 7 38 3" xfId="12277"/>
    <cellStyle name="Dane wejściowe 2 7 39" xfId="12278"/>
    <cellStyle name="Dane wejściowe 2 7 39 2" xfId="12279"/>
    <cellStyle name="Dane wejściowe 2 7 39 3" xfId="12280"/>
    <cellStyle name="Dane wejściowe 2 7 4" xfId="12281"/>
    <cellStyle name="Dane wejściowe 2 7 4 2" xfId="12282"/>
    <cellStyle name="Dane wejściowe 2 7 4 3" xfId="12283"/>
    <cellStyle name="Dane wejściowe 2 7 4 4" xfId="12284"/>
    <cellStyle name="Dane wejściowe 2 7 40" xfId="12285"/>
    <cellStyle name="Dane wejściowe 2 7 40 2" xfId="12286"/>
    <cellStyle name="Dane wejściowe 2 7 40 3" xfId="12287"/>
    <cellStyle name="Dane wejściowe 2 7 41" xfId="12288"/>
    <cellStyle name="Dane wejściowe 2 7 41 2" xfId="12289"/>
    <cellStyle name="Dane wejściowe 2 7 41 3" xfId="12290"/>
    <cellStyle name="Dane wejściowe 2 7 42" xfId="12291"/>
    <cellStyle name="Dane wejściowe 2 7 42 2" xfId="12292"/>
    <cellStyle name="Dane wejściowe 2 7 42 3" xfId="12293"/>
    <cellStyle name="Dane wejściowe 2 7 43" xfId="12294"/>
    <cellStyle name="Dane wejściowe 2 7 43 2" xfId="12295"/>
    <cellStyle name="Dane wejściowe 2 7 43 3" xfId="12296"/>
    <cellStyle name="Dane wejściowe 2 7 44" xfId="12297"/>
    <cellStyle name="Dane wejściowe 2 7 44 2" xfId="12298"/>
    <cellStyle name="Dane wejściowe 2 7 44 3" xfId="12299"/>
    <cellStyle name="Dane wejściowe 2 7 45" xfId="12300"/>
    <cellStyle name="Dane wejściowe 2 7 45 2" xfId="12301"/>
    <cellStyle name="Dane wejściowe 2 7 45 3" xfId="12302"/>
    <cellStyle name="Dane wejściowe 2 7 46" xfId="12303"/>
    <cellStyle name="Dane wejściowe 2 7 46 2" xfId="12304"/>
    <cellStyle name="Dane wejściowe 2 7 46 3" xfId="12305"/>
    <cellStyle name="Dane wejściowe 2 7 47" xfId="12306"/>
    <cellStyle name="Dane wejściowe 2 7 47 2" xfId="12307"/>
    <cellStyle name="Dane wejściowe 2 7 47 3" xfId="12308"/>
    <cellStyle name="Dane wejściowe 2 7 48" xfId="12309"/>
    <cellStyle name="Dane wejściowe 2 7 48 2" xfId="12310"/>
    <cellStyle name="Dane wejściowe 2 7 48 3" xfId="12311"/>
    <cellStyle name="Dane wejściowe 2 7 49" xfId="12312"/>
    <cellStyle name="Dane wejściowe 2 7 49 2" xfId="12313"/>
    <cellStyle name="Dane wejściowe 2 7 49 3" xfId="12314"/>
    <cellStyle name="Dane wejściowe 2 7 5" xfId="12315"/>
    <cellStyle name="Dane wejściowe 2 7 5 2" xfId="12316"/>
    <cellStyle name="Dane wejściowe 2 7 5 3" xfId="12317"/>
    <cellStyle name="Dane wejściowe 2 7 5 4" xfId="12318"/>
    <cellStyle name="Dane wejściowe 2 7 50" xfId="12319"/>
    <cellStyle name="Dane wejściowe 2 7 50 2" xfId="12320"/>
    <cellStyle name="Dane wejściowe 2 7 50 3" xfId="12321"/>
    <cellStyle name="Dane wejściowe 2 7 51" xfId="12322"/>
    <cellStyle name="Dane wejściowe 2 7 51 2" xfId="12323"/>
    <cellStyle name="Dane wejściowe 2 7 51 3" xfId="12324"/>
    <cellStyle name="Dane wejściowe 2 7 52" xfId="12325"/>
    <cellStyle name="Dane wejściowe 2 7 52 2" xfId="12326"/>
    <cellStyle name="Dane wejściowe 2 7 52 3" xfId="12327"/>
    <cellStyle name="Dane wejściowe 2 7 53" xfId="12328"/>
    <cellStyle name="Dane wejściowe 2 7 53 2" xfId="12329"/>
    <cellStyle name="Dane wejściowe 2 7 53 3" xfId="12330"/>
    <cellStyle name="Dane wejściowe 2 7 54" xfId="12331"/>
    <cellStyle name="Dane wejściowe 2 7 54 2" xfId="12332"/>
    <cellStyle name="Dane wejściowe 2 7 54 3" xfId="12333"/>
    <cellStyle name="Dane wejściowe 2 7 55" xfId="12334"/>
    <cellStyle name="Dane wejściowe 2 7 55 2" xfId="12335"/>
    <cellStyle name="Dane wejściowe 2 7 55 3" xfId="12336"/>
    <cellStyle name="Dane wejściowe 2 7 56" xfId="12337"/>
    <cellStyle name="Dane wejściowe 2 7 56 2" xfId="12338"/>
    <cellStyle name="Dane wejściowe 2 7 56 3" xfId="12339"/>
    <cellStyle name="Dane wejściowe 2 7 57" xfId="12340"/>
    <cellStyle name="Dane wejściowe 2 7 58" xfId="12341"/>
    <cellStyle name="Dane wejściowe 2 7 6" xfId="12342"/>
    <cellStyle name="Dane wejściowe 2 7 6 2" xfId="12343"/>
    <cellStyle name="Dane wejściowe 2 7 6 3" xfId="12344"/>
    <cellStyle name="Dane wejściowe 2 7 6 4" xfId="12345"/>
    <cellStyle name="Dane wejściowe 2 7 7" xfId="12346"/>
    <cellStyle name="Dane wejściowe 2 7 7 2" xfId="12347"/>
    <cellStyle name="Dane wejściowe 2 7 7 3" xfId="12348"/>
    <cellStyle name="Dane wejściowe 2 7 7 4" xfId="12349"/>
    <cellStyle name="Dane wejściowe 2 7 8" xfId="12350"/>
    <cellStyle name="Dane wejściowe 2 7 8 2" xfId="12351"/>
    <cellStyle name="Dane wejściowe 2 7 8 3" xfId="12352"/>
    <cellStyle name="Dane wejściowe 2 7 8 4" xfId="12353"/>
    <cellStyle name="Dane wejściowe 2 7 9" xfId="12354"/>
    <cellStyle name="Dane wejściowe 2 7 9 2" xfId="12355"/>
    <cellStyle name="Dane wejściowe 2 7 9 3" xfId="12356"/>
    <cellStyle name="Dane wejściowe 2 7 9 4" xfId="12357"/>
    <cellStyle name="Dane wejściowe 2 70" xfId="12358"/>
    <cellStyle name="Dane wejściowe 2 70 2" xfId="12359"/>
    <cellStyle name="Dane wejściowe 2 70 3" xfId="12360"/>
    <cellStyle name="Dane wejściowe 2 71" xfId="12361"/>
    <cellStyle name="Dane wejściowe 2 71 2" xfId="12362"/>
    <cellStyle name="Dane wejściowe 2 71 3" xfId="12363"/>
    <cellStyle name="Dane wejściowe 2 72" xfId="12364"/>
    <cellStyle name="Dane wejściowe 2 72 2" xfId="12365"/>
    <cellStyle name="Dane wejściowe 2 72 3" xfId="12366"/>
    <cellStyle name="Dane wejściowe 2 73" xfId="12367"/>
    <cellStyle name="Dane wejściowe 2 73 2" xfId="12368"/>
    <cellStyle name="Dane wejściowe 2 73 3" xfId="12369"/>
    <cellStyle name="Dane wejściowe 2 74" xfId="12370"/>
    <cellStyle name="Dane wejściowe 2 74 2" xfId="12371"/>
    <cellStyle name="Dane wejściowe 2 74 3" xfId="12372"/>
    <cellStyle name="Dane wejściowe 2 75" xfId="12373"/>
    <cellStyle name="Dane wejściowe 2 75 2" xfId="12374"/>
    <cellStyle name="Dane wejściowe 2 75 3" xfId="12375"/>
    <cellStyle name="Dane wejściowe 2 76" xfId="12376"/>
    <cellStyle name="Dane wejściowe 2 76 2" xfId="12377"/>
    <cellStyle name="Dane wejściowe 2 76 3" xfId="12378"/>
    <cellStyle name="Dane wejściowe 2 77" xfId="12379"/>
    <cellStyle name="Dane wejściowe 2 77 2" xfId="12380"/>
    <cellStyle name="Dane wejściowe 2 77 3" xfId="12381"/>
    <cellStyle name="Dane wejściowe 2 78" xfId="12382"/>
    <cellStyle name="Dane wejściowe 2 78 2" xfId="12383"/>
    <cellStyle name="Dane wejściowe 2 78 3" xfId="12384"/>
    <cellStyle name="Dane wejściowe 2 79" xfId="12385"/>
    <cellStyle name="Dane wejściowe 2 79 2" xfId="12386"/>
    <cellStyle name="Dane wejściowe 2 79 3" xfId="12387"/>
    <cellStyle name="Dane wejściowe 2 8" xfId="12388"/>
    <cellStyle name="Dane wejściowe 2 8 10" xfId="12389"/>
    <cellStyle name="Dane wejściowe 2 8 10 2" xfId="12390"/>
    <cellStyle name="Dane wejściowe 2 8 10 3" xfId="12391"/>
    <cellStyle name="Dane wejściowe 2 8 10 4" xfId="12392"/>
    <cellStyle name="Dane wejściowe 2 8 11" xfId="12393"/>
    <cellStyle name="Dane wejściowe 2 8 11 2" xfId="12394"/>
    <cellStyle name="Dane wejściowe 2 8 11 3" xfId="12395"/>
    <cellStyle name="Dane wejściowe 2 8 11 4" xfId="12396"/>
    <cellStyle name="Dane wejściowe 2 8 12" xfId="12397"/>
    <cellStyle name="Dane wejściowe 2 8 12 2" xfId="12398"/>
    <cellStyle name="Dane wejściowe 2 8 12 3" xfId="12399"/>
    <cellStyle name="Dane wejściowe 2 8 12 4" xfId="12400"/>
    <cellStyle name="Dane wejściowe 2 8 13" xfId="12401"/>
    <cellStyle name="Dane wejściowe 2 8 13 2" xfId="12402"/>
    <cellStyle name="Dane wejściowe 2 8 13 3" xfId="12403"/>
    <cellStyle name="Dane wejściowe 2 8 13 4" xfId="12404"/>
    <cellStyle name="Dane wejściowe 2 8 14" xfId="12405"/>
    <cellStyle name="Dane wejściowe 2 8 14 2" xfId="12406"/>
    <cellStyle name="Dane wejściowe 2 8 14 3" xfId="12407"/>
    <cellStyle name="Dane wejściowe 2 8 14 4" xfId="12408"/>
    <cellStyle name="Dane wejściowe 2 8 15" xfId="12409"/>
    <cellStyle name="Dane wejściowe 2 8 15 2" xfId="12410"/>
    <cellStyle name="Dane wejściowe 2 8 15 3" xfId="12411"/>
    <cellStyle name="Dane wejściowe 2 8 15 4" xfId="12412"/>
    <cellStyle name="Dane wejściowe 2 8 16" xfId="12413"/>
    <cellStyle name="Dane wejściowe 2 8 16 2" xfId="12414"/>
    <cellStyle name="Dane wejściowe 2 8 16 3" xfId="12415"/>
    <cellStyle name="Dane wejściowe 2 8 16 4" xfId="12416"/>
    <cellStyle name="Dane wejściowe 2 8 17" xfId="12417"/>
    <cellStyle name="Dane wejściowe 2 8 17 2" xfId="12418"/>
    <cellStyle name="Dane wejściowe 2 8 17 3" xfId="12419"/>
    <cellStyle name="Dane wejściowe 2 8 17 4" xfId="12420"/>
    <cellStyle name="Dane wejściowe 2 8 18" xfId="12421"/>
    <cellStyle name="Dane wejściowe 2 8 18 2" xfId="12422"/>
    <cellStyle name="Dane wejściowe 2 8 18 3" xfId="12423"/>
    <cellStyle name="Dane wejściowe 2 8 18 4" xfId="12424"/>
    <cellStyle name="Dane wejściowe 2 8 19" xfId="12425"/>
    <cellStyle name="Dane wejściowe 2 8 19 2" xfId="12426"/>
    <cellStyle name="Dane wejściowe 2 8 19 3" xfId="12427"/>
    <cellStyle name="Dane wejściowe 2 8 19 4" xfId="12428"/>
    <cellStyle name="Dane wejściowe 2 8 2" xfId="12429"/>
    <cellStyle name="Dane wejściowe 2 8 2 2" xfId="12430"/>
    <cellStyle name="Dane wejściowe 2 8 2 3" xfId="12431"/>
    <cellStyle name="Dane wejściowe 2 8 2 4" xfId="12432"/>
    <cellStyle name="Dane wejściowe 2 8 20" xfId="12433"/>
    <cellStyle name="Dane wejściowe 2 8 20 2" xfId="12434"/>
    <cellStyle name="Dane wejściowe 2 8 20 3" xfId="12435"/>
    <cellStyle name="Dane wejściowe 2 8 20 4" xfId="12436"/>
    <cellStyle name="Dane wejściowe 2 8 21" xfId="12437"/>
    <cellStyle name="Dane wejściowe 2 8 21 2" xfId="12438"/>
    <cellStyle name="Dane wejściowe 2 8 21 3" xfId="12439"/>
    <cellStyle name="Dane wejściowe 2 8 22" xfId="12440"/>
    <cellStyle name="Dane wejściowe 2 8 22 2" xfId="12441"/>
    <cellStyle name="Dane wejściowe 2 8 22 3" xfId="12442"/>
    <cellStyle name="Dane wejściowe 2 8 23" xfId="12443"/>
    <cellStyle name="Dane wejściowe 2 8 23 2" xfId="12444"/>
    <cellStyle name="Dane wejściowe 2 8 23 3" xfId="12445"/>
    <cellStyle name="Dane wejściowe 2 8 24" xfId="12446"/>
    <cellStyle name="Dane wejściowe 2 8 24 2" xfId="12447"/>
    <cellStyle name="Dane wejściowe 2 8 24 3" xfId="12448"/>
    <cellStyle name="Dane wejściowe 2 8 25" xfId="12449"/>
    <cellStyle name="Dane wejściowe 2 8 25 2" xfId="12450"/>
    <cellStyle name="Dane wejściowe 2 8 25 3" xfId="12451"/>
    <cellStyle name="Dane wejściowe 2 8 26" xfId="12452"/>
    <cellStyle name="Dane wejściowe 2 8 26 2" xfId="12453"/>
    <cellStyle name="Dane wejściowe 2 8 26 3" xfId="12454"/>
    <cellStyle name="Dane wejściowe 2 8 27" xfId="12455"/>
    <cellStyle name="Dane wejściowe 2 8 27 2" xfId="12456"/>
    <cellStyle name="Dane wejściowe 2 8 27 3" xfId="12457"/>
    <cellStyle name="Dane wejściowe 2 8 28" xfId="12458"/>
    <cellStyle name="Dane wejściowe 2 8 28 2" xfId="12459"/>
    <cellStyle name="Dane wejściowe 2 8 28 3" xfId="12460"/>
    <cellStyle name="Dane wejściowe 2 8 29" xfId="12461"/>
    <cellStyle name="Dane wejściowe 2 8 29 2" xfId="12462"/>
    <cellStyle name="Dane wejściowe 2 8 29 3" xfId="12463"/>
    <cellStyle name="Dane wejściowe 2 8 3" xfId="12464"/>
    <cellStyle name="Dane wejściowe 2 8 3 2" xfId="12465"/>
    <cellStyle name="Dane wejściowe 2 8 3 3" xfId="12466"/>
    <cellStyle name="Dane wejściowe 2 8 3 4" xfId="12467"/>
    <cellStyle name="Dane wejściowe 2 8 30" xfId="12468"/>
    <cellStyle name="Dane wejściowe 2 8 30 2" xfId="12469"/>
    <cellStyle name="Dane wejściowe 2 8 30 3" xfId="12470"/>
    <cellStyle name="Dane wejściowe 2 8 31" xfId="12471"/>
    <cellStyle name="Dane wejściowe 2 8 31 2" xfId="12472"/>
    <cellStyle name="Dane wejściowe 2 8 31 3" xfId="12473"/>
    <cellStyle name="Dane wejściowe 2 8 32" xfId="12474"/>
    <cellStyle name="Dane wejściowe 2 8 32 2" xfId="12475"/>
    <cellStyle name="Dane wejściowe 2 8 32 3" xfId="12476"/>
    <cellStyle name="Dane wejściowe 2 8 33" xfId="12477"/>
    <cellStyle name="Dane wejściowe 2 8 33 2" xfId="12478"/>
    <cellStyle name="Dane wejściowe 2 8 33 3" xfId="12479"/>
    <cellStyle name="Dane wejściowe 2 8 34" xfId="12480"/>
    <cellStyle name="Dane wejściowe 2 8 34 2" xfId="12481"/>
    <cellStyle name="Dane wejściowe 2 8 34 3" xfId="12482"/>
    <cellStyle name="Dane wejściowe 2 8 35" xfId="12483"/>
    <cellStyle name="Dane wejściowe 2 8 35 2" xfId="12484"/>
    <cellStyle name="Dane wejściowe 2 8 35 3" xfId="12485"/>
    <cellStyle name="Dane wejściowe 2 8 36" xfId="12486"/>
    <cellStyle name="Dane wejściowe 2 8 36 2" xfId="12487"/>
    <cellStyle name="Dane wejściowe 2 8 36 3" xfId="12488"/>
    <cellStyle name="Dane wejściowe 2 8 37" xfId="12489"/>
    <cellStyle name="Dane wejściowe 2 8 37 2" xfId="12490"/>
    <cellStyle name="Dane wejściowe 2 8 37 3" xfId="12491"/>
    <cellStyle name="Dane wejściowe 2 8 38" xfId="12492"/>
    <cellStyle name="Dane wejściowe 2 8 38 2" xfId="12493"/>
    <cellStyle name="Dane wejściowe 2 8 38 3" xfId="12494"/>
    <cellStyle name="Dane wejściowe 2 8 39" xfId="12495"/>
    <cellStyle name="Dane wejściowe 2 8 39 2" xfId="12496"/>
    <cellStyle name="Dane wejściowe 2 8 39 3" xfId="12497"/>
    <cellStyle name="Dane wejściowe 2 8 4" xfId="12498"/>
    <cellStyle name="Dane wejściowe 2 8 4 2" xfId="12499"/>
    <cellStyle name="Dane wejściowe 2 8 4 3" xfId="12500"/>
    <cellStyle name="Dane wejściowe 2 8 4 4" xfId="12501"/>
    <cellStyle name="Dane wejściowe 2 8 40" xfId="12502"/>
    <cellStyle name="Dane wejściowe 2 8 40 2" xfId="12503"/>
    <cellStyle name="Dane wejściowe 2 8 40 3" xfId="12504"/>
    <cellStyle name="Dane wejściowe 2 8 41" xfId="12505"/>
    <cellStyle name="Dane wejściowe 2 8 41 2" xfId="12506"/>
    <cellStyle name="Dane wejściowe 2 8 41 3" xfId="12507"/>
    <cellStyle name="Dane wejściowe 2 8 42" xfId="12508"/>
    <cellStyle name="Dane wejściowe 2 8 42 2" xfId="12509"/>
    <cellStyle name="Dane wejściowe 2 8 42 3" xfId="12510"/>
    <cellStyle name="Dane wejściowe 2 8 43" xfId="12511"/>
    <cellStyle name="Dane wejściowe 2 8 43 2" xfId="12512"/>
    <cellStyle name="Dane wejściowe 2 8 43 3" xfId="12513"/>
    <cellStyle name="Dane wejściowe 2 8 44" xfId="12514"/>
    <cellStyle name="Dane wejściowe 2 8 44 2" xfId="12515"/>
    <cellStyle name="Dane wejściowe 2 8 44 3" xfId="12516"/>
    <cellStyle name="Dane wejściowe 2 8 45" xfId="12517"/>
    <cellStyle name="Dane wejściowe 2 8 45 2" xfId="12518"/>
    <cellStyle name="Dane wejściowe 2 8 45 3" xfId="12519"/>
    <cellStyle name="Dane wejściowe 2 8 46" xfId="12520"/>
    <cellStyle name="Dane wejściowe 2 8 46 2" xfId="12521"/>
    <cellStyle name="Dane wejściowe 2 8 46 3" xfId="12522"/>
    <cellStyle name="Dane wejściowe 2 8 47" xfId="12523"/>
    <cellStyle name="Dane wejściowe 2 8 47 2" xfId="12524"/>
    <cellStyle name="Dane wejściowe 2 8 47 3" xfId="12525"/>
    <cellStyle name="Dane wejściowe 2 8 48" xfId="12526"/>
    <cellStyle name="Dane wejściowe 2 8 48 2" xfId="12527"/>
    <cellStyle name="Dane wejściowe 2 8 48 3" xfId="12528"/>
    <cellStyle name="Dane wejściowe 2 8 49" xfId="12529"/>
    <cellStyle name="Dane wejściowe 2 8 49 2" xfId="12530"/>
    <cellStyle name="Dane wejściowe 2 8 49 3" xfId="12531"/>
    <cellStyle name="Dane wejściowe 2 8 5" xfId="12532"/>
    <cellStyle name="Dane wejściowe 2 8 5 2" xfId="12533"/>
    <cellStyle name="Dane wejściowe 2 8 5 3" xfId="12534"/>
    <cellStyle name="Dane wejściowe 2 8 5 4" xfId="12535"/>
    <cellStyle name="Dane wejściowe 2 8 50" xfId="12536"/>
    <cellStyle name="Dane wejściowe 2 8 50 2" xfId="12537"/>
    <cellStyle name="Dane wejściowe 2 8 50 3" xfId="12538"/>
    <cellStyle name="Dane wejściowe 2 8 51" xfId="12539"/>
    <cellStyle name="Dane wejściowe 2 8 51 2" xfId="12540"/>
    <cellStyle name="Dane wejściowe 2 8 51 3" xfId="12541"/>
    <cellStyle name="Dane wejściowe 2 8 52" xfId="12542"/>
    <cellStyle name="Dane wejściowe 2 8 52 2" xfId="12543"/>
    <cellStyle name="Dane wejściowe 2 8 52 3" xfId="12544"/>
    <cellStyle name="Dane wejściowe 2 8 53" xfId="12545"/>
    <cellStyle name="Dane wejściowe 2 8 53 2" xfId="12546"/>
    <cellStyle name="Dane wejściowe 2 8 53 3" xfId="12547"/>
    <cellStyle name="Dane wejściowe 2 8 54" xfId="12548"/>
    <cellStyle name="Dane wejściowe 2 8 54 2" xfId="12549"/>
    <cellStyle name="Dane wejściowe 2 8 54 3" xfId="12550"/>
    <cellStyle name="Dane wejściowe 2 8 55" xfId="12551"/>
    <cellStyle name="Dane wejściowe 2 8 55 2" xfId="12552"/>
    <cellStyle name="Dane wejściowe 2 8 55 3" xfId="12553"/>
    <cellStyle name="Dane wejściowe 2 8 56" xfId="12554"/>
    <cellStyle name="Dane wejściowe 2 8 56 2" xfId="12555"/>
    <cellStyle name="Dane wejściowe 2 8 56 3" xfId="12556"/>
    <cellStyle name="Dane wejściowe 2 8 57" xfId="12557"/>
    <cellStyle name="Dane wejściowe 2 8 58" xfId="12558"/>
    <cellStyle name="Dane wejściowe 2 8 6" xfId="12559"/>
    <cellStyle name="Dane wejściowe 2 8 6 2" xfId="12560"/>
    <cellStyle name="Dane wejściowe 2 8 6 3" xfId="12561"/>
    <cellStyle name="Dane wejściowe 2 8 6 4" xfId="12562"/>
    <cellStyle name="Dane wejściowe 2 8 7" xfId="12563"/>
    <cellStyle name="Dane wejściowe 2 8 7 2" xfId="12564"/>
    <cellStyle name="Dane wejściowe 2 8 7 3" xfId="12565"/>
    <cellStyle name="Dane wejściowe 2 8 7 4" xfId="12566"/>
    <cellStyle name="Dane wejściowe 2 8 8" xfId="12567"/>
    <cellStyle name="Dane wejściowe 2 8 8 2" xfId="12568"/>
    <cellStyle name="Dane wejściowe 2 8 8 3" xfId="12569"/>
    <cellStyle name="Dane wejściowe 2 8 8 4" xfId="12570"/>
    <cellStyle name="Dane wejściowe 2 8 9" xfId="12571"/>
    <cellStyle name="Dane wejściowe 2 8 9 2" xfId="12572"/>
    <cellStyle name="Dane wejściowe 2 8 9 3" xfId="12573"/>
    <cellStyle name="Dane wejściowe 2 8 9 4" xfId="12574"/>
    <cellStyle name="Dane wejściowe 2 80" xfId="12575"/>
    <cellStyle name="Dane wejściowe 2 80 2" xfId="12576"/>
    <cellStyle name="Dane wejściowe 2 80 3" xfId="12577"/>
    <cellStyle name="Dane wejściowe 2 81" xfId="12578"/>
    <cellStyle name="Dane wejściowe 2 81 2" xfId="12579"/>
    <cellStyle name="Dane wejściowe 2 81 3" xfId="12580"/>
    <cellStyle name="Dane wejściowe 2 82" xfId="12581"/>
    <cellStyle name="Dane wejściowe 2 82 2" xfId="12582"/>
    <cellStyle name="Dane wejściowe 2 82 3" xfId="12583"/>
    <cellStyle name="Dane wejściowe 2 83" xfId="12584"/>
    <cellStyle name="Dane wejściowe 2 83 2" xfId="12585"/>
    <cellStyle name="Dane wejściowe 2 83 3" xfId="12586"/>
    <cellStyle name="Dane wejściowe 2 84" xfId="12587"/>
    <cellStyle name="Dane wejściowe 2 84 2" xfId="12588"/>
    <cellStyle name="Dane wejściowe 2 84 3" xfId="12589"/>
    <cellStyle name="Dane wejściowe 2 85" xfId="12590"/>
    <cellStyle name="Dane wejściowe 2 85 2" xfId="12591"/>
    <cellStyle name="Dane wejściowe 2 85 3" xfId="12592"/>
    <cellStyle name="Dane wejściowe 2 86" xfId="12593"/>
    <cellStyle name="Dane wejściowe 2 86 2" xfId="12594"/>
    <cellStyle name="Dane wejściowe 2 86 3" xfId="12595"/>
    <cellStyle name="Dane wejściowe 2 87" xfId="12596"/>
    <cellStyle name="Dane wejściowe 2 87 2" xfId="12597"/>
    <cellStyle name="Dane wejściowe 2 87 3" xfId="12598"/>
    <cellStyle name="Dane wejściowe 2 88" xfId="12599"/>
    <cellStyle name="Dane wejściowe 2 9" xfId="12600"/>
    <cellStyle name="Dane wejściowe 2 9 10" xfId="12601"/>
    <cellStyle name="Dane wejściowe 2 9 10 2" xfId="12602"/>
    <cellStyle name="Dane wejściowe 2 9 10 3" xfId="12603"/>
    <cellStyle name="Dane wejściowe 2 9 10 4" xfId="12604"/>
    <cellStyle name="Dane wejściowe 2 9 11" xfId="12605"/>
    <cellStyle name="Dane wejściowe 2 9 11 2" xfId="12606"/>
    <cellStyle name="Dane wejściowe 2 9 11 3" xfId="12607"/>
    <cellStyle name="Dane wejściowe 2 9 11 4" xfId="12608"/>
    <cellStyle name="Dane wejściowe 2 9 12" xfId="12609"/>
    <cellStyle name="Dane wejściowe 2 9 12 2" xfId="12610"/>
    <cellStyle name="Dane wejściowe 2 9 12 3" xfId="12611"/>
    <cellStyle name="Dane wejściowe 2 9 12 4" xfId="12612"/>
    <cellStyle name="Dane wejściowe 2 9 13" xfId="12613"/>
    <cellStyle name="Dane wejściowe 2 9 13 2" xfId="12614"/>
    <cellStyle name="Dane wejściowe 2 9 13 3" xfId="12615"/>
    <cellStyle name="Dane wejściowe 2 9 13 4" xfId="12616"/>
    <cellStyle name="Dane wejściowe 2 9 14" xfId="12617"/>
    <cellStyle name="Dane wejściowe 2 9 14 2" xfId="12618"/>
    <cellStyle name="Dane wejściowe 2 9 14 3" xfId="12619"/>
    <cellStyle name="Dane wejściowe 2 9 14 4" xfId="12620"/>
    <cellStyle name="Dane wejściowe 2 9 15" xfId="12621"/>
    <cellStyle name="Dane wejściowe 2 9 15 2" xfId="12622"/>
    <cellStyle name="Dane wejściowe 2 9 15 3" xfId="12623"/>
    <cellStyle name="Dane wejściowe 2 9 15 4" xfId="12624"/>
    <cellStyle name="Dane wejściowe 2 9 16" xfId="12625"/>
    <cellStyle name="Dane wejściowe 2 9 16 2" xfId="12626"/>
    <cellStyle name="Dane wejściowe 2 9 16 3" xfId="12627"/>
    <cellStyle name="Dane wejściowe 2 9 16 4" xfId="12628"/>
    <cellStyle name="Dane wejściowe 2 9 17" xfId="12629"/>
    <cellStyle name="Dane wejściowe 2 9 17 2" xfId="12630"/>
    <cellStyle name="Dane wejściowe 2 9 17 3" xfId="12631"/>
    <cellStyle name="Dane wejściowe 2 9 17 4" xfId="12632"/>
    <cellStyle name="Dane wejściowe 2 9 18" xfId="12633"/>
    <cellStyle name="Dane wejściowe 2 9 18 2" xfId="12634"/>
    <cellStyle name="Dane wejściowe 2 9 18 3" xfId="12635"/>
    <cellStyle name="Dane wejściowe 2 9 18 4" xfId="12636"/>
    <cellStyle name="Dane wejściowe 2 9 19" xfId="12637"/>
    <cellStyle name="Dane wejściowe 2 9 19 2" xfId="12638"/>
    <cellStyle name="Dane wejściowe 2 9 19 3" xfId="12639"/>
    <cellStyle name="Dane wejściowe 2 9 19 4" xfId="12640"/>
    <cellStyle name="Dane wejściowe 2 9 2" xfId="12641"/>
    <cellStyle name="Dane wejściowe 2 9 2 2" xfId="12642"/>
    <cellStyle name="Dane wejściowe 2 9 2 3" xfId="12643"/>
    <cellStyle name="Dane wejściowe 2 9 2 4" xfId="12644"/>
    <cellStyle name="Dane wejściowe 2 9 20" xfId="12645"/>
    <cellStyle name="Dane wejściowe 2 9 20 2" xfId="12646"/>
    <cellStyle name="Dane wejściowe 2 9 20 3" xfId="12647"/>
    <cellStyle name="Dane wejściowe 2 9 20 4" xfId="12648"/>
    <cellStyle name="Dane wejściowe 2 9 21" xfId="12649"/>
    <cellStyle name="Dane wejściowe 2 9 21 2" xfId="12650"/>
    <cellStyle name="Dane wejściowe 2 9 21 3" xfId="12651"/>
    <cellStyle name="Dane wejściowe 2 9 22" xfId="12652"/>
    <cellStyle name="Dane wejściowe 2 9 22 2" xfId="12653"/>
    <cellStyle name="Dane wejściowe 2 9 22 3" xfId="12654"/>
    <cellStyle name="Dane wejściowe 2 9 23" xfId="12655"/>
    <cellStyle name="Dane wejściowe 2 9 23 2" xfId="12656"/>
    <cellStyle name="Dane wejściowe 2 9 23 3" xfId="12657"/>
    <cellStyle name="Dane wejściowe 2 9 24" xfId="12658"/>
    <cellStyle name="Dane wejściowe 2 9 24 2" xfId="12659"/>
    <cellStyle name="Dane wejściowe 2 9 24 3" xfId="12660"/>
    <cellStyle name="Dane wejściowe 2 9 25" xfId="12661"/>
    <cellStyle name="Dane wejściowe 2 9 25 2" xfId="12662"/>
    <cellStyle name="Dane wejściowe 2 9 25 3" xfId="12663"/>
    <cellStyle name="Dane wejściowe 2 9 26" xfId="12664"/>
    <cellStyle name="Dane wejściowe 2 9 26 2" xfId="12665"/>
    <cellStyle name="Dane wejściowe 2 9 26 3" xfId="12666"/>
    <cellStyle name="Dane wejściowe 2 9 27" xfId="12667"/>
    <cellStyle name="Dane wejściowe 2 9 27 2" xfId="12668"/>
    <cellStyle name="Dane wejściowe 2 9 27 3" xfId="12669"/>
    <cellStyle name="Dane wejściowe 2 9 28" xfId="12670"/>
    <cellStyle name="Dane wejściowe 2 9 28 2" xfId="12671"/>
    <cellStyle name="Dane wejściowe 2 9 28 3" xfId="12672"/>
    <cellStyle name="Dane wejściowe 2 9 29" xfId="12673"/>
    <cellStyle name="Dane wejściowe 2 9 29 2" xfId="12674"/>
    <cellStyle name="Dane wejściowe 2 9 29 3" xfId="12675"/>
    <cellStyle name="Dane wejściowe 2 9 3" xfId="12676"/>
    <cellStyle name="Dane wejściowe 2 9 3 2" xfId="12677"/>
    <cellStyle name="Dane wejściowe 2 9 3 3" xfId="12678"/>
    <cellStyle name="Dane wejściowe 2 9 3 4" xfId="12679"/>
    <cellStyle name="Dane wejściowe 2 9 30" xfId="12680"/>
    <cellStyle name="Dane wejściowe 2 9 30 2" xfId="12681"/>
    <cellStyle name="Dane wejściowe 2 9 30 3" xfId="12682"/>
    <cellStyle name="Dane wejściowe 2 9 31" xfId="12683"/>
    <cellStyle name="Dane wejściowe 2 9 31 2" xfId="12684"/>
    <cellStyle name="Dane wejściowe 2 9 31 3" xfId="12685"/>
    <cellStyle name="Dane wejściowe 2 9 32" xfId="12686"/>
    <cellStyle name="Dane wejściowe 2 9 32 2" xfId="12687"/>
    <cellStyle name="Dane wejściowe 2 9 32 3" xfId="12688"/>
    <cellStyle name="Dane wejściowe 2 9 33" xfId="12689"/>
    <cellStyle name="Dane wejściowe 2 9 33 2" xfId="12690"/>
    <cellStyle name="Dane wejściowe 2 9 33 3" xfId="12691"/>
    <cellStyle name="Dane wejściowe 2 9 34" xfId="12692"/>
    <cellStyle name="Dane wejściowe 2 9 34 2" xfId="12693"/>
    <cellStyle name="Dane wejściowe 2 9 34 3" xfId="12694"/>
    <cellStyle name="Dane wejściowe 2 9 35" xfId="12695"/>
    <cellStyle name="Dane wejściowe 2 9 35 2" xfId="12696"/>
    <cellStyle name="Dane wejściowe 2 9 35 3" xfId="12697"/>
    <cellStyle name="Dane wejściowe 2 9 36" xfId="12698"/>
    <cellStyle name="Dane wejściowe 2 9 36 2" xfId="12699"/>
    <cellStyle name="Dane wejściowe 2 9 36 3" xfId="12700"/>
    <cellStyle name="Dane wejściowe 2 9 37" xfId="12701"/>
    <cellStyle name="Dane wejściowe 2 9 37 2" xfId="12702"/>
    <cellStyle name="Dane wejściowe 2 9 37 3" xfId="12703"/>
    <cellStyle name="Dane wejściowe 2 9 38" xfId="12704"/>
    <cellStyle name="Dane wejściowe 2 9 38 2" xfId="12705"/>
    <cellStyle name="Dane wejściowe 2 9 38 3" xfId="12706"/>
    <cellStyle name="Dane wejściowe 2 9 39" xfId="12707"/>
    <cellStyle name="Dane wejściowe 2 9 39 2" xfId="12708"/>
    <cellStyle name="Dane wejściowe 2 9 39 3" xfId="12709"/>
    <cellStyle name="Dane wejściowe 2 9 4" xfId="12710"/>
    <cellStyle name="Dane wejściowe 2 9 4 2" xfId="12711"/>
    <cellStyle name="Dane wejściowe 2 9 4 3" xfId="12712"/>
    <cellStyle name="Dane wejściowe 2 9 4 4" xfId="12713"/>
    <cellStyle name="Dane wejściowe 2 9 40" xfId="12714"/>
    <cellStyle name="Dane wejściowe 2 9 40 2" xfId="12715"/>
    <cellStyle name="Dane wejściowe 2 9 40 3" xfId="12716"/>
    <cellStyle name="Dane wejściowe 2 9 41" xfId="12717"/>
    <cellStyle name="Dane wejściowe 2 9 41 2" xfId="12718"/>
    <cellStyle name="Dane wejściowe 2 9 41 3" xfId="12719"/>
    <cellStyle name="Dane wejściowe 2 9 42" xfId="12720"/>
    <cellStyle name="Dane wejściowe 2 9 42 2" xfId="12721"/>
    <cellStyle name="Dane wejściowe 2 9 42 3" xfId="12722"/>
    <cellStyle name="Dane wejściowe 2 9 43" xfId="12723"/>
    <cellStyle name="Dane wejściowe 2 9 43 2" xfId="12724"/>
    <cellStyle name="Dane wejściowe 2 9 43 3" xfId="12725"/>
    <cellStyle name="Dane wejściowe 2 9 44" xfId="12726"/>
    <cellStyle name="Dane wejściowe 2 9 44 2" xfId="12727"/>
    <cellStyle name="Dane wejściowe 2 9 44 3" xfId="12728"/>
    <cellStyle name="Dane wejściowe 2 9 45" xfId="12729"/>
    <cellStyle name="Dane wejściowe 2 9 45 2" xfId="12730"/>
    <cellStyle name="Dane wejściowe 2 9 45 3" xfId="12731"/>
    <cellStyle name="Dane wejściowe 2 9 46" xfId="12732"/>
    <cellStyle name="Dane wejściowe 2 9 46 2" xfId="12733"/>
    <cellStyle name="Dane wejściowe 2 9 46 3" xfId="12734"/>
    <cellStyle name="Dane wejściowe 2 9 47" xfId="12735"/>
    <cellStyle name="Dane wejściowe 2 9 47 2" xfId="12736"/>
    <cellStyle name="Dane wejściowe 2 9 47 3" xfId="12737"/>
    <cellStyle name="Dane wejściowe 2 9 48" xfId="12738"/>
    <cellStyle name="Dane wejściowe 2 9 48 2" xfId="12739"/>
    <cellStyle name="Dane wejściowe 2 9 48 3" xfId="12740"/>
    <cellStyle name="Dane wejściowe 2 9 49" xfId="12741"/>
    <cellStyle name="Dane wejściowe 2 9 49 2" xfId="12742"/>
    <cellStyle name="Dane wejściowe 2 9 49 3" xfId="12743"/>
    <cellStyle name="Dane wejściowe 2 9 5" xfId="12744"/>
    <cellStyle name="Dane wejściowe 2 9 5 2" xfId="12745"/>
    <cellStyle name="Dane wejściowe 2 9 5 3" xfId="12746"/>
    <cellStyle name="Dane wejściowe 2 9 5 4" xfId="12747"/>
    <cellStyle name="Dane wejściowe 2 9 50" xfId="12748"/>
    <cellStyle name="Dane wejściowe 2 9 50 2" xfId="12749"/>
    <cellStyle name="Dane wejściowe 2 9 50 3" xfId="12750"/>
    <cellStyle name="Dane wejściowe 2 9 51" xfId="12751"/>
    <cellStyle name="Dane wejściowe 2 9 51 2" xfId="12752"/>
    <cellStyle name="Dane wejściowe 2 9 51 3" xfId="12753"/>
    <cellStyle name="Dane wejściowe 2 9 52" xfId="12754"/>
    <cellStyle name="Dane wejściowe 2 9 52 2" xfId="12755"/>
    <cellStyle name="Dane wejściowe 2 9 52 3" xfId="12756"/>
    <cellStyle name="Dane wejściowe 2 9 53" xfId="12757"/>
    <cellStyle name="Dane wejściowe 2 9 53 2" xfId="12758"/>
    <cellStyle name="Dane wejściowe 2 9 53 3" xfId="12759"/>
    <cellStyle name="Dane wejściowe 2 9 54" xfId="12760"/>
    <cellStyle name="Dane wejściowe 2 9 54 2" xfId="12761"/>
    <cellStyle name="Dane wejściowe 2 9 54 3" xfId="12762"/>
    <cellStyle name="Dane wejściowe 2 9 55" xfId="12763"/>
    <cellStyle name="Dane wejściowe 2 9 55 2" xfId="12764"/>
    <cellStyle name="Dane wejściowe 2 9 55 3" xfId="12765"/>
    <cellStyle name="Dane wejściowe 2 9 56" xfId="12766"/>
    <cellStyle name="Dane wejściowe 2 9 56 2" xfId="12767"/>
    <cellStyle name="Dane wejściowe 2 9 56 3" xfId="12768"/>
    <cellStyle name="Dane wejściowe 2 9 57" xfId="12769"/>
    <cellStyle name="Dane wejściowe 2 9 58" xfId="12770"/>
    <cellStyle name="Dane wejściowe 2 9 6" xfId="12771"/>
    <cellStyle name="Dane wejściowe 2 9 6 2" xfId="12772"/>
    <cellStyle name="Dane wejściowe 2 9 6 3" xfId="12773"/>
    <cellStyle name="Dane wejściowe 2 9 6 4" xfId="12774"/>
    <cellStyle name="Dane wejściowe 2 9 7" xfId="12775"/>
    <cellStyle name="Dane wejściowe 2 9 7 2" xfId="12776"/>
    <cellStyle name="Dane wejściowe 2 9 7 3" xfId="12777"/>
    <cellStyle name="Dane wejściowe 2 9 7 4" xfId="12778"/>
    <cellStyle name="Dane wejściowe 2 9 8" xfId="12779"/>
    <cellStyle name="Dane wejściowe 2 9 8 2" xfId="12780"/>
    <cellStyle name="Dane wejściowe 2 9 8 3" xfId="12781"/>
    <cellStyle name="Dane wejściowe 2 9 8 4" xfId="12782"/>
    <cellStyle name="Dane wejściowe 2 9 9" xfId="12783"/>
    <cellStyle name="Dane wejściowe 2 9 9 2" xfId="12784"/>
    <cellStyle name="Dane wejściowe 2 9 9 3" xfId="12785"/>
    <cellStyle name="Dane wejściowe 2 9 9 4" xfId="12786"/>
    <cellStyle name="Dane wejściowe 3" xfId="12787"/>
    <cellStyle name="Dane wejściowe 3 2" xfId="12788"/>
    <cellStyle name="Dane wejściowe 3 2 2" xfId="12789"/>
    <cellStyle name="Dane wejściowe 3 3" xfId="12790"/>
    <cellStyle name="Dane wejściowe 3 4" xfId="12791"/>
    <cellStyle name="Dane wejściowe 3 5" xfId="12792"/>
    <cellStyle name="Dane wejściowe 3 6" xfId="12793"/>
    <cellStyle name="Dane wejściowe 3 7" xfId="12794"/>
    <cellStyle name="Dane wejściowe 3 8" xfId="12795"/>
    <cellStyle name="Dane wejściowe 3 9" xfId="12796"/>
    <cellStyle name="Dane wejściowe 4" xfId="12797"/>
    <cellStyle name="Dane wejściowe 4 2" xfId="12798"/>
    <cellStyle name="Dane wejściowe 4 3" xfId="12799"/>
    <cellStyle name="Dane wejściowe 4 4" xfId="12800"/>
    <cellStyle name="Dane wejściowe 4 5" xfId="12801"/>
    <cellStyle name="Dane wejściowe 4 6" xfId="12802"/>
    <cellStyle name="Dane wejściowe 4 7" xfId="12803"/>
    <cellStyle name="Dane wejściowe 4 8" xfId="12804"/>
    <cellStyle name="Dane wejściowe 4 9" xfId="12805"/>
    <cellStyle name="Dane wejściowe 5" xfId="12806"/>
    <cellStyle name="Dane wejściowe 5 2" xfId="12807"/>
    <cellStyle name="Dane wejściowe 6" xfId="12808"/>
    <cellStyle name="Dane wejściowe 7" xfId="12809"/>
    <cellStyle name="Dane wyjściowe 2" xfId="12810"/>
    <cellStyle name="Dane wyjściowe 2 10" xfId="12811"/>
    <cellStyle name="Dane wyjściowe 2 10 10" xfId="12812"/>
    <cellStyle name="Dane wyjściowe 2 10 10 2" xfId="12813"/>
    <cellStyle name="Dane wyjściowe 2 10 10 3" xfId="12814"/>
    <cellStyle name="Dane wyjściowe 2 10 10 4" xfId="12815"/>
    <cellStyle name="Dane wyjściowe 2 10 11" xfId="12816"/>
    <cellStyle name="Dane wyjściowe 2 10 11 2" xfId="12817"/>
    <cellStyle name="Dane wyjściowe 2 10 11 3" xfId="12818"/>
    <cellStyle name="Dane wyjściowe 2 10 11 4" xfId="12819"/>
    <cellStyle name="Dane wyjściowe 2 10 12" xfId="12820"/>
    <cellStyle name="Dane wyjściowe 2 10 12 2" xfId="12821"/>
    <cellStyle name="Dane wyjściowe 2 10 12 3" xfId="12822"/>
    <cellStyle name="Dane wyjściowe 2 10 12 4" xfId="12823"/>
    <cellStyle name="Dane wyjściowe 2 10 13" xfId="12824"/>
    <cellStyle name="Dane wyjściowe 2 10 13 2" xfId="12825"/>
    <cellStyle name="Dane wyjściowe 2 10 13 3" xfId="12826"/>
    <cellStyle name="Dane wyjściowe 2 10 13 4" xfId="12827"/>
    <cellStyle name="Dane wyjściowe 2 10 14" xfId="12828"/>
    <cellStyle name="Dane wyjściowe 2 10 14 2" xfId="12829"/>
    <cellStyle name="Dane wyjściowe 2 10 14 3" xfId="12830"/>
    <cellStyle name="Dane wyjściowe 2 10 14 4" xfId="12831"/>
    <cellStyle name="Dane wyjściowe 2 10 15" xfId="12832"/>
    <cellStyle name="Dane wyjściowe 2 10 15 2" xfId="12833"/>
    <cellStyle name="Dane wyjściowe 2 10 15 3" xfId="12834"/>
    <cellStyle name="Dane wyjściowe 2 10 15 4" xfId="12835"/>
    <cellStyle name="Dane wyjściowe 2 10 16" xfId="12836"/>
    <cellStyle name="Dane wyjściowe 2 10 16 2" xfId="12837"/>
    <cellStyle name="Dane wyjściowe 2 10 16 3" xfId="12838"/>
    <cellStyle name="Dane wyjściowe 2 10 16 4" xfId="12839"/>
    <cellStyle name="Dane wyjściowe 2 10 17" xfId="12840"/>
    <cellStyle name="Dane wyjściowe 2 10 17 2" xfId="12841"/>
    <cellStyle name="Dane wyjściowe 2 10 17 3" xfId="12842"/>
    <cellStyle name="Dane wyjściowe 2 10 17 4" xfId="12843"/>
    <cellStyle name="Dane wyjściowe 2 10 18" xfId="12844"/>
    <cellStyle name="Dane wyjściowe 2 10 18 2" xfId="12845"/>
    <cellStyle name="Dane wyjściowe 2 10 18 3" xfId="12846"/>
    <cellStyle name="Dane wyjściowe 2 10 18 4" xfId="12847"/>
    <cellStyle name="Dane wyjściowe 2 10 19" xfId="12848"/>
    <cellStyle name="Dane wyjściowe 2 10 19 2" xfId="12849"/>
    <cellStyle name="Dane wyjściowe 2 10 19 3" xfId="12850"/>
    <cellStyle name="Dane wyjściowe 2 10 19 4" xfId="12851"/>
    <cellStyle name="Dane wyjściowe 2 10 2" xfId="12852"/>
    <cellStyle name="Dane wyjściowe 2 10 2 2" xfId="12853"/>
    <cellStyle name="Dane wyjściowe 2 10 2 3" xfId="12854"/>
    <cellStyle name="Dane wyjściowe 2 10 2 4" xfId="12855"/>
    <cellStyle name="Dane wyjściowe 2 10 20" xfId="12856"/>
    <cellStyle name="Dane wyjściowe 2 10 20 2" xfId="12857"/>
    <cellStyle name="Dane wyjściowe 2 10 20 3" xfId="12858"/>
    <cellStyle name="Dane wyjściowe 2 10 20 4" xfId="12859"/>
    <cellStyle name="Dane wyjściowe 2 10 21" xfId="12860"/>
    <cellStyle name="Dane wyjściowe 2 10 21 2" xfId="12861"/>
    <cellStyle name="Dane wyjściowe 2 10 21 3" xfId="12862"/>
    <cellStyle name="Dane wyjściowe 2 10 22" xfId="12863"/>
    <cellStyle name="Dane wyjściowe 2 10 22 2" xfId="12864"/>
    <cellStyle name="Dane wyjściowe 2 10 22 3" xfId="12865"/>
    <cellStyle name="Dane wyjściowe 2 10 23" xfId="12866"/>
    <cellStyle name="Dane wyjściowe 2 10 23 2" xfId="12867"/>
    <cellStyle name="Dane wyjściowe 2 10 23 3" xfId="12868"/>
    <cellStyle name="Dane wyjściowe 2 10 24" xfId="12869"/>
    <cellStyle name="Dane wyjściowe 2 10 24 2" xfId="12870"/>
    <cellStyle name="Dane wyjściowe 2 10 24 3" xfId="12871"/>
    <cellStyle name="Dane wyjściowe 2 10 25" xfId="12872"/>
    <cellStyle name="Dane wyjściowe 2 10 25 2" xfId="12873"/>
    <cellStyle name="Dane wyjściowe 2 10 25 3" xfId="12874"/>
    <cellStyle name="Dane wyjściowe 2 10 26" xfId="12875"/>
    <cellStyle name="Dane wyjściowe 2 10 26 2" xfId="12876"/>
    <cellStyle name="Dane wyjściowe 2 10 26 3" xfId="12877"/>
    <cellStyle name="Dane wyjściowe 2 10 27" xfId="12878"/>
    <cellStyle name="Dane wyjściowe 2 10 27 2" xfId="12879"/>
    <cellStyle name="Dane wyjściowe 2 10 27 3" xfId="12880"/>
    <cellStyle name="Dane wyjściowe 2 10 28" xfId="12881"/>
    <cellStyle name="Dane wyjściowe 2 10 28 2" xfId="12882"/>
    <cellStyle name="Dane wyjściowe 2 10 28 3" xfId="12883"/>
    <cellStyle name="Dane wyjściowe 2 10 29" xfId="12884"/>
    <cellStyle name="Dane wyjściowe 2 10 29 2" xfId="12885"/>
    <cellStyle name="Dane wyjściowe 2 10 29 3" xfId="12886"/>
    <cellStyle name="Dane wyjściowe 2 10 3" xfId="12887"/>
    <cellStyle name="Dane wyjściowe 2 10 3 2" xfId="12888"/>
    <cellStyle name="Dane wyjściowe 2 10 3 3" xfId="12889"/>
    <cellStyle name="Dane wyjściowe 2 10 3 4" xfId="12890"/>
    <cellStyle name="Dane wyjściowe 2 10 30" xfId="12891"/>
    <cellStyle name="Dane wyjściowe 2 10 30 2" xfId="12892"/>
    <cellStyle name="Dane wyjściowe 2 10 30 3" xfId="12893"/>
    <cellStyle name="Dane wyjściowe 2 10 31" xfId="12894"/>
    <cellStyle name="Dane wyjściowe 2 10 31 2" xfId="12895"/>
    <cellStyle name="Dane wyjściowe 2 10 31 3" xfId="12896"/>
    <cellStyle name="Dane wyjściowe 2 10 32" xfId="12897"/>
    <cellStyle name="Dane wyjściowe 2 10 32 2" xfId="12898"/>
    <cellStyle name="Dane wyjściowe 2 10 32 3" xfId="12899"/>
    <cellStyle name="Dane wyjściowe 2 10 33" xfId="12900"/>
    <cellStyle name="Dane wyjściowe 2 10 33 2" xfId="12901"/>
    <cellStyle name="Dane wyjściowe 2 10 33 3" xfId="12902"/>
    <cellStyle name="Dane wyjściowe 2 10 34" xfId="12903"/>
    <cellStyle name="Dane wyjściowe 2 10 34 2" xfId="12904"/>
    <cellStyle name="Dane wyjściowe 2 10 34 3" xfId="12905"/>
    <cellStyle name="Dane wyjściowe 2 10 35" xfId="12906"/>
    <cellStyle name="Dane wyjściowe 2 10 35 2" xfId="12907"/>
    <cellStyle name="Dane wyjściowe 2 10 35 3" xfId="12908"/>
    <cellStyle name="Dane wyjściowe 2 10 36" xfId="12909"/>
    <cellStyle name="Dane wyjściowe 2 10 36 2" xfId="12910"/>
    <cellStyle name="Dane wyjściowe 2 10 36 3" xfId="12911"/>
    <cellStyle name="Dane wyjściowe 2 10 37" xfId="12912"/>
    <cellStyle name="Dane wyjściowe 2 10 37 2" xfId="12913"/>
    <cellStyle name="Dane wyjściowe 2 10 37 3" xfId="12914"/>
    <cellStyle name="Dane wyjściowe 2 10 38" xfId="12915"/>
    <cellStyle name="Dane wyjściowe 2 10 38 2" xfId="12916"/>
    <cellStyle name="Dane wyjściowe 2 10 38 3" xfId="12917"/>
    <cellStyle name="Dane wyjściowe 2 10 39" xfId="12918"/>
    <cellStyle name="Dane wyjściowe 2 10 39 2" xfId="12919"/>
    <cellStyle name="Dane wyjściowe 2 10 39 3" xfId="12920"/>
    <cellStyle name="Dane wyjściowe 2 10 4" xfId="12921"/>
    <cellStyle name="Dane wyjściowe 2 10 4 2" xfId="12922"/>
    <cellStyle name="Dane wyjściowe 2 10 4 3" xfId="12923"/>
    <cellStyle name="Dane wyjściowe 2 10 4 4" xfId="12924"/>
    <cellStyle name="Dane wyjściowe 2 10 40" xfId="12925"/>
    <cellStyle name="Dane wyjściowe 2 10 40 2" xfId="12926"/>
    <cellStyle name="Dane wyjściowe 2 10 40 3" xfId="12927"/>
    <cellStyle name="Dane wyjściowe 2 10 41" xfId="12928"/>
    <cellStyle name="Dane wyjściowe 2 10 41 2" xfId="12929"/>
    <cellStyle name="Dane wyjściowe 2 10 41 3" xfId="12930"/>
    <cellStyle name="Dane wyjściowe 2 10 42" xfId="12931"/>
    <cellStyle name="Dane wyjściowe 2 10 42 2" xfId="12932"/>
    <cellStyle name="Dane wyjściowe 2 10 42 3" xfId="12933"/>
    <cellStyle name="Dane wyjściowe 2 10 43" xfId="12934"/>
    <cellStyle name="Dane wyjściowe 2 10 43 2" xfId="12935"/>
    <cellStyle name="Dane wyjściowe 2 10 43 3" xfId="12936"/>
    <cellStyle name="Dane wyjściowe 2 10 44" xfId="12937"/>
    <cellStyle name="Dane wyjściowe 2 10 44 2" xfId="12938"/>
    <cellStyle name="Dane wyjściowe 2 10 44 3" xfId="12939"/>
    <cellStyle name="Dane wyjściowe 2 10 45" xfId="12940"/>
    <cellStyle name="Dane wyjściowe 2 10 45 2" xfId="12941"/>
    <cellStyle name="Dane wyjściowe 2 10 45 3" xfId="12942"/>
    <cellStyle name="Dane wyjściowe 2 10 46" xfId="12943"/>
    <cellStyle name="Dane wyjściowe 2 10 46 2" xfId="12944"/>
    <cellStyle name="Dane wyjściowe 2 10 46 3" xfId="12945"/>
    <cellStyle name="Dane wyjściowe 2 10 47" xfId="12946"/>
    <cellStyle name="Dane wyjściowe 2 10 47 2" xfId="12947"/>
    <cellStyle name="Dane wyjściowe 2 10 47 3" xfId="12948"/>
    <cellStyle name="Dane wyjściowe 2 10 48" xfId="12949"/>
    <cellStyle name="Dane wyjściowe 2 10 48 2" xfId="12950"/>
    <cellStyle name="Dane wyjściowe 2 10 48 3" xfId="12951"/>
    <cellStyle name="Dane wyjściowe 2 10 49" xfId="12952"/>
    <cellStyle name="Dane wyjściowe 2 10 49 2" xfId="12953"/>
    <cellStyle name="Dane wyjściowe 2 10 49 3" xfId="12954"/>
    <cellStyle name="Dane wyjściowe 2 10 5" xfId="12955"/>
    <cellStyle name="Dane wyjściowe 2 10 5 2" xfId="12956"/>
    <cellStyle name="Dane wyjściowe 2 10 5 3" xfId="12957"/>
    <cellStyle name="Dane wyjściowe 2 10 5 4" xfId="12958"/>
    <cellStyle name="Dane wyjściowe 2 10 50" xfId="12959"/>
    <cellStyle name="Dane wyjściowe 2 10 50 2" xfId="12960"/>
    <cellStyle name="Dane wyjściowe 2 10 50 3" xfId="12961"/>
    <cellStyle name="Dane wyjściowe 2 10 51" xfId="12962"/>
    <cellStyle name="Dane wyjściowe 2 10 51 2" xfId="12963"/>
    <cellStyle name="Dane wyjściowe 2 10 51 3" xfId="12964"/>
    <cellStyle name="Dane wyjściowe 2 10 52" xfId="12965"/>
    <cellStyle name="Dane wyjściowe 2 10 52 2" xfId="12966"/>
    <cellStyle name="Dane wyjściowe 2 10 52 3" xfId="12967"/>
    <cellStyle name="Dane wyjściowe 2 10 53" xfId="12968"/>
    <cellStyle name="Dane wyjściowe 2 10 53 2" xfId="12969"/>
    <cellStyle name="Dane wyjściowe 2 10 53 3" xfId="12970"/>
    <cellStyle name="Dane wyjściowe 2 10 54" xfId="12971"/>
    <cellStyle name="Dane wyjściowe 2 10 54 2" xfId="12972"/>
    <cellStyle name="Dane wyjściowe 2 10 54 3" xfId="12973"/>
    <cellStyle name="Dane wyjściowe 2 10 55" xfId="12974"/>
    <cellStyle name="Dane wyjściowe 2 10 55 2" xfId="12975"/>
    <cellStyle name="Dane wyjściowe 2 10 55 3" xfId="12976"/>
    <cellStyle name="Dane wyjściowe 2 10 56" xfId="12977"/>
    <cellStyle name="Dane wyjściowe 2 10 56 2" xfId="12978"/>
    <cellStyle name="Dane wyjściowe 2 10 56 3" xfId="12979"/>
    <cellStyle name="Dane wyjściowe 2 10 57" xfId="12980"/>
    <cellStyle name="Dane wyjściowe 2 10 58" xfId="12981"/>
    <cellStyle name="Dane wyjściowe 2 10 6" xfId="12982"/>
    <cellStyle name="Dane wyjściowe 2 10 6 2" xfId="12983"/>
    <cellStyle name="Dane wyjściowe 2 10 6 3" xfId="12984"/>
    <cellStyle name="Dane wyjściowe 2 10 6 4" xfId="12985"/>
    <cellStyle name="Dane wyjściowe 2 10 7" xfId="12986"/>
    <cellStyle name="Dane wyjściowe 2 10 7 2" xfId="12987"/>
    <cellStyle name="Dane wyjściowe 2 10 7 3" xfId="12988"/>
    <cellStyle name="Dane wyjściowe 2 10 7 4" xfId="12989"/>
    <cellStyle name="Dane wyjściowe 2 10 8" xfId="12990"/>
    <cellStyle name="Dane wyjściowe 2 10 8 2" xfId="12991"/>
    <cellStyle name="Dane wyjściowe 2 10 8 3" xfId="12992"/>
    <cellStyle name="Dane wyjściowe 2 10 8 4" xfId="12993"/>
    <cellStyle name="Dane wyjściowe 2 10 9" xfId="12994"/>
    <cellStyle name="Dane wyjściowe 2 10 9 2" xfId="12995"/>
    <cellStyle name="Dane wyjściowe 2 10 9 3" xfId="12996"/>
    <cellStyle name="Dane wyjściowe 2 10 9 4" xfId="12997"/>
    <cellStyle name="Dane wyjściowe 2 11" xfId="12998"/>
    <cellStyle name="Dane wyjściowe 2 11 10" xfId="12999"/>
    <cellStyle name="Dane wyjściowe 2 11 10 2" xfId="13000"/>
    <cellStyle name="Dane wyjściowe 2 11 10 3" xfId="13001"/>
    <cellStyle name="Dane wyjściowe 2 11 10 4" xfId="13002"/>
    <cellStyle name="Dane wyjściowe 2 11 11" xfId="13003"/>
    <cellStyle name="Dane wyjściowe 2 11 11 2" xfId="13004"/>
    <cellStyle name="Dane wyjściowe 2 11 11 3" xfId="13005"/>
    <cellStyle name="Dane wyjściowe 2 11 11 4" xfId="13006"/>
    <cellStyle name="Dane wyjściowe 2 11 12" xfId="13007"/>
    <cellStyle name="Dane wyjściowe 2 11 12 2" xfId="13008"/>
    <cellStyle name="Dane wyjściowe 2 11 12 3" xfId="13009"/>
    <cellStyle name="Dane wyjściowe 2 11 12 4" xfId="13010"/>
    <cellStyle name="Dane wyjściowe 2 11 13" xfId="13011"/>
    <cellStyle name="Dane wyjściowe 2 11 13 2" xfId="13012"/>
    <cellStyle name="Dane wyjściowe 2 11 13 3" xfId="13013"/>
    <cellStyle name="Dane wyjściowe 2 11 13 4" xfId="13014"/>
    <cellStyle name="Dane wyjściowe 2 11 14" xfId="13015"/>
    <cellStyle name="Dane wyjściowe 2 11 14 2" xfId="13016"/>
    <cellStyle name="Dane wyjściowe 2 11 14 3" xfId="13017"/>
    <cellStyle name="Dane wyjściowe 2 11 14 4" xfId="13018"/>
    <cellStyle name="Dane wyjściowe 2 11 15" xfId="13019"/>
    <cellStyle name="Dane wyjściowe 2 11 15 2" xfId="13020"/>
    <cellStyle name="Dane wyjściowe 2 11 15 3" xfId="13021"/>
    <cellStyle name="Dane wyjściowe 2 11 15 4" xfId="13022"/>
    <cellStyle name="Dane wyjściowe 2 11 16" xfId="13023"/>
    <cellStyle name="Dane wyjściowe 2 11 16 2" xfId="13024"/>
    <cellStyle name="Dane wyjściowe 2 11 16 3" xfId="13025"/>
    <cellStyle name="Dane wyjściowe 2 11 16 4" xfId="13026"/>
    <cellStyle name="Dane wyjściowe 2 11 17" xfId="13027"/>
    <cellStyle name="Dane wyjściowe 2 11 17 2" xfId="13028"/>
    <cellStyle name="Dane wyjściowe 2 11 17 3" xfId="13029"/>
    <cellStyle name="Dane wyjściowe 2 11 17 4" xfId="13030"/>
    <cellStyle name="Dane wyjściowe 2 11 18" xfId="13031"/>
    <cellStyle name="Dane wyjściowe 2 11 18 2" xfId="13032"/>
    <cellStyle name="Dane wyjściowe 2 11 18 3" xfId="13033"/>
    <cellStyle name="Dane wyjściowe 2 11 18 4" xfId="13034"/>
    <cellStyle name="Dane wyjściowe 2 11 19" xfId="13035"/>
    <cellStyle name="Dane wyjściowe 2 11 19 2" xfId="13036"/>
    <cellStyle name="Dane wyjściowe 2 11 19 3" xfId="13037"/>
    <cellStyle name="Dane wyjściowe 2 11 19 4" xfId="13038"/>
    <cellStyle name="Dane wyjściowe 2 11 2" xfId="13039"/>
    <cellStyle name="Dane wyjściowe 2 11 2 2" xfId="13040"/>
    <cellStyle name="Dane wyjściowe 2 11 2 3" xfId="13041"/>
    <cellStyle name="Dane wyjściowe 2 11 2 4" xfId="13042"/>
    <cellStyle name="Dane wyjściowe 2 11 20" xfId="13043"/>
    <cellStyle name="Dane wyjściowe 2 11 20 2" xfId="13044"/>
    <cellStyle name="Dane wyjściowe 2 11 20 3" xfId="13045"/>
    <cellStyle name="Dane wyjściowe 2 11 20 4" xfId="13046"/>
    <cellStyle name="Dane wyjściowe 2 11 21" xfId="13047"/>
    <cellStyle name="Dane wyjściowe 2 11 21 2" xfId="13048"/>
    <cellStyle name="Dane wyjściowe 2 11 21 3" xfId="13049"/>
    <cellStyle name="Dane wyjściowe 2 11 22" xfId="13050"/>
    <cellStyle name="Dane wyjściowe 2 11 22 2" xfId="13051"/>
    <cellStyle name="Dane wyjściowe 2 11 22 3" xfId="13052"/>
    <cellStyle name="Dane wyjściowe 2 11 23" xfId="13053"/>
    <cellStyle name="Dane wyjściowe 2 11 23 2" xfId="13054"/>
    <cellStyle name="Dane wyjściowe 2 11 23 3" xfId="13055"/>
    <cellStyle name="Dane wyjściowe 2 11 24" xfId="13056"/>
    <cellStyle name="Dane wyjściowe 2 11 24 2" xfId="13057"/>
    <cellStyle name="Dane wyjściowe 2 11 24 3" xfId="13058"/>
    <cellStyle name="Dane wyjściowe 2 11 25" xfId="13059"/>
    <cellStyle name="Dane wyjściowe 2 11 25 2" xfId="13060"/>
    <cellStyle name="Dane wyjściowe 2 11 25 3" xfId="13061"/>
    <cellStyle name="Dane wyjściowe 2 11 26" xfId="13062"/>
    <cellStyle name="Dane wyjściowe 2 11 26 2" xfId="13063"/>
    <cellStyle name="Dane wyjściowe 2 11 26 3" xfId="13064"/>
    <cellStyle name="Dane wyjściowe 2 11 27" xfId="13065"/>
    <cellStyle name="Dane wyjściowe 2 11 27 2" xfId="13066"/>
    <cellStyle name="Dane wyjściowe 2 11 27 3" xfId="13067"/>
    <cellStyle name="Dane wyjściowe 2 11 28" xfId="13068"/>
    <cellStyle name="Dane wyjściowe 2 11 28 2" xfId="13069"/>
    <cellStyle name="Dane wyjściowe 2 11 28 3" xfId="13070"/>
    <cellStyle name="Dane wyjściowe 2 11 29" xfId="13071"/>
    <cellStyle name="Dane wyjściowe 2 11 29 2" xfId="13072"/>
    <cellStyle name="Dane wyjściowe 2 11 29 3" xfId="13073"/>
    <cellStyle name="Dane wyjściowe 2 11 3" xfId="13074"/>
    <cellStyle name="Dane wyjściowe 2 11 3 2" xfId="13075"/>
    <cellStyle name="Dane wyjściowe 2 11 3 3" xfId="13076"/>
    <cellStyle name="Dane wyjściowe 2 11 3 4" xfId="13077"/>
    <cellStyle name="Dane wyjściowe 2 11 30" xfId="13078"/>
    <cellStyle name="Dane wyjściowe 2 11 30 2" xfId="13079"/>
    <cellStyle name="Dane wyjściowe 2 11 30 3" xfId="13080"/>
    <cellStyle name="Dane wyjściowe 2 11 31" xfId="13081"/>
    <cellStyle name="Dane wyjściowe 2 11 31 2" xfId="13082"/>
    <cellStyle name="Dane wyjściowe 2 11 31 3" xfId="13083"/>
    <cellStyle name="Dane wyjściowe 2 11 32" xfId="13084"/>
    <cellStyle name="Dane wyjściowe 2 11 32 2" xfId="13085"/>
    <cellStyle name="Dane wyjściowe 2 11 32 3" xfId="13086"/>
    <cellStyle name="Dane wyjściowe 2 11 33" xfId="13087"/>
    <cellStyle name="Dane wyjściowe 2 11 33 2" xfId="13088"/>
    <cellStyle name="Dane wyjściowe 2 11 33 3" xfId="13089"/>
    <cellStyle name="Dane wyjściowe 2 11 34" xfId="13090"/>
    <cellStyle name="Dane wyjściowe 2 11 34 2" xfId="13091"/>
    <cellStyle name="Dane wyjściowe 2 11 34 3" xfId="13092"/>
    <cellStyle name="Dane wyjściowe 2 11 35" xfId="13093"/>
    <cellStyle name="Dane wyjściowe 2 11 35 2" xfId="13094"/>
    <cellStyle name="Dane wyjściowe 2 11 35 3" xfId="13095"/>
    <cellStyle name="Dane wyjściowe 2 11 36" xfId="13096"/>
    <cellStyle name="Dane wyjściowe 2 11 36 2" xfId="13097"/>
    <cellStyle name="Dane wyjściowe 2 11 36 3" xfId="13098"/>
    <cellStyle name="Dane wyjściowe 2 11 37" xfId="13099"/>
    <cellStyle name="Dane wyjściowe 2 11 37 2" xfId="13100"/>
    <cellStyle name="Dane wyjściowe 2 11 37 3" xfId="13101"/>
    <cellStyle name="Dane wyjściowe 2 11 38" xfId="13102"/>
    <cellStyle name="Dane wyjściowe 2 11 38 2" xfId="13103"/>
    <cellStyle name="Dane wyjściowe 2 11 38 3" xfId="13104"/>
    <cellStyle name="Dane wyjściowe 2 11 39" xfId="13105"/>
    <cellStyle name="Dane wyjściowe 2 11 39 2" xfId="13106"/>
    <cellStyle name="Dane wyjściowe 2 11 39 3" xfId="13107"/>
    <cellStyle name="Dane wyjściowe 2 11 4" xfId="13108"/>
    <cellStyle name="Dane wyjściowe 2 11 4 2" xfId="13109"/>
    <cellStyle name="Dane wyjściowe 2 11 4 3" xfId="13110"/>
    <cellStyle name="Dane wyjściowe 2 11 4 4" xfId="13111"/>
    <cellStyle name="Dane wyjściowe 2 11 40" xfId="13112"/>
    <cellStyle name="Dane wyjściowe 2 11 40 2" xfId="13113"/>
    <cellStyle name="Dane wyjściowe 2 11 40 3" xfId="13114"/>
    <cellStyle name="Dane wyjściowe 2 11 41" xfId="13115"/>
    <cellStyle name="Dane wyjściowe 2 11 41 2" xfId="13116"/>
    <cellStyle name="Dane wyjściowe 2 11 41 3" xfId="13117"/>
    <cellStyle name="Dane wyjściowe 2 11 42" xfId="13118"/>
    <cellStyle name="Dane wyjściowe 2 11 42 2" xfId="13119"/>
    <cellStyle name="Dane wyjściowe 2 11 42 3" xfId="13120"/>
    <cellStyle name="Dane wyjściowe 2 11 43" xfId="13121"/>
    <cellStyle name="Dane wyjściowe 2 11 43 2" xfId="13122"/>
    <cellStyle name="Dane wyjściowe 2 11 43 3" xfId="13123"/>
    <cellStyle name="Dane wyjściowe 2 11 44" xfId="13124"/>
    <cellStyle name="Dane wyjściowe 2 11 44 2" xfId="13125"/>
    <cellStyle name="Dane wyjściowe 2 11 44 3" xfId="13126"/>
    <cellStyle name="Dane wyjściowe 2 11 45" xfId="13127"/>
    <cellStyle name="Dane wyjściowe 2 11 45 2" xfId="13128"/>
    <cellStyle name="Dane wyjściowe 2 11 45 3" xfId="13129"/>
    <cellStyle name="Dane wyjściowe 2 11 46" xfId="13130"/>
    <cellStyle name="Dane wyjściowe 2 11 46 2" xfId="13131"/>
    <cellStyle name="Dane wyjściowe 2 11 46 3" xfId="13132"/>
    <cellStyle name="Dane wyjściowe 2 11 47" xfId="13133"/>
    <cellStyle name="Dane wyjściowe 2 11 47 2" xfId="13134"/>
    <cellStyle name="Dane wyjściowe 2 11 47 3" xfId="13135"/>
    <cellStyle name="Dane wyjściowe 2 11 48" xfId="13136"/>
    <cellStyle name="Dane wyjściowe 2 11 48 2" xfId="13137"/>
    <cellStyle name="Dane wyjściowe 2 11 48 3" xfId="13138"/>
    <cellStyle name="Dane wyjściowe 2 11 49" xfId="13139"/>
    <cellStyle name="Dane wyjściowe 2 11 49 2" xfId="13140"/>
    <cellStyle name="Dane wyjściowe 2 11 49 3" xfId="13141"/>
    <cellStyle name="Dane wyjściowe 2 11 5" xfId="13142"/>
    <cellStyle name="Dane wyjściowe 2 11 5 2" xfId="13143"/>
    <cellStyle name="Dane wyjściowe 2 11 5 3" xfId="13144"/>
    <cellStyle name="Dane wyjściowe 2 11 5 4" xfId="13145"/>
    <cellStyle name="Dane wyjściowe 2 11 50" xfId="13146"/>
    <cellStyle name="Dane wyjściowe 2 11 50 2" xfId="13147"/>
    <cellStyle name="Dane wyjściowe 2 11 50 3" xfId="13148"/>
    <cellStyle name="Dane wyjściowe 2 11 51" xfId="13149"/>
    <cellStyle name="Dane wyjściowe 2 11 51 2" xfId="13150"/>
    <cellStyle name="Dane wyjściowe 2 11 51 3" xfId="13151"/>
    <cellStyle name="Dane wyjściowe 2 11 52" xfId="13152"/>
    <cellStyle name="Dane wyjściowe 2 11 52 2" xfId="13153"/>
    <cellStyle name="Dane wyjściowe 2 11 52 3" xfId="13154"/>
    <cellStyle name="Dane wyjściowe 2 11 53" xfId="13155"/>
    <cellStyle name="Dane wyjściowe 2 11 53 2" xfId="13156"/>
    <cellStyle name="Dane wyjściowe 2 11 53 3" xfId="13157"/>
    <cellStyle name="Dane wyjściowe 2 11 54" xfId="13158"/>
    <cellStyle name="Dane wyjściowe 2 11 54 2" xfId="13159"/>
    <cellStyle name="Dane wyjściowe 2 11 54 3" xfId="13160"/>
    <cellStyle name="Dane wyjściowe 2 11 55" xfId="13161"/>
    <cellStyle name="Dane wyjściowe 2 11 55 2" xfId="13162"/>
    <cellStyle name="Dane wyjściowe 2 11 55 3" xfId="13163"/>
    <cellStyle name="Dane wyjściowe 2 11 56" xfId="13164"/>
    <cellStyle name="Dane wyjściowe 2 11 56 2" xfId="13165"/>
    <cellStyle name="Dane wyjściowe 2 11 56 3" xfId="13166"/>
    <cellStyle name="Dane wyjściowe 2 11 57" xfId="13167"/>
    <cellStyle name="Dane wyjściowe 2 11 58" xfId="13168"/>
    <cellStyle name="Dane wyjściowe 2 11 6" xfId="13169"/>
    <cellStyle name="Dane wyjściowe 2 11 6 2" xfId="13170"/>
    <cellStyle name="Dane wyjściowe 2 11 6 3" xfId="13171"/>
    <cellStyle name="Dane wyjściowe 2 11 6 4" xfId="13172"/>
    <cellStyle name="Dane wyjściowe 2 11 7" xfId="13173"/>
    <cellStyle name="Dane wyjściowe 2 11 7 2" xfId="13174"/>
    <cellStyle name="Dane wyjściowe 2 11 7 3" xfId="13175"/>
    <cellStyle name="Dane wyjściowe 2 11 7 4" xfId="13176"/>
    <cellStyle name="Dane wyjściowe 2 11 8" xfId="13177"/>
    <cellStyle name="Dane wyjściowe 2 11 8 2" xfId="13178"/>
    <cellStyle name="Dane wyjściowe 2 11 8 3" xfId="13179"/>
    <cellStyle name="Dane wyjściowe 2 11 8 4" xfId="13180"/>
    <cellStyle name="Dane wyjściowe 2 11 9" xfId="13181"/>
    <cellStyle name="Dane wyjściowe 2 11 9 2" xfId="13182"/>
    <cellStyle name="Dane wyjściowe 2 11 9 3" xfId="13183"/>
    <cellStyle name="Dane wyjściowe 2 11 9 4" xfId="13184"/>
    <cellStyle name="Dane wyjściowe 2 12" xfId="13185"/>
    <cellStyle name="Dane wyjściowe 2 12 10" xfId="13186"/>
    <cellStyle name="Dane wyjściowe 2 12 10 2" xfId="13187"/>
    <cellStyle name="Dane wyjściowe 2 12 10 3" xfId="13188"/>
    <cellStyle name="Dane wyjściowe 2 12 10 4" xfId="13189"/>
    <cellStyle name="Dane wyjściowe 2 12 11" xfId="13190"/>
    <cellStyle name="Dane wyjściowe 2 12 11 2" xfId="13191"/>
    <cellStyle name="Dane wyjściowe 2 12 11 3" xfId="13192"/>
    <cellStyle name="Dane wyjściowe 2 12 11 4" xfId="13193"/>
    <cellStyle name="Dane wyjściowe 2 12 12" xfId="13194"/>
    <cellStyle name="Dane wyjściowe 2 12 12 2" xfId="13195"/>
    <cellStyle name="Dane wyjściowe 2 12 12 3" xfId="13196"/>
    <cellStyle name="Dane wyjściowe 2 12 12 4" xfId="13197"/>
    <cellStyle name="Dane wyjściowe 2 12 13" xfId="13198"/>
    <cellStyle name="Dane wyjściowe 2 12 13 2" xfId="13199"/>
    <cellStyle name="Dane wyjściowe 2 12 13 3" xfId="13200"/>
    <cellStyle name="Dane wyjściowe 2 12 13 4" xfId="13201"/>
    <cellStyle name="Dane wyjściowe 2 12 14" xfId="13202"/>
    <cellStyle name="Dane wyjściowe 2 12 14 2" xfId="13203"/>
    <cellStyle name="Dane wyjściowe 2 12 14 3" xfId="13204"/>
    <cellStyle name="Dane wyjściowe 2 12 14 4" xfId="13205"/>
    <cellStyle name="Dane wyjściowe 2 12 15" xfId="13206"/>
    <cellStyle name="Dane wyjściowe 2 12 15 2" xfId="13207"/>
    <cellStyle name="Dane wyjściowe 2 12 15 3" xfId="13208"/>
    <cellStyle name="Dane wyjściowe 2 12 15 4" xfId="13209"/>
    <cellStyle name="Dane wyjściowe 2 12 16" xfId="13210"/>
    <cellStyle name="Dane wyjściowe 2 12 16 2" xfId="13211"/>
    <cellStyle name="Dane wyjściowe 2 12 16 3" xfId="13212"/>
    <cellStyle name="Dane wyjściowe 2 12 16 4" xfId="13213"/>
    <cellStyle name="Dane wyjściowe 2 12 17" xfId="13214"/>
    <cellStyle name="Dane wyjściowe 2 12 17 2" xfId="13215"/>
    <cellStyle name="Dane wyjściowe 2 12 17 3" xfId="13216"/>
    <cellStyle name="Dane wyjściowe 2 12 17 4" xfId="13217"/>
    <cellStyle name="Dane wyjściowe 2 12 18" xfId="13218"/>
    <cellStyle name="Dane wyjściowe 2 12 18 2" xfId="13219"/>
    <cellStyle name="Dane wyjściowe 2 12 18 3" xfId="13220"/>
    <cellStyle name="Dane wyjściowe 2 12 18 4" xfId="13221"/>
    <cellStyle name="Dane wyjściowe 2 12 19" xfId="13222"/>
    <cellStyle name="Dane wyjściowe 2 12 19 2" xfId="13223"/>
    <cellStyle name="Dane wyjściowe 2 12 19 3" xfId="13224"/>
    <cellStyle name="Dane wyjściowe 2 12 19 4" xfId="13225"/>
    <cellStyle name="Dane wyjściowe 2 12 2" xfId="13226"/>
    <cellStyle name="Dane wyjściowe 2 12 2 2" xfId="13227"/>
    <cellStyle name="Dane wyjściowe 2 12 2 3" xfId="13228"/>
    <cellStyle name="Dane wyjściowe 2 12 2 4" xfId="13229"/>
    <cellStyle name="Dane wyjściowe 2 12 20" xfId="13230"/>
    <cellStyle name="Dane wyjściowe 2 12 20 2" xfId="13231"/>
    <cellStyle name="Dane wyjściowe 2 12 20 3" xfId="13232"/>
    <cellStyle name="Dane wyjściowe 2 12 20 4" xfId="13233"/>
    <cellStyle name="Dane wyjściowe 2 12 21" xfId="13234"/>
    <cellStyle name="Dane wyjściowe 2 12 21 2" xfId="13235"/>
    <cellStyle name="Dane wyjściowe 2 12 21 3" xfId="13236"/>
    <cellStyle name="Dane wyjściowe 2 12 22" xfId="13237"/>
    <cellStyle name="Dane wyjściowe 2 12 22 2" xfId="13238"/>
    <cellStyle name="Dane wyjściowe 2 12 22 3" xfId="13239"/>
    <cellStyle name="Dane wyjściowe 2 12 23" xfId="13240"/>
    <cellStyle name="Dane wyjściowe 2 12 23 2" xfId="13241"/>
    <cellStyle name="Dane wyjściowe 2 12 23 3" xfId="13242"/>
    <cellStyle name="Dane wyjściowe 2 12 24" xfId="13243"/>
    <cellStyle name="Dane wyjściowe 2 12 24 2" xfId="13244"/>
    <cellStyle name="Dane wyjściowe 2 12 24 3" xfId="13245"/>
    <cellStyle name="Dane wyjściowe 2 12 25" xfId="13246"/>
    <cellStyle name="Dane wyjściowe 2 12 25 2" xfId="13247"/>
    <cellStyle name="Dane wyjściowe 2 12 25 3" xfId="13248"/>
    <cellStyle name="Dane wyjściowe 2 12 26" xfId="13249"/>
    <cellStyle name="Dane wyjściowe 2 12 26 2" xfId="13250"/>
    <cellStyle name="Dane wyjściowe 2 12 26 3" xfId="13251"/>
    <cellStyle name="Dane wyjściowe 2 12 27" xfId="13252"/>
    <cellStyle name="Dane wyjściowe 2 12 27 2" xfId="13253"/>
    <cellStyle name="Dane wyjściowe 2 12 27 3" xfId="13254"/>
    <cellStyle name="Dane wyjściowe 2 12 28" xfId="13255"/>
    <cellStyle name="Dane wyjściowe 2 12 28 2" xfId="13256"/>
    <cellStyle name="Dane wyjściowe 2 12 28 3" xfId="13257"/>
    <cellStyle name="Dane wyjściowe 2 12 29" xfId="13258"/>
    <cellStyle name="Dane wyjściowe 2 12 29 2" xfId="13259"/>
    <cellStyle name="Dane wyjściowe 2 12 29 3" xfId="13260"/>
    <cellStyle name="Dane wyjściowe 2 12 3" xfId="13261"/>
    <cellStyle name="Dane wyjściowe 2 12 3 2" xfId="13262"/>
    <cellStyle name="Dane wyjściowe 2 12 3 3" xfId="13263"/>
    <cellStyle name="Dane wyjściowe 2 12 3 4" xfId="13264"/>
    <cellStyle name="Dane wyjściowe 2 12 30" xfId="13265"/>
    <cellStyle name="Dane wyjściowe 2 12 30 2" xfId="13266"/>
    <cellStyle name="Dane wyjściowe 2 12 30 3" xfId="13267"/>
    <cellStyle name="Dane wyjściowe 2 12 31" xfId="13268"/>
    <cellStyle name="Dane wyjściowe 2 12 31 2" xfId="13269"/>
    <cellStyle name="Dane wyjściowe 2 12 31 3" xfId="13270"/>
    <cellStyle name="Dane wyjściowe 2 12 32" xfId="13271"/>
    <cellStyle name="Dane wyjściowe 2 12 32 2" xfId="13272"/>
    <cellStyle name="Dane wyjściowe 2 12 32 3" xfId="13273"/>
    <cellStyle name="Dane wyjściowe 2 12 33" xfId="13274"/>
    <cellStyle name="Dane wyjściowe 2 12 33 2" xfId="13275"/>
    <cellStyle name="Dane wyjściowe 2 12 33 3" xfId="13276"/>
    <cellStyle name="Dane wyjściowe 2 12 34" xfId="13277"/>
    <cellStyle name="Dane wyjściowe 2 12 34 2" xfId="13278"/>
    <cellStyle name="Dane wyjściowe 2 12 34 3" xfId="13279"/>
    <cellStyle name="Dane wyjściowe 2 12 35" xfId="13280"/>
    <cellStyle name="Dane wyjściowe 2 12 35 2" xfId="13281"/>
    <cellStyle name="Dane wyjściowe 2 12 35 3" xfId="13282"/>
    <cellStyle name="Dane wyjściowe 2 12 36" xfId="13283"/>
    <cellStyle name="Dane wyjściowe 2 12 36 2" xfId="13284"/>
    <cellStyle name="Dane wyjściowe 2 12 36 3" xfId="13285"/>
    <cellStyle name="Dane wyjściowe 2 12 37" xfId="13286"/>
    <cellStyle name="Dane wyjściowe 2 12 37 2" xfId="13287"/>
    <cellStyle name="Dane wyjściowe 2 12 37 3" xfId="13288"/>
    <cellStyle name="Dane wyjściowe 2 12 38" xfId="13289"/>
    <cellStyle name="Dane wyjściowe 2 12 38 2" xfId="13290"/>
    <cellStyle name="Dane wyjściowe 2 12 38 3" xfId="13291"/>
    <cellStyle name="Dane wyjściowe 2 12 39" xfId="13292"/>
    <cellStyle name="Dane wyjściowe 2 12 39 2" xfId="13293"/>
    <cellStyle name="Dane wyjściowe 2 12 39 3" xfId="13294"/>
    <cellStyle name="Dane wyjściowe 2 12 4" xfId="13295"/>
    <cellStyle name="Dane wyjściowe 2 12 4 2" xfId="13296"/>
    <cellStyle name="Dane wyjściowe 2 12 4 3" xfId="13297"/>
    <cellStyle name="Dane wyjściowe 2 12 4 4" xfId="13298"/>
    <cellStyle name="Dane wyjściowe 2 12 40" xfId="13299"/>
    <cellStyle name="Dane wyjściowe 2 12 40 2" xfId="13300"/>
    <cellStyle name="Dane wyjściowe 2 12 40 3" xfId="13301"/>
    <cellStyle name="Dane wyjściowe 2 12 41" xfId="13302"/>
    <cellStyle name="Dane wyjściowe 2 12 41 2" xfId="13303"/>
    <cellStyle name="Dane wyjściowe 2 12 41 3" xfId="13304"/>
    <cellStyle name="Dane wyjściowe 2 12 42" xfId="13305"/>
    <cellStyle name="Dane wyjściowe 2 12 42 2" xfId="13306"/>
    <cellStyle name="Dane wyjściowe 2 12 42 3" xfId="13307"/>
    <cellStyle name="Dane wyjściowe 2 12 43" xfId="13308"/>
    <cellStyle name="Dane wyjściowe 2 12 43 2" xfId="13309"/>
    <cellStyle name="Dane wyjściowe 2 12 43 3" xfId="13310"/>
    <cellStyle name="Dane wyjściowe 2 12 44" xfId="13311"/>
    <cellStyle name="Dane wyjściowe 2 12 44 2" xfId="13312"/>
    <cellStyle name="Dane wyjściowe 2 12 44 3" xfId="13313"/>
    <cellStyle name="Dane wyjściowe 2 12 45" xfId="13314"/>
    <cellStyle name="Dane wyjściowe 2 12 45 2" xfId="13315"/>
    <cellStyle name="Dane wyjściowe 2 12 45 3" xfId="13316"/>
    <cellStyle name="Dane wyjściowe 2 12 46" xfId="13317"/>
    <cellStyle name="Dane wyjściowe 2 12 46 2" xfId="13318"/>
    <cellStyle name="Dane wyjściowe 2 12 46 3" xfId="13319"/>
    <cellStyle name="Dane wyjściowe 2 12 47" xfId="13320"/>
    <cellStyle name="Dane wyjściowe 2 12 47 2" xfId="13321"/>
    <cellStyle name="Dane wyjściowe 2 12 47 3" xfId="13322"/>
    <cellStyle name="Dane wyjściowe 2 12 48" xfId="13323"/>
    <cellStyle name="Dane wyjściowe 2 12 48 2" xfId="13324"/>
    <cellStyle name="Dane wyjściowe 2 12 48 3" xfId="13325"/>
    <cellStyle name="Dane wyjściowe 2 12 49" xfId="13326"/>
    <cellStyle name="Dane wyjściowe 2 12 49 2" xfId="13327"/>
    <cellStyle name="Dane wyjściowe 2 12 49 3" xfId="13328"/>
    <cellStyle name="Dane wyjściowe 2 12 5" xfId="13329"/>
    <cellStyle name="Dane wyjściowe 2 12 5 2" xfId="13330"/>
    <cellStyle name="Dane wyjściowe 2 12 5 3" xfId="13331"/>
    <cellStyle name="Dane wyjściowe 2 12 5 4" xfId="13332"/>
    <cellStyle name="Dane wyjściowe 2 12 50" xfId="13333"/>
    <cellStyle name="Dane wyjściowe 2 12 50 2" xfId="13334"/>
    <cellStyle name="Dane wyjściowe 2 12 50 3" xfId="13335"/>
    <cellStyle name="Dane wyjściowe 2 12 51" xfId="13336"/>
    <cellStyle name="Dane wyjściowe 2 12 51 2" xfId="13337"/>
    <cellStyle name="Dane wyjściowe 2 12 51 3" xfId="13338"/>
    <cellStyle name="Dane wyjściowe 2 12 52" xfId="13339"/>
    <cellStyle name="Dane wyjściowe 2 12 52 2" xfId="13340"/>
    <cellStyle name="Dane wyjściowe 2 12 52 3" xfId="13341"/>
    <cellStyle name="Dane wyjściowe 2 12 53" xfId="13342"/>
    <cellStyle name="Dane wyjściowe 2 12 53 2" xfId="13343"/>
    <cellStyle name="Dane wyjściowe 2 12 53 3" xfId="13344"/>
    <cellStyle name="Dane wyjściowe 2 12 54" xfId="13345"/>
    <cellStyle name="Dane wyjściowe 2 12 54 2" xfId="13346"/>
    <cellStyle name="Dane wyjściowe 2 12 54 3" xfId="13347"/>
    <cellStyle name="Dane wyjściowe 2 12 55" xfId="13348"/>
    <cellStyle name="Dane wyjściowe 2 12 55 2" xfId="13349"/>
    <cellStyle name="Dane wyjściowe 2 12 55 3" xfId="13350"/>
    <cellStyle name="Dane wyjściowe 2 12 56" xfId="13351"/>
    <cellStyle name="Dane wyjściowe 2 12 56 2" xfId="13352"/>
    <cellStyle name="Dane wyjściowe 2 12 56 3" xfId="13353"/>
    <cellStyle name="Dane wyjściowe 2 12 57" xfId="13354"/>
    <cellStyle name="Dane wyjściowe 2 12 58" xfId="13355"/>
    <cellStyle name="Dane wyjściowe 2 12 6" xfId="13356"/>
    <cellStyle name="Dane wyjściowe 2 12 6 2" xfId="13357"/>
    <cellStyle name="Dane wyjściowe 2 12 6 3" xfId="13358"/>
    <cellStyle name="Dane wyjściowe 2 12 6 4" xfId="13359"/>
    <cellStyle name="Dane wyjściowe 2 12 7" xfId="13360"/>
    <cellStyle name="Dane wyjściowe 2 12 7 2" xfId="13361"/>
    <cellStyle name="Dane wyjściowe 2 12 7 3" xfId="13362"/>
    <cellStyle name="Dane wyjściowe 2 12 7 4" xfId="13363"/>
    <cellStyle name="Dane wyjściowe 2 12 8" xfId="13364"/>
    <cellStyle name="Dane wyjściowe 2 12 8 2" xfId="13365"/>
    <cellStyle name="Dane wyjściowe 2 12 8 3" xfId="13366"/>
    <cellStyle name="Dane wyjściowe 2 12 8 4" xfId="13367"/>
    <cellStyle name="Dane wyjściowe 2 12 9" xfId="13368"/>
    <cellStyle name="Dane wyjściowe 2 12 9 2" xfId="13369"/>
    <cellStyle name="Dane wyjściowe 2 12 9 3" xfId="13370"/>
    <cellStyle name="Dane wyjściowe 2 12 9 4" xfId="13371"/>
    <cellStyle name="Dane wyjściowe 2 13" xfId="13372"/>
    <cellStyle name="Dane wyjściowe 2 13 10" xfId="13373"/>
    <cellStyle name="Dane wyjściowe 2 13 10 2" xfId="13374"/>
    <cellStyle name="Dane wyjściowe 2 13 10 3" xfId="13375"/>
    <cellStyle name="Dane wyjściowe 2 13 10 4" xfId="13376"/>
    <cellStyle name="Dane wyjściowe 2 13 11" xfId="13377"/>
    <cellStyle name="Dane wyjściowe 2 13 11 2" xfId="13378"/>
    <cellStyle name="Dane wyjściowe 2 13 11 3" xfId="13379"/>
    <cellStyle name="Dane wyjściowe 2 13 11 4" xfId="13380"/>
    <cellStyle name="Dane wyjściowe 2 13 12" xfId="13381"/>
    <cellStyle name="Dane wyjściowe 2 13 12 2" xfId="13382"/>
    <cellStyle name="Dane wyjściowe 2 13 12 3" xfId="13383"/>
    <cellStyle name="Dane wyjściowe 2 13 12 4" xfId="13384"/>
    <cellStyle name="Dane wyjściowe 2 13 13" xfId="13385"/>
    <cellStyle name="Dane wyjściowe 2 13 13 2" xfId="13386"/>
    <cellStyle name="Dane wyjściowe 2 13 13 3" xfId="13387"/>
    <cellStyle name="Dane wyjściowe 2 13 13 4" xfId="13388"/>
    <cellStyle name="Dane wyjściowe 2 13 14" xfId="13389"/>
    <cellStyle name="Dane wyjściowe 2 13 14 2" xfId="13390"/>
    <cellStyle name="Dane wyjściowe 2 13 14 3" xfId="13391"/>
    <cellStyle name="Dane wyjściowe 2 13 14 4" xfId="13392"/>
    <cellStyle name="Dane wyjściowe 2 13 15" xfId="13393"/>
    <cellStyle name="Dane wyjściowe 2 13 15 2" xfId="13394"/>
    <cellStyle name="Dane wyjściowe 2 13 15 3" xfId="13395"/>
    <cellStyle name="Dane wyjściowe 2 13 15 4" xfId="13396"/>
    <cellStyle name="Dane wyjściowe 2 13 16" xfId="13397"/>
    <cellStyle name="Dane wyjściowe 2 13 16 2" xfId="13398"/>
    <cellStyle name="Dane wyjściowe 2 13 16 3" xfId="13399"/>
    <cellStyle name="Dane wyjściowe 2 13 16 4" xfId="13400"/>
    <cellStyle name="Dane wyjściowe 2 13 17" xfId="13401"/>
    <cellStyle name="Dane wyjściowe 2 13 17 2" xfId="13402"/>
    <cellStyle name="Dane wyjściowe 2 13 17 3" xfId="13403"/>
    <cellStyle name="Dane wyjściowe 2 13 17 4" xfId="13404"/>
    <cellStyle name="Dane wyjściowe 2 13 18" xfId="13405"/>
    <cellStyle name="Dane wyjściowe 2 13 18 2" xfId="13406"/>
    <cellStyle name="Dane wyjściowe 2 13 18 3" xfId="13407"/>
    <cellStyle name="Dane wyjściowe 2 13 18 4" xfId="13408"/>
    <cellStyle name="Dane wyjściowe 2 13 19" xfId="13409"/>
    <cellStyle name="Dane wyjściowe 2 13 19 2" xfId="13410"/>
    <cellStyle name="Dane wyjściowe 2 13 19 3" xfId="13411"/>
    <cellStyle name="Dane wyjściowe 2 13 19 4" xfId="13412"/>
    <cellStyle name="Dane wyjściowe 2 13 2" xfId="13413"/>
    <cellStyle name="Dane wyjściowe 2 13 2 2" xfId="13414"/>
    <cellStyle name="Dane wyjściowe 2 13 2 3" xfId="13415"/>
    <cellStyle name="Dane wyjściowe 2 13 2 4" xfId="13416"/>
    <cellStyle name="Dane wyjściowe 2 13 20" xfId="13417"/>
    <cellStyle name="Dane wyjściowe 2 13 20 2" xfId="13418"/>
    <cellStyle name="Dane wyjściowe 2 13 20 3" xfId="13419"/>
    <cellStyle name="Dane wyjściowe 2 13 20 4" xfId="13420"/>
    <cellStyle name="Dane wyjściowe 2 13 21" xfId="13421"/>
    <cellStyle name="Dane wyjściowe 2 13 21 2" xfId="13422"/>
    <cellStyle name="Dane wyjściowe 2 13 21 3" xfId="13423"/>
    <cellStyle name="Dane wyjściowe 2 13 22" xfId="13424"/>
    <cellStyle name="Dane wyjściowe 2 13 22 2" xfId="13425"/>
    <cellStyle name="Dane wyjściowe 2 13 22 3" xfId="13426"/>
    <cellStyle name="Dane wyjściowe 2 13 23" xfId="13427"/>
    <cellStyle name="Dane wyjściowe 2 13 23 2" xfId="13428"/>
    <cellStyle name="Dane wyjściowe 2 13 23 3" xfId="13429"/>
    <cellStyle name="Dane wyjściowe 2 13 24" xfId="13430"/>
    <cellStyle name="Dane wyjściowe 2 13 24 2" xfId="13431"/>
    <cellStyle name="Dane wyjściowe 2 13 24 3" xfId="13432"/>
    <cellStyle name="Dane wyjściowe 2 13 25" xfId="13433"/>
    <cellStyle name="Dane wyjściowe 2 13 25 2" xfId="13434"/>
    <cellStyle name="Dane wyjściowe 2 13 25 3" xfId="13435"/>
    <cellStyle name="Dane wyjściowe 2 13 26" xfId="13436"/>
    <cellStyle name="Dane wyjściowe 2 13 26 2" xfId="13437"/>
    <cellStyle name="Dane wyjściowe 2 13 26 3" xfId="13438"/>
    <cellStyle name="Dane wyjściowe 2 13 27" xfId="13439"/>
    <cellStyle name="Dane wyjściowe 2 13 27 2" xfId="13440"/>
    <cellStyle name="Dane wyjściowe 2 13 27 3" xfId="13441"/>
    <cellStyle name="Dane wyjściowe 2 13 28" xfId="13442"/>
    <cellStyle name="Dane wyjściowe 2 13 28 2" xfId="13443"/>
    <cellStyle name="Dane wyjściowe 2 13 28 3" xfId="13444"/>
    <cellStyle name="Dane wyjściowe 2 13 29" xfId="13445"/>
    <cellStyle name="Dane wyjściowe 2 13 29 2" xfId="13446"/>
    <cellStyle name="Dane wyjściowe 2 13 29 3" xfId="13447"/>
    <cellStyle name="Dane wyjściowe 2 13 3" xfId="13448"/>
    <cellStyle name="Dane wyjściowe 2 13 3 2" xfId="13449"/>
    <cellStyle name="Dane wyjściowe 2 13 3 3" xfId="13450"/>
    <cellStyle name="Dane wyjściowe 2 13 3 4" xfId="13451"/>
    <cellStyle name="Dane wyjściowe 2 13 30" xfId="13452"/>
    <cellStyle name="Dane wyjściowe 2 13 30 2" xfId="13453"/>
    <cellStyle name="Dane wyjściowe 2 13 30 3" xfId="13454"/>
    <cellStyle name="Dane wyjściowe 2 13 31" xfId="13455"/>
    <cellStyle name="Dane wyjściowe 2 13 31 2" xfId="13456"/>
    <cellStyle name="Dane wyjściowe 2 13 31 3" xfId="13457"/>
    <cellStyle name="Dane wyjściowe 2 13 32" xfId="13458"/>
    <cellStyle name="Dane wyjściowe 2 13 32 2" xfId="13459"/>
    <cellStyle name="Dane wyjściowe 2 13 32 3" xfId="13460"/>
    <cellStyle name="Dane wyjściowe 2 13 33" xfId="13461"/>
    <cellStyle name="Dane wyjściowe 2 13 33 2" xfId="13462"/>
    <cellStyle name="Dane wyjściowe 2 13 33 3" xfId="13463"/>
    <cellStyle name="Dane wyjściowe 2 13 34" xfId="13464"/>
    <cellStyle name="Dane wyjściowe 2 13 34 2" xfId="13465"/>
    <cellStyle name="Dane wyjściowe 2 13 34 3" xfId="13466"/>
    <cellStyle name="Dane wyjściowe 2 13 35" xfId="13467"/>
    <cellStyle name="Dane wyjściowe 2 13 35 2" xfId="13468"/>
    <cellStyle name="Dane wyjściowe 2 13 35 3" xfId="13469"/>
    <cellStyle name="Dane wyjściowe 2 13 36" xfId="13470"/>
    <cellStyle name="Dane wyjściowe 2 13 36 2" xfId="13471"/>
    <cellStyle name="Dane wyjściowe 2 13 36 3" xfId="13472"/>
    <cellStyle name="Dane wyjściowe 2 13 37" xfId="13473"/>
    <cellStyle name="Dane wyjściowe 2 13 37 2" xfId="13474"/>
    <cellStyle name="Dane wyjściowe 2 13 37 3" xfId="13475"/>
    <cellStyle name="Dane wyjściowe 2 13 38" xfId="13476"/>
    <cellStyle name="Dane wyjściowe 2 13 38 2" xfId="13477"/>
    <cellStyle name="Dane wyjściowe 2 13 38 3" xfId="13478"/>
    <cellStyle name="Dane wyjściowe 2 13 39" xfId="13479"/>
    <cellStyle name="Dane wyjściowe 2 13 39 2" xfId="13480"/>
    <cellStyle name="Dane wyjściowe 2 13 39 3" xfId="13481"/>
    <cellStyle name="Dane wyjściowe 2 13 4" xfId="13482"/>
    <cellStyle name="Dane wyjściowe 2 13 4 2" xfId="13483"/>
    <cellStyle name="Dane wyjściowe 2 13 4 3" xfId="13484"/>
    <cellStyle name="Dane wyjściowe 2 13 4 4" xfId="13485"/>
    <cellStyle name="Dane wyjściowe 2 13 40" xfId="13486"/>
    <cellStyle name="Dane wyjściowe 2 13 40 2" xfId="13487"/>
    <cellStyle name="Dane wyjściowe 2 13 40 3" xfId="13488"/>
    <cellStyle name="Dane wyjściowe 2 13 41" xfId="13489"/>
    <cellStyle name="Dane wyjściowe 2 13 41 2" xfId="13490"/>
    <cellStyle name="Dane wyjściowe 2 13 41 3" xfId="13491"/>
    <cellStyle name="Dane wyjściowe 2 13 42" xfId="13492"/>
    <cellStyle name="Dane wyjściowe 2 13 42 2" xfId="13493"/>
    <cellStyle name="Dane wyjściowe 2 13 42 3" xfId="13494"/>
    <cellStyle name="Dane wyjściowe 2 13 43" xfId="13495"/>
    <cellStyle name="Dane wyjściowe 2 13 43 2" xfId="13496"/>
    <cellStyle name="Dane wyjściowe 2 13 43 3" xfId="13497"/>
    <cellStyle name="Dane wyjściowe 2 13 44" xfId="13498"/>
    <cellStyle name="Dane wyjściowe 2 13 44 2" xfId="13499"/>
    <cellStyle name="Dane wyjściowe 2 13 44 3" xfId="13500"/>
    <cellStyle name="Dane wyjściowe 2 13 45" xfId="13501"/>
    <cellStyle name="Dane wyjściowe 2 13 45 2" xfId="13502"/>
    <cellStyle name="Dane wyjściowe 2 13 45 3" xfId="13503"/>
    <cellStyle name="Dane wyjściowe 2 13 46" xfId="13504"/>
    <cellStyle name="Dane wyjściowe 2 13 46 2" xfId="13505"/>
    <cellStyle name="Dane wyjściowe 2 13 46 3" xfId="13506"/>
    <cellStyle name="Dane wyjściowe 2 13 47" xfId="13507"/>
    <cellStyle name="Dane wyjściowe 2 13 47 2" xfId="13508"/>
    <cellStyle name="Dane wyjściowe 2 13 47 3" xfId="13509"/>
    <cellStyle name="Dane wyjściowe 2 13 48" xfId="13510"/>
    <cellStyle name="Dane wyjściowe 2 13 48 2" xfId="13511"/>
    <cellStyle name="Dane wyjściowe 2 13 48 3" xfId="13512"/>
    <cellStyle name="Dane wyjściowe 2 13 49" xfId="13513"/>
    <cellStyle name="Dane wyjściowe 2 13 49 2" xfId="13514"/>
    <cellStyle name="Dane wyjściowe 2 13 49 3" xfId="13515"/>
    <cellStyle name="Dane wyjściowe 2 13 5" xfId="13516"/>
    <cellStyle name="Dane wyjściowe 2 13 5 2" xfId="13517"/>
    <cellStyle name="Dane wyjściowe 2 13 5 3" xfId="13518"/>
    <cellStyle name="Dane wyjściowe 2 13 5 4" xfId="13519"/>
    <cellStyle name="Dane wyjściowe 2 13 50" xfId="13520"/>
    <cellStyle name="Dane wyjściowe 2 13 50 2" xfId="13521"/>
    <cellStyle name="Dane wyjściowe 2 13 50 3" xfId="13522"/>
    <cellStyle name="Dane wyjściowe 2 13 51" xfId="13523"/>
    <cellStyle name="Dane wyjściowe 2 13 51 2" xfId="13524"/>
    <cellStyle name="Dane wyjściowe 2 13 51 3" xfId="13525"/>
    <cellStyle name="Dane wyjściowe 2 13 52" xfId="13526"/>
    <cellStyle name="Dane wyjściowe 2 13 52 2" xfId="13527"/>
    <cellStyle name="Dane wyjściowe 2 13 52 3" xfId="13528"/>
    <cellStyle name="Dane wyjściowe 2 13 53" xfId="13529"/>
    <cellStyle name="Dane wyjściowe 2 13 53 2" xfId="13530"/>
    <cellStyle name="Dane wyjściowe 2 13 53 3" xfId="13531"/>
    <cellStyle name="Dane wyjściowe 2 13 54" xfId="13532"/>
    <cellStyle name="Dane wyjściowe 2 13 54 2" xfId="13533"/>
    <cellStyle name="Dane wyjściowe 2 13 54 3" xfId="13534"/>
    <cellStyle name="Dane wyjściowe 2 13 55" xfId="13535"/>
    <cellStyle name="Dane wyjściowe 2 13 55 2" xfId="13536"/>
    <cellStyle name="Dane wyjściowe 2 13 55 3" xfId="13537"/>
    <cellStyle name="Dane wyjściowe 2 13 56" xfId="13538"/>
    <cellStyle name="Dane wyjściowe 2 13 56 2" xfId="13539"/>
    <cellStyle name="Dane wyjściowe 2 13 56 3" xfId="13540"/>
    <cellStyle name="Dane wyjściowe 2 13 57" xfId="13541"/>
    <cellStyle name="Dane wyjściowe 2 13 58" xfId="13542"/>
    <cellStyle name="Dane wyjściowe 2 13 6" xfId="13543"/>
    <cellStyle name="Dane wyjściowe 2 13 6 2" xfId="13544"/>
    <cellStyle name="Dane wyjściowe 2 13 6 3" xfId="13545"/>
    <cellStyle name="Dane wyjściowe 2 13 6 4" xfId="13546"/>
    <cellStyle name="Dane wyjściowe 2 13 7" xfId="13547"/>
    <cellStyle name="Dane wyjściowe 2 13 7 2" xfId="13548"/>
    <cellStyle name="Dane wyjściowe 2 13 7 3" xfId="13549"/>
    <cellStyle name="Dane wyjściowe 2 13 7 4" xfId="13550"/>
    <cellStyle name="Dane wyjściowe 2 13 8" xfId="13551"/>
    <cellStyle name="Dane wyjściowe 2 13 8 2" xfId="13552"/>
    <cellStyle name="Dane wyjściowe 2 13 8 3" xfId="13553"/>
    <cellStyle name="Dane wyjściowe 2 13 8 4" xfId="13554"/>
    <cellStyle name="Dane wyjściowe 2 13 9" xfId="13555"/>
    <cellStyle name="Dane wyjściowe 2 13 9 2" xfId="13556"/>
    <cellStyle name="Dane wyjściowe 2 13 9 3" xfId="13557"/>
    <cellStyle name="Dane wyjściowe 2 13 9 4" xfId="13558"/>
    <cellStyle name="Dane wyjściowe 2 14" xfId="13559"/>
    <cellStyle name="Dane wyjściowe 2 14 10" xfId="13560"/>
    <cellStyle name="Dane wyjściowe 2 14 10 2" xfId="13561"/>
    <cellStyle name="Dane wyjściowe 2 14 10 3" xfId="13562"/>
    <cellStyle name="Dane wyjściowe 2 14 10 4" xfId="13563"/>
    <cellStyle name="Dane wyjściowe 2 14 11" xfId="13564"/>
    <cellStyle name="Dane wyjściowe 2 14 11 2" xfId="13565"/>
    <cellStyle name="Dane wyjściowe 2 14 11 3" xfId="13566"/>
    <cellStyle name="Dane wyjściowe 2 14 11 4" xfId="13567"/>
    <cellStyle name="Dane wyjściowe 2 14 12" xfId="13568"/>
    <cellStyle name="Dane wyjściowe 2 14 12 2" xfId="13569"/>
    <cellStyle name="Dane wyjściowe 2 14 12 3" xfId="13570"/>
    <cellStyle name="Dane wyjściowe 2 14 12 4" xfId="13571"/>
    <cellStyle name="Dane wyjściowe 2 14 13" xfId="13572"/>
    <cellStyle name="Dane wyjściowe 2 14 13 2" xfId="13573"/>
    <cellStyle name="Dane wyjściowe 2 14 13 3" xfId="13574"/>
    <cellStyle name="Dane wyjściowe 2 14 13 4" xfId="13575"/>
    <cellStyle name="Dane wyjściowe 2 14 14" xfId="13576"/>
    <cellStyle name="Dane wyjściowe 2 14 14 2" xfId="13577"/>
    <cellStyle name="Dane wyjściowe 2 14 14 3" xfId="13578"/>
    <cellStyle name="Dane wyjściowe 2 14 14 4" xfId="13579"/>
    <cellStyle name="Dane wyjściowe 2 14 15" xfId="13580"/>
    <cellStyle name="Dane wyjściowe 2 14 15 2" xfId="13581"/>
    <cellStyle name="Dane wyjściowe 2 14 15 3" xfId="13582"/>
    <cellStyle name="Dane wyjściowe 2 14 15 4" xfId="13583"/>
    <cellStyle name="Dane wyjściowe 2 14 16" xfId="13584"/>
    <cellStyle name="Dane wyjściowe 2 14 16 2" xfId="13585"/>
    <cellStyle name="Dane wyjściowe 2 14 16 3" xfId="13586"/>
    <cellStyle name="Dane wyjściowe 2 14 16 4" xfId="13587"/>
    <cellStyle name="Dane wyjściowe 2 14 17" xfId="13588"/>
    <cellStyle name="Dane wyjściowe 2 14 17 2" xfId="13589"/>
    <cellStyle name="Dane wyjściowe 2 14 17 3" xfId="13590"/>
    <cellStyle name="Dane wyjściowe 2 14 17 4" xfId="13591"/>
    <cellStyle name="Dane wyjściowe 2 14 18" xfId="13592"/>
    <cellStyle name="Dane wyjściowe 2 14 18 2" xfId="13593"/>
    <cellStyle name="Dane wyjściowe 2 14 18 3" xfId="13594"/>
    <cellStyle name="Dane wyjściowe 2 14 18 4" xfId="13595"/>
    <cellStyle name="Dane wyjściowe 2 14 19" xfId="13596"/>
    <cellStyle name="Dane wyjściowe 2 14 19 2" xfId="13597"/>
    <cellStyle name="Dane wyjściowe 2 14 19 3" xfId="13598"/>
    <cellStyle name="Dane wyjściowe 2 14 19 4" xfId="13599"/>
    <cellStyle name="Dane wyjściowe 2 14 2" xfId="13600"/>
    <cellStyle name="Dane wyjściowe 2 14 2 2" xfId="13601"/>
    <cellStyle name="Dane wyjściowe 2 14 2 3" xfId="13602"/>
    <cellStyle name="Dane wyjściowe 2 14 2 4" xfId="13603"/>
    <cellStyle name="Dane wyjściowe 2 14 20" xfId="13604"/>
    <cellStyle name="Dane wyjściowe 2 14 20 2" xfId="13605"/>
    <cellStyle name="Dane wyjściowe 2 14 20 3" xfId="13606"/>
    <cellStyle name="Dane wyjściowe 2 14 20 4" xfId="13607"/>
    <cellStyle name="Dane wyjściowe 2 14 21" xfId="13608"/>
    <cellStyle name="Dane wyjściowe 2 14 21 2" xfId="13609"/>
    <cellStyle name="Dane wyjściowe 2 14 21 3" xfId="13610"/>
    <cellStyle name="Dane wyjściowe 2 14 22" xfId="13611"/>
    <cellStyle name="Dane wyjściowe 2 14 22 2" xfId="13612"/>
    <cellStyle name="Dane wyjściowe 2 14 22 3" xfId="13613"/>
    <cellStyle name="Dane wyjściowe 2 14 23" xfId="13614"/>
    <cellStyle name="Dane wyjściowe 2 14 23 2" xfId="13615"/>
    <cellStyle name="Dane wyjściowe 2 14 23 3" xfId="13616"/>
    <cellStyle name="Dane wyjściowe 2 14 24" xfId="13617"/>
    <cellStyle name="Dane wyjściowe 2 14 24 2" xfId="13618"/>
    <cellStyle name="Dane wyjściowe 2 14 24 3" xfId="13619"/>
    <cellStyle name="Dane wyjściowe 2 14 25" xfId="13620"/>
    <cellStyle name="Dane wyjściowe 2 14 25 2" xfId="13621"/>
    <cellStyle name="Dane wyjściowe 2 14 25 3" xfId="13622"/>
    <cellStyle name="Dane wyjściowe 2 14 26" xfId="13623"/>
    <cellStyle name="Dane wyjściowe 2 14 26 2" xfId="13624"/>
    <cellStyle name="Dane wyjściowe 2 14 26 3" xfId="13625"/>
    <cellStyle name="Dane wyjściowe 2 14 27" xfId="13626"/>
    <cellStyle name="Dane wyjściowe 2 14 27 2" xfId="13627"/>
    <cellStyle name="Dane wyjściowe 2 14 27 3" xfId="13628"/>
    <cellStyle name="Dane wyjściowe 2 14 28" xfId="13629"/>
    <cellStyle name="Dane wyjściowe 2 14 28 2" xfId="13630"/>
    <cellStyle name="Dane wyjściowe 2 14 28 3" xfId="13631"/>
    <cellStyle name="Dane wyjściowe 2 14 29" xfId="13632"/>
    <cellStyle name="Dane wyjściowe 2 14 29 2" xfId="13633"/>
    <cellStyle name="Dane wyjściowe 2 14 29 3" xfId="13634"/>
    <cellStyle name="Dane wyjściowe 2 14 3" xfId="13635"/>
    <cellStyle name="Dane wyjściowe 2 14 3 2" xfId="13636"/>
    <cellStyle name="Dane wyjściowe 2 14 3 3" xfId="13637"/>
    <cellStyle name="Dane wyjściowe 2 14 3 4" xfId="13638"/>
    <cellStyle name="Dane wyjściowe 2 14 30" xfId="13639"/>
    <cellStyle name="Dane wyjściowe 2 14 30 2" xfId="13640"/>
    <cellStyle name="Dane wyjściowe 2 14 30 3" xfId="13641"/>
    <cellStyle name="Dane wyjściowe 2 14 31" xfId="13642"/>
    <cellStyle name="Dane wyjściowe 2 14 31 2" xfId="13643"/>
    <cellStyle name="Dane wyjściowe 2 14 31 3" xfId="13644"/>
    <cellStyle name="Dane wyjściowe 2 14 32" xfId="13645"/>
    <cellStyle name="Dane wyjściowe 2 14 32 2" xfId="13646"/>
    <cellStyle name="Dane wyjściowe 2 14 32 3" xfId="13647"/>
    <cellStyle name="Dane wyjściowe 2 14 33" xfId="13648"/>
    <cellStyle name="Dane wyjściowe 2 14 33 2" xfId="13649"/>
    <cellStyle name="Dane wyjściowe 2 14 33 3" xfId="13650"/>
    <cellStyle name="Dane wyjściowe 2 14 34" xfId="13651"/>
    <cellStyle name="Dane wyjściowe 2 14 34 2" xfId="13652"/>
    <cellStyle name="Dane wyjściowe 2 14 34 3" xfId="13653"/>
    <cellStyle name="Dane wyjściowe 2 14 35" xfId="13654"/>
    <cellStyle name="Dane wyjściowe 2 14 35 2" xfId="13655"/>
    <cellStyle name="Dane wyjściowe 2 14 35 3" xfId="13656"/>
    <cellStyle name="Dane wyjściowe 2 14 36" xfId="13657"/>
    <cellStyle name="Dane wyjściowe 2 14 36 2" xfId="13658"/>
    <cellStyle name="Dane wyjściowe 2 14 36 3" xfId="13659"/>
    <cellStyle name="Dane wyjściowe 2 14 37" xfId="13660"/>
    <cellStyle name="Dane wyjściowe 2 14 37 2" xfId="13661"/>
    <cellStyle name="Dane wyjściowe 2 14 37 3" xfId="13662"/>
    <cellStyle name="Dane wyjściowe 2 14 38" xfId="13663"/>
    <cellStyle name="Dane wyjściowe 2 14 38 2" xfId="13664"/>
    <cellStyle name="Dane wyjściowe 2 14 38 3" xfId="13665"/>
    <cellStyle name="Dane wyjściowe 2 14 39" xfId="13666"/>
    <cellStyle name="Dane wyjściowe 2 14 39 2" xfId="13667"/>
    <cellStyle name="Dane wyjściowe 2 14 39 3" xfId="13668"/>
    <cellStyle name="Dane wyjściowe 2 14 4" xfId="13669"/>
    <cellStyle name="Dane wyjściowe 2 14 4 2" xfId="13670"/>
    <cellStyle name="Dane wyjściowe 2 14 4 3" xfId="13671"/>
    <cellStyle name="Dane wyjściowe 2 14 4 4" xfId="13672"/>
    <cellStyle name="Dane wyjściowe 2 14 40" xfId="13673"/>
    <cellStyle name="Dane wyjściowe 2 14 40 2" xfId="13674"/>
    <cellStyle name="Dane wyjściowe 2 14 40 3" xfId="13675"/>
    <cellStyle name="Dane wyjściowe 2 14 41" xfId="13676"/>
    <cellStyle name="Dane wyjściowe 2 14 41 2" xfId="13677"/>
    <cellStyle name="Dane wyjściowe 2 14 41 3" xfId="13678"/>
    <cellStyle name="Dane wyjściowe 2 14 42" xfId="13679"/>
    <cellStyle name="Dane wyjściowe 2 14 42 2" xfId="13680"/>
    <cellStyle name="Dane wyjściowe 2 14 42 3" xfId="13681"/>
    <cellStyle name="Dane wyjściowe 2 14 43" xfId="13682"/>
    <cellStyle name="Dane wyjściowe 2 14 43 2" xfId="13683"/>
    <cellStyle name="Dane wyjściowe 2 14 43 3" xfId="13684"/>
    <cellStyle name="Dane wyjściowe 2 14 44" xfId="13685"/>
    <cellStyle name="Dane wyjściowe 2 14 44 2" xfId="13686"/>
    <cellStyle name="Dane wyjściowe 2 14 44 3" xfId="13687"/>
    <cellStyle name="Dane wyjściowe 2 14 45" xfId="13688"/>
    <cellStyle name="Dane wyjściowe 2 14 45 2" xfId="13689"/>
    <cellStyle name="Dane wyjściowe 2 14 45 3" xfId="13690"/>
    <cellStyle name="Dane wyjściowe 2 14 46" xfId="13691"/>
    <cellStyle name="Dane wyjściowe 2 14 46 2" xfId="13692"/>
    <cellStyle name="Dane wyjściowe 2 14 46 3" xfId="13693"/>
    <cellStyle name="Dane wyjściowe 2 14 47" xfId="13694"/>
    <cellStyle name="Dane wyjściowe 2 14 47 2" xfId="13695"/>
    <cellStyle name="Dane wyjściowe 2 14 47 3" xfId="13696"/>
    <cellStyle name="Dane wyjściowe 2 14 48" xfId="13697"/>
    <cellStyle name="Dane wyjściowe 2 14 48 2" xfId="13698"/>
    <cellStyle name="Dane wyjściowe 2 14 48 3" xfId="13699"/>
    <cellStyle name="Dane wyjściowe 2 14 49" xfId="13700"/>
    <cellStyle name="Dane wyjściowe 2 14 49 2" xfId="13701"/>
    <cellStyle name="Dane wyjściowe 2 14 49 3" xfId="13702"/>
    <cellStyle name="Dane wyjściowe 2 14 5" xfId="13703"/>
    <cellStyle name="Dane wyjściowe 2 14 5 2" xfId="13704"/>
    <cellStyle name="Dane wyjściowe 2 14 5 3" xfId="13705"/>
    <cellStyle name="Dane wyjściowe 2 14 5 4" xfId="13706"/>
    <cellStyle name="Dane wyjściowe 2 14 50" xfId="13707"/>
    <cellStyle name="Dane wyjściowe 2 14 50 2" xfId="13708"/>
    <cellStyle name="Dane wyjściowe 2 14 50 3" xfId="13709"/>
    <cellStyle name="Dane wyjściowe 2 14 51" xfId="13710"/>
    <cellStyle name="Dane wyjściowe 2 14 51 2" xfId="13711"/>
    <cellStyle name="Dane wyjściowe 2 14 51 3" xfId="13712"/>
    <cellStyle name="Dane wyjściowe 2 14 52" xfId="13713"/>
    <cellStyle name="Dane wyjściowe 2 14 52 2" xfId="13714"/>
    <cellStyle name="Dane wyjściowe 2 14 52 3" xfId="13715"/>
    <cellStyle name="Dane wyjściowe 2 14 53" xfId="13716"/>
    <cellStyle name="Dane wyjściowe 2 14 53 2" xfId="13717"/>
    <cellStyle name="Dane wyjściowe 2 14 53 3" xfId="13718"/>
    <cellStyle name="Dane wyjściowe 2 14 54" xfId="13719"/>
    <cellStyle name="Dane wyjściowe 2 14 54 2" xfId="13720"/>
    <cellStyle name="Dane wyjściowe 2 14 54 3" xfId="13721"/>
    <cellStyle name="Dane wyjściowe 2 14 55" xfId="13722"/>
    <cellStyle name="Dane wyjściowe 2 14 55 2" xfId="13723"/>
    <cellStyle name="Dane wyjściowe 2 14 55 3" xfId="13724"/>
    <cellStyle name="Dane wyjściowe 2 14 56" xfId="13725"/>
    <cellStyle name="Dane wyjściowe 2 14 56 2" xfId="13726"/>
    <cellStyle name="Dane wyjściowe 2 14 56 3" xfId="13727"/>
    <cellStyle name="Dane wyjściowe 2 14 57" xfId="13728"/>
    <cellStyle name="Dane wyjściowe 2 14 58" xfId="13729"/>
    <cellStyle name="Dane wyjściowe 2 14 6" xfId="13730"/>
    <cellStyle name="Dane wyjściowe 2 14 6 2" xfId="13731"/>
    <cellStyle name="Dane wyjściowe 2 14 6 3" xfId="13732"/>
    <cellStyle name="Dane wyjściowe 2 14 6 4" xfId="13733"/>
    <cellStyle name="Dane wyjściowe 2 14 7" xfId="13734"/>
    <cellStyle name="Dane wyjściowe 2 14 7 2" xfId="13735"/>
    <cellStyle name="Dane wyjściowe 2 14 7 3" xfId="13736"/>
    <cellStyle name="Dane wyjściowe 2 14 7 4" xfId="13737"/>
    <cellStyle name="Dane wyjściowe 2 14 8" xfId="13738"/>
    <cellStyle name="Dane wyjściowe 2 14 8 2" xfId="13739"/>
    <cellStyle name="Dane wyjściowe 2 14 8 3" xfId="13740"/>
    <cellStyle name="Dane wyjściowe 2 14 8 4" xfId="13741"/>
    <cellStyle name="Dane wyjściowe 2 14 9" xfId="13742"/>
    <cellStyle name="Dane wyjściowe 2 14 9 2" xfId="13743"/>
    <cellStyle name="Dane wyjściowe 2 14 9 3" xfId="13744"/>
    <cellStyle name="Dane wyjściowe 2 14 9 4" xfId="13745"/>
    <cellStyle name="Dane wyjściowe 2 15" xfId="13746"/>
    <cellStyle name="Dane wyjściowe 2 15 10" xfId="13747"/>
    <cellStyle name="Dane wyjściowe 2 15 10 2" xfId="13748"/>
    <cellStyle name="Dane wyjściowe 2 15 10 3" xfId="13749"/>
    <cellStyle name="Dane wyjściowe 2 15 10 4" xfId="13750"/>
    <cellStyle name="Dane wyjściowe 2 15 11" xfId="13751"/>
    <cellStyle name="Dane wyjściowe 2 15 11 2" xfId="13752"/>
    <cellStyle name="Dane wyjściowe 2 15 11 3" xfId="13753"/>
    <cellStyle name="Dane wyjściowe 2 15 11 4" xfId="13754"/>
    <cellStyle name="Dane wyjściowe 2 15 12" xfId="13755"/>
    <cellStyle name="Dane wyjściowe 2 15 12 2" xfId="13756"/>
    <cellStyle name="Dane wyjściowe 2 15 12 3" xfId="13757"/>
    <cellStyle name="Dane wyjściowe 2 15 12 4" xfId="13758"/>
    <cellStyle name="Dane wyjściowe 2 15 13" xfId="13759"/>
    <cellStyle name="Dane wyjściowe 2 15 13 2" xfId="13760"/>
    <cellStyle name="Dane wyjściowe 2 15 13 3" xfId="13761"/>
    <cellStyle name="Dane wyjściowe 2 15 13 4" xfId="13762"/>
    <cellStyle name="Dane wyjściowe 2 15 14" xfId="13763"/>
    <cellStyle name="Dane wyjściowe 2 15 14 2" xfId="13764"/>
    <cellStyle name="Dane wyjściowe 2 15 14 3" xfId="13765"/>
    <cellStyle name="Dane wyjściowe 2 15 14 4" xfId="13766"/>
    <cellStyle name="Dane wyjściowe 2 15 15" xfId="13767"/>
    <cellStyle name="Dane wyjściowe 2 15 15 2" xfId="13768"/>
    <cellStyle name="Dane wyjściowe 2 15 15 3" xfId="13769"/>
    <cellStyle name="Dane wyjściowe 2 15 15 4" xfId="13770"/>
    <cellStyle name="Dane wyjściowe 2 15 16" xfId="13771"/>
    <cellStyle name="Dane wyjściowe 2 15 16 2" xfId="13772"/>
    <cellStyle name="Dane wyjściowe 2 15 16 3" xfId="13773"/>
    <cellStyle name="Dane wyjściowe 2 15 16 4" xfId="13774"/>
    <cellStyle name="Dane wyjściowe 2 15 17" xfId="13775"/>
    <cellStyle name="Dane wyjściowe 2 15 17 2" xfId="13776"/>
    <cellStyle name="Dane wyjściowe 2 15 17 3" xfId="13777"/>
    <cellStyle name="Dane wyjściowe 2 15 17 4" xfId="13778"/>
    <cellStyle name="Dane wyjściowe 2 15 18" xfId="13779"/>
    <cellStyle name="Dane wyjściowe 2 15 18 2" xfId="13780"/>
    <cellStyle name="Dane wyjściowe 2 15 18 3" xfId="13781"/>
    <cellStyle name="Dane wyjściowe 2 15 18 4" xfId="13782"/>
    <cellStyle name="Dane wyjściowe 2 15 19" xfId="13783"/>
    <cellStyle name="Dane wyjściowe 2 15 19 2" xfId="13784"/>
    <cellStyle name="Dane wyjściowe 2 15 19 3" xfId="13785"/>
    <cellStyle name="Dane wyjściowe 2 15 19 4" xfId="13786"/>
    <cellStyle name="Dane wyjściowe 2 15 2" xfId="13787"/>
    <cellStyle name="Dane wyjściowe 2 15 2 2" xfId="13788"/>
    <cellStyle name="Dane wyjściowe 2 15 2 3" xfId="13789"/>
    <cellStyle name="Dane wyjściowe 2 15 2 4" xfId="13790"/>
    <cellStyle name="Dane wyjściowe 2 15 20" xfId="13791"/>
    <cellStyle name="Dane wyjściowe 2 15 20 2" xfId="13792"/>
    <cellStyle name="Dane wyjściowe 2 15 20 3" xfId="13793"/>
    <cellStyle name="Dane wyjściowe 2 15 20 4" xfId="13794"/>
    <cellStyle name="Dane wyjściowe 2 15 21" xfId="13795"/>
    <cellStyle name="Dane wyjściowe 2 15 21 2" xfId="13796"/>
    <cellStyle name="Dane wyjściowe 2 15 21 3" xfId="13797"/>
    <cellStyle name="Dane wyjściowe 2 15 22" xfId="13798"/>
    <cellStyle name="Dane wyjściowe 2 15 22 2" xfId="13799"/>
    <cellStyle name="Dane wyjściowe 2 15 22 3" xfId="13800"/>
    <cellStyle name="Dane wyjściowe 2 15 23" xfId="13801"/>
    <cellStyle name="Dane wyjściowe 2 15 23 2" xfId="13802"/>
    <cellStyle name="Dane wyjściowe 2 15 23 3" xfId="13803"/>
    <cellStyle name="Dane wyjściowe 2 15 24" xfId="13804"/>
    <cellStyle name="Dane wyjściowe 2 15 24 2" xfId="13805"/>
    <cellStyle name="Dane wyjściowe 2 15 24 3" xfId="13806"/>
    <cellStyle name="Dane wyjściowe 2 15 25" xfId="13807"/>
    <cellStyle name="Dane wyjściowe 2 15 25 2" xfId="13808"/>
    <cellStyle name="Dane wyjściowe 2 15 25 3" xfId="13809"/>
    <cellStyle name="Dane wyjściowe 2 15 26" xfId="13810"/>
    <cellStyle name="Dane wyjściowe 2 15 26 2" xfId="13811"/>
    <cellStyle name="Dane wyjściowe 2 15 26 3" xfId="13812"/>
    <cellStyle name="Dane wyjściowe 2 15 27" xfId="13813"/>
    <cellStyle name="Dane wyjściowe 2 15 27 2" xfId="13814"/>
    <cellStyle name="Dane wyjściowe 2 15 27 3" xfId="13815"/>
    <cellStyle name="Dane wyjściowe 2 15 28" xfId="13816"/>
    <cellStyle name="Dane wyjściowe 2 15 28 2" xfId="13817"/>
    <cellStyle name="Dane wyjściowe 2 15 28 3" xfId="13818"/>
    <cellStyle name="Dane wyjściowe 2 15 29" xfId="13819"/>
    <cellStyle name="Dane wyjściowe 2 15 29 2" xfId="13820"/>
    <cellStyle name="Dane wyjściowe 2 15 29 3" xfId="13821"/>
    <cellStyle name="Dane wyjściowe 2 15 3" xfId="13822"/>
    <cellStyle name="Dane wyjściowe 2 15 3 2" xfId="13823"/>
    <cellStyle name="Dane wyjściowe 2 15 3 3" xfId="13824"/>
    <cellStyle name="Dane wyjściowe 2 15 3 4" xfId="13825"/>
    <cellStyle name="Dane wyjściowe 2 15 30" xfId="13826"/>
    <cellStyle name="Dane wyjściowe 2 15 30 2" xfId="13827"/>
    <cellStyle name="Dane wyjściowe 2 15 30 3" xfId="13828"/>
    <cellStyle name="Dane wyjściowe 2 15 31" xfId="13829"/>
    <cellStyle name="Dane wyjściowe 2 15 31 2" xfId="13830"/>
    <cellStyle name="Dane wyjściowe 2 15 31 3" xfId="13831"/>
    <cellStyle name="Dane wyjściowe 2 15 32" xfId="13832"/>
    <cellStyle name="Dane wyjściowe 2 15 32 2" xfId="13833"/>
    <cellStyle name="Dane wyjściowe 2 15 32 3" xfId="13834"/>
    <cellStyle name="Dane wyjściowe 2 15 33" xfId="13835"/>
    <cellStyle name="Dane wyjściowe 2 15 33 2" xfId="13836"/>
    <cellStyle name="Dane wyjściowe 2 15 33 3" xfId="13837"/>
    <cellStyle name="Dane wyjściowe 2 15 34" xfId="13838"/>
    <cellStyle name="Dane wyjściowe 2 15 34 2" xfId="13839"/>
    <cellStyle name="Dane wyjściowe 2 15 34 3" xfId="13840"/>
    <cellStyle name="Dane wyjściowe 2 15 35" xfId="13841"/>
    <cellStyle name="Dane wyjściowe 2 15 35 2" xfId="13842"/>
    <cellStyle name="Dane wyjściowe 2 15 35 3" xfId="13843"/>
    <cellStyle name="Dane wyjściowe 2 15 36" xfId="13844"/>
    <cellStyle name="Dane wyjściowe 2 15 36 2" xfId="13845"/>
    <cellStyle name="Dane wyjściowe 2 15 36 3" xfId="13846"/>
    <cellStyle name="Dane wyjściowe 2 15 37" xfId="13847"/>
    <cellStyle name="Dane wyjściowe 2 15 37 2" xfId="13848"/>
    <cellStyle name="Dane wyjściowe 2 15 37 3" xfId="13849"/>
    <cellStyle name="Dane wyjściowe 2 15 38" xfId="13850"/>
    <cellStyle name="Dane wyjściowe 2 15 38 2" xfId="13851"/>
    <cellStyle name="Dane wyjściowe 2 15 38 3" xfId="13852"/>
    <cellStyle name="Dane wyjściowe 2 15 39" xfId="13853"/>
    <cellStyle name="Dane wyjściowe 2 15 39 2" xfId="13854"/>
    <cellStyle name="Dane wyjściowe 2 15 39 3" xfId="13855"/>
    <cellStyle name="Dane wyjściowe 2 15 4" xfId="13856"/>
    <cellStyle name="Dane wyjściowe 2 15 4 2" xfId="13857"/>
    <cellStyle name="Dane wyjściowe 2 15 4 3" xfId="13858"/>
    <cellStyle name="Dane wyjściowe 2 15 4 4" xfId="13859"/>
    <cellStyle name="Dane wyjściowe 2 15 40" xfId="13860"/>
    <cellStyle name="Dane wyjściowe 2 15 40 2" xfId="13861"/>
    <cellStyle name="Dane wyjściowe 2 15 40 3" xfId="13862"/>
    <cellStyle name="Dane wyjściowe 2 15 41" xfId="13863"/>
    <cellStyle name="Dane wyjściowe 2 15 41 2" xfId="13864"/>
    <cellStyle name="Dane wyjściowe 2 15 41 3" xfId="13865"/>
    <cellStyle name="Dane wyjściowe 2 15 42" xfId="13866"/>
    <cellStyle name="Dane wyjściowe 2 15 42 2" xfId="13867"/>
    <cellStyle name="Dane wyjściowe 2 15 42 3" xfId="13868"/>
    <cellStyle name="Dane wyjściowe 2 15 43" xfId="13869"/>
    <cellStyle name="Dane wyjściowe 2 15 43 2" xfId="13870"/>
    <cellStyle name="Dane wyjściowe 2 15 43 3" xfId="13871"/>
    <cellStyle name="Dane wyjściowe 2 15 44" xfId="13872"/>
    <cellStyle name="Dane wyjściowe 2 15 44 2" xfId="13873"/>
    <cellStyle name="Dane wyjściowe 2 15 44 3" xfId="13874"/>
    <cellStyle name="Dane wyjściowe 2 15 45" xfId="13875"/>
    <cellStyle name="Dane wyjściowe 2 15 45 2" xfId="13876"/>
    <cellStyle name="Dane wyjściowe 2 15 45 3" xfId="13877"/>
    <cellStyle name="Dane wyjściowe 2 15 46" xfId="13878"/>
    <cellStyle name="Dane wyjściowe 2 15 46 2" xfId="13879"/>
    <cellStyle name="Dane wyjściowe 2 15 46 3" xfId="13880"/>
    <cellStyle name="Dane wyjściowe 2 15 47" xfId="13881"/>
    <cellStyle name="Dane wyjściowe 2 15 47 2" xfId="13882"/>
    <cellStyle name="Dane wyjściowe 2 15 47 3" xfId="13883"/>
    <cellStyle name="Dane wyjściowe 2 15 48" xfId="13884"/>
    <cellStyle name="Dane wyjściowe 2 15 48 2" xfId="13885"/>
    <cellStyle name="Dane wyjściowe 2 15 48 3" xfId="13886"/>
    <cellStyle name="Dane wyjściowe 2 15 49" xfId="13887"/>
    <cellStyle name="Dane wyjściowe 2 15 49 2" xfId="13888"/>
    <cellStyle name="Dane wyjściowe 2 15 49 3" xfId="13889"/>
    <cellStyle name="Dane wyjściowe 2 15 5" xfId="13890"/>
    <cellStyle name="Dane wyjściowe 2 15 5 2" xfId="13891"/>
    <cellStyle name="Dane wyjściowe 2 15 5 3" xfId="13892"/>
    <cellStyle name="Dane wyjściowe 2 15 5 4" xfId="13893"/>
    <cellStyle name="Dane wyjściowe 2 15 50" xfId="13894"/>
    <cellStyle name="Dane wyjściowe 2 15 50 2" xfId="13895"/>
    <cellStyle name="Dane wyjściowe 2 15 50 3" xfId="13896"/>
    <cellStyle name="Dane wyjściowe 2 15 51" xfId="13897"/>
    <cellStyle name="Dane wyjściowe 2 15 51 2" xfId="13898"/>
    <cellStyle name="Dane wyjściowe 2 15 51 3" xfId="13899"/>
    <cellStyle name="Dane wyjściowe 2 15 52" xfId="13900"/>
    <cellStyle name="Dane wyjściowe 2 15 52 2" xfId="13901"/>
    <cellStyle name="Dane wyjściowe 2 15 52 3" xfId="13902"/>
    <cellStyle name="Dane wyjściowe 2 15 53" xfId="13903"/>
    <cellStyle name="Dane wyjściowe 2 15 53 2" xfId="13904"/>
    <cellStyle name="Dane wyjściowe 2 15 53 3" xfId="13905"/>
    <cellStyle name="Dane wyjściowe 2 15 54" xfId="13906"/>
    <cellStyle name="Dane wyjściowe 2 15 54 2" xfId="13907"/>
    <cellStyle name="Dane wyjściowe 2 15 54 3" xfId="13908"/>
    <cellStyle name="Dane wyjściowe 2 15 55" xfId="13909"/>
    <cellStyle name="Dane wyjściowe 2 15 55 2" xfId="13910"/>
    <cellStyle name="Dane wyjściowe 2 15 55 3" xfId="13911"/>
    <cellStyle name="Dane wyjściowe 2 15 56" xfId="13912"/>
    <cellStyle name="Dane wyjściowe 2 15 56 2" xfId="13913"/>
    <cellStyle name="Dane wyjściowe 2 15 56 3" xfId="13914"/>
    <cellStyle name="Dane wyjściowe 2 15 57" xfId="13915"/>
    <cellStyle name="Dane wyjściowe 2 15 58" xfId="13916"/>
    <cellStyle name="Dane wyjściowe 2 15 6" xfId="13917"/>
    <cellStyle name="Dane wyjściowe 2 15 6 2" xfId="13918"/>
    <cellStyle name="Dane wyjściowe 2 15 6 3" xfId="13919"/>
    <cellStyle name="Dane wyjściowe 2 15 6 4" xfId="13920"/>
    <cellStyle name="Dane wyjściowe 2 15 7" xfId="13921"/>
    <cellStyle name="Dane wyjściowe 2 15 7 2" xfId="13922"/>
    <cellStyle name="Dane wyjściowe 2 15 7 3" xfId="13923"/>
    <cellStyle name="Dane wyjściowe 2 15 7 4" xfId="13924"/>
    <cellStyle name="Dane wyjściowe 2 15 8" xfId="13925"/>
    <cellStyle name="Dane wyjściowe 2 15 8 2" xfId="13926"/>
    <cellStyle name="Dane wyjściowe 2 15 8 3" xfId="13927"/>
    <cellStyle name="Dane wyjściowe 2 15 8 4" xfId="13928"/>
    <cellStyle name="Dane wyjściowe 2 15 9" xfId="13929"/>
    <cellStyle name="Dane wyjściowe 2 15 9 2" xfId="13930"/>
    <cellStyle name="Dane wyjściowe 2 15 9 3" xfId="13931"/>
    <cellStyle name="Dane wyjściowe 2 15 9 4" xfId="13932"/>
    <cellStyle name="Dane wyjściowe 2 16" xfId="13933"/>
    <cellStyle name="Dane wyjściowe 2 16 10" xfId="13934"/>
    <cellStyle name="Dane wyjściowe 2 16 10 2" xfId="13935"/>
    <cellStyle name="Dane wyjściowe 2 16 10 3" xfId="13936"/>
    <cellStyle name="Dane wyjściowe 2 16 10 4" xfId="13937"/>
    <cellStyle name="Dane wyjściowe 2 16 11" xfId="13938"/>
    <cellStyle name="Dane wyjściowe 2 16 11 2" xfId="13939"/>
    <cellStyle name="Dane wyjściowe 2 16 11 3" xfId="13940"/>
    <cellStyle name="Dane wyjściowe 2 16 11 4" xfId="13941"/>
    <cellStyle name="Dane wyjściowe 2 16 12" xfId="13942"/>
    <cellStyle name="Dane wyjściowe 2 16 12 2" xfId="13943"/>
    <cellStyle name="Dane wyjściowe 2 16 12 3" xfId="13944"/>
    <cellStyle name="Dane wyjściowe 2 16 12 4" xfId="13945"/>
    <cellStyle name="Dane wyjściowe 2 16 13" xfId="13946"/>
    <cellStyle name="Dane wyjściowe 2 16 13 2" xfId="13947"/>
    <cellStyle name="Dane wyjściowe 2 16 13 3" xfId="13948"/>
    <cellStyle name="Dane wyjściowe 2 16 13 4" xfId="13949"/>
    <cellStyle name="Dane wyjściowe 2 16 14" xfId="13950"/>
    <cellStyle name="Dane wyjściowe 2 16 14 2" xfId="13951"/>
    <cellStyle name="Dane wyjściowe 2 16 14 3" xfId="13952"/>
    <cellStyle name="Dane wyjściowe 2 16 14 4" xfId="13953"/>
    <cellStyle name="Dane wyjściowe 2 16 15" xfId="13954"/>
    <cellStyle name="Dane wyjściowe 2 16 15 2" xfId="13955"/>
    <cellStyle name="Dane wyjściowe 2 16 15 3" xfId="13956"/>
    <cellStyle name="Dane wyjściowe 2 16 15 4" xfId="13957"/>
    <cellStyle name="Dane wyjściowe 2 16 16" xfId="13958"/>
    <cellStyle name="Dane wyjściowe 2 16 16 2" xfId="13959"/>
    <cellStyle name="Dane wyjściowe 2 16 16 3" xfId="13960"/>
    <cellStyle name="Dane wyjściowe 2 16 16 4" xfId="13961"/>
    <cellStyle name="Dane wyjściowe 2 16 17" xfId="13962"/>
    <cellStyle name="Dane wyjściowe 2 16 17 2" xfId="13963"/>
    <cellStyle name="Dane wyjściowe 2 16 17 3" xfId="13964"/>
    <cellStyle name="Dane wyjściowe 2 16 17 4" xfId="13965"/>
    <cellStyle name="Dane wyjściowe 2 16 18" xfId="13966"/>
    <cellStyle name="Dane wyjściowe 2 16 18 2" xfId="13967"/>
    <cellStyle name="Dane wyjściowe 2 16 18 3" xfId="13968"/>
    <cellStyle name="Dane wyjściowe 2 16 18 4" xfId="13969"/>
    <cellStyle name="Dane wyjściowe 2 16 19" xfId="13970"/>
    <cellStyle name="Dane wyjściowe 2 16 19 2" xfId="13971"/>
    <cellStyle name="Dane wyjściowe 2 16 19 3" xfId="13972"/>
    <cellStyle name="Dane wyjściowe 2 16 19 4" xfId="13973"/>
    <cellStyle name="Dane wyjściowe 2 16 2" xfId="13974"/>
    <cellStyle name="Dane wyjściowe 2 16 2 2" xfId="13975"/>
    <cellStyle name="Dane wyjściowe 2 16 2 3" xfId="13976"/>
    <cellStyle name="Dane wyjściowe 2 16 2 4" xfId="13977"/>
    <cellStyle name="Dane wyjściowe 2 16 20" xfId="13978"/>
    <cellStyle name="Dane wyjściowe 2 16 20 2" xfId="13979"/>
    <cellStyle name="Dane wyjściowe 2 16 20 3" xfId="13980"/>
    <cellStyle name="Dane wyjściowe 2 16 20 4" xfId="13981"/>
    <cellStyle name="Dane wyjściowe 2 16 21" xfId="13982"/>
    <cellStyle name="Dane wyjściowe 2 16 21 2" xfId="13983"/>
    <cellStyle name="Dane wyjściowe 2 16 21 3" xfId="13984"/>
    <cellStyle name="Dane wyjściowe 2 16 22" xfId="13985"/>
    <cellStyle name="Dane wyjściowe 2 16 22 2" xfId="13986"/>
    <cellStyle name="Dane wyjściowe 2 16 22 3" xfId="13987"/>
    <cellStyle name="Dane wyjściowe 2 16 23" xfId="13988"/>
    <cellStyle name="Dane wyjściowe 2 16 23 2" xfId="13989"/>
    <cellStyle name="Dane wyjściowe 2 16 23 3" xfId="13990"/>
    <cellStyle name="Dane wyjściowe 2 16 24" xfId="13991"/>
    <cellStyle name="Dane wyjściowe 2 16 24 2" xfId="13992"/>
    <cellStyle name="Dane wyjściowe 2 16 24 3" xfId="13993"/>
    <cellStyle name="Dane wyjściowe 2 16 25" xfId="13994"/>
    <cellStyle name="Dane wyjściowe 2 16 25 2" xfId="13995"/>
    <cellStyle name="Dane wyjściowe 2 16 25 3" xfId="13996"/>
    <cellStyle name="Dane wyjściowe 2 16 26" xfId="13997"/>
    <cellStyle name="Dane wyjściowe 2 16 26 2" xfId="13998"/>
    <cellStyle name="Dane wyjściowe 2 16 26 3" xfId="13999"/>
    <cellStyle name="Dane wyjściowe 2 16 27" xfId="14000"/>
    <cellStyle name="Dane wyjściowe 2 16 27 2" xfId="14001"/>
    <cellStyle name="Dane wyjściowe 2 16 27 3" xfId="14002"/>
    <cellStyle name="Dane wyjściowe 2 16 28" xfId="14003"/>
    <cellStyle name="Dane wyjściowe 2 16 28 2" xfId="14004"/>
    <cellStyle name="Dane wyjściowe 2 16 28 3" xfId="14005"/>
    <cellStyle name="Dane wyjściowe 2 16 29" xfId="14006"/>
    <cellStyle name="Dane wyjściowe 2 16 29 2" xfId="14007"/>
    <cellStyle name="Dane wyjściowe 2 16 29 3" xfId="14008"/>
    <cellStyle name="Dane wyjściowe 2 16 3" xfId="14009"/>
    <cellStyle name="Dane wyjściowe 2 16 3 2" xfId="14010"/>
    <cellStyle name="Dane wyjściowe 2 16 3 3" xfId="14011"/>
    <cellStyle name="Dane wyjściowe 2 16 3 4" xfId="14012"/>
    <cellStyle name="Dane wyjściowe 2 16 30" xfId="14013"/>
    <cellStyle name="Dane wyjściowe 2 16 30 2" xfId="14014"/>
    <cellStyle name="Dane wyjściowe 2 16 30 3" xfId="14015"/>
    <cellStyle name="Dane wyjściowe 2 16 31" xfId="14016"/>
    <cellStyle name="Dane wyjściowe 2 16 31 2" xfId="14017"/>
    <cellStyle name="Dane wyjściowe 2 16 31 3" xfId="14018"/>
    <cellStyle name="Dane wyjściowe 2 16 32" xfId="14019"/>
    <cellStyle name="Dane wyjściowe 2 16 32 2" xfId="14020"/>
    <cellStyle name="Dane wyjściowe 2 16 32 3" xfId="14021"/>
    <cellStyle name="Dane wyjściowe 2 16 33" xfId="14022"/>
    <cellStyle name="Dane wyjściowe 2 16 33 2" xfId="14023"/>
    <cellStyle name="Dane wyjściowe 2 16 33 3" xfId="14024"/>
    <cellStyle name="Dane wyjściowe 2 16 34" xfId="14025"/>
    <cellStyle name="Dane wyjściowe 2 16 34 2" xfId="14026"/>
    <cellStyle name="Dane wyjściowe 2 16 34 3" xfId="14027"/>
    <cellStyle name="Dane wyjściowe 2 16 35" xfId="14028"/>
    <cellStyle name="Dane wyjściowe 2 16 35 2" xfId="14029"/>
    <cellStyle name="Dane wyjściowe 2 16 35 3" xfId="14030"/>
    <cellStyle name="Dane wyjściowe 2 16 36" xfId="14031"/>
    <cellStyle name="Dane wyjściowe 2 16 36 2" xfId="14032"/>
    <cellStyle name="Dane wyjściowe 2 16 36 3" xfId="14033"/>
    <cellStyle name="Dane wyjściowe 2 16 37" xfId="14034"/>
    <cellStyle name="Dane wyjściowe 2 16 37 2" xfId="14035"/>
    <cellStyle name="Dane wyjściowe 2 16 37 3" xfId="14036"/>
    <cellStyle name="Dane wyjściowe 2 16 38" xfId="14037"/>
    <cellStyle name="Dane wyjściowe 2 16 38 2" xfId="14038"/>
    <cellStyle name="Dane wyjściowe 2 16 38 3" xfId="14039"/>
    <cellStyle name="Dane wyjściowe 2 16 39" xfId="14040"/>
    <cellStyle name="Dane wyjściowe 2 16 39 2" xfId="14041"/>
    <cellStyle name="Dane wyjściowe 2 16 39 3" xfId="14042"/>
    <cellStyle name="Dane wyjściowe 2 16 4" xfId="14043"/>
    <cellStyle name="Dane wyjściowe 2 16 4 2" xfId="14044"/>
    <cellStyle name="Dane wyjściowe 2 16 4 3" xfId="14045"/>
    <cellStyle name="Dane wyjściowe 2 16 4 4" xfId="14046"/>
    <cellStyle name="Dane wyjściowe 2 16 40" xfId="14047"/>
    <cellStyle name="Dane wyjściowe 2 16 40 2" xfId="14048"/>
    <cellStyle name="Dane wyjściowe 2 16 40 3" xfId="14049"/>
    <cellStyle name="Dane wyjściowe 2 16 41" xfId="14050"/>
    <cellStyle name="Dane wyjściowe 2 16 41 2" xfId="14051"/>
    <cellStyle name="Dane wyjściowe 2 16 41 3" xfId="14052"/>
    <cellStyle name="Dane wyjściowe 2 16 42" xfId="14053"/>
    <cellStyle name="Dane wyjściowe 2 16 42 2" xfId="14054"/>
    <cellStyle name="Dane wyjściowe 2 16 42 3" xfId="14055"/>
    <cellStyle name="Dane wyjściowe 2 16 43" xfId="14056"/>
    <cellStyle name="Dane wyjściowe 2 16 43 2" xfId="14057"/>
    <cellStyle name="Dane wyjściowe 2 16 43 3" xfId="14058"/>
    <cellStyle name="Dane wyjściowe 2 16 44" xfId="14059"/>
    <cellStyle name="Dane wyjściowe 2 16 44 2" xfId="14060"/>
    <cellStyle name="Dane wyjściowe 2 16 44 3" xfId="14061"/>
    <cellStyle name="Dane wyjściowe 2 16 45" xfId="14062"/>
    <cellStyle name="Dane wyjściowe 2 16 45 2" xfId="14063"/>
    <cellStyle name="Dane wyjściowe 2 16 45 3" xfId="14064"/>
    <cellStyle name="Dane wyjściowe 2 16 46" xfId="14065"/>
    <cellStyle name="Dane wyjściowe 2 16 46 2" xfId="14066"/>
    <cellStyle name="Dane wyjściowe 2 16 46 3" xfId="14067"/>
    <cellStyle name="Dane wyjściowe 2 16 47" xfId="14068"/>
    <cellStyle name="Dane wyjściowe 2 16 47 2" xfId="14069"/>
    <cellStyle name="Dane wyjściowe 2 16 47 3" xfId="14070"/>
    <cellStyle name="Dane wyjściowe 2 16 48" xfId="14071"/>
    <cellStyle name="Dane wyjściowe 2 16 48 2" xfId="14072"/>
    <cellStyle name="Dane wyjściowe 2 16 48 3" xfId="14073"/>
    <cellStyle name="Dane wyjściowe 2 16 49" xfId="14074"/>
    <cellStyle name="Dane wyjściowe 2 16 49 2" xfId="14075"/>
    <cellStyle name="Dane wyjściowe 2 16 49 3" xfId="14076"/>
    <cellStyle name="Dane wyjściowe 2 16 5" xfId="14077"/>
    <cellStyle name="Dane wyjściowe 2 16 5 2" xfId="14078"/>
    <cellStyle name="Dane wyjściowe 2 16 5 3" xfId="14079"/>
    <cellStyle name="Dane wyjściowe 2 16 5 4" xfId="14080"/>
    <cellStyle name="Dane wyjściowe 2 16 50" xfId="14081"/>
    <cellStyle name="Dane wyjściowe 2 16 50 2" xfId="14082"/>
    <cellStyle name="Dane wyjściowe 2 16 50 3" xfId="14083"/>
    <cellStyle name="Dane wyjściowe 2 16 51" xfId="14084"/>
    <cellStyle name="Dane wyjściowe 2 16 51 2" xfId="14085"/>
    <cellStyle name="Dane wyjściowe 2 16 51 3" xfId="14086"/>
    <cellStyle name="Dane wyjściowe 2 16 52" xfId="14087"/>
    <cellStyle name="Dane wyjściowe 2 16 52 2" xfId="14088"/>
    <cellStyle name="Dane wyjściowe 2 16 52 3" xfId="14089"/>
    <cellStyle name="Dane wyjściowe 2 16 53" xfId="14090"/>
    <cellStyle name="Dane wyjściowe 2 16 53 2" xfId="14091"/>
    <cellStyle name="Dane wyjściowe 2 16 53 3" xfId="14092"/>
    <cellStyle name="Dane wyjściowe 2 16 54" xfId="14093"/>
    <cellStyle name="Dane wyjściowe 2 16 54 2" xfId="14094"/>
    <cellStyle name="Dane wyjściowe 2 16 54 3" xfId="14095"/>
    <cellStyle name="Dane wyjściowe 2 16 55" xfId="14096"/>
    <cellStyle name="Dane wyjściowe 2 16 55 2" xfId="14097"/>
    <cellStyle name="Dane wyjściowe 2 16 55 3" xfId="14098"/>
    <cellStyle name="Dane wyjściowe 2 16 56" xfId="14099"/>
    <cellStyle name="Dane wyjściowe 2 16 56 2" xfId="14100"/>
    <cellStyle name="Dane wyjściowe 2 16 56 3" xfId="14101"/>
    <cellStyle name="Dane wyjściowe 2 16 57" xfId="14102"/>
    <cellStyle name="Dane wyjściowe 2 16 58" xfId="14103"/>
    <cellStyle name="Dane wyjściowe 2 16 6" xfId="14104"/>
    <cellStyle name="Dane wyjściowe 2 16 6 2" xfId="14105"/>
    <cellStyle name="Dane wyjściowe 2 16 6 3" xfId="14106"/>
    <cellStyle name="Dane wyjściowe 2 16 6 4" xfId="14107"/>
    <cellStyle name="Dane wyjściowe 2 16 7" xfId="14108"/>
    <cellStyle name="Dane wyjściowe 2 16 7 2" xfId="14109"/>
    <cellStyle name="Dane wyjściowe 2 16 7 3" xfId="14110"/>
    <cellStyle name="Dane wyjściowe 2 16 7 4" xfId="14111"/>
    <cellStyle name="Dane wyjściowe 2 16 8" xfId="14112"/>
    <cellStyle name="Dane wyjściowe 2 16 8 2" xfId="14113"/>
    <cellStyle name="Dane wyjściowe 2 16 8 3" xfId="14114"/>
    <cellStyle name="Dane wyjściowe 2 16 8 4" xfId="14115"/>
    <cellStyle name="Dane wyjściowe 2 16 9" xfId="14116"/>
    <cellStyle name="Dane wyjściowe 2 16 9 2" xfId="14117"/>
    <cellStyle name="Dane wyjściowe 2 16 9 3" xfId="14118"/>
    <cellStyle name="Dane wyjściowe 2 16 9 4" xfId="14119"/>
    <cellStyle name="Dane wyjściowe 2 17" xfId="14120"/>
    <cellStyle name="Dane wyjściowe 2 17 10" xfId="14121"/>
    <cellStyle name="Dane wyjściowe 2 17 10 2" xfId="14122"/>
    <cellStyle name="Dane wyjściowe 2 17 10 3" xfId="14123"/>
    <cellStyle name="Dane wyjściowe 2 17 10 4" xfId="14124"/>
    <cellStyle name="Dane wyjściowe 2 17 11" xfId="14125"/>
    <cellStyle name="Dane wyjściowe 2 17 11 2" xfId="14126"/>
    <cellStyle name="Dane wyjściowe 2 17 11 3" xfId="14127"/>
    <cellStyle name="Dane wyjściowe 2 17 11 4" xfId="14128"/>
    <cellStyle name="Dane wyjściowe 2 17 12" xfId="14129"/>
    <cellStyle name="Dane wyjściowe 2 17 12 2" xfId="14130"/>
    <cellStyle name="Dane wyjściowe 2 17 12 3" xfId="14131"/>
    <cellStyle name="Dane wyjściowe 2 17 12 4" xfId="14132"/>
    <cellStyle name="Dane wyjściowe 2 17 13" xfId="14133"/>
    <cellStyle name="Dane wyjściowe 2 17 13 2" xfId="14134"/>
    <cellStyle name="Dane wyjściowe 2 17 13 3" xfId="14135"/>
    <cellStyle name="Dane wyjściowe 2 17 13 4" xfId="14136"/>
    <cellStyle name="Dane wyjściowe 2 17 14" xfId="14137"/>
    <cellStyle name="Dane wyjściowe 2 17 14 2" xfId="14138"/>
    <cellStyle name="Dane wyjściowe 2 17 14 3" xfId="14139"/>
    <cellStyle name="Dane wyjściowe 2 17 14 4" xfId="14140"/>
    <cellStyle name="Dane wyjściowe 2 17 15" xfId="14141"/>
    <cellStyle name="Dane wyjściowe 2 17 15 2" xfId="14142"/>
    <cellStyle name="Dane wyjściowe 2 17 15 3" xfId="14143"/>
    <cellStyle name="Dane wyjściowe 2 17 15 4" xfId="14144"/>
    <cellStyle name="Dane wyjściowe 2 17 16" xfId="14145"/>
    <cellStyle name="Dane wyjściowe 2 17 16 2" xfId="14146"/>
    <cellStyle name="Dane wyjściowe 2 17 16 3" xfId="14147"/>
    <cellStyle name="Dane wyjściowe 2 17 16 4" xfId="14148"/>
    <cellStyle name="Dane wyjściowe 2 17 17" xfId="14149"/>
    <cellStyle name="Dane wyjściowe 2 17 17 2" xfId="14150"/>
    <cellStyle name="Dane wyjściowe 2 17 17 3" xfId="14151"/>
    <cellStyle name="Dane wyjściowe 2 17 17 4" xfId="14152"/>
    <cellStyle name="Dane wyjściowe 2 17 18" xfId="14153"/>
    <cellStyle name="Dane wyjściowe 2 17 18 2" xfId="14154"/>
    <cellStyle name="Dane wyjściowe 2 17 18 3" xfId="14155"/>
    <cellStyle name="Dane wyjściowe 2 17 18 4" xfId="14156"/>
    <cellStyle name="Dane wyjściowe 2 17 19" xfId="14157"/>
    <cellStyle name="Dane wyjściowe 2 17 19 2" xfId="14158"/>
    <cellStyle name="Dane wyjściowe 2 17 19 3" xfId="14159"/>
    <cellStyle name="Dane wyjściowe 2 17 19 4" xfId="14160"/>
    <cellStyle name="Dane wyjściowe 2 17 2" xfId="14161"/>
    <cellStyle name="Dane wyjściowe 2 17 2 2" xfId="14162"/>
    <cellStyle name="Dane wyjściowe 2 17 2 3" xfId="14163"/>
    <cellStyle name="Dane wyjściowe 2 17 2 4" xfId="14164"/>
    <cellStyle name="Dane wyjściowe 2 17 20" xfId="14165"/>
    <cellStyle name="Dane wyjściowe 2 17 20 2" xfId="14166"/>
    <cellStyle name="Dane wyjściowe 2 17 20 3" xfId="14167"/>
    <cellStyle name="Dane wyjściowe 2 17 20 4" xfId="14168"/>
    <cellStyle name="Dane wyjściowe 2 17 21" xfId="14169"/>
    <cellStyle name="Dane wyjściowe 2 17 21 2" xfId="14170"/>
    <cellStyle name="Dane wyjściowe 2 17 21 3" xfId="14171"/>
    <cellStyle name="Dane wyjściowe 2 17 22" xfId="14172"/>
    <cellStyle name="Dane wyjściowe 2 17 22 2" xfId="14173"/>
    <cellStyle name="Dane wyjściowe 2 17 22 3" xfId="14174"/>
    <cellStyle name="Dane wyjściowe 2 17 23" xfId="14175"/>
    <cellStyle name="Dane wyjściowe 2 17 23 2" xfId="14176"/>
    <cellStyle name="Dane wyjściowe 2 17 23 3" xfId="14177"/>
    <cellStyle name="Dane wyjściowe 2 17 24" xfId="14178"/>
    <cellStyle name="Dane wyjściowe 2 17 24 2" xfId="14179"/>
    <cellStyle name="Dane wyjściowe 2 17 24 3" xfId="14180"/>
    <cellStyle name="Dane wyjściowe 2 17 25" xfId="14181"/>
    <cellStyle name="Dane wyjściowe 2 17 25 2" xfId="14182"/>
    <cellStyle name="Dane wyjściowe 2 17 25 3" xfId="14183"/>
    <cellStyle name="Dane wyjściowe 2 17 26" xfId="14184"/>
    <cellStyle name="Dane wyjściowe 2 17 26 2" xfId="14185"/>
    <cellStyle name="Dane wyjściowe 2 17 26 3" xfId="14186"/>
    <cellStyle name="Dane wyjściowe 2 17 27" xfId="14187"/>
    <cellStyle name="Dane wyjściowe 2 17 27 2" xfId="14188"/>
    <cellStyle name="Dane wyjściowe 2 17 27 3" xfId="14189"/>
    <cellStyle name="Dane wyjściowe 2 17 28" xfId="14190"/>
    <cellStyle name="Dane wyjściowe 2 17 28 2" xfId="14191"/>
    <cellStyle name="Dane wyjściowe 2 17 28 3" xfId="14192"/>
    <cellStyle name="Dane wyjściowe 2 17 29" xfId="14193"/>
    <cellStyle name="Dane wyjściowe 2 17 29 2" xfId="14194"/>
    <cellStyle name="Dane wyjściowe 2 17 29 3" xfId="14195"/>
    <cellStyle name="Dane wyjściowe 2 17 3" xfId="14196"/>
    <cellStyle name="Dane wyjściowe 2 17 3 2" xfId="14197"/>
    <cellStyle name="Dane wyjściowe 2 17 3 3" xfId="14198"/>
    <cellStyle name="Dane wyjściowe 2 17 3 4" xfId="14199"/>
    <cellStyle name="Dane wyjściowe 2 17 30" xfId="14200"/>
    <cellStyle name="Dane wyjściowe 2 17 30 2" xfId="14201"/>
    <cellStyle name="Dane wyjściowe 2 17 30 3" xfId="14202"/>
    <cellStyle name="Dane wyjściowe 2 17 31" xfId="14203"/>
    <cellStyle name="Dane wyjściowe 2 17 31 2" xfId="14204"/>
    <cellStyle name="Dane wyjściowe 2 17 31 3" xfId="14205"/>
    <cellStyle name="Dane wyjściowe 2 17 32" xfId="14206"/>
    <cellStyle name="Dane wyjściowe 2 17 32 2" xfId="14207"/>
    <cellStyle name="Dane wyjściowe 2 17 32 3" xfId="14208"/>
    <cellStyle name="Dane wyjściowe 2 17 33" xfId="14209"/>
    <cellStyle name="Dane wyjściowe 2 17 33 2" xfId="14210"/>
    <cellStyle name="Dane wyjściowe 2 17 33 3" xfId="14211"/>
    <cellStyle name="Dane wyjściowe 2 17 34" xfId="14212"/>
    <cellStyle name="Dane wyjściowe 2 17 34 2" xfId="14213"/>
    <cellStyle name="Dane wyjściowe 2 17 34 3" xfId="14214"/>
    <cellStyle name="Dane wyjściowe 2 17 35" xfId="14215"/>
    <cellStyle name="Dane wyjściowe 2 17 35 2" xfId="14216"/>
    <cellStyle name="Dane wyjściowe 2 17 35 3" xfId="14217"/>
    <cellStyle name="Dane wyjściowe 2 17 36" xfId="14218"/>
    <cellStyle name="Dane wyjściowe 2 17 36 2" xfId="14219"/>
    <cellStyle name="Dane wyjściowe 2 17 36 3" xfId="14220"/>
    <cellStyle name="Dane wyjściowe 2 17 37" xfId="14221"/>
    <cellStyle name="Dane wyjściowe 2 17 37 2" xfId="14222"/>
    <cellStyle name="Dane wyjściowe 2 17 37 3" xfId="14223"/>
    <cellStyle name="Dane wyjściowe 2 17 38" xfId="14224"/>
    <cellStyle name="Dane wyjściowe 2 17 38 2" xfId="14225"/>
    <cellStyle name="Dane wyjściowe 2 17 38 3" xfId="14226"/>
    <cellStyle name="Dane wyjściowe 2 17 39" xfId="14227"/>
    <cellStyle name="Dane wyjściowe 2 17 39 2" xfId="14228"/>
    <cellStyle name="Dane wyjściowe 2 17 39 3" xfId="14229"/>
    <cellStyle name="Dane wyjściowe 2 17 4" xfId="14230"/>
    <cellStyle name="Dane wyjściowe 2 17 4 2" xfId="14231"/>
    <cellStyle name="Dane wyjściowe 2 17 4 3" xfId="14232"/>
    <cellStyle name="Dane wyjściowe 2 17 4 4" xfId="14233"/>
    <cellStyle name="Dane wyjściowe 2 17 40" xfId="14234"/>
    <cellStyle name="Dane wyjściowe 2 17 40 2" xfId="14235"/>
    <cellStyle name="Dane wyjściowe 2 17 40 3" xfId="14236"/>
    <cellStyle name="Dane wyjściowe 2 17 41" xfId="14237"/>
    <cellStyle name="Dane wyjściowe 2 17 41 2" xfId="14238"/>
    <cellStyle name="Dane wyjściowe 2 17 41 3" xfId="14239"/>
    <cellStyle name="Dane wyjściowe 2 17 42" xfId="14240"/>
    <cellStyle name="Dane wyjściowe 2 17 42 2" xfId="14241"/>
    <cellStyle name="Dane wyjściowe 2 17 42 3" xfId="14242"/>
    <cellStyle name="Dane wyjściowe 2 17 43" xfId="14243"/>
    <cellStyle name="Dane wyjściowe 2 17 43 2" xfId="14244"/>
    <cellStyle name="Dane wyjściowe 2 17 43 3" xfId="14245"/>
    <cellStyle name="Dane wyjściowe 2 17 44" xfId="14246"/>
    <cellStyle name="Dane wyjściowe 2 17 44 2" xfId="14247"/>
    <cellStyle name="Dane wyjściowe 2 17 44 3" xfId="14248"/>
    <cellStyle name="Dane wyjściowe 2 17 45" xfId="14249"/>
    <cellStyle name="Dane wyjściowe 2 17 45 2" xfId="14250"/>
    <cellStyle name="Dane wyjściowe 2 17 45 3" xfId="14251"/>
    <cellStyle name="Dane wyjściowe 2 17 46" xfId="14252"/>
    <cellStyle name="Dane wyjściowe 2 17 46 2" xfId="14253"/>
    <cellStyle name="Dane wyjściowe 2 17 46 3" xfId="14254"/>
    <cellStyle name="Dane wyjściowe 2 17 47" xfId="14255"/>
    <cellStyle name="Dane wyjściowe 2 17 47 2" xfId="14256"/>
    <cellStyle name="Dane wyjściowe 2 17 47 3" xfId="14257"/>
    <cellStyle name="Dane wyjściowe 2 17 48" xfId="14258"/>
    <cellStyle name="Dane wyjściowe 2 17 48 2" xfId="14259"/>
    <cellStyle name="Dane wyjściowe 2 17 48 3" xfId="14260"/>
    <cellStyle name="Dane wyjściowe 2 17 49" xfId="14261"/>
    <cellStyle name="Dane wyjściowe 2 17 49 2" xfId="14262"/>
    <cellStyle name="Dane wyjściowe 2 17 49 3" xfId="14263"/>
    <cellStyle name="Dane wyjściowe 2 17 5" xfId="14264"/>
    <cellStyle name="Dane wyjściowe 2 17 5 2" xfId="14265"/>
    <cellStyle name="Dane wyjściowe 2 17 5 3" xfId="14266"/>
    <cellStyle name="Dane wyjściowe 2 17 5 4" xfId="14267"/>
    <cellStyle name="Dane wyjściowe 2 17 50" xfId="14268"/>
    <cellStyle name="Dane wyjściowe 2 17 50 2" xfId="14269"/>
    <cellStyle name="Dane wyjściowe 2 17 50 3" xfId="14270"/>
    <cellStyle name="Dane wyjściowe 2 17 51" xfId="14271"/>
    <cellStyle name="Dane wyjściowe 2 17 51 2" xfId="14272"/>
    <cellStyle name="Dane wyjściowe 2 17 51 3" xfId="14273"/>
    <cellStyle name="Dane wyjściowe 2 17 52" xfId="14274"/>
    <cellStyle name="Dane wyjściowe 2 17 52 2" xfId="14275"/>
    <cellStyle name="Dane wyjściowe 2 17 52 3" xfId="14276"/>
    <cellStyle name="Dane wyjściowe 2 17 53" xfId="14277"/>
    <cellStyle name="Dane wyjściowe 2 17 53 2" xfId="14278"/>
    <cellStyle name="Dane wyjściowe 2 17 53 3" xfId="14279"/>
    <cellStyle name="Dane wyjściowe 2 17 54" xfId="14280"/>
    <cellStyle name="Dane wyjściowe 2 17 54 2" xfId="14281"/>
    <cellStyle name="Dane wyjściowe 2 17 54 3" xfId="14282"/>
    <cellStyle name="Dane wyjściowe 2 17 55" xfId="14283"/>
    <cellStyle name="Dane wyjściowe 2 17 55 2" xfId="14284"/>
    <cellStyle name="Dane wyjściowe 2 17 55 3" xfId="14285"/>
    <cellStyle name="Dane wyjściowe 2 17 56" xfId="14286"/>
    <cellStyle name="Dane wyjściowe 2 17 56 2" xfId="14287"/>
    <cellStyle name="Dane wyjściowe 2 17 56 3" xfId="14288"/>
    <cellStyle name="Dane wyjściowe 2 17 57" xfId="14289"/>
    <cellStyle name="Dane wyjściowe 2 17 58" xfId="14290"/>
    <cellStyle name="Dane wyjściowe 2 17 6" xfId="14291"/>
    <cellStyle name="Dane wyjściowe 2 17 6 2" xfId="14292"/>
    <cellStyle name="Dane wyjściowe 2 17 6 3" xfId="14293"/>
    <cellStyle name="Dane wyjściowe 2 17 6 4" xfId="14294"/>
    <cellStyle name="Dane wyjściowe 2 17 7" xfId="14295"/>
    <cellStyle name="Dane wyjściowe 2 17 7 2" xfId="14296"/>
    <cellStyle name="Dane wyjściowe 2 17 7 3" xfId="14297"/>
    <cellStyle name="Dane wyjściowe 2 17 7 4" xfId="14298"/>
    <cellStyle name="Dane wyjściowe 2 17 8" xfId="14299"/>
    <cellStyle name="Dane wyjściowe 2 17 8 2" xfId="14300"/>
    <cellStyle name="Dane wyjściowe 2 17 8 3" xfId="14301"/>
    <cellStyle name="Dane wyjściowe 2 17 8 4" xfId="14302"/>
    <cellStyle name="Dane wyjściowe 2 17 9" xfId="14303"/>
    <cellStyle name="Dane wyjściowe 2 17 9 2" xfId="14304"/>
    <cellStyle name="Dane wyjściowe 2 17 9 3" xfId="14305"/>
    <cellStyle name="Dane wyjściowe 2 17 9 4" xfId="14306"/>
    <cellStyle name="Dane wyjściowe 2 18" xfId="14307"/>
    <cellStyle name="Dane wyjściowe 2 18 10" xfId="14308"/>
    <cellStyle name="Dane wyjściowe 2 18 10 2" xfId="14309"/>
    <cellStyle name="Dane wyjściowe 2 18 10 3" xfId="14310"/>
    <cellStyle name="Dane wyjściowe 2 18 10 4" xfId="14311"/>
    <cellStyle name="Dane wyjściowe 2 18 11" xfId="14312"/>
    <cellStyle name="Dane wyjściowe 2 18 11 2" xfId="14313"/>
    <cellStyle name="Dane wyjściowe 2 18 11 3" xfId="14314"/>
    <cellStyle name="Dane wyjściowe 2 18 11 4" xfId="14315"/>
    <cellStyle name="Dane wyjściowe 2 18 12" xfId="14316"/>
    <cellStyle name="Dane wyjściowe 2 18 12 2" xfId="14317"/>
    <cellStyle name="Dane wyjściowe 2 18 12 3" xfId="14318"/>
    <cellStyle name="Dane wyjściowe 2 18 12 4" xfId="14319"/>
    <cellStyle name="Dane wyjściowe 2 18 13" xfId="14320"/>
    <cellStyle name="Dane wyjściowe 2 18 13 2" xfId="14321"/>
    <cellStyle name="Dane wyjściowe 2 18 13 3" xfId="14322"/>
    <cellStyle name="Dane wyjściowe 2 18 13 4" xfId="14323"/>
    <cellStyle name="Dane wyjściowe 2 18 14" xfId="14324"/>
    <cellStyle name="Dane wyjściowe 2 18 14 2" xfId="14325"/>
    <cellStyle name="Dane wyjściowe 2 18 14 3" xfId="14326"/>
    <cellStyle name="Dane wyjściowe 2 18 14 4" xfId="14327"/>
    <cellStyle name="Dane wyjściowe 2 18 15" xfId="14328"/>
    <cellStyle name="Dane wyjściowe 2 18 15 2" xfId="14329"/>
    <cellStyle name="Dane wyjściowe 2 18 15 3" xfId="14330"/>
    <cellStyle name="Dane wyjściowe 2 18 15 4" xfId="14331"/>
    <cellStyle name="Dane wyjściowe 2 18 16" xfId="14332"/>
    <cellStyle name="Dane wyjściowe 2 18 16 2" xfId="14333"/>
    <cellStyle name="Dane wyjściowe 2 18 16 3" xfId="14334"/>
    <cellStyle name="Dane wyjściowe 2 18 16 4" xfId="14335"/>
    <cellStyle name="Dane wyjściowe 2 18 17" xfId="14336"/>
    <cellStyle name="Dane wyjściowe 2 18 17 2" xfId="14337"/>
    <cellStyle name="Dane wyjściowe 2 18 17 3" xfId="14338"/>
    <cellStyle name="Dane wyjściowe 2 18 17 4" xfId="14339"/>
    <cellStyle name="Dane wyjściowe 2 18 18" xfId="14340"/>
    <cellStyle name="Dane wyjściowe 2 18 18 2" xfId="14341"/>
    <cellStyle name="Dane wyjściowe 2 18 18 3" xfId="14342"/>
    <cellStyle name="Dane wyjściowe 2 18 18 4" xfId="14343"/>
    <cellStyle name="Dane wyjściowe 2 18 19" xfId="14344"/>
    <cellStyle name="Dane wyjściowe 2 18 19 2" xfId="14345"/>
    <cellStyle name="Dane wyjściowe 2 18 19 3" xfId="14346"/>
    <cellStyle name="Dane wyjściowe 2 18 19 4" xfId="14347"/>
    <cellStyle name="Dane wyjściowe 2 18 2" xfId="14348"/>
    <cellStyle name="Dane wyjściowe 2 18 2 2" xfId="14349"/>
    <cellStyle name="Dane wyjściowe 2 18 2 3" xfId="14350"/>
    <cellStyle name="Dane wyjściowe 2 18 2 4" xfId="14351"/>
    <cellStyle name="Dane wyjściowe 2 18 20" xfId="14352"/>
    <cellStyle name="Dane wyjściowe 2 18 20 2" xfId="14353"/>
    <cellStyle name="Dane wyjściowe 2 18 20 3" xfId="14354"/>
    <cellStyle name="Dane wyjściowe 2 18 20 4" xfId="14355"/>
    <cellStyle name="Dane wyjściowe 2 18 21" xfId="14356"/>
    <cellStyle name="Dane wyjściowe 2 18 21 2" xfId="14357"/>
    <cellStyle name="Dane wyjściowe 2 18 21 3" xfId="14358"/>
    <cellStyle name="Dane wyjściowe 2 18 22" xfId="14359"/>
    <cellStyle name="Dane wyjściowe 2 18 22 2" xfId="14360"/>
    <cellStyle name="Dane wyjściowe 2 18 22 3" xfId="14361"/>
    <cellStyle name="Dane wyjściowe 2 18 23" xfId="14362"/>
    <cellStyle name="Dane wyjściowe 2 18 23 2" xfId="14363"/>
    <cellStyle name="Dane wyjściowe 2 18 23 3" xfId="14364"/>
    <cellStyle name="Dane wyjściowe 2 18 24" xfId="14365"/>
    <cellStyle name="Dane wyjściowe 2 18 24 2" xfId="14366"/>
    <cellStyle name="Dane wyjściowe 2 18 24 3" xfId="14367"/>
    <cellStyle name="Dane wyjściowe 2 18 25" xfId="14368"/>
    <cellStyle name="Dane wyjściowe 2 18 25 2" xfId="14369"/>
    <cellStyle name="Dane wyjściowe 2 18 25 3" xfId="14370"/>
    <cellStyle name="Dane wyjściowe 2 18 26" xfId="14371"/>
    <cellStyle name="Dane wyjściowe 2 18 26 2" xfId="14372"/>
    <cellStyle name="Dane wyjściowe 2 18 26 3" xfId="14373"/>
    <cellStyle name="Dane wyjściowe 2 18 27" xfId="14374"/>
    <cellStyle name="Dane wyjściowe 2 18 27 2" xfId="14375"/>
    <cellStyle name="Dane wyjściowe 2 18 27 3" xfId="14376"/>
    <cellStyle name="Dane wyjściowe 2 18 28" xfId="14377"/>
    <cellStyle name="Dane wyjściowe 2 18 28 2" xfId="14378"/>
    <cellStyle name="Dane wyjściowe 2 18 28 3" xfId="14379"/>
    <cellStyle name="Dane wyjściowe 2 18 29" xfId="14380"/>
    <cellStyle name="Dane wyjściowe 2 18 29 2" xfId="14381"/>
    <cellStyle name="Dane wyjściowe 2 18 29 3" xfId="14382"/>
    <cellStyle name="Dane wyjściowe 2 18 3" xfId="14383"/>
    <cellStyle name="Dane wyjściowe 2 18 3 2" xfId="14384"/>
    <cellStyle name="Dane wyjściowe 2 18 3 3" xfId="14385"/>
    <cellStyle name="Dane wyjściowe 2 18 3 4" xfId="14386"/>
    <cellStyle name="Dane wyjściowe 2 18 30" xfId="14387"/>
    <cellStyle name="Dane wyjściowe 2 18 30 2" xfId="14388"/>
    <cellStyle name="Dane wyjściowe 2 18 30 3" xfId="14389"/>
    <cellStyle name="Dane wyjściowe 2 18 31" xfId="14390"/>
    <cellStyle name="Dane wyjściowe 2 18 31 2" xfId="14391"/>
    <cellStyle name="Dane wyjściowe 2 18 31 3" xfId="14392"/>
    <cellStyle name="Dane wyjściowe 2 18 32" xfId="14393"/>
    <cellStyle name="Dane wyjściowe 2 18 32 2" xfId="14394"/>
    <cellStyle name="Dane wyjściowe 2 18 32 3" xfId="14395"/>
    <cellStyle name="Dane wyjściowe 2 18 33" xfId="14396"/>
    <cellStyle name="Dane wyjściowe 2 18 33 2" xfId="14397"/>
    <cellStyle name="Dane wyjściowe 2 18 33 3" xfId="14398"/>
    <cellStyle name="Dane wyjściowe 2 18 34" xfId="14399"/>
    <cellStyle name="Dane wyjściowe 2 18 34 2" xfId="14400"/>
    <cellStyle name="Dane wyjściowe 2 18 34 3" xfId="14401"/>
    <cellStyle name="Dane wyjściowe 2 18 35" xfId="14402"/>
    <cellStyle name="Dane wyjściowe 2 18 35 2" xfId="14403"/>
    <cellStyle name="Dane wyjściowe 2 18 35 3" xfId="14404"/>
    <cellStyle name="Dane wyjściowe 2 18 36" xfId="14405"/>
    <cellStyle name="Dane wyjściowe 2 18 36 2" xfId="14406"/>
    <cellStyle name="Dane wyjściowe 2 18 36 3" xfId="14407"/>
    <cellStyle name="Dane wyjściowe 2 18 37" xfId="14408"/>
    <cellStyle name="Dane wyjściowe 2 18 37 2" xfId="14409"/>
    <cellStyle name="Dane wyjściowe 2 18 37 3" xfId="14410"/>
    <cellStyle name="Dane wyjściowe 2 18 38" xfId="14411"/>
    <cellStyle name="Dane wyjściowe 2 18 38 2" xfId="14412"/>
    <cellStyle name="Dane wyjściowe 2 18 38 3" xfId="14413"/>
    <cellStyle name="Dane wyjściowe 2 18 39" xfId="14414"/>
    <cellStyle name="Dane wyjściowe 2 18 39 2" xfId="14415"/>
    <cellStyle name="Dane wyjściowe 2 18 39 3" xfId="14416"/>
    <cellStyle name="Dane wyjściowe 2 18 4" xfId="14417"/>
    <cellStyle name="Dane wyjściowe 2 18 4 2" xfId="14418"/>
    <cellStyle name="Dane wyjściowe 2 18 4 3" xfId="14419"/>
    <cellStyle name="Dane wyjściowe 2 18 4 4" xfId="14420"/>
    <cellStyle name="Dane wyjściowe 2 18 40" xfId="14421"/>
    <cellStyle name="Dane wyjściowe 2 18 40 2" xfId="14422"/>
    <cellStyle name="Dane wyjściowe 2 18 40 3" xfId="14423"/>
    <cellStyle name="Dane wyjściowe 2 18 41" xfId="14424"/>
    <cellStyle name="Dane wyjściowe 2 18 41 2" xfId="14425"/>
    <cellStyle name="Dane wyjściowe 2 18 41 3" xfId="14426"/>
    <cellStyle name="Dane wyjściowe 2 18 42" xfId="14427"/>
    <cellStyle name="Dane wyjściowe 2 18 42 2" xfId="14428"/>
    <cellStyle name="Dane wyjściowe 2 18 42 3" xfId="14429"/>
    <cellStyle name="Dane wyjściowe 2 18 43" xfId="14430"/>
    <cellStyle name="Dane wyjściowe 2 18 43 2" xfId="14431"/>
    <cellStyle name="Dane wyjściowe 2 18 43 3" xfId="14432"/>
    <cellStyle name="Dane wyjściowe 2 18 44" xfId="14433"/>
    <cellStyle name="Dane wyjściowe 2 18 44 2" xfId="14434"/>
    <cellStyle name="Dane wyjściowe 2 18 44 3" xfId="14435"/>
    <cellStyle name="Dane wyjściowe 2 18 45" xfId="14436"/>
    <cellStyle name="Dane wyjściowe 2 18 45 2" xfId="14437"/>
    <cellStyle name="Dane wyjściowe 2 18 45 3" xfId="14438"/>
    <cellStyle name="Dane wyjściowe 2 18 46" xfId="14439"/>
    <cellStyle name="Dane wyjściowe 2 18 46 2" xfId="14440"/>
    <cellStyle name="Dane wyjściowe 2 18 46 3" xfId="14441"/>
    <cellStyle name="Dane wyjściowe 2 18 47" xfId="14442"/>
    <cellStyle name="Dane wyjściowe 2 18 47 2" xfId="14443"/>
    <cellStyle name="Dane wyjściowe 2 18 47 3" xfId="14444"/>
    <cellStyle name="Dane wyjściowe 2 18 48" xfId="14445"/>
    <cellStyle name="Dane wyjściowe 2 18 48 2" xfId="14446"/>
    <cellStyle name="Dane wyjściowe 2 18 48 3" xfId="14447"/>
    <cellStyle name="Dane wyjściowe 2 18 49" xfId="14448"/>
    <cellStyle name="Dane wyjściowe 2 18 49 2" xfId="14449"/>
    <cellStyle name="Dane wyjściowe 2 18 49 3" xfId="14450"/>
    <cellStyle name="Dane wyjściowe 2 18 5" xfId="14451"/>
    <cellStyle name="Dane wyjściowe 2 18 5 2" xfId="14452"/>
    <cellStyle name="Dane wyjściowe 2 18 5 3" xfId="14453"/>
    <cellStyle name="Dane wyjściowe 2 18 5 4" xfId="14454"/>
    <cellStyle name="Dane wyjściowe 2 18 50" xfId="14455"/>
    <cellStyle name="Dane wyjściowe 2 18 50 2" xfId="14456"/>
    <cellStyle name="Dane wyjściowe 2 18 50 3" xfId="14457"/>
    <cellStyle name="Dane wyjściowe 2 18 51" xfId="14458"/>
    <cellStyle name="Dane wyjściowe 2 18 51 2" xfId="14459"/>
    <cellStyle name="Dane wyjściowe 2 18 51 3" xfId="14460"/>
    <cellStyle name="Dane wyjściowe 2 18 52" xfId="14461"/>
    <cellStyle name="Dane wyjściowe 2 18 52 2" xfId="14462"/>
    <cellStyle name="Dane wyjściowe 2 18 52 3" xfId="14463"/>
    <cellStyle name="Dane wyjściowe 2 18 53" xfId="14464"/>
    <cellStyle name="Dane wyjściowe 2 18 53 2" xfId="14465"/>
    <cellStyle name="Dane wyjściowe 2 18 53 3" xfId="14466"/>
    <cellStyle name="Dane wyjściowe 2 18 54" xfId="14467"/>
    <cellStyle name="Dane wyjściowe 2 18 54 2" xfId="14468"/>
    <cellStyle name="Dane wyjściowe 2 18 54 3" xfId="14469"/>
    <cellStyle name="Dane wyjściowe 2 18 55" xfId="14470"/>
    <cellStyle name="Dane wyjściowe 2 18 55 2" xfId="14471"/>
    <cellStyle name="Dane wyjściowe 2 18 55 3" xfId="14472"/>
    <cellStyle name="Dane wyjściowe 2 18 56" xfId="14473"/>
    <cellStyle name="Dane wyjściowe 2 18 56 2" xfId="14474"/>
    <cellStyle name="Dane wyjściowe 2 18 56 3" xfId="14475"/>
    <cellStyle name="Dane wyjściowe 2 18 57" xfId="14476"/>
    <cellStyle name="Dane wyjściowe 2 18 58" xfId="14477"/>
    <cellStyle name="Dane wyjściowe 2 18 6" xfId="14478"/>
    <cellStyle name="Dane wyjściowe 2 18 6 2" xfId="14479"/>
    <cellStyle name="Dane wyjściowe 2 18 6 3" xfId="14480"/>
    <cellStyle name="Dane wyjściowe 2 18 6 4" xfId="14481"/>
    <cellStyle name="Dane wyjściowe 2 18 7" xfId="14482"/>
    <cellStyle name="Dane wyjściowe 2 18 7 2" xfId="14483"/>
    <cellStyle name="Dane wyjściowe 2 18 7 3" xfId="14484"/>
    <cellStyle name="Dane wyjściowe 2 18 7 4" xfId="14485"/>
    <cellStyle name="Dane wyjściowe 2 18 8" xfId="14486"/>
    <cellStyle name="Dane wyjściowe 2 18 8 2" xfId="14487"/>
    <cellStyle name="Dane wyjściowe 2 18 8 3" xfId="14488"/>
    <cellStyle name="Dane wyjściowe 2 18 8 4" xfId="14489"/>
    <cellStyle name="Dane wyjściowe 2 18 9" xfId="14490"/>
    <cellStyle name="Dane wyjściowe 2 18 9 2" xfId="14491"/>
    <cellStyle name="Dane wyjściowe 2 18 9 3" xfId="14492"/>
    <cellStyle name="Dane wyjściowe 2 18 9 4" xfId="14493"/>
    <cellStyle name="Dane wyjściowe 2 19" xfId="14494"/>
    <cellStyle name="Dane wyjściowe 2 19 10" xfId="14495"/>
    <cellStyle name="Dane wyjściowe 2 19 10 2" xfId="14496"/>
    <cellStyle name="Dane wyjściowe 2 19 10 3" xfId="14497"/>
    <cellStyle name="Dane wyjściowe 2 19 10 4" xfId="14498"/>
    <cellStyle name="Dane wyjściowe 2 19 11" xfId="14499"/>
    <cellStyle name="Dane wyjściowe 2 19 11 2" xfId="14500"/>
    <cellStyle name="Dane wyjściowe 2 19 11 3" xfId="14501"/>
    <cellStyle name="Dane wyjściowe 2 19 11 4" xfId="14502"/>
    <cellStyle name="Dane wyjściowe 2 19 12" xfId="14503"/>
    <cellStyle name="Dane wyjściowe 2 19 12 2" xfId="14504"/>
    <cellStyle name="Dane wyjściowe 2 19 12 3" xfId="14505"/>
    <cellStyle name="Dane wyjściowe 2 19 12 4" xfId="14506"/>
    <cellStyle name="Dane wyjściowe 2 19 13" xfId="14507"/>
    <cellStyle name="Dane wyjściowe 2 19 13 2" xfId="14508"/>
    <cellStyle name="Dane wyjściowe 2 19 13 3" xfId="14509"/>
    <cellStyle name="Dane wyjściowe 2 19 13 4" xfId="14510"/>
    <cellStyle name="Dane wyjściowe 2 19 14" xfId="14511"/>
    <cellStyle name="Dane wyjściowe 2 19 14 2" xfId="14512"/>
    <cellStyle name="Dane wyjściowe 2 19 14 3" xfId="14513"/>
    <cellStyle name="Dane wyjściowe 2 19 14 4" xfId="14514"/>
    <cellStyle name="Dane wyjściowe 2 19 15" xfId="14515"/>
    <cellStyle name="Dane wyjściowe 2 19 15 2" xfId="14516"/>
    <cellStyle name="Dane wyjściowe 2 19 15 3" xfId="14517"/>
    <cellStyle name="Dane wyjściowe 2 19 15 4" xfId="14518"/>
    <cellStyle name="Dane wyjściowe 2 19 16" xfId="14519"/>
    <cellStyle name="Dane wyjściowe 2 19 16 2" xfId="14520"/>
    <cellStyle name="Dane wyjściowe 2 19 16 3" xfId="14521"/>
    <cellStyle name="Dane wyjściowe 2 19 16 4" xfId="14522"/>
    <cellStyle name="Dane wyjściowe 2 19 17" xfId="14523"/>
    <cellStyle name="Dane wyjściowe 2 19 17 2" xfId="14524"/>
    <cellStyle name="Dane wyjściowe 2 19 17 3" xfId="14525"/>
    <cellStyle name="Dane wyjściowe 2 19 17 4" xfId="14526"/>
    <cellStyle name="Dane wyjściowe 2 19 18" xfId="14527"/>
    <cellStyle name="Dane wyjściowe 2 19 18 2" xfId="14528"/>
    <cellStyle name="Dane wyjściowe 2 19 18 3" xfId="14529"/>
    <cellStyle name="Dane wyjściowe 2 19 18 4" xfId="14530"/>
    <cellStyle name="Dane wyjściowe 2 19 19" xfId="14531"/>
    <cellStyle name="Dane wyjściowe 2 19 19 2" xfId="14532"/>
    <cellStyle name="Dane wyjściowe 2 19 19 3" xfId="14533"/>
    <cellStyle name="Dane wyjściowe 2 19 19 4" xfId="14534"/>
    <cellStyle name="Dane wyjściowe 2 19 2" xfId="14535"/>
    <cellStyle name="Dane wyjściowe 2 19 2 2" xfId="14536"/>
    <cellStyle name="Dane wyjściowe 2 19 2 3" xfId="14537"/>
    <cellStyle name="Dane wyjściowe 2 19 2 4" xfId="14538"/>
    <cellStyle name="Dane wyjściowe 2 19 20" xfId="14539"/>
    <cellStyle name="Dane wyjściowe 2 19 20 2" xfId="14540"/>
    <cellStyle name="Dane wyjściowe 2 19 20 3" xfId="14541"/>
    <cellStyle name="Dane wyjściowe 2 19 20 4" xfId="14542"/>
    <cellStyle name="Dane wyjściowe 2 19 21" xfId="14543"/>
    <cellStyle name="Dane wyjściowe 2 19 21 2" xfId="14544"/>
    <cellStyle name="Dane wyjściowe 2 19 21 3" xfId="14545"/>
    <cellStyle name="Dane wyjściowe 2 19 22" xfId="14546"/>
    <cellStyle name="Dane wyjściowe 2 19 22 2" xfId="14547"/>
    <cellStyle name="Dane wyjściowe 2 19 22 3" xfId="14548"/>
    <cellStyle name="Dane wyjściowe 2 19 23" xfId="14549"/>
    <cellStyle name="Dane wyjściowe 2 19 23 2" xfId="14550"/>
    <cellStyle name="Dane wyjściowe 2 19 23 3" xfId="14551"/>
    <cellStyle name="Dane wyjściowe 2 19 24" xfId="14552"/>
    <cellStyle name="Dane wyjściowe 2 19 24 2" xfId="14553"/>
    <cellStyle name="Dane wyjściowe 2 19 24 3" xfId="14554"/>
    <cellStyle name="Dane wyjściowe 2 19 25" xfId="14555"/>
    <cellStyle name="Dane wyjściowe 2 19 25 2" xfId="14556"/>
    <cellStyle name="Dane wyjściowe 2 19 25 3" xfId="14557"/>
    <cellStyle name="Dane wyjściowe 2 19 26" xfId="14558"/>
    <cellStyle name="Dane wyjściowe 2 19 26 2" xfId="14559"/>
    <cellStyle name="Dane wyjściowe 2 19 26 3" xfId="14560"/>
    <cellStyle name="Dane wyjściowe 2 19 27" xfId="14561"/>
    <cellStyle name="Dane wyjściowe 2 19 27 2" xfId="14562"/>
    <cellStyle name="Dane wyjściowe 2 19 27 3" xfId="14563"/>
    <cellStyle name="Dane wyjściowe 2 19 28" xfId="14564"/>
    <cellStyle name="Dane wyjściowe 2 19 28 2" xfId="14565"/>
    <cellStyle name="Dane wyjściowe 2 19 28 3" xfId="14566"/>
    <cellStyle name="Dane wyjściowe 2 19 29" xfId="14567"/>
    <cellStyle name="Dane wyjściowe 2 19 29 2" xfId="14568"/>
    <cellStyle name="Dane wyjściowe 2 19 29 3" xfId="14569"/>
    <cellStyle name="Dane wyjściowe 2 19 3" xfId="14570"/>
    <cellStyle name="Dane wyjściowe 2 19 3 2" xfId="14571"/>
    <cellStyle name="Dane wyjściowe 2 19 3 3" xfId="14572"/>
    <cellStyle name="Dane wyjściowe 2 19 3 4" xfId="14573"/>
    <cellStyle name="Dane wyjściowe 2 19 30" xfId="14574"/>
    <cellStyle name="Dane wyjściowe 2 19 30 2" xfId="14575"/>
    <cellStyle name="Dane wyjściowe 2 19 30 3" xfId="14576"/>
    <cellStyle name="Dane wyjściowe 2 19 31" xfId="14577"/>
    <cellStyle name="Dane wyjściowe 2 19 31 2" xfId="14578"/>
    <cellStyle name="Dane wyjściowe 2 19 31 3" xfId="14579"/>
    <cellStyle name="Dane wyjściowe 2 19 32" xfId="14580"/>
    <cellStyle name="Dane wyjściowe 2 19 32 2" xfId="14581"/>
    <cellStyle name="Dane wyjściowe 2 19 32 3" xfId="14582"/>
    <cellStyle name="Dane wyjściowe 2 19 33" xfId="14583"/>
    <cellStyle name="Dane wyjściowe 2 19 33 2" xfId="14584"/>
    <cellStyle name="Dane wyjściowe 2 19 33 3" xfId="14585"/>
    <cellStyle name="Dane wyjściowe 2 19 34" xfId="14586"/>
    <cellStyle name="Dane wyjściowe 2 19 34 2" xfId="14587"/>
    <cellStyle name="Dane wyjściowe 2 19 34 3" xfId="14588"/>
    <cellStyle name="Dane wyjściowe 2 19 35" xfId="14589"/>
    <cellStyle name="Dane wyjściowe 2 19 35 2" xfId="14590"/>
    <cellStyle name="Dane wyjściowe 2 19 35 3" xfId="14591"/>
    <cellStyle name="Dane wyjściowe 2 19 36" xfId="14592"/>
    <cellStyle name="Dane wyjściowe 2 19 36 2" xfId="14593"/>
    <cellStyle name="Dane wyjściowe 2 19 36 3" xfId="14594"/>
    <cellStyle name="Dane wyjściowe 2 19 37" xfId="14595"/>
    <cellStyle name="Dane wyjściowe 2 19 37 2" xfId="14596"/>
    <cellStyle name="Dane wyjściowe 2 19 37 3" xfId="14597"/>
    <cellStyle name="Dane wyjściowe 2 19 38" xfId="14598"/>
    <cellStyle name="Dane wyjściowe 2 19 38 2" xfId="14599"/>
    <cellStyle name="Dane wyjściowe 2 19 38 3" xfId="14600"/>
    <cellStyle name="Dane wyjściowe 2 19 39" xfId="14601"/>
    <cellStyle name="Dane wyjściowe 2 19 39 2" xfId="14602"/>
    <cellStyle name="Dane wyjściowe 2 19 39 3" xfId="14603"/>
    <cellStyle name="Dane wyjściowe 2 19 4" xfId="14604"/>
    <cellStyle name="Dane wyjściowe 2 19 4 2" xfId="14605"/>
    <cellStyle name="Dane wyjściowe 2 19 4 3" xfId="14606"/>
    <cellStyle name="Dane wyjściowe 2 19 4 4" xfId="14607"/>
    <cellStyle name="Dane wyjściowe 2 19 40" xfId="14608"/>
    <cellStyle name="Dane wyjściowe 2 19 40 2" xfId="14609"/>
    <cellStyle name="Dane wyjściowe 2 19 40 3" xfId="14610"/>
    <cellStyle name="Dane wyjściowe 2 19 41" xfId="14611"/>
    <cellStyle name="Dane wyjściowe 2 19 41 2" xfId="14612"/>
    <cellStyle name="Dane wyjściowe 2 19 41 3" xfId="14613"/>
    <cellStyle name="Dane wyjściowe 2 19 42" xfId="14614"/>
    <cellStyle name="Dane wyjściowe 2 19 42 2" xfId="14615"/>
    <cellStyle name="Dane wyjściowe 2 19 42 3" xfId="14616"/>
    <cellStyle name="Dane wyjściowe 2 19 43" xfId="14617"/>
    <cellStyle name="Dane wyjściowe 2 19 43 2" xfId="14618"/>
    <cellStyle name="Dane wyjściowe 2 19 43 3" xfId="14619"/>
    <cellStyle name="Dane wyjściowe 2 19 44" xfId="14620"/>
    <cellStyle name="Dane wyjściowe 2 19 44 2" xfId="14621"/>
    <cellStyle name="Dane wyjściowe 2 19 44 3" xfId="14622"/>
    <cellStyle name="Dane wyjściowe 2 19 45" xfId="14623"/>
    <cellStyle name="Dane wyjściowe 2 19 45 2" xfId="14624"/>
    <cellStyle name="Dane wyjściowe 2 19 45 3" xfId="14625"/>
    <cellStyle name="Dane wyjściowe 2 19 46" xfId="14626"/>
    <cellStyle name="Dane wyjściowe 2 19 46 2" xfId="14627"/>
    <cellStyle name="Dane wyjściowe 2 19 46 3" xfId="14628"/>
    <cellStyle name="Dane wyjściowe 2 19 47" xfId="14629"/>
    <cellStyle name="Dane wyjściowe 2 19 47 2" xfId="14630"/>
    <cellStyle name="Dane wyjściowe 2 19 47 3" xfId="14631"/>
    <cellStyle name="Dane wyjściowe 2 19 48" xfId="14632"/>
    <cellStyle name="Dane wyjściowe 2 19 48 2" xfId="14633"/>
    <cellStyle name="Dane wyjściowe 2 19 48 3" xfId="14634"/>
    <cellStyle name="Dane wyjściowe 2 19 49" xfId="14635"/>
    <cellStyle name="Dane wyjściowe 2 19 49 2" xfId="14636"/>
    <cellStyle name="Dane wyjściowe 2 19 49 3" xfId="14637"/>
    <cellStyle name="Dane wyjściowe 2 19 5" xfId="14638"/>
    <cellStyle name="Dane wyjściowe 2 19 5 2" xfId="14639"/>
    <cellStyle name="Dane wyjściowe 2 19 5 3" xfId="14640"/>
    <cellStyle name="Dane wyjściowe 2 19 5 4" xfId="14641"/>
    <cellStyle name="Dane wyjściowe 2 19 50" xfId="14642"/>
    <cellStyle name="Dane wyjściowe 2 19 50 2" xfId="14643"/>
    <cellStyle name="Dane wyjściowe 2 19 50 3" xfId="14644"/>
    <cellStyle name="Dane wyjściowe 2 19 51" xfId="14645"/>
    <cellStyle name="Dane wyjściowe 2 19 51 2" xfId="14646"/>
    <cellStyle name="Dane wyjściowe 2 19 51 3" xfId="14647"/>
    <cellStyle name="Dane wyjściowe 2 19 52" xfId="14648"/>
    <cellStyle name="Dane wyjściowe 2 19 52 2" xfId="14649"/>
    <cellStyle name="Dane wyjściowe 2 19 52 3" xfId="14650"/>
    <cellStyle name="Dane wyjściowe 2 19 53" xfId="14651"/>
    <cellStyle name="Dane wyjściowe 2 19 53 2" xfId="14652"/>
    <cellStyle name="Dane wyjściowe 2 19 53 3" xfId="14653"/>
    <cellStyle name="Dane wyjściowe 2 19 54" xfId="14654"/>
    <cellStyle name="Dane wyjściowe 2 19 54 2" xfId="14655"/>
    <cellStyle name="Dane wyjściowe 2 19 54 3" xfId="14656"/>
    <cellStyle name="Dane wyjściowe 2 19 55" xfId="14657"/>
    <cellStyle name="Dane wyjściowe 2 19 55 2" xfId="14658"/>
    <cellStyle name="Dane wyjściowe 2 19 55 3" xfId="14659"/>
    <cellStyle name="Dane wyjściowe 2 19 56" xfId="14660"/>
    <cellStyle name="Dane wyjściowe 2 19 56 2" xfId="14661"/>
    <cellStyle name="Dane wyjściowe 2 19 56 3" xfId="14662"/>
    <cellStyle name="Dane wyjściowe 2 19 57" xfId="14663"/>
    <cellStyle name="Dane wyjściowe 2 19 58" xfId="14664"/>
    <cellStyle name="Dane wyjściowe 2 19 6" xfId="14665"/>
    <cellStyle name="Dane wyjściowe 2 19 6 2" xfId="14666"/>
    <cellStyle name="Dane wyjściowe 2 19 6 3" xfId="14667"/>
    <cellStyle name="Dane wyjściowe 2 19 6 4" xfId="14668"/>
    <cellStyle name="Dane wyjściowe 2 19 7" xfId="14669"/>
    <cellStyle name="Dane wyjściowe 2 19 7 2" xfId="14670"/>
    <cellStyle name="Dane wyjściowe 2 19 7 3" xfId="14671"/>
    <cellStyle name="Dane wyjściowe 2 19 7 4" xfId="14672"/>
    <cellStyle name="Dane wyjściowe 2 19 8" xfId="14673"/>
    <cellStyle name="Dane wyjściowe 2 19 8 2" xfId="14674"/>
    <cellStyle name="Dane wyjściowe 2 19 8 3" xfId="14675"/>
    <cellStyle name="Dane wyjściowe 2 19 8 4" xfId="14676"/>
    <cellStyle name="Dane wyjściowe 2 19 9" xfId="14677"/>
    <cellStyle name="Dane wyjściowe 2 19 9 2" xfId="14678"/>
    <cellStyle name="Dane wyjściowe 2 19 9 3" xfId="14679"/>
    <cellStyle name="Dane wyjściowe 2 19 9 4" xfId="14680"/>
    <cellStyle name="Dane wyjściowe 2 2" xfId="14681"/>
    <cellStyle name="Dane wyjściowe 2 2 10" xfId="14682"/>
    <cellStyle name="Dane wyjściowe 2 2 10 2" xfId="14683"/>
    <cellStyle name="Dane wyjściowe 2 2 10 3" xfId="14684"/>
    <cellStyle name="Dane wyjściowe 2 2 10 4" xfId="14685"/>
    <cellStyle name="Dane wyjściowe 2 2 11" xfId="14686"/>
    <cellStyle name="Dane wyjściowe 2 2 11 2" xfId="14687"/>
    <cellStyle name="Dane wyjściowe 2 2 11 3" xfId="14688"/>
    <cellStyle name="Dane wyjściowe 2 2 11 4" xfId="14689"/>
    <cellStyle name="Dane wyjściowe 2 2 12" xfId="14690"/>
    <cellStyle name="Dane wyjściowe 2 2 12 2" xfId="14691"/>
    <cellStyle name="Dane wyjściowe 2 2 12 3" xfId="14692"/>
    <cellStyle name="Dane wyjściowe 2 2 12 4" xfId="14693"/>
    <cellStyle name="Dane wyjściowe 2 2 13" xfId="14694"/>
    <cellStyle name="Dane wyjściowe 2 2 13 2" xfId="14695"/>
    <cellStyle name="Dane wyjściowe 2 2 13 3" xfId="14696"/>
    <cellStyle name="Dane wyjściowe 2 2 13 4" xfId="14697"/>
    <cellStyle name="Dane wyjściowe 2 2 14" xfId="14698"/>
    <cellStyle name="Dane wyjściowe 2 2 14 2" xfId="14699"/>
    <cellStyle name="Dane wyjściowe 2 2 14 3" xfId="14700"/>
    <cellStyle name="Dane wyjściowe 2 2 14 4" xfId="14701"/>
    <cellStyle name="Dane wyjściowe 2 2 15" xfId="14702"/>
    <cellStyle name="Dane wyjściowe 2 2 15 2" xfId="14703"/>
    <cellStyle name="Dane wyjściowe 2 2 15 3" xfId="14704"/>
    <cellStyle name="Dane wyjściowe 2 2 15 4" xfId="14705"/>
    <cellStyle name="Dane wyjściowe 2 2 16" xfId="14706"/>
    <cellStyle name="Dane wyjściowe 2 2 16 2" xfId="14707"/>
    <cellStyle name="Dane wyjściowe 2 2 16 3" xfId="14708"/>
    <cellStyle name="Dane wyjściowe 2 2 16 4" xfId="14709"/>
    <cellStyle name="Dane wyjściowe 2 2 17" xfId="14710"/>
    <cellStyle name="Dane wyjściowe 2 2 17 2" xfId="14711"/>
    <cellStyle name="Dane wyjściowe 2 2 17 3" xfId="14712"/>
    <cellStyle name="Dane wyjściowe 2 2 17 4" xfId="14713"/>
    <cellStyle name="Dane wyjściowe 2 2 18" xfId="14714"/>
    <cellStyle name="Dane wyjściowe 2 2 18 2" xfId="14715"/>
    <cellStyle name="Dane wyjściowe 2 2 18 3" xfId="14716"/>
    <cellStyle name="Dane wyjściowe 2 2 18 4" xfId="14717"/>
    <cellStyle name="Dane wyjściowe 2 2 19" xfId="14718"/>
    <cellStyle name="Dane wyjściowe 2 2 19 2" xfId="14719"/>
    <cellStyle name="Dane wyjściowe 2 2 19 3" xfId="14720"/>
    <cellStyle name="Dane wyjściowe 2 2 19 4" xfId="14721"/>
    <cellStyle name="Dane wyjściowe 2 2 2" xfId="14722"/>
    <cellStyle name="Dane wyjściowe 2 2 2 2" xfId="14723"/>
    <cellStyle name="Dane wyjściowe 2 2 2 3" xfId="14724"/>
    <cellStyle name="Dane wyjściowe 2 2 2 4" xfId="14725"/>
    <cellStyle name="Dane wyjściowe 2 2 20" xfId="14726"/>
    <cellStyle name="Dane wyjściowe 2 2 20 2" xfId="14727"/>
    <cellStyle name="Dane wyjściowe 2 2 20 3" xfId="14728"/>
    <cellStyle name="Dane wyjściowe 2 2 20 4" xfId="14729"/>
    <cellStyle name="Dane wyjściowe 2 2 21" xfId="14730"/>
    <cellStyle name="Dane wyjściowe 2 2 21 2" xfId="14731"/>
    <cellStyle name="Dane wyjściowe 2 2 21 3" xfId="14732"/>
    <cellStyle name="Dane wyjściowe 2 2 22" xfId="14733"/>
    <cellStyle name="Dane wyjściowe 2 2 22 2" xfId="14734"/>
    <cellStyle name="Dane wyjściowe 2 2 22 3" xfId="14735"/>
    <cellStyle name="Dane wyjściowe 2 2 23" xfId="14736"/>
    <cellStyle name="Dane wyjściowe 2 2 23 2" xfId="14737"/>
    <cellStyle name="Dane wyjściowe 2 2 23 3" xfId="14738"/>
    <cellStyle name="Dane wyjściowe 2 2 24" xfId="14739"/>
    <cellStyle name="Dane wyjściowe 2 2 24 2" xfId="14740"/>
    <cellStyle name="Dane wyjściowe 2 2 24 3" xfId="14741"/>
    <cellStyle name="Dane wyjściowe 2 2 25" xfId="14742"/>
    <cellStyle name="Dane wyjściowe 2 2 25 2" xfId="14743"/>
    <cellStyle name="Dane wyjściowe 2 2 25 3" xfId="14744"/>
    <cellStyle name="Dane wyjściowe 2 2 26" xfId="14745"/>
    <cellStyle name="Dane wyjściowe 2 2 26 2" xfId="14746"/>
    <cellStyle name="Dane wyjściowe 2 2 26 3" xfId="14747"/>
    <cellStyle name="Dane wyjściowe 2 2 27" xfId="14748"/>
    <cellStyle name="Dane wyjściowe 2 2 27 2" xfId="14749"/>
    <cellStyle name="Dane wyjściowe 2 2 27 3" xfId="14750"/>
    <cellStyle name="Dane wyjściowe 2 2 28" xfId="14751"/>
    <cellStyle name="Dane wyjściowe 2 2 28 2" xfId="14752"/>
    <cellStyle name="Dane wyjściowe 2 2 28 3" xfId="14753"/>
    <cellStyle name="Dane wyjściowe 2 2 29" xfId="14754"/>
    <cellStyle name="Dane wyjściowe 2 2 29 2" xfId="14755"/>
    <cellStyle name="Dane wyjściowe 2 2 29 3" xfId="14756"/>
    <cellStyle name="Dane wyjściowe 2 2 3" xfId="14757"/>
    <cellStyle name="Dane wyjściowe 2 2 3 2" xfId="14758"/>
    <cellStyle name="Dane wyjściowe 2 2 3 3" xfId="14759"/>
    <cellStyle name="Dane wyjściowe 2 2 3 4" xfId="14760"/>
    <cellStyle name="Dane wyjściowe 2 2 30" xfId="14761"/>
    <cellStyle name="Dane wyjściowe 2 2 30 2" xfId="14762"/>
    <cellStyle name="Dane wyjściowe 2 2 30 3" xfId="14763"/>
    <cellStyle name="Dane wyjściowe 2 2 31" xfId="14764"/>
    <cellStyle name="Dane wyjściowe 2 2 31 2" xfId="14765"/>
    <cellStyle name="Dane wyjściowe 2 2 31 3" xfId="14766"/>
    <cellStyle name="Dane wyjściowe 2 2 32" xfId="14767"/>
    <cellStyle name="Dane wyjściowe 2 2 32 2" xfId="14768"/>
    <cellStyle name="Dane wyjściowe 2 2 32 3" xfId="14769"/>
    <cellStyle name="Dane wyjściowe 2 2 33" xfId="14770"/>
    <cellStyle name="Dane wyjściowe 2 2 33 2" xfId="14771"/>
    <cellStyle name="Dane wyjściowe 2 2 33 3" xfId="14772"/>
    <cellStyle name="Dane wyjściowe 2 2 34" xfId="14773"/>
    <cellStyle name="Dane wyjściowe 2 2 34 2" xfId="14774"/>
    <cellStyle name="Dane wyjściowe 2 2 34 3" xfId="14775"/>
    <cellStyle name="Dane wyjściowe 2 2 35" xfId="14776"/>
    <cellStyle name="Dane wyjściowe 2 2 35 2" xfId="14777"/>
    <cellStyle name="Dane wyjściowe 2 2 35 3" xfId="14778"/>
    <cellStyle name="Dane wyjściowe 2 2 36" xfId="14779"/>
    <cellStyle name="Dane wyjściowe 2 2 36 2" xfId="14780"/>
    <cellStyle name="Dane wyjściowe 2 2 36 3" xfId="14781"/>
    <cellStyle name="Dane wyjściowe 2 2 37" xfId="14782"/>
    <cellStyle name="Dane wyjściowe 2 2 37 2" xfId="14783"/>
    <cellStyle name="Dane wyjściowe 2 2 37 3" xfId="14784"/>
    <cellStyle name="Dane wyjściowe 2 2 38" xfId="14785"/>
    <cellStyle name="Dane wyjściowe 2 2 38 2" xfId="14786"/>
    <cellStyle name="Dane wyjściowe 2 2 38 3" xfId="14787"/>
    <cellStyle name="Dane wyjściowe 2 2 39" xfId="14788"/>
    <cellStyle name="Dane wyjściowe 2 2 39 2" xfId="14789"/>
    <cellStyle name="Dane wyjściowe 2 2 39 3" xfId="14790"/>
    <cellStyle name="Dane wyjściowe 2 2 4" xfId="14791"/>
    <cellStyle name="Dane wyjściowe 2 2 4 2" xfId="14792"/>
    <cellStyle name="Dane wyjściowe 2 2 4 3" xfId="14793"/>
    <cellStyle name="Dane wyjściowe 2 2 4 4" xfId="14794"/>
    <cellStyle name="Dane wyjściowe 2 2 40" xfId="14795"/>
    <cellStyle name="Dane wyjściowe 2 2 40 2" xfId="14796"/>
    <cellStyle name="Dane wyjściowe 2 2 40 3" xfId="14797"/>
    <cellStyle name="Dane wyjściowe 2 2 41" xfId="14798"/>
    <cellStyle name="Dane wyjściowe 2 2 41 2" xfId="14799"/>
    <cellStyle name="Dane wyjściowe 2 2 41 3" xfId="14800"/>
    <cellStyle name="Dane wyjściowe 2 2 42" xfId="14801"/>
    <cellStyle name="Dane wyjściowe 2 2 42 2" xfId="14802"/>
    <cellStyle name="Dane wyjściowe 2 2 42 3" xfId="14803"/>
    <cellStyle name="Dane wyjściowe 2 2 43" xfId="14804"/>
    <cellStyle name="Dane wyjściowe 2 2 43 2" xfId="14805"/>
    <cellStyle name="Dane wyjściowe 2 2 43 3" xfId="14806"/>
    <cellStyle name="Dane wyjściowe 2 2 44" xfId="14807"/>
    <cellStyle name="Dane wyjściowe 2 2 44 2" xfId="14808"/>
    <cellStyle name="Dane wyjściowe 2 2 44 3" xfId="14809"/>
    <cellStyle name="Dane wyjściowe 2 2 45" xfId="14810"/>
    <cellStyle name="Dane wyjściowe 2 2 45 2" xfId="14811"/>
    <cellStyle name="Dane wyjściowe 2 2 45 3" xfId="14812"/>
    <cellStyle name="Dane wyjściowe 2 2 46" xfId="14813"/>
    <cellStyle name="Dane wyjściowe 2 2 46 2" xfId="14814"/>
    <cellStyle name="Dane wyjściowe 2 2 46 3" xfId="14815"/>
    <cellStyle name="Dane wyjściowe 2 2 47" xfId="14816"/>
    <cellStyle name="Dane wyjściowe 2 2 47 2" xfId="14817"/>
    <cellStyle name="Dane wyjściowe 2 2 47 3" xfId="14818"/>
    <cellStyle name="Dane wyjściowe 2 2 48" xfId="14819"/>
    <cellStyle name="Dane wyjściowe 2 2 48 2" xfId="14820"/>
    <cellStyle name="Dane wyjściowe 2 2 48 3" xfId="14821"/>
    <cellStyle name="Dane wyjściowe 2 2 49" xfId="14822"/>
    <cellStyle name="Dane wyjściowe 2 2 49 2" xfId="14823"/>
    <cellStyle name="Dane wyjściowe 2 2 49 3" xfId="14824"/>
    <cellStyle name="Dane wyjściowe 2 2 5" xfId="14825"/>
    <cellStyle name="Dane wyjściowe 2 2 5 2" xfId="14826"/>
    <cellStyle name="Dane wyjściowe 2 2 5 3" xfId="14827"/>
    <cellStyle name="Dane wyjściowe 2 2 5 4" xfId="14828"/>
    <cellStyle name="Dane wyjściowe 2 2 50" xfId="14829"/>
    <cellStyle name="Dane wyjściowe 2 2 50 2" xfId="14830"/>
    <cellStyle name="Dane wyjściowe 2 2 50 3" xfId="14831"/>
    <cellStyle name="Dane wyjściowe 2 2 51" xfId="14832"/>
    <cellStyle name="Dane wyjściowe 2 2 51 2" xfId="14833"/>
    <cellStyle name="Dane wyjściowe 2 2 51 3" xfId="14834"/>
    <cellStyle name="Dane wyjściowe 2 2 52" xfId="14835"/>
    <cellStyle name="Dane wyjściowe 2 2 52 2" xfId="14836"/>
    <cellStyle name="Dane wyjściowe 2 2 52 3" xfId="14837"/>
    <cellStyle name="Dane wyjściowe 2 2 53" xfId="14838"/>
    <cellStyle name="Dane wyjściowe 2 2 53 2" xfId="14839"/>
    <cellStyle name="Dane wyjściowe 2 2 53 3" xfId="14840"/>
    <cellStyle name="Dane wyjściowe 2 2 54" xfId="14841"/>
    <cellStyle name="Dane wyjściowe 2 2 54 2" xfId="14842"/>
    <cellStyle name="Dane wyjściowe 2 2 54 3" xfId="14843"/>
    <cellStyle name="Dane wyjściowe 2 2 55" xfId="14844"/>
    <cellStyle name="Dane wyjściowe 2 2 55 2" xfId="14845"/>
    <cellStyle name="Dane wyjściowe 2 2 55 3" xfId="14846"/>
    <cellStyle name="Dane wyjściowe 2 2 56" xfId="14847"/>
    <cellStyle name="Dane wyjściowe 2 2 56 2" xfId="14848"/>
    <cellStyle name="Dane wyjściowe 2 2 56 3" xfId="14849"/>
    <cellStyle name="Dane wyjściowe 2 2 57" xfId="14850"/>
    <cellStyle name="Dane wyjściowe 2 2 58" xfId="14851"/>
    <cellStyle name="Dane wyjściowe 2 2 59" xfId="14852"/>
    <cellStyle name="Dane wyjściowe 2 2 6" xfId="14853"/>
    <cellStyle name="Dane wyjściowe 2 2 6 2" xfId="14854"/>
    <cellStyle name="Dane wyjściowe 2 2 6 3" xfId="14855"/>
    <cellStyle name="Dane wyjściowe 2 2 6 4" xfId="14856"/>
    <cellStyle name="Dane wyjściowe 2 2 7" xfId="14857"/>
    <cellStyle name="Dane wyjściowe 2 2 7 2" xfId="14858"/>
    <cellStyle name="Dane wyjściowe 2 2 7 3" xfId="14859"/>
    <cellStyle name="Dane wyjściowe 2 2 7 4" xfId="14860"/>
    <cellStyle name="Dane wyjściowe 2 2 8" xfId="14861"/>
    <cellStyle name="Dane wyjściowe 2 2 8 2" xfId="14862"/>
    <cellStyle name="Dane wyjściowe 2 2 8 3" xfId="14863"/>
    <cellStyle name="Dane wyjściowe 2 2 8 4" xfId="14864"/>
    <cellStyle name="Dane wyjściowe 2 2 9" xfId="14865"/>
    <cellStyle name="Dane wyjściowe 2 2 9 2" xfId="14866"/>
    <cellStyle name="Dane wyjściowe 2 2 9 3" xfId="14867"/>
    <cellStyle name="Dane wyjściowe 2 2 9 4" xfId="14868"/>
    <cellStyle name="Dane wyjściowe 2 20" xfId="14869"/>
    <cellStyle name="Dane wyjściowe 2 20 10" xfId="14870"/>
    <cellStyle name="Dane wyjściowe 2 20 10 2" xfId="14871"/>
    <cellStyle name="Dane wyjściowe 2 20 10 3" xfId="14872"/>
    <cellStyle name="Dane wyjściowe 2 20 10 4" xfId="14873"/>
    <cellStyle name="Dane wyjściowe 2 20 11" xfId="14874"/>
    <cellStyle name="Dane wyjściowe 2 20 11 2" xfId="14875"/>
    <cellStyle name="Dane wyjściowe 2 20 11 3" xfId="14876"/>
    <cellStyle name="Dane wyjściowe 2 20 11 4" xfId="14877"/>
    <cellStyle name="Dane wyjściowe 2 20 12" xfId="14878"/>
    <cellStyle name="Dane wyjściowe 2 20 12 2" xfId="14879"/>
    <cellStyle name="Dane wyjściowe 2 20 12 3" xfId="14880"/>
    <cellStyle name="Dane wyjściowe 2 20 12 4" xfId="14881"/>
    <cellStyle name="Dane wyjściowe 2 20 13" xfId="14882"/>
    <cellStyle name="Dane wyjściowe 2 20 13 2" xfId="14883"/>
    <cellStyle name="Dane wyjściowe 2 20 13 3" xfId="14884"/>
    <cellStyle name="Dane wyjściowe 2 20 13 4" xfId="14885"/>
    <cellStyle name="Dane wyjściowe 2 20 14" xfId="14886"/>
    <cellStyle name="Dane wyjściowe 2 20 14 2" xfId="14887"/>
    <cellStyle name="Dane wyjściowe 2 20 14 3" xfId="14888"/>
    <cellStyle name="Dane wyjściowe 2 20 14 4" xfId="14889"/>
    <cellStyle name="Dane wyjściowe 2 20 15" xfId="14890"/>
    <cellStyle name="Dane wyjściowe 2 20 15 2" xfId="14891"/>
    <cellStyle name="Dane wyjściowe 2 20 15 3" xfId="14892"/>
    <cellStyle name="Dane wyjściowe 2 20 15 4" xfId="14893"/>
    <cellStyle name="Dane wyjściowe 2 20 16" xfId="14894"/>
    <cellStyle name="Dane wyjściowe 2 20 16 2" xfId="14895"/>
    <cellStyle name="Dane wyjściowe 2 20 16 3" xfId="14896"/>
    <cellStyle name="Dane wyjściowe 2 20 16 4" xfId="14897"/>
    <cellStyle name="Dane wyjściowe 2 20 17" xfId="14898"/>
    <cellStyle name="Dane wyjściowe 2 20 17 2" xfId="14899"/>
    <cellStyle name="Dane wyjściowe 2 20 17 3" xfId="14900"/>
    <cellStyle name="Dane wyjściowe 2 20 17 4" xfId="14901"/>
    <cellStyle name="Dane wyjściowe 2 20 18" xfId="14902"/>
    <cellStyle name="Dane wyjściowe 2 20 18 2" xfId="14903"/>
    <cellStyle name="Dane wyjściowe 2 20 18 3" xfId="14904"/>
    <cellStyle name="Dane wyjściowe 2 20 18 4" xfId="14905"/>
    <cellStyle name="Dane wyjściowe 2 20 19" xfId="14906"/>
    <cellStyle name="Dane wyjściowe 2 20 19 2" xfId="14907"/>
    <cellStyle name="Dane wyjściowe 2 20 19 3" xfId="14908"/>
    <cellStyle name="Dane wyjściowe 2 20 19 4" xfId="14909"/>
    <cellStyle name="Dane wyjściowe 2 20 2" xfId="14910"/>
    <cellStyle name="Dane wyjściowe 2 20 2 2" xfId="14911"/>
    <cellStyle name="Dane wyjściowe 2 20 2 3" xfId="14912"/>
    <cellStyle name="Dane wyjściowe 2 20 2 4" xfId="14913"/>
    <cellStyle name="Dane wyjściowe 2 20 20" xfId="14914"/>
    <cellStyle name="Dane wyjściowe 2 20 20 2" xfId="14915"/>
    <cellStyle name="Dane wyjściowe 2 20 20 3" xfId="14916"/>
    <cellStyle name="Dane wyjściowe 2 20 20 4" xfId="14917"/>
    <cellStyle name="Dane wyjściowe 2 20 21" xfId="14918"/>
    <cellStyle name="Dane wyjściowe 2 20 21 2" xfId="14919"/>
    <cellStyle name="Dane wyjściowe 2 20 21 3" xfId="14920"/>
    <cellStyle name="Dane wyjściowe 2 20 22" xfId="14921"/>
    <cellStyle name="Dane wyjściowe 2 20 22 2" xfId="14922"/>
    <cellStyle name="Dane wyjściowe 2 20 22 3" xfId="14923"/>
    <cellStyle name="Dane wyjściowe 2 20 23" xfId="14924"/>
    <cellStyle name="Dane wyjściowe 2 20 23 2" xfId="14925"/>
    <cellStyle name="Dane wyjściowe 2 20 23 3" xfId="14926"/>
    <cellStyle name="Dane wyjściowe 2 20 24" xfId="14927"/>
    <cellStyle name="Dane wyjściowe 2 20 24 2" xfId="14928"/>
    <cellStyle name="Dane wyjściowe 2 20 24 3" xfId="14929"/>
    <cellStyle name="Dane wyjściowe 2 20 25" xfId="14930"/>
    <cellStyle name="Dane wyjściowe 2 20 25 2" xfId="14931"/>
    <cellStyle name="Dane wyjściowe 2 20 25 3" xfId="14932"/>
    <cellStyle name="Dane wyjściowe 2 20 26" xfId="14933"/>
    <cellStyle name="Dane wyjściowe 2 20 26 2" xfId="14934"/>
    <cellStyle name="Dane wyjściowe 2 20 26 3" xfId="14935"/>
    <cellStyle name="Dane wyjściowe 2 20 27" xfId="14936"/>
    <cellStyle name="Dane wyjściowe 2 20 27 2" xfId="14937"/>
    <cellStyle name="Dane wyjściowe 2 20 27 3" xfId="14938"/>
    <cellStyle name="Dane wyjściowe 2 20 28" xfId="14939"/>
    <cellStyle name="Dane wyjściowe 2 20 28 2" xfId="14940"/>
    <cellStyle name="Dane wyjściowe 2 20 28 3" xfId="14941"/>
    <cellStyle name="Dane wyjściowe 2 20 29" xfId="14942"/>
    <cellStyle name="Dane wyjściowe 2 20 29 2" xfId="14943"/>
    <cellStyle name="Dane wyjściowe 2 20 29 3" xfId="14944"/>
    <cellStyle name="Dane wyjściowe 2 20 3" xfId="14945"/>
    <cellStyle name="Dane wyjściowe 2 20 3 2" xfId="14946"/>
    <cellStyle name="Dane wyjściowe 2 20 3 3" xfId="14947"/>
    <cellStyle name="Dane wyjściowe 2 20 3 4" xfId="14948"/>
    <cellStyle name="Dane wyjściowe 2 20 30" xfId="14949"/>
    <cellStyle name="Dane wyjściowe 2 20 30 2" xfId="14950"/>
    <cellStyle name="Dane wyjściowe 2 20 30 3" xfId="14951"/>
    <cellStyle name="Dane wyjściowe 2 20 31" xfId="14952"/>
    <cellStyle name="Dane wyjściowe 2 20 31 2" xfId="14953"/>
    <cellStyle name="Dane wyjściowe 2 20 31 3" xfId="14954"/>
    <cellStyle name="Dane wyjściowe 2 20 32" xfId="14955"/>
    <cellStyle name="Dane wyjściowe 2 20 32 2" xfId="14956"/>
    <cellStyle name="Dane wyjściowe 2 20 32 3" xfId="14957"/>
    <cellStyle name="Dane wyjściowe 2 20 33" xfId="14958"/>
    <cellStyle name="Dane wyjściowe 2 20 33 2" xfId="14959"/>
    <cellStyle name="Dane wyjściowe 2 20 33 3" xfId="14960"/>
    <cellStyle name="Dane wyjściowe 2 20 34" xfId="14961"/>
    <cellStyle name="Dane wyjściowe 2 20 34 2" xfId="14962"/>
    <cellStyle name="Dane wyjściowe 2 20 34 3" xfId="14963"/>
    <cellStyle name="Dane wyjściowe 2 20 35" xfId="14964"/>
    <cellStyle name="Dane wyjściowe 2 20 35 2" xfId="14965"/>
    <cellStyle name="Dane wyjściowe 2 20 35 3" xfId="14966"/>
    <cellStyle name="Dane wyjściowe 2 20 36" xfId="14967"/>
    <cellStyle name="Dane wyjściowe 2 20 36 2" xfId="14968"/>
    <cellStyle name="Dane wyjściowe 2 20 36 3" xfId="14969"/>
    <cellStyle name="Dane wyjściowe 2 20 37" xfId="14970"/>
    <cellStyle name="Dane wyjściowe 2 20 37 2" xfId="14971"/>
    <cellStyle name="Dane wyjściowe 2 20 37 3" xfId="14972"/>
    <cellStyle name="Dane wyjściowe 2 20 38" xfId="14973"/>
    <cellStyle name="Dane wyjściowe 2 20 38 2" xfId="14974"/>
    <cellStyle name="Dane wyjściowe 2 20 38 3" xfId="14975"/>
    <cellStyle name="Dane wyjściowe 2 20 39" xfId="14976"/>
    <cellStyle name="Dane wyjściowe 2 20 39 2" xfId="14977"/>
    <cellStyle name="Dane wyjściowe 2 20 39 3" xfId="14978"/>
    <cellStyle name="Dane wyjściowe 2 20 4" xfId="14979"/>
    <cellStyle name="Dane wyjściowe 2 20 4 2" xfId="14980"/>
    <cellStyle name="Dane wyjściowe 2 20 4 3" xfId="14981"/>
    <cellStyle name="Dane wyjściowe 2 20 4 4" xfId="14982"/>
    <cellStyle name="Dane wyjściowe 2 20 40" xfId="14983"/>
    <cellStyle name="Dane wyjściowe 2 20 40 2" xfId="14984"/>
    <cellStyle name="Dane wyjściowe 2 20 40 3" xfId="14985"/>
    <cellStyle name="Dane wyjściowe 2 20 41" xfId="14986"/>
    <cellStyle name="Dane wyjściowe 2 20 41 2" xfId="14987"/>
    <cellStyle name="Dane wyjściowe 2 20 41 3" xfId="14988"/>
    <cellStyle name="Dane wyjściowe 2 20 42" xfId="14989"/>
    <cellStyle name="Dane wyjściowe 2 20 42 2" xfId="14990"/>
    <cellStyle name="Dane wyjściowe 2 20 42 3" xfId="14991"/>
    <cellStyle name="Dane wyjściowe 2 20 43" xfId="14992"/>
    <cellStyle name="Dane wyjściowe 2 20 43 2" xfId="14993"/>
    <cellStyle name="Dane wyjściowe 2 20 43 3" xfId="14994"/>
    <cellStyle name="Dane wyjściowe 2 20 44" xfId="14995"/>
    <cellStyle name="Dane wyjściowe 2 20 44 2" xfId="14996"/>
    <cellStyle name="Dane wyjściowe 2 20 44 3" xfId="14997"/>
    <cellStyle name="Dane wyjściowe 2 20 45" xfId="14998"/>
    <cellStyle name="Dane wyjściowe 2 20 45 2" xfId="14999"/>
    <cellStyle name="Dane wyjściowe 2 20 45 3" xfId="15000"/>
    <cellStyle name="Dane wyjściowe 2 20 46" xfId="15001"/>
    <cellStyle name="Dane wyjściowe 2 20 46 2" xfId="15002"/>
    <cellStyle name="Dane wyjściowe 2 20 46 3" xfId="15003"/>
    <cellStyle name="Dane wyjściowe 2 20 47" xfId="15004"/>
    <cellStyle name="Dane wyjściowe 2 20 47 2" xfId="15005"/>
    <cellStyle name="Dane wyjściowe 2 20 47 3" xfId="15006"/>
    <cellStyle name="Dane wyjściowe 2 20 48" xfId="15007"/>
    <cellStyle name="Dane wyjściowe 2 20 48 2" xfId="15008"/>
    <cellStyle name="Dane wyjściowe 2 20 48 3" xfId="15009"/>
    <cellStyle name="Dane wyjściowe 2 20 49" xfId="15010"/>
    <cellStyle name="Dane wyjściowe 2 20 49 2" xfId="15011"/>
    <cellStyle name="Dane wyjściowe 2 20 49 3" xfId="15012"/>
    <cellStyle name="Dane wyjściowe 2 20 5" xfId="15013"/>
    <cellStyle name="Dane wyjściowe 2 20 5 2" xfId="15014"/>
    <cellStyle name="Dane wyjściowe 2 20 5 3" xfId="15015"/>
    <cellStyle name="Dane wyjściowe 2 20 5 4" xfId="15016"/>
    <cellStyle name="Dane wyjściowe 2 20 50" xfId="15017"/>
    <cellStyle name="Dane wyjściowe 2 20 50 2" xfId="15018"/>
    <cellStyle name="Dane wyjściowe 2 20 50 3" xfId="15019"/>
    <cellStyle name="Dane wyjściowe 2 20 51" xfId="15020"/>
    <cellStyle name="Dane wyjściowe 2 20 51 2" xfId="15021"/>
    <cellStyle name="Dane wyjściowe 2 20 51 3" xfId="15022"/>
    <cellStyle name="Dane wyjściowe 2 20 52" xfId="15023"/>
    <cellStyle name="Dane wyjściowe 2 20 52 2" xfId="15024"/>
    <cellStyle name="Dane wyjściowe 2 20 52 3" xfId="15025"/>
    <cellStyle name="Dane wyjściowe 2 20 53" xfId="15026"/>
    <cellStyle name="Dane wyjściowe 2 20 53 2" xfId="15027"/>
    <cellStyle name="Dane wyjściowe 2 20 53 3" xfId="15028"/>
    <cellStyle name="Dane wyjściowe 2 20 54" xfId="15029"/>
    <cellStyle name="Dane wyjściowe 2 20 54 2" xfId="15030"/>
    <cellStyle name="Dane wyjściowe 2 20 54 3" xfId="15031"/>
    <cellStyle name="Dane wyjściowe 2 20 55" xfId="15032"/>
    <cellStyle name="Dane wyjściowe 2 20 55 2" xfId="15033"/>
    <cellStyle name="Dane wyjściowe 2 20 55 3" xfId="15034"/>
    <cellStyle name="Dane wyjściowe 2 20 56" xfId="15035"/>
    <cellStyle name="Dane wyjściowe 2 20 56 2" xfId="15036"/>
    <cellStyle name="Dane wyjściowe 2 20 56 3" xfId="15037"/>
    <cellStyle name="Dane wyjściowe 2 20 57" xfId="15038"/>
    <cellStyle name="Dane wyjściowe 2 20 58" xfId="15039"/>
    <cellStyle name="Dane wyjściowe 2 20 6" xfId="15040"/>
    <cellStyle name="Dane wyjściowe 2 20 6 2" xfId="15041"/>
    <cellStyle name="Dane wyjściowe 2 20 6 3" xfId="15042"/>
    <cellStyle name="Dane wyjściowe 2 20 6 4" xfId="15043"/>
    <cellStyle name="Dane wyjściowe 2 20 7" xfId="15044"/>
    <cellStyle name="Dane wyjściowe 2 20 7 2" xfId="15045"/>
    <cellStyle name="Dane wyjściowe 2 20 7 3" xfId="15046"/>
    <cellStyle name="Dane wyjściowe 2 20 7 4" xfId="15047"/>
    <cellStyle name="Dane wyjściowe 2 20 8" xfId="15048"/>
    <cellStyle name="Dane wyjściowe 2 20 8 2" xfId="15049"/>
    <cellStyle name="Dane wyjściowe 2 20 8 3" xfId="15050"/>
    <cellStyle name="Dane wyjściowe 2 20 8 4" xfId="15051"/>
    <cellStyle name="Dane wyjściowe 2 20 9" xfId="15052"/>
    <cellStyle name="Dane wyjściowe 2 20 9 2" xfId="15053"/>
    <cellStyle name="Dane wyjściowe 2 20 9 3" xfId="15054"/>
    <cellStyle name="Dane wyjściowe 2 20 9 4" xfId="15055"/>
    <cellStyle name="Dane wyjściowe 2 21" xfId="15056"/>
    <cellStyle name="Dane wyjściowe 2 21 10" xfId="15057"/>
    <cellStyle name="Dane wyjściowe 2 21 10 2" xfId="15058"/>
    <cellStyle name="Dane wyjściowe 2 21 10 3" xfId="15059"/>
    <cellStyle name="Dane wyjściowe 2 21 10 4" xfId="15060"/>
    <cellStyle name="Dane wyjściowe 2 21 11" xfId="15061"/>
    <cellStyle name="Dane wyjściowe 2 21 11 2" xfId="15062"/>
    <cellStyle name="Dane wyjściowe 2 21 11 3" xfId="15063"/>
    <cellStyle name="Dane wyjściowe 2 21 11 4" xfId="15064"/>
    <cellStyle name="Dane wyjściowe 2 21 12" xfId="15065"/>
    <cellStyle name="Dane wyjściowe 2 21 12 2" xfId="15066"/>
    <cellStyle name="Dane wyjściowe 2 21 12 3" xfId="15067"/>
    <cellStyle name="Dane wyjściowe 2 21 12 4" xfId="15068"/>
    <cellStyle name="Dane wyjściowe 2 21 13" xfId="15069"/>
    <cellStyle name="Dane wyjściowe 2 21 13 2" xfId="15070"/>
    <cellStyle name="Dane wyjściowe 2 21 13 3" xfId="15071"/>
    <cellStyle name="Dane wyjściowe 2 21 13 4" xfId="15072"/>
    <cellStyle name="Dane wyjściowe 2 21 14" xfId="15073"/>
    <cellStyle name="Dane wyjściowe 2 21 14 2" xfId="15074"/>
    <cellStyle name="Dane wyjściowe 2 21 14 3" xfId="15075"/>
    <cellStyle name="Dane wyjściowe 2 21 14 4" xfId="15076"/>
    <cellStyle name="Dane wyjściowe 2 21 15" xfId="15077"/>
    <cellStyle name="Dane wyjściowe 2 21 15 2" xfId="15078"/>
    <cellStyle name="Dane wyjściowe 2 21 15 3" xfId="15079"/>
    <cellStyle name="Dane wyjściowe 2 21 15 4" xfId="15080"/>
    <cellStyle name="Dane wyjściowe 2 21 16" xfId="15081"/>
    <cellStyle name="Dane wyjściowe 2 21 16 2" xfId="15082"/>
    <cellStyle name="Dane wyjściowe 2 21 16 3" xfId="15083"/>
    <cellStyle name="Dane wyjściowe 2 21 16 4" xfId="15084"/>
    <cellStyle name="Dane wyjściowe 2 21 17" xfId="15085"/>
    <cellStyle name="Dane wyjściowe 2 21 17 2" xfId="15086"/>
    <cellStyle name="Dane wyjściowe 2 21 17 3" xfId="15087"/>
    <cellStyle name="Dane wyjściowe 2 21 17 4" xfId="15088"/>
    <cellStyle name="Dane wyjściowe 2 21 18" xfId="15089"/>
    <cellStyle name="Dane wyjściowe 2 21 18 2" xfId="15090"/>
    <cellStyle name="Dane wyjściowe 2 21 18 3" xfId="15091"/>
    <cellStyle name="Dane wyjściowe 2 21 18 4" xfId="15092"/>
    <cellStyle name="Dane wyjściowe 2 21 19" xfId="15093"/>
    <cellStyle name="Dane wyjściowe 2 21 19 2" xfId="15094"/>
    <cellStyle name="Dane wyjściowe 2 21 19 3" xfId="15095"/>
    <cellStyle name="Dane wyjściowe 2 21 19 4" xfId="15096"/>
    <cellStyle name="Dane wyjściowe 2 21 2" xfId="15097"/>
    <cellStyle name="Dane wyjściowe 2 21 2 2" xfId="15098"/>
    <cellStyle name="Dane wyjściowe 2 21 2 3" xfId="15099"/>
    <cellStyle name="Dane wyjściowe 2 21 2 4" xfId="15100"/>
    <cellStyle name="Dane wyjściowe 2 21 20" xfId="15101"/>
    <cellStyle name="Dane wyjściowe 2 21 20 2" xfId="15102"/>
    <cellStyle name="Dane wyjściowe 2 21 20 3" xfId="15103"/>
    <cellStyle name="Dane wyjściowe 2 21 20 4" xfId="15104"/>
    <cellStyle name="Dane wyjściowe 2 21 21" xfId="15105"/>
    <cellStyle name="Dane wyjściowe 2 21 21 2" xfId="15106"/>
    <cellStyle name="Dane wyjściowe 2 21 21 3" xfId="15107"/>
    <cellStyle name="Dane wyjściowe 2 21 22" xfId="15108"/>
    <cellStyle name="Dane wyjściowe 2 21 22 2" xfId="15109"/>
    <cellStyle name="Dane wyjściowe 2 21 22 3" xfId="15110"/>
    <cellStyle name="Dane wyjściowe 2 21 23" xfId="15111"/>
    <cellStyle name="Dane wyjściowe 2 21 23 2" xfId="15112"/>
    <cellStyle name="Dane wyjściowe 2 21 23 3" xfId="15113"/>
    <cellStyle name="Dane wyjściowe 2 21 24" xfId="15114"/>
    <cellStyle name="Dane wyjściowe 2 21 24 2" xfId="15115"/>
    <cellStyle name="Dane wyjściowe 2 21 24 3" xfId="15116"/>
    <cellStyle name="Dane wyjściowe 2 21 25" xfId="15117"/>
    <cellStyle name="Dane wyjściowe 2 21 25 2" xfId="15118"/>
    <cellStyle name="Dane wyjściowe 2 21 25 3" xfId="15119"/>
    <cellStyle name="Dane wyjściowe 2 21 26" xfId="15120"/>
    <cellStyle name="Dane wyjściowe 2 21 26 2" xfId="15121"/>
    <cellStyle name="Dane wyjściowe 2 21 26 3" xfId="15122"/>
    <cellStyle name="Dane wyjściowe 2 21 27" xfId="15123"/>
    <cellStyle name="Dane wyjściowe 2 21 27 2" xfId="15124"/>
    <cellStyle name="Dane wyjściowe 2 21 27 3" xfId="15125"/>
    <cellStyle name="Dane wyjściowe 2 21 28" xfId="15126"/>
    <cellStyle name="Dane wyjściowe 2 21 28 2" xfId="15127"/>
    <cellStyle name="Dane wyjściowe 2 21 28 3" xfId="15128"/>
    <cellStyle name="Dane wyjściowe 2 21 29" xfId="15129"/>
    <cellStyle name="Dane wyjściowe 2 21 29 2" xfId="15130"/>
    <cellStyle name="Dane wyjściowe 2 21 29 3" xfId="15131"/>
    <cellStyle name="Dane wyjściowe 2 21 3" xfId="15132"/>
    <cellStyle name="Dane wyjściowe 2 21 3 2" xfId="15133"/>
    <cellStyle name="Dane wyjściowe 2 21 3 3" xfId="15134"/>
    <cellStyle name="Dane wyjściowe 2 21 3 4" xfId="15135"/>
    <cellStyle name="Dane wyjściowe 2 21 30" xfId="15136"/>
    <cellStyle name="Dane wyjściowe 2 21 30 2" xfId="15137"/>
    <cellStyle name="Dane wyjściowe 2 21 30 3" xfId="15138"/>
    <cellStyle name="Dane wyjściowe 2 21 31" xfId="15139"/>
    <cellStyle name="Dane wyjściowe 2 21 31 2" xfId="15140"/>
    <cellStyle name="Dane wyjściowe 2 21 31 3" xfId="15141"/>
    <cellStyle name="Dane wyjściowe 2 21 32" xfId="15142"/>
    <cellStyle name="Dane wyjściowe 2 21 32 2" xfId="15143"/>
    <cellStyle name="Dane wyjściowe 2 21 32 3" xfId="15144"/>
    <cellStyle name="Dane wyjściowe 2 21 33" xfId="15145"/>
    <cellStyle name="Dane wyjściowe 2 21 33 2" xfId="15146"/>
    <cellStyle name="Dane wyjściowe 2 21 33 3" xfId="15147"/>
    <cellStyle name="Dane wyjściowe 2 21 34" xfId="15148"/>
    <cellStyle name="Dane wyjściowe 2 21 34 2" xfId="15149"/>
    <cellStyle name="Dane wyjściowe 2 21 34 3" xfId="15150"/>
    <cellStyle name="Dane wyjściowe 2 21 35" xfId="15151"/>
    <cellStyle name="Dane wyjściowe 2 21 35 2" xfId="15152"/>
    <cellStyle name="Dane wyjściowe 2 21 35 3" xfId="15153"/>
    <cellStyle name="Dane wyjściowe 2 21 36" xfId="15154"/>
    <cellStyle name="Dane wyjściowe 2 21 36 2" xfId="15155"/>
    <cellStyle name="Dane wyjściowe 2 21 36 3" xfId="15156"/>
    <cellStyle name="Dane wyjściowe 2 21 37" xfId="15157"/>
    <cellStyle name="Dane wyjściowe 2 21 37 2" xfId="15158"/>
    <cellStyle name="Dane wyjściowe 2 21 37 3" xfId="15159"/>
    <cellStyle name="Dane wyjściowe 2 21 38" xfId="15160"/>
    <cellStyle name="Dane wyjściowe 2 21 38 2" xfId="15161"/>
    <cellStyle name="Dane wyjściowe 2 21 38 3" xfId="15162"/>
    <cellStyle name="Dane wyjściowe 2 21 39" xfId="15163"/>
    <cellStyle name="Dane wyjściowe 2 21 39 2" xfId="15164"/>
    <cellStyle name="Dane wyjściowe 2 21 39 3" xfId="15165"/>
    <cellStyle name="Dane wyjściowe 2 21 4" xfId="15166"/>
    <cellStyle name="Dane wyjściowe 2 21 4 2" xfId="15167"/>
    <cellStyle name="Dane wyjściowe 2 21 4 3" xfId="15168"/>
    <cellStyle name="Dane wyjściowe 2 21 4 4" xfId="15169"/>
    <cellStyle name="Dane wyjściowe 2 21 40" xfId="15170"/>
    <cellStyle name="Dane wyjściowe 2 21 40 2" xfId="15171"/>
    <cellStyle name="Dane wyjściowe 2 21 40 3" xfId="15172"/>
    <cellStyle name="Dane wyjściowe 2 21 41" xfId="15173"/>
    <cellStyle name="Dane wyjściowe 2 21 41 2" xfId="15174"/>
    <cellStyle name="Dane wyjściowe 2 21 41 3" xfId="15175"/>
    <cellStyle name="Dane wyjściowe 2 21 42" xfId="15176"/>
    <cellStyle name="Dane wyjściowe 2 21 42 2" xfId="15177"/>
    <cellStyle name="Dane wyjściowe 2 21 42 3" xfId="15178"/>
    <cellStyle name="Dane wyjściowe 2 21 43" xfId="15179"/>
    <cellStyle name="Dane wyjściowe 2 21 43 2" xfId="15180"/>
    <cellStyle name="Dane wyjściowe 2 21 43 3" xfId="15181"/>
    <cellStyle name="Dane wyjściowe 2 21 44" xfId="15182"/>
    <cellStyle name="Dane wyjściowe 2 21 44 2" xfId="15183"/>
    <cellStyle name="Dane wyjściowe 2 21 44 3" xfId="15184"/>
    <cellStyle name="Dane wyjściowe 2 21 45" xfId="15185"/>
    <cellStyle name="Dane wyjściowe 2 21 45 2" xfId="15186"/>
    <cellStyle name="Dane wyjściowe 2 21 45 3" xfId="15187"/>
    <cellStyle name="Dane wyjściowe 2 21 46" xfId="15188"/>
    <cellStyle name="Dane wyjściowe 2 21 46 2" xfId="15189"/>
    <cellStyle name="Dane wyjściowe 2 21 46 3" xfId="15190"/>
    <cellStyle name="Dane wyjściowe 2 21 47" xfId="15191"/>
    <cellStyle name="Dane wyjściowe 2 21 47 2" xfId="15192"/>
    <cellStyle name="Dane wyjściowe 2 21 47 3" xfId="15193"/>
    <cellStyle name="Dane wyjściowe 2 21 48" xfId="15194"/>
    <cellStyle name="Dane wyjściowe 2 21 48 2" xfId="15195"/>
    <cellStyle name="Dane wyjściowe 2 21 48 3" xfId="15196"/>
    <cellStyle name="Dane wyjściowe 2 21 49" xfId="15197"/>
    <cellStyle name="Dane wyjściowe 2 21 49 2" xfId="15198"/>
    <cellStyle name="Dane wyjściowe 2 21 49 3" xfId="15199"/>
    <cellStyle name="Dane wyjściowe 2 21 5" xfId="15200"/>
    <cellStyle name="Dane wyjściowe 2 21 5 2" xfId="15201"/>
    <cellStyle name="Dane wyjściowe 2 21 5 3" xfId="15202"/>
    <cellStyle name="Dane wyjściowe 2 21 5 4" xfId="15203"/>
    <cellStyle name="Dane wyjściowe 2 21 50" xfId="15204"/>
    <cellStyle name="Dane wyjściowe 2 21 50 2" xfId="15205"/>
    <cellStyle name="Dane wyjściowe 2 21 50 3" xfId="15206"/>
    <cellStyle name="Dane wyjściowe 2 21 51" xfId="15207"/>
    <cellStyle name="Dane wyjściowe 2 21 51 2" xfId="15208"/>
    <cellStyle name="Dane wyjściowe 2 21 51 3" xfId="15209"/>
    <cellStyle name="Dane wyjściowe 2 21 52" xfId="15210"/>
    <cellStyle name="Dane wyjściowe 2 21 52 2" xfId="15211"/>
    <cellStyle name="Dane wyjściowe 2 21 52 3" xfId="15212"/>
    <cellStyle name="Dane wyjściowe 2 21 53" xfId="15213"/>
    <cellStyle name="Dane wyjściowe 2 21 53 2" xfId="15214"/>
    <cellStyle name="Dane wyjściowe 2 21 53 3" xfId="15215"/>
    <cellStyle name="Dane wyjściowe 2 21 54" xfId="15216"/>
    <cellStyle name="Dane wyjściowe 2 21 54 2" xfId="15217"/>
    <cellStyle name="Dane wyjściowe 2 21 54 3" xfId="15218"/>
    <cellStyle name="Dane wyjściowe 2 21 55" xfId="15219"/>
    <cellStyle name="Dane wyjściowe 2 21 55 2" xfId="15220"/>
    <cellStyle name="Dane wyjściowe 2 21 55 3" xfId="15221"/>
    <cellStyle name="Dane wyjściowe 2 21 56" xfId="15222"/>
    <cellStyle name="Dane wyjściowe 2 21 56 2" xfId="15223"/>
    <cellStyle name="Dane wyjściowe 2 21 56 3" xfId="15224"/>
    <cellStyle name="Dane wyjściowe 2 21 57" xfId="15225"/>
    <cellStyle name="Dane wyjściowe 2 21 58" xfId="15226"/>
    <cellStyle name="Dane wyjściowe 2 21 6" xfId="15227"/>
    <cellStyle name="Dane wyjściowe 2 21 6 2" xfId="15228"/>
    <cellStyle name="Dane wyjściowe 2 21 6 3" xfId="15229"/>
    <cellStyle name="Dane wyjściowe 2 21 6 4" xfId="15230"/>
    <cellStyle name="Dane wyjściowe 2 21 7" xfId="15231"/>
    <cellStyle name="Dane wyjściowe 2 21 7 2" xfId="15232"/>
    <cellStyle name="Dane wyjściowe 2 21 7 3" xfId="15233"/>
    <cellStyle name="Dane wyjściowe 2 21 7 4" xfId="15234"/>
    <cellStyle name="Dane wyjściowe 2 21 8" xfId="15235"/>
    <cellStyle name="Dane wyjściowe 2 21 8 2" xfId="15236"/>
    <cellStyle name="Dane wyjściowe 2 21 8 3" xfId="15237"/>
    <cellStyle name="Dane wyjściowe 2 21 8 4" xfId="15238"/>
    <cellStyle name="Dane wyjściowe 2 21 9" xfId="15239"/>
    <cellStyle name="Dane wyjściowe 2 21 9 2" xfId="15240"/>
    <cellStyle name="Dane wyjściowe 2 21 9 3" xfId="15241"/>
    <cellStyle name="Dane wyjściowe 2 21 9 4" xfId="15242"/>
    <cellStyle name="Dane wyjściowe 2 22" xfId="15243"/>
    <cellStyle name="Dane wyjściowe 2 22 10" xfId="15244"/>
    <cellStyle name="Dane wyjściowe 2 22 10 2" xfId="15245"/>
    <cellStyle name="Dane wyjściowe 2 22 10 3" xfId="15246"/>
    <cellStyle name="Dane wyjściowe 2 22 10 4" xfId="15247"/>
    <cellStyle name="Dane wyjściowe 2 22 11" xfId="15248"/>
    <cellStyle name="Dane wyjściowe 2 22 11 2" xfId="15249"/>
    <cellStyle name="Dane wyjściowe 2 22 11 3" xfId="15250"/>
    <cellStyle name="Dane wyjściowe 2 22 11 4" xfId="15251"/>
    <cellStyle name="Dane wyjściowe 2 22 12" xfId="15252"/>
    <cellStyle name="Dane wyjściowe 2 22 12 2" xfId="15253"/>
    <cellStyle name="Dane wyjściowe 2 22 12 3" xfId="15254"/>
    <cellStyle name="Dane wyjściowe 2 22 12 4" xfId="15255"/>
    <cellStyle name="Dane wyjściowe 2 22 13" xfId="15256"/>
    <cellStyle name="Dane wyjściowe 2 22 13 2" xfId="15257"/>
    <cellStyle name="Dane wyjściowe 2 22 13 3" xfId="15258"/>
    <cellStyle name="Dane wyjściowe 2 22 13 4" xfId="15259"/>
    <cellStyle name="Dane wyjściowe 2 22 14" xfId="15260"/>
    <cellStyle name="Dane wyjściowe 2 22 14 2" xfId="15261"/>
    <cellStyle name="Dane wyjściowe 2 22 14 3" xfId="15262"/>
    <cellStyle name="Dane wyjściowe 2 22 14 4" xfId="15263"/>
    <cellStyle name="Dane wyjściowe 2 22 15" xfId="15264"/>
    <cellStyle name="Dane wyjściowe 2 22 15 2" xfId="15265"/>
    <cellStyle name="Dane wyjściowe 2 22 15 3" xfId="15266"/>
    <cellStyle name="Dane wyjściowe 2 22 15 4" xfId="15267"/>
    <cellStyle name="Dane wyjściowe 2 22 16" xfId="15268"/>
    <cellStyle name="Dane wyjściowe 2 22 16 2" xfId="15269"/>
    <cellStyle name="Dane wyjściowe 2 22 16 3" xfId="15270"/>
    <cellStyle name="Dane wyjściowe 2 22 16 4" xfId="15271"/>
    <cellStyle name="Dane wyjściowe 2 22 17" xfId="15272"/>
    <cellStyle name="Dane wyjściowe 2 22 17 2" xfId="15273"/>
    <cellStyle name="Dane wyjściowe 2 22 17 3" xfId="15274"/>
    <cellStyle name="Dane wyjściowe 2 22 17 4" xfId="15275"/>
    <cellStyle name="Dane wyjściowe 2 22 18" xfId="15276"/>
    <cellStyle name="Dane wyjściowe 2 22 18 2" xfId="15277"/>
    <cellStyle name="Dane wyjściowe 2 22 18 3" xfId="15278"/>
    <cellStyle name="Dane wyjściowe 2 22 18 4" xfId="15279"/>
    <cellStyle name="Dane wyjściowe 2 22 19" xfId="15280"/>
    <cellStyle name="Dane wyjściowe 2 22 19 2" xfId="15281"/>
    <cellStyle name="Dane wyjściowe 2 22 19 3" xfId="15282"/>
    <cellStyle name="Dane wyjściowe 2 22 19 4" xfId="15283"/>
    <cellStyle name="Dane wyjściowe 2 22 2" xfId="15284"/>
    <cellStyle name="Dane wyjściowe 2 22 2 2" xfId="15285"/>
    <cellStyle name="Dane wyjściowe 2 22 2 3" xfId="15286"/>
    <cellStyle name="Dane wyjściowe 2 22 2 4" xfId="15287"/>
    <cellStyle name="Dane wyjściowe 2 22 20" xfId="15288"/>
    <cellStyle name="Dane wyjściowe 2 22 20 2" xfId="15289"/>
    <cellStyle name="Dane wyjściowe 2 22 20 3" xfId="15290"/>
    <cellStyle name="Dane wyjściowe 2 22 20 4" xfId="15291"/>
    <cellStyle name="Dane wyjściowe 2 22 21" xfId="15292"/>
    <cellStyle name="Dane wyjściowe 2 22 21 2" xfId="15293"/>
    <cellStyle name="Dane wyjściowe 2 22 21 3" xfId="15294"/>
    <cellStyle name="Dane wyjściowe 2 22 22" xfId="15295"/>
    <cellStyle name="Dane wyjściowe 2 22 22 2" xfId="15296"/>
    <cellStyle name="Dane wyjściowe 2 22 22 3" xfId="15297"/>
    <cellStyle name="Dane wyjściowe 2 22 23" xfId="15298"/>
    <cellStyle name="Dane wyjściowe 2 22 23 2" xfId="15299"/>
    <cellStyle name="Dane wyjściowe 2 22 23 3" xfId="15300"/>
    <cellStyle name="Dane wyjściowe 2 22 24" xfId="15301"/>
    <cellStyle name="Dane wyjściowe 2 22 24 2" xfId="15302"/>
    <cellStyle name="Dane wyjściowe 2 22 24 3" xfId="15303"/>
    <cellStyle name="Dane wyjściowe 2 22 25" xfId="15304"/>
    <cellStyle name="Dane wyjściowe 2 22 25 2" xfId="15305"/>
    <cellStyle name="Dane wyjściowe 2 22 25 3" xfId="15306"/>
    <cellStyle name="Dane wyjściowe 2 22 26" xfId="15307"/>
    <cellStyle name="Dane wyjściowe 2 22 26 2" xfId="15308"/>
    <cellStyle name="Dane wyjściowe 2 22 26 3" xfId="15309"/>
    <cellStyle name="Dane wyjściowe 2 22 27" xfId="15310"/>
    <cellStyle name="Dane wyjściowe 2 22 27 2" xfId="15311"/>
    <cellStyle name="Dane wyjściowe 2 22 27 3" xfId="15312"/>
    <cellStyle name="Dane wyjściowe 2 22 28" xfId="15313"/>
    <cellStyle name="Dane wyjściowe 2 22 28 2" xfId="15314"/>
    <cellStyle name="Dane wyjściowe 2 22 28 3" xfId="15315"/>
    <cellStyle name="Dane wyjściowe 2 22 29" xfId="15316"/>
    <cellStyle name="Dane wyjściowe 2 22 29 2" xfId="15317"/>
    <cellStyle name="Dane wyjściowe 2 22 29 3" xfId="15318"/>
    <cellStyle name="Dane wyjściowe 2 22 3" xfId="15319"/>
    <cellStyle name="Dane wyjściowe 2 22 3 2" xfId="15320"/>
    <cellStyle name="Dane wyjściowe 2 22 3 3" xfId="15321"/>
    <cellStyle name="Dane wyjściowe 2 22 3 4" xfId="15322"/>
    <cellStyle name="Dane wyjściowe 2 22 30" xfId="15323"/>
    <cellStyle name="Dane wyjściowe 2 22 30 2" xfId="15324"/>
    <cellStyle name="Dane wyjściowe 2 22 30 3" xfId="15325"/>
    <cellStyle name="Dane wyjściowe 2 22 31" xfId="15326"/>
    <cellStyle name="Dane wyjściowe 2 22 31 2" xfId="15327"/>
    <cellStyle name="Dane wyjściowe 2 22 31 3" xfId="15328"/>
    <cellStyle name="Dane wyjściowe 2 22 32" xfId="15329"/>
    <cellStyle name="Dane wyjściowe 2 22 32 2" xfId="15330"/>
    <cellStyle name="Dane wyjściowe 2 22 32 3" xfId="15331"/>
    <cellStyle name="Dane wyjściowe 2 22 33" xfId="15332"/>
    <cellStyle name="Dane wyjściowe 2 22 33 2" xfId="15333"/>
    <cellStyle name="Dane wyjściowe 2 22 33 3" xfId="15334"/>
    <cellStyle name="Dane wyjściowe 2 22 34" xfId="15335"/>
    <cellStyle name="Dane wyjściowe 2 22 34 2" xfId="15336"/>
    <cellStyle name="Dane wyjściowe 2 22 34 3" xfId="15337"/>
    <cellStyle name="Dane wyjściowe 2 22 35" xfId="15338"/>
    <cellStyle name="Dane wyjściowe 2 22 35 2" xfId="15339"/>
    <cellStyle name="Dane wyjściowe 2 22 35 3" xfId="15340"/>
    <cellStyle name="Dane wyjściowe 2 22 36" xfId="15341"/>
    <cellStyle name="Dane wyjściowe 2 22 36 2" xfId="15342"/>
    <cellStyle name="Dane wyjściowe 2 22 36 3" xfId="15343"/>
    <cellStyle name="Dane wyjściowe 2 22 37" xfId="15344"/>
    <cellStyle name="Dane wyjściowe 2 22 37 2" xfId="15345"/>
    <cellStyle name="Dane wyjściowe 2 22 37 3" xfId="15346"/>
    <cellStyle name="Dane wyjściowe 2 22 38" xfId="15347"/>
    <cellStyle name="Dane wyjściowe 2 22 38 2" xfId="15348"/>
    <cellStyle name="Dane wyjściowe 2 22 38 3" xfId="15349"/>
    <cellStyle name="Dane wyjściowe 2 22 39" xfId="15350"/>
    <cellStyle name="Dane wyjściowe 2 22 39 2" xfId="15351"/>
    <cellStyle name="Dane wyjściowe 2 22 39 3" xfId="15352"/>
    <cellStyle name="Dane wyjściowe 2 22 4" xfId="15353"/>
    <cellStyle name="Dane wyjściowe 2 22 4 2" xfId="15354"/>
    <cellStyle name="Dane wyjściowe 2 22 4 3" xfId="15355"/>
    <cellStyle name="Dane wyjściowe 2 22 4 4" xfId="15356"/>
    <cellStyle name="Dane wyjściowe 2 22 40" xfId="15357"/>
    <cellStyle name="Dane wyjściowe 2 22 40 2" xfId="15358"/>
    <cellStyle name="Dane wyjściowe 2 22 40 3" xfId="15359"/>
    <cellStyle name="Dane wyjściowe 2 22 41" xfId="15360"/>
    <cellStyle name="Dane wyjściowe 2 22 41 2" xfId="15361"/>
    <cellStyle name="Dane wyjściowe 2 22 41 3" xfId="15362"/>
    <cellStyle name="Dane wyjściowe 2 22 42" xfId="15363"/>
    <cellStyle name="Dane wyjściowe 2 22 42 2" xfId="15364"/>
    <cellStyle name="Dane wyjściowe 2 22 42 3" xfId="15365"/>
    <cellStyle name="Dane wyjściowe 2 22 43" xfId="15366"/>
    <cellStyle name="Dane wyjściowe 2 22 43 2" xfId="15367"/>
    <cellStyle name="Dane wyjściowe 2 22 43 3" xfId="15368"/>
    <cellStyle name="Dane wyjściowe 2 22 44" xfId="15369"/>
    <cellStyle name="Dane wyjściowe 2 22 44 2" xfId="15370"/>
    <cellStyle name="Dane wyjściowe 2 22 44 3" xfId="15371"/>
    <cellStyle name="Dane wyjściowe 2 22 45" xfId="15372"/>
    <cellStyle name="Dane wyjściowe 2 22 45 2" xfId="15373"/>
    <cellStyle name="Dane wyjściowe 2 22 45 3" xfId="15374"/>
    <cellStyle name="Dane wyjściowe 2 22 46" xfId="15375"/>
    <cellStyle name="Dane wyjściowe 2 22 46 2" xfId="15376"/>
    <cellStyle name="Dane wyjściowe 2 22 46 3" xfId="15377"/>
    <cellStyle name="Dane wyjściowe 2 22 47" xfId="15378"/>
    <cellStyle name="Dane wyjściowe 2 22 47 2" xfId="15379"/>
    <cellStyle name="Dane wyjściowe 2 22 47 3" xfId="15380"/>
    <cellStyle name="Dane wyjściowe 2 22 48" xfId="15381"/>
    <cellStyle name="Dane wyjściowe 2 22 48 2" xfId="15382"/>
    <cellStyle name="Dane wyjściowe 2 22 48 3" xfId="15383"/>
    <cellStyle name="Dane wyjściowe 2 22 49" xfId="15384"/>
    <cellStyle name="Dane wyjściowe 2 22 49 2" xfId="15385"/>
    <cellStyle name="Dane wyjściowe 2 22 49 3" xfId="15386"/>
    <cellStyle name="Dane wyjściowe 2 22 5" xfId="15387"/>
    <cellStyle name="Dane wyjściowe 2 22 5 2" xfId="15388"/>
    <cellStyle name="Dane wyjściowe 2 22 5 3" xfId="15389"/>
    <cellStyle name="Dane wyjściowe 2 22 5 4" xfId="15390"/>
    <cellStyle name="Dane wyjściowe 2 22 50" xfId="15391"/>
    <cellStyle name="Dane wyjściowe 2 22 50 2" xfId="15392"/>
    <cellStyle name="Dane wyjściowe 2 22 50 3" xfId="15393"/>
    <cellStyle name="Dane wyjściowe 2 22 51" xfId="15394"/>
    <cellStyle name="Dane wyjściowe 2 22 51 2" xfId="15395"/>
    <cellStyle name="Dane wyjściowe 2 22 51 3" xfId="15396"/>
    <cellStyle name="Dane wyjściowe 2 22 52" xfId="15397"/>
    <cellStyle name="Dane wyjściowe 2 22 52 2" xfId="15398"/>
    <cellStyle name="Dane wyjściowe 2 22 52 3" xfId="15399"/>
    <cellStyle name="Dane wyjściowe 2 22 53" xfId="15400"/>
    <cellStyle name="Dane wyjściowe 2 22 53 2" xfId="15401"/>
    <cellStyle name="Dane wyjściowe 2 22 53 3" xfId="15402"/>
    <cellStyle name="Dane wyjściowe 2 22 54" xfId="15403"/>
    <cellStyle name="Dane wyjściowe 2 22 54 2" xfId="15404"/>
    <cellStyle name="Dane wyjściowe 2 22 54 3" xfId="15405"/>
    <cellStyle name="Dane wyjściowe 2 22 55" xfId="15406"/>
    <cellStyle name="Dane wyjściowe 2 22 55 2" xfId="15407"/>
    <cellStyle name="Dane wyjściowe 2 22 55 3" xfId="15408"/>
    <cellStyle name="Dane wyjściowe 2 22 56" xfId="15409"/>
    <cellStyle name="Dane wyjściowe 2 22 56 2" xfId="15410"/>
    <cellStyle name="Dane wyjściowe 2 22 56 3" xfId="15411"/>
    <cellStyle name="Dane wyjściowe 2 22 57" xfId="15412"/>
    <cellStyle name="Dane wyjściowe 2 22 58" xfId="15413"/>
    <cellStyle name="Dane wyjściowe 2 22 6" xfId="15414"/>
    <cellStyle name="Dane wyjściowe 2 22 6 2" xfId="15415"/>
    <cellStyle name="Dane wyjściowe 2 22 6 3" xfId="15416"/>
    <cellStyle name="Dane wyjściowe 2 22 6 4" xfId="15417"/>
    <cellStyle name="Dane wyjściowe 2 22 7" xfId="15418"/>
    <cellStyle name="Dane wyjściowe 2 22 7 2" xfId="15419"/>
    <cellStyle name="Dane wyjściowe 2 22 7 3" xfId="15420"/>
    <cellStyle name="Dane wyjściowe 2 22 7 4" xfId="15421"/>
    <cellStyle name="Dane wyjściowe 2 22 8" xfId="15422"/>
    <cellStyle name="Dane wyjściowe 2 22 8 2" xfId="15423"/>
    <cellStyle name="Dane wyjściowe 2 22 8 3" xfId="15424"/>
    <cellStyle name="Dane wyjściowe 2 22 8 4" xfId="15425"/>
    <cellStyle name="Dane wyjściowe 2 22 9" xfId="15426"/>
    <cellStyle name="Dane wyjściowe 2 22 9 2" xfId="15427"/>
    <cellStyle name="Dane wyjściowe 2 22 9 3" xfId="15428"/>
    <cellStyle name="Dane wyjściowe 2 22 9 4" xfId="15429"/>
    <cellStyle name="Dane wyjściowe 2 23" xfId="15430"/>
    <cellStyle name="Dane wyjściowe 2 23 10" xfId="15431"/>
    <cellStyle name="Dane wyjściowe 2 23 10 2" xfId="15432"/>
    <cellStyle name="Dane wyjściowe 2 23 10 3" xfId="15433"/>
    <cellStyle name="Dane wyjściowe 2 23 10 4" xfId="15434"/>
    <cellStyle name="Dane wyjściowe 2 23 11" xfId="15435"/>
    <cellStyle name="Dane wyjściowe 2 23 11 2" xfId="15436"/>
    <cellStyle name="Dane wyjściowe 2 23 11 3" xfId="15437"/>
    <cellStyle name="Dane wyjściowe 2 23 11 4" xfId="15438"/>
    <cellStyle name="Dane wyjściowe 2 23 12" xfId="15439"/>
    <cellStyle name="Dane wyjściowe 2 23 12 2" xfId="15440"/>
    <cellStyle name="Dane wyjściowe 2 23 12 3" xfId="15441"/>
    <cellStyle name="Dane wyjściowe 2 23 12 4" xfId="15442"/>
    <cellStyle name="Dane wyjściowe 2 23 13" xfId="15443"/>
    <cellStyle name="Dane wyjściowe 2 23 13 2" xfId="15444"/>
    <cellStyle name="Dane wyjściowe 2 23 13 3" xfId="15445"/>
    <cellStyle name="Dane wyjściowe 2 23 13 4" xfId="15446"/>
    <cellStyle name="Dane wyjściowe 2 23 14" xfId="15447"/>
    <cellStyle name="Dane wyjściowe 2 23 14 2" xfId="15448"/>
    <cellStyle name="Dane wyjściowe 2 23 14 3" xfId="15449"/>
    <cellStyle name="Dane wyjściowe 2 23 14 4" xfId="15450"/>
    <cellStyle name="Dane wyjściowe 2 23 15" xfId="15451"/>
    <cellStyle name="Dane wyjściowe 2 23 15 2" xfId="15452"/>
    <cellStyle name="Dane wyjściowe 2 23 15 3" xfId="15453"/>
    <cellStyle name="Dane wyjściowe 2 23 15 4" xfId="15454"/>
    <cellStyle name="Dane wyjściowe 2 23 16" xfId="15455"/>
    <cellStyle name="Dane wyjściowe 2 23 16 2" xfId="15456"/>
    <cellStyle name="Dane wyjściowe 2 23 16 3" xfId="15457"/>
    <cellStyle name="Dane wyjściowe 2 23 16 4" xfId="15458"/>
    <cellStyle name="Dane wyjściowe 2 23 17" xfId="15459"/>
    <cellStyle name="Dane wyjściowe 2 23 17 2" xfId="15460"/>
    <cellStyle name="Dane wyjściowe 2 23 17 3" xfId="15461"/>
    <cellStyle name="Dane wyjściowe 2 23 17 4" xfId="15462"/>
    <cellStyle name="Dane wyjściowe 2 23 18" xfId="15463"/>
    <cellStyle name="Dane wyjściowe 2 23 18 2" xfId="15464"/>
    <cellStyle name="Dane wyjściowe 2 23 18 3" xfId="15465"/>
    <cellStyle name="Dane wyjściowe 2 23 18 4" xfId="15466"/>
    <cellStyle name="Dane wyjściowe 2 23 19" xfId="15467"/>
    <cellStyle name="Dane wyjściowe 2 23 19 2" xfId="15468"/>
    <cellStyle name="Dane wyjściowe 2 23 19 3" xfId="15469"/>
    <cellStyle name="Dane wyjściowe 2 23 19 4" xfId="15470"/>
    <cellStyle name="Dane wyjściowe 2 23 2" xfId="15471"/>
    <cellStyle name="Dane wyjściowe 2 23 2 2" xfId="15472"/>
    <cellStyle name="Dane wyjściowe 2 23 2 3" xfId="15473"/>
    <cellStyle name="Dane wyjściowe 2 23 2 4" xfId="15474"/>
    <cellStyle name="Dane wyjściowe 2 23 20" xfId="15475"/>
    <cellStyle name="Dane wyjściowe 2 23 20 2" xfId="15476"/>
    <cellStyle name="Dane wyjściowe 2 23 20 3" xfId="15477"/>
    <cellStyle name="Dane wyjściowe 2 23 20 4" xfId="15478"/>
    <cellStyle name="Dane wyjściowe 2 23 21" xfId="15479"/>
    <cellStyle name="Dane wyjściowe 2 23 21 2" xfId="15480"/>
    <cellStyle name="Dane wyjściowe 2 23 21 3" xfId="15481"/>
    <cellStyle name="Dane wyjściowe 2 23 22" xfId="15482"/>
    <cellStyle name="Dane wyjściowe 2 23 22 2" xfId="15483"/>
    <cellStyle name="Dane wyjściowe 2 23 22 3" xfId="15484"/>
    <cellStyle name="Dane wyjściowe 2 23 23" xfId="15485"/>
    <cellStyle name="Dane wyjściowe 2 23 23 2" xfId="15486"/>
    <cellStyle name="Dane wyjściowe 2 23 23 3" xfId="15487"/>
    <cellStyle name="Dane wyjściowe 2 23 24" xfId="15488"/>
    <cellStyle name="Dane wyjściowe 2 23 24 2" xfId="15489"/>
    <cellStyle name="Dane wyjściowe 2 23 24 3" xfId="15490"/>
    <cellStyle name="Dane wyjściowe 2 23 25" xfId="15491"/>
    <cellStyle name="Dane wyjściowe 2 23 25 2" xfId="15492"/>
    <cellStyle name="Dane wyjściowe 2 23 25 3" xfId="15493"/>
    <cellStyle name="Dane wyjściowe 2 23 26" xfId="15494"/>
    <cellStyle name="Dane wyjściowe 2 23 26 2" xfId="15495"/>
    <cellStyle name="Dane wyjściowe 2 23 26 3" xfId="15496"/>
    <cellStyle name="Dane wyjściowe 2 23 27" xfId="15497"/>
    <cellStyle name="Dane wyjściowe 2 23 27 2" xfId="15498"/>
    <cellStyle name="Dane wyjściowe 2 23 27 3" xfId="15499"/>
    <cellStyle name="Dane wyjściowe 2 23 28" xfId="15500"/>
    <cellStyle name="Dane wyjściowe 2 23 28 2" xfId="15501"/>
    <cellStyle name="Dane wyjściowe 2 23 28 3" xfId="15502"/>
    <cellStyle name="Dane wyjściowe 2 23 29" xfId="15503"/>
    <cellStyle name="Dane wyjściowe 2 23 29 2" xfId="15504"/>
    <cellStyle name="Dane wyjściowe 2 23 29 3" xfId="15505"/>
    <cellStyle name="Dane wyjściowe 2 23 3" xfId="15506"/>
    <cellStyle name="Dane wyjściowe 2 23 3 2" xfId="15507"/>
    <cellStyle name="Dane wyjściowe 2 23 3 3" xfId="15508"/>
    <cellStyle name="Dane wyjściowe 2 23 3 4" xfId="15509"/>
    <cellStyle name="Dane wyjściowe 2 23 30" xfId="15510"/>
    <cellStyle name="Dane wyjściowe 2 23 30 2" xfId="15511"/>
    <cellStyle name="Dane wyjściowe 2 23 30 3" xfId="15512"/>
    <cellStyle name="Dane wyjściowe 2 23 31" xfId="15513"/>
    <cellStyle name="Dane wyjściowe 2 23 31 2" xfId="15514"/>
    <cellStyle name="Dane wyjściowe 2 23 31 3" xfId="15515"/>
    <cellStyle name="Dane wyjściowe 2 23 32" xfId="15516"/>
    <cellStyle name="Dane wyjściowe 2 23 32 2" xfId="15517"/>
    <cellStyle name="Dane wyjściowe 2 23 32 3" xfId="15518"/>
    <cellStyle name="Dane wyjściowe 2 23 33" xfId="15519"/>
    <cellStyle name="Dane wyjściowe 2 23 33 2" xfId="15520"/>
    <cellStyle name="Dane wyjściowe 2 23 33 3" xfId="15521"/>
    <cellStyle name="Dane wyjściowe 2 23 34" xfId="15522"/>
    <cellStyle name="Dane wyjściowe 2 23 34 2" xfId="15523"/>
    <cellStyle name="Dane wyjściowe 2 23 34 3" xfId="15524"/>
    <cellStyle name="Dane wyjściowe 2 23 35" xfId="15525"/>
    <cellStyle name="Dane wyjściowe 2 23 35 2" xfId="15526"/>
    <cellStyle name="Dane wyjściowe 2 23 35 3" xfId="15527"/>
    <cellStyle name="Dane wyjściowe 2 23 36" xfId="15528"/>
    <cellStyle name="Dane wyjściowe 2 23 36 2" xfId="15529"/>
    <cellStyle name="Dane wyjściowe 2 23 36 3" xfId="15530"/>
    <cellStyle name="Dane wyjściowe 2 23 37" xfId="15531"/>
    <cellStyle name="Dane wyjściowe 2 23 37 2" xfId="15532"/>
    <cellStyle name="Dane wyjściowe 2 23 37 3" xfId="15533"/>
    <cellStyle name="Dane wyjściowe 2 23 38" xfId="15534"/>
    <cellStyle name="Dane wyjściowe 2 23 38 2" xfId="15535"/>
    <cellStyle name="Dane wyjściowe 2 23 38 3" xfId="15536"/>
    <cellStyle name="Dane wyjściowe 2 23 39" xfId="15537"/>
    <cellStyle name="Dane wyjściowe 2 23 39 2" xfId="15538"/>
    <cellStyle name="Dane wyjściowe 2 23 39 3" xfId="15539"/>
    <cellStyle name="Dane wyjściowe 2 23 4" xfId="15540"/>
    <cellStyle name="Dane wyjściowe 2 23 4 2" xfId="15541"/>
    <cellStyle name="Dane wyjściowe 2 23 4 3" xfId="15542"/>
    <cellStyle name="Dane wyjściowe 2 23 4 4" xfId="15543"/>
    <cellStyle name="Dane wyjściowe 2 23 40" xfId="15544"/>
    <cellStyle name="Dane wyjściowe 2 23 40 2" xfId="15545"/>
    <cellStyle name="Dane wyjściowe 2 23 40 3" xfId="15546"/>
    <cellStyle name="Dane wyjściowe 2 23 41" xfId="15547"/>
    <cellStyle name="Dane wyjściowe 2 23 41 2" xfId="15548"/>
    <cellStyle name="Dane wyjściowe 2 23 41 3" xfId="15549"/>
    <cellStyle name="Dane wyjściowe 2 23 42" xfId="15550"/>
    <cellStyle name="Dane wyjściowe 2 23 42 2" xfId="15551"/>
    <cellStyle name="Dane wyjściowe 2 23 42 3" xfId="15552"/>
    <cellStyle name="Dane wyjściowe 2 23 43" xfId="15553"/>
    <cellStyle name="Dane wyjściowe 2 23 43 2" xfId="15554"/>
    <cellStyle name="Dane wyjściowe 2 23 43 3" xfId="15555"/>
    <cellStyle name="Dane wyjściowe 2 23 44" xfId="15556"/>
    <cellStyle name="Dane wyjściowe 2 23 44 2" xfId="15557"/>
    <cellStyle name="Dane wyjściowe 2 23 44 3" xfId="15558"/>
    <cellStyle name="Dane wyjściowe 2 23 45" xfId="15559"/>
    <cellStyle name="Dane wyjściowe 2 23 45 2" xfId="15560"/>
    <cellStyle name="Dane wyjściowe 2 23 45 3" xfId="15561"/>
    <cellStyle name="Dane wyjściowe 2 23 46" xfId="15562"/>
    <cellStyle name="Dane wyjściowe 2 23 46 2" xfId="15563"/>
    <cellStyle name="Dane wyjściowe 2 23 46 3" xfId="15564"/>
    <cellStyle name="Dane wyjściowe 2 23 47" xfId="15565"/>
    <cellStyle name="Dane wyjściowe 2 23 47 2" xfId="15566"/>
    <cellStyle name="Dane wyjściowe 2 23 47 3" xfId="15567"/>
    <cellStyle name="Dane wyjściowe 2 23 48" xfId="15568"/>
    <cellStyle name="Dane wyjściowe 2 23 48 2" xfId="15569"/>
    <cellStyle name="Dane wyjściowe 2 23 48 3" xfId="15570"/>
    <cellStyle name="Dane wyjściowe 2 23 49" xfId="15571"/>
    <cellStyle name="Dane wyjściowe 2 23 49 2" xfId="15572"/>
    <cellStyle name="Dane wyjściowe 2 23 49 3" xfId="15573"/>
    <cellStyle name="Dane wyjściowe 2 23 5" xfId="15574"/>
    <cellStyle name="Dane wyjściowe 2 23 5 2" xfId="15575"/>
    <cellStyle name="Dane wyjściowe 2 23 5 3" xfId="15576"/>
    <cellStyle name="Dane wyjściowe 2 23 5 4" xfId="15577"/>
    <cellStyle name="Dane wyjściowe 2 23 50" xfId="15578"/>
    <cellStyle name="Dane wyjściowe 2 23 50 2" xfId="15579"/>
    <cellStyle name="Dane wyjściowe 2 23 50 3" xfId="15580"/>
    <cellStyle name="Dane wyjściowe 2 23 51" xfId="15581"/>
    <cellStyle name="Dane wyjściowe 2 23 51 2" xfId="15582"/>
    <cellStyle name="Dane wyjściowe 2 23 51 3" xfId="15583"/>
    <cellStyle name="Dane wyjściowe 2 23 52" xfId="15584"/>
    <cellStyle name="Dane wyjściowe 2 23 52 2" xfId="15585"/>
    <cellStyle name="Dane wyjściowe 2 23 52 3" xfId="15586"/>
    <cellStyle name="Dane wyjściowe 2 23 53" xfId="15587"/>
    <cellStyle name="Dane wyjściowe 2 23 53 2" xfId="15588"/>
    <cellStyle name="Dane wyjściowe 2 23 53 3" xfId="15589"/>
    <cellStyle name="Dane wyjściowe 2 23 54" xfId="15590"/>
    <cellStyle name="Dane wyjściowe 2 23 54 2" xfId="15591"/>
    <cellStyle name="Dane wyjściowe 2 23 54 3" xfId="15592"/>
    <cellStyle name="Dane wyjściowe 2 23 55" xfId="15593"/>
    <cellStyle name="Dane wyjściowe 2 23 55 2" xfId="15594"/>
    <cellStyle name="Dane wyjściowe 2 23 55 3" xfId="15595"/>
    <cellStyle name="Dane wyjściowe 2 23 56" xfId="15596"/>
    <cellStyle name="Dane wyjściowe 2 23 56 2" xfId="15597"/>
    <cellStyle name="Dane wyjściowe 2 23 56 3" xfId="15598"/>
    <cellStyle name="Dane wyjściowe 2 23 57" xfId="15599"/>
    <cellStyle name="Dane wyjściowe 2 23 58" xfId="15600"/>
    <cellStyle name="Dane wyjściowe 2 23 6" xfId="15601"/>
    <cellStyle name="Dane wyjściowe 2 23 6 2" xfId="15602"/>
    <cellStyle name="Dane wyjściowe 2 23 6 3" xfId="15603"/>
    <cellStyle name="Dane wyjściowe 2 23 6 4" xfId="15604"/>
    <cellStyle name="Dane wyjściowe 2 23 7" xfId="15605"/>
    <cellStyle name="Dane wyjściowe 2 23 7 2" xfId="15606"/>
    <cellStyle name="Dane wyjściowe 2 23 7 3" xfId="15607"/>
    <cellStyle name="Dane wyjściowe 2 23 7 4" xfId="15608"/>
    <cellStyle name="Dane wyjściowe 2 23 8" xfId="15609"/>
    <cellStyle name="Dane wyjściowe 2 23 8 2" xfId="15610"/>
    <cellStyle name="Dane wyjściowe 2 23 8 3" xfId="15611"/>
    <cellStyle name="Dane wyjściowe 2 23 8 4" xfId="15612"/>
    <cellStyle name="Dane wyjściowe 2 23 9" xfId="15613"/>
    <cellStyle name="Dane wyjściowe 2 23 9 2" xfId="15614"/>
    <cellStyle name="Dane wyjściowe 2 23 9 3" xfId="15615"/>
    <cellStyle name="Dane wyjściowe 2 23 9 4" xfId="15616"/>
    <cellStyle name="Dane wyjściowe 2 24" xfId="15617"/>
    <cellStyle name="Dane wyjściowe 2 24 10" xfId="15618"/>
    <cellStyle name="Dane wyjściowe 2 24 10 2" xfId="15619"/>
    <cellStyle name="Dane wyjściowe 2 24 10 3" xfId="15620"/>
    <cellStyle name="Dane wyjściowe 2 24 10 4" xfId="15621"/>
    <cellStyle name="Dane wyjściowe 2 24 11" xfId="15622"/>
    <cellStyle name="Dane wyjściowe 2 24 11 2" xfId="15623"/>
    <cellStyle name="Dane wyjściowe 2 24 11 3" xfId="15624"/>
    <cellStyle name="Dane wyjściowe 2 24 11 4" xfId="15625"/>
    <cellStyle name="Dane wyjściowe 2 24 12" xfId="15626"/>
    <cellStyle name="Dane wyjściowe 2 24 12 2" xfId="15627"/>
    <cellStyle name="Dane wyjściowe 2 24 12 3" xfId="15628"/>
    <cellStyle name="Dane wyjściowe 2 24 12 4" xfId="15629"/>
    <cellStyle name="Dane wyjściowe 2 24 13" xfId="15630"/>
    <cellStyle name="Dane wyjściowe 2 24 13 2" xfId="15631"/>
    <cellStyle name="Dane wyjściowe 2 24 13 3" xfId="15632"/>
    <cellStyle name="Dane wyjściowe 2 24 13 4" xfId="15633"/>
    <cellStyle name="Dane wyjściowe 2 24 14" xfId="15634"/>
    <cellStyle name="Dane wyjściowe 2 24 14 2" xfId="15635"/>
    <cellStyle name="Dane wyjściowe 2 24 14 3" xfId="15636"/>
    <cellStyle name="Dane wyjściowe 2 24 14 4" xfId="15637"/>
    <cellStyle name="Dane wyjściowe 2 24 15" xfId="15638"/>
    <cellStyle name="Dane wyjściowe 2 24 15 2" xfId="15639"/>
    <cellStyle name="Dane wyjściowe 2 24 15 3" xfId="15640"/>
    <cellStyle name="Dane wyjściowe 2 24 15 4" xfId="15641"/>
    <cellStyle name="Dane wyjściowe 2 24 16" xfId="15642"/>
    <cellStyle name="Dane wyjściowe 2 24 16 2" xfId="15643"/>
    <cellStyle name="Dane wyjściowe 2 24 16 3" xfId="15644"/>
    <cellStyle name="Dane wyjściowe 2 24 16 4" xfId="15645"/>
    <cellStyle name="Dane wyjściowe 2 24 17" xfId="15646"/>
    <cellStyle name="Dane wyjściowe 2 24 17 2" xfId="15647"/>
    <cellStyle name="Dane wyjściowe 2 24 17 3" xfId="15648"/>
    <cellStyle name="Dane wyjściowe 2 24 17 4" xfId="15649"/>
    <cellStyle name="Dane wyjściowe 2 24 18" xfId="15650"/>
    <cellStyle name="Dane wyjściowe 2 24 18 2" xfId="15651"/>
    <cellStyle name="Dane wyjściowe 2 24 18 3" xfId="15652"/>
    <cellStyle name="Dane wyjściowe 2 24 18 4" xfId="15653"/>
    <cellStyle name="Dane wyjściowe 2 24 19" xfId="15654"/>
    <cellStyle name="Dane wyjściowe 2 24 19 2" xfId="15655"/>
    <cellStyle name="Dane wyjściowe 2 24 19 3" xfId="15656"/>
    <cellStyle name="Dane wyjściowe 2 24 19 4" xfId="15657"/>
    <cellStyle name="Dane wyjściowe 2 24 2" xfId="15658"/>
    <cellStyle name="Dane wyjściowe 2 24 2 2" xfId="15659"/>
    <cellStyle name="Dane wyjściowe 2 24 2 3" xfId="15660"/>
    <cellStyle name="Dane wyjściowe 2 24 2 4" xfId="15661"/>
    <cellStyle name="Dane wyjściowe 2 24 20" xfId="15662"/>
    <cellStyle name="Dane wyjściowe 2 24 20 2" xfId="15663"/>
    <cellStyle name="Dane wyjściowe 2 24 20 3" xfId="15664"/>
    <cellStyle name="Dane wyjściowe 2 24 20 4" xfId="15665"/>
    <cellStyle name="Dane wyjściowe 2 24 21" xfId="15666"/>
    <cellStyle name="Dane wyjściowe 2 24 21 2" xfId="15667"/>
    <cellStyle name="Dane wyjściowe 2 24 21 3" xfId="15668"/>
    <cellStyle name="Dane wyjściowe 2 24 22" xfId="15669"/>
    <cellStyle name="Dane wyjściowe 2 24 22 2" xfId="15670"/>
    <cellStyle name="Dane wyjściowe 2 24 22 3" xfId="15671"/>
    <cellStyle name="Dane wyjściowe 2 24 23" xfId="15672"/>
    <cellStyle name="Dane wyjściowe 2 24 23 2" xfId="15673"/>
    <cellStyle name="Dane wyjściowe 2 24 23 3" xfId="15674"/>
    <cellStyle name="Dane wyjściowe 2 24 24" xfId="15675"/>
    <cellStyle name="Dane wyjściowe 2 24 24 2" xfId="15676"/>
    <cellStyle name="Dane wyjściowe 2 24 24 3" xfId="15677"/>
    <cellStyle name="Dane wyjściowe 2 24 25" xfId="15678"/>
    <cellStyle name="Dane wyjściowe 2 24 25 2" xfId="15679"/>
    <cellStyle name="Dane wyjściowe 2 24 25 3" xfId="15680"/>
    <cellStyle name="Dane wyjściowe 2 24 26" xfId="15681"/>
    <cellStyle name="Dane wyjściowe 2 24 26 2" xfId="15682"/>
    <cellStyle name="Dane wyjściowe 2 24 26 3" xfId="15683"/>
    <cellStyle name="Dane wyjściowe 2 24 27" xfId="15684"/>
    <cellStyle name="Dane wyjściowe 2 24 27 2" xfId="15685"/>
    <cellStyle name="Dane wyjściowe 2 24 27 3" xfId="15686"/>
    <cellStyle name="Dane wyjściowe 2 24 28" xfId="15687"/>
    <cellStyle name="Dane wyjściowe 2 24 28 2" xfId="15688"/>
    <cellStyle name="Dane wyjściowe 2 24 28 3" xfId="15689"/>
    <cellStyle name="Dane wyjściowe 2 24 29" xfId="15690"/>
    <cellStyle name="Dane wyjściowe 2 24 29 2" xfId="15691"/>
    <cellStyle name="Dane wyjściowe 2 24 29 3" xfId="15692"/>
    <cellStyle name="Dane wyjściowe 2 24 3" xfId="15693"/>
    <cellStyle name="Dane wyjściowe 2 24 3 2" xfId="15694"/>
    <cellStyle name="Dane wyjściowe 2 24 3 3" xfId="15695"/>
    <cellStyle name="Dane wyjściowe 2 24 3 4" xfId="15696"/>
    <cellStyle name="Dane wyjściowe 2 24 30" xfId="15697"/>
    <cellStyle name="Dane wyjściowe 2 24 30 2" xfId="15698"/>
    <cellStyle name="Dane wyjściowe 2 24 30 3" xfId="15699"/>
    <cellStyle name="Dane wyjściowe 2 24 31" xfId="15700"/>
    <cellStyle name="Dane wyjściowe 2 24 31 2" xfId="15701"/>
    <cellStyle name="Dane wyjściowe 2 24 31 3" xfId="15702"/>
    <cellStyle name="Dane wyjściowe 2 24 32" xfId="15703"/>
    <cellStyle name="Dane wyjściowe 2 24 32 2" xfId="15704"/>
    <cellStyle name="Dane wyjściowe 2 24 32 3" xfId="15705"/>
    <cellStyle name="Dane wyjściowe 2 24 33" xfId="15706"/>
    <cellStyle name="Dane wyjściowe 2 24 33 2" xfId="15707"/>
    <cellStyle name="Dane wyjściowe 2 24 33 3" xfId="15708"/>
    <cellStyle name="Dane wyjściowe 2 24 34" xfId="15709"/>
    <cellStyle name="Dane wyjściowe 2 24 34 2" xfId="15710"/>
    <cellStyle name="Dane wyjściowe 2 24 34 3" xfId="15711"/>
    <cellStyle name="Dane wyjściowe 2 24 35" xfId="15712"/>
    <cellStyle name="Dane wyjściowe 2 24 35 2" xfId="15713"/>
    <cellStyle name="Dane wyjściowe 2 24 35 3" xfId="15714"/>
    <cellStyle name="Dane wyjściowe 2 24 36" xfId="15715"/>
    <cellStyle name="Dane wyjściowe 2 24 36 2" xfId="15716"/>
    <cellStyle name="Dane wyjściowe 2 24 36 3" xfId="15717"/>
    <cellStyle name="Dane wyjściowe 2 24 37" xfId="15718"/>
    <cellStyle name="Dane wyjściowe 2 24 37 2" xfId="15719"/>
    <cellStyle name="Dane wyjściowe 2 24 37 3" xfId="15720"/>
    <cellStyle name="Dane wyjściowe 2 24 38" xfId="15721"/>
    <cellStyle name="Dane wyjściowe 2 24 38 2" xfId="15722"/>
    <cellStyle name="Dane wyjściowe 2 24 38 3" xfId="15723"/>
    <cellStyle name="Dane wyjściowe 2 24 39" xfId="15724"/>
    <cellStyle name="Dane wyjściowe 2 24 39 2" xfId="15725"/>
    <cellStyle name="Dane wyjściowe 2 24 39 3" xfId="15726"/>
    <cellStyle name="Dane wyjściowe 2 24 4" xfId="15727"/>
    <cellStyle name="Dane wyjściowe 2 24 4 2" xfId="15728"/>
    <cellStyle name="Dane wyjściowe 2 24 4 3" xfId="15729"/>
    <cellStyle name="Dane wyjściowe 2 24 4 4" xfId="15730"/>
    <cellStyle name="Dane wyjściowe 2 24 40" xfId="15731"/>
    <cellStyle name="Dane wyjściowe 2 24 40 2" xfId="15732"/>
    <cellStyle name="Dane wyjściowe 2 24 40 3" xfId="15733"/>
    <cellStyle name="Dane wyjściowe 2 24 41" xfId="15734"/>
    <cellStyle name="Dane wyjściowe 2 24 41 2" xfId="15735"/>
    <cellStyle name="Dane wyjściowe 2 24 41 3" xfId="15736"/>
    <cellStyle name="Dane wyjściowe 2 24 42" xfId="15737"/>
    <cellStyle name="Dane wyjściowe 2 24 42 2" xfId="15738"/>
    <cellStyle name="Dane wyjściowe 2 24 42 3" xfId="15739"/>
    <cellStyle name="Dane wyjściowe 2 24 43" xfId="15740"/>
    <cellStyle name="Dane wyjściowe 2 24 43 2" xfId="15741"/>
    <cellStyle name="Dane wyjściowe 2 24 43 3" xfId="15742"/>
    <cellStyle name="Dane wyjściowe 2 24 44" xfId="15743"/>
    <cellStyle name="Dane wyjściowe 2 24 44 2" xfId="15744"/>
    <cellStyle name="Dane wyjściowe 2 24 44 3" xfId="15745"/>
    <cellStyle name="Dane wyjściowe 2 24 45" xfId="15746"/>
    <cellStyle name="Dane wyjściowe 2 24 45 2" xfId="15747"/>
    <cellStyle name="Dane wyjściowe 2 24 45 3" xfId="15748"/>
    <cellStyle name="Dane wyjściowe 2 24 46" xfId="15749"/>
    <cellStyle name="Dane wyjściowe 2 24 46 2" xfId="15750"/>
    <cellStyle name="Dane wyjściowe 2 24 46 3" xfId="15751"/>
    <cellStyle name="Dane wyjściowe 2 24 47" xfId="15752"/>
    <cellStyle name="Dane wyjściowe 2 24 47 2" xfId="15753"/>
    <cellStyle name="Dane wyjściowe 2 24 47 3" xfId="15754"/>
    <cellStyle name="Dane wyjściowe 2 24 48" xfId="15755"/>
    <cellStyle name="Dane wyjściowe 2 24 48 2" xfId="15756"/>
    <cellStyle name="Dane wyjściowe 2 24 48 3" xfId="15757"/>
    <cellStyle name="Dane wyjściowe 2 24 49" xfId="15758"/>
    <cellStyle name="Dane wyjściowe 2 24 49 2" xfId="15759"/>
    <cellStyle name="Dane wyjściowe 2 24 49 3" xfId="15760"/>
    <cellStyle name="Dane wyjściowe 2 24 5" xfId="15761"/>
    <cellStyle name="Dane wyjściowe 2 24 5 2" xfId="15762"/>
    <cellStyle name="Dane wyjściowe 2 24 5 3" xfId="15763"/>
    <cellStyle name="Dane wyjściowe 2 24 5 4" xfId="15764"/>
    <cellStyle name="Dane wyjściowe 2 24 50" xfId="15765"/>
    <cellStyle name="Dane wyjściowe 2 24 50 2" xfId="15766"/>
    <cellStyle name="Dane wyjściowe 2 24 50 3" xfId="15767"/>
    <cellStyle name="Dane wyjściowe 2 24 51" xfId="15768"/>
    <cellStyle name="Dane wyjściowe 2 24 51 2" xfId="15769"/>
    <cellStyle name="Dane wyjściowe 2 24 51 3" xfId="15770"/>
    <cellStyle name="Dane wyjściowe 2 24 52" xfId="15771"/>
    <cellStyle name="Dane wyjściowe 2 24 52 2" xfId="15772"/>
    <cellStyle name="Dane wyjściowe 2 24 52 3" xfId="15773"/>
    <cellStyle name="Dane wyjściowe 2 24 53" xfId="15774"/>
    <cellStyle name="Dane wyjściowe 2 24 53 2" xfId="15775"/>
    <cellStyle name="Dane wyjściowe 2 24 53 3" xfId="15776"/>
    <cellStyle name="Dane wyjściowe 2 24 54" xfId="15777"/>
    <cellStyle name="Dane wyjściowe 2 24 54 2" xfId="15778"/>
    <cellStyle name="Dane wyjściowe 2 24 54 3" xfId="15779"/>
    <cellStyle name="Dane wyjściowe 2 24 55" xfId="15780"/>
    <cellStyle name="Dane wyjściowe 2 24 55 2" xfId="15781"/>
    <cellStyle name="Dane wyjściowe 2 24 55 3" xfId="15782"/>
    <cellStyle name="Dane wyjściowe 2 24 56" xfId="15783"/>
    <cellStyle name="Dane wyjściowe 2 24 56 2" xfId="15784"/>
    <cellStyle name="Dane wyjściowe 2 24 56 3" xfId="15785"/>
    <cellStyle name="Dane wyjściowe 2 24 57" xfId="15786"/>
    <cellStyle name="Dane wyjściowe 2 24 58" xfId="15787"/>
    <cellStyle name="Dane wyjściowe 2 24 6" xfId="15788"/>
    <cellStyle name="Dane wyjściowe 2 24 6 2" xfId="15789"/>
    <cellStyle name="Dane wyjściowe 2 24 6 3" xfId="15790"/>
    <cellStyle name="Dane wyjściowe 2 24 6 4" xfId="15791"/>
    <cellStyle name="Dane wyjściowe 2 24 7" xfId="15792"/>
    <cellStyle name="Dane wyjściowe 2 24 7 2" xfId="15793"/>
    <cellStyle name="Dane wyjściowe 2 24 7 3" xfId="15794"/>
    <cellStyle name="Dane wyjściowe 2 24 7 4" xfId="15795"/>
    <cellStyle name="Dane wyjściowe 2 24 8" xfId="15796"/>
    <cellStyle name="Dane wyjściowe 2 24 8 2" xfId="15797"/>
    <cellStyle name="Dane wyjściowe 2 24 8 3" xfId="15798"/>
    <cellStyle name="Dane wyjściowe 2 24 8 4" xfId="15799"/>
    <cellStyle name="Dane wyjściowe 2 24 9" xfId="15800"/>
    <cellStyle name="Dane wyjściowe 2 24 9 2" xfId="15801"/>
    <cellStyle name="Dane wyjściowe 2 24 9 3" xfId="15802"/>
    <cellStyle name="Dane wyjściowe 2 24 9 4" xfId="15803"/>
    <cellStyle name="Dane wyjściowe 2 25" xfId="15804"/>
    <cellStyle name="Dane wyjściowe 2 25 10" xfId="15805"/>
    <cellStyle name="Dane wyjściowe 2 25 10 2" xfId="15806"/>
    <cellStyle name="Dane wyjściowe 2 25 10 3" xfId="15807"/>
    <cellStyle name="Dane wyjściowe 2 25 10 4" xfId="15808"/>
    <cellStyle name="Dane wyjściowe 2 25 11" xfId="15809"/>
    <cellStyle name="Dane wyjściowe 2 25 11 2" xfId="15810"/>
    <cellStyle name="Dane wyjściowe 2 25 11 3" xfId="15811"/>
    <cellStyle name="Dane wyjściowe 2 25 11 4" xfId="15812"/>
    <cellStyle name="Dane wyjściowe 2 25 12" xfId="15813"/>
    <cellStyle name="Dane wyjściowe 2 25 12 2" xfId="15814"/>
    <cellStyle name="Dane wyjściowe 2 25 12 3" xfId="15815"/>
    <cellStyle name="Dane wyjściowe 2 25 12 4" xfId="15816"/>
    <cellStyle name="Dane wyjściowe 2 25 13" xfId="15817"/>
    <cellStyle name="Dane wyjściowe 2 25 13 2" xfId="15818"/>
    <cellStyle name="Dane wyjściowe 2 25 13 3" xfId="15819"/>
    <cellStyle name="Dane wyjściowe 2 25 13 4" xfId="15820"/>
    <cellStyle name="Dane wyjściowe 2 25 14" xfId="15821"/>
    <cellStyle name="Dane wyjściowe 2 25 14 2" xfId="15822"/>
    <cellStyle name="Dane wyjściowe 2 25 14 3" xfId="15823"/>
    <cellStyle name="Dane wyjściowe 2 25 14 4" xfId="15824"/>
    <cellStyle name="Dane wyjściowe 2 25 15" xfId="15825"/>
    <cellStyle name="Dane wyjściowe 2 25 15 2" xfId="15826"/>
    <cellStyle name="Dane wyjściowe 2 25 15 3" xfId="15827"/>
    <cellStyle name="Dane wyjściowe 2 25 15 4" xfId="15828"/>
    <cellStyle name="Dane wyjściowe 2 25 16" xfId="15829"/>
    <cellStyle name="Dane wyjściowe 2 25 16 2" xfId="15830"/>
    <cellStyle name="Dane wyjściowe 2 25 16 3" xfId="15831"/>
    <cellStyle name="Dane wyjściowe 2 25 16 4" xfId="15832"/>
    <cellStyle name="Dane wyjściowe 2 25 17" xfId="15833"/>
    <cellStyle name="Dane wyjściowe 2 25 17 2" xfId="15834"/>
    <cellStyle name="Dane wyjściowe 2 25 17 3" xfId="15835"/>
    <cellStyle name="Dane wyjściowe 2 25 17 4" xfId="15836"/>
    <cellStyle name="Dane wyjściowe 2 25 18" xfId="15837"/>
    <cellStyle name="Dane wyjściowe 2 25 18 2" xfId="15838"/>
    <cellStyle name="Dane wyjściowe 2 25 18 3" xfId="15839"/>
    <cellStyle name="Dane wyjściowe 2 25 18 4" xfId="15840"/>
    <cellStyle name="Dane wyjściowe 2 25 19" xfId="15841"/>
    <cellStyle name="Dane wyjściowe 2 25 19 2" xfId="15842"/>
    <cellStyle name="Dane wyjściowe 2 25 19 3" xfId="15843"/>
    <cellStyle name="Dane wyjściowe 2 25 19 4" xfId="15844"/>
    <cellStyle name="Dane wyjściowe 2 25 2" xfId="15845"/>
    <cellStyle name="Dane wyjściowe 2 25 2 2" xfId="15846"/>
    <cellStyle name="Dane wyjściowe 2 25 2 3" xfId="15847"/>
    <cellStyle name="Dane wyjściowe 2 25 2 4" xfId="15848"/>
    <cellStyle name="Dane wyjściowe 2 25 20" xfId="15849"/>
    <cellStyle name="Dane wyjściowe 2 25 20 2" xfId="15850"/>
    <cellStyle name="Dane wyjściowe 2 25 20 3" xfId="15851"/>
    <cellStyle name="Dane wyjściowe 2 25 20 4" xfId="15852"/>
    <cellStyle name="Dane wyjściowe 2 25 21" xfId="15853"/>
    <cellStyle name="Dane wyjściowe 2 25 21 2" xfId="15854"/>
    <cellStyle name="Dane wyjściowe 2 25 21 3" xfId="15855"/>
    <cellStyle name="Dane wyjściowe 2 25 22" xfId="15856"/>
    <cellStyle name="Dane wyjściowe 2 25 22 2" xfId="15857"/>
    <cellStyle name="Dane wyjściowe 2 25 22 3" xfId="15858"/>
    <cellStyle name="Dane wyjściowe 2 25 23" xfId="15859"/>
    <cellStyle name="Dane wyjściowe 2 25 23 2" xfId="15860"/>
    <cellStyle name="Dane wyjściowe 2 25 23 3" xfId="15861"/>
    <cellStyle name="Dane wyjściowe 2 25 24" xfId="15862"/>
    <cellStyle name="Dane wyjściowe 2 25 24 2" xfId="15863"/>
    <cellStyle name="Dane wyjściowe 2 25 24 3" xfId="15864"/>
    <cellStyle name="Dane wyjściowe 2 25 25" xfId="15865"/>
    <cellStyle name="Dane wyjściowe 2 25 25 2" xfId="15866"/>
    <cellStyle name="Dane wyjściowe 2 25 25 3" xfId="15867"/>
    <cellStyle name="Dane wyjściowe 2 25 26" xfId="15868"/>
    <cellStyle name="Dane wyjściowe 2 25 26 2" xfId="15869"/>
    <cellStyle name="Dane wyjściowe 2 25 26 3" xfId="15870"/>
    <cellStyle name="Dane wyjściowe 2 25 27" xfId="15871"/>
    <cellStyle name="Dane wyjściowe 2 25 27 2" xfId="15872"/>
    <cellStyle name="Dane wyjściowe 2 25 27 3" xfId="15873"/>
    <cellStyle name="Dane wyjściowe 2 25 28" xfId="15874"/>
    <cellStyle name="Dane wyjściowe 2 25 28 2" xfId="15875"/>
    <cellStyle name="Dane wyjściowe 2 25 28 3" xfId="15876"/>
    <cellStyle name="Dane wyjściowe 2 25 29" xfId="15877"/>
    <cellStyle name="Dane wyjściowe 2 25 29 2" xfId="15878"/>
    <cellStyle name="Dane wyjściowe 2 25 29 3" xfId="15879"/>
    <cellStyle name="Dane wyjściowe 2 25 3" xfId="15880"/>
    <cellStyle name="Dane wyjściowe 2 25 3 2" xfId="15881"/>
    <cellStyle name="Dane wyjściowe 2 25 3 3" xfId="15882"/>
    <cellStyle name="Dane wyjściowe 2 25 3 4" xfId="15883"/>
    <cellStyle name="Dane wyjściowe 2 25 30" xfId="15884"/>
    <cellStyle name="Dane wyjściowe 2 25 30 2" xfId="15885"/>
    <cellStyle name="Dane wyjściowe 2 25 30 3" xfId="15886"/>
    <cellStyle name="Dane wyjściowe 2 25 31" xfId="15887"/>
    <cellStyle name="Dane wyjściowe 2 25 31 2" xfId="15888"/>
    <cellStyle name="Dane wyjściowe 2 25 31 3" xfId="15889"/>
    <cellStyle name="Dane wyjściowe 2 25 32" xfId="15890"/>
    <cellStyle name="Dane wyjściowe 2 25 32 2" xfId="15891"/>
    <cellStyle name="Dane wyjściowe 2 25 32 3" xfId="15892"/>
    <cellStyle name="Dane wyjściowe 2 25 33" xfId="15893"/>
    <cellStyle name="Dane wyjściowe 2 25 33 2" xfId="15894"/>
    <cellStyle name="Dane wyjściowe 2 25 33 3" xfId="15895"/>
    <cellStyle name="Dane wyjściowe 2 25 34" xfId="15896"/>
    <cellStyle name="Dane wyjściowe 2 25 34 2" xfId="15897"/>
    <cellStyle name="Dane wyjściowe 2 25 34 3" xfId="15898"/>
    <cellStyle name="Dane wyjściowe 2 25 35" xfId="15899"/>
    <cellStyle name="Dane wyjściowe 2 25 35 2" xfId="15900"/>
    <cellStyle name="Dane wyjściowe 2 25 35 3" xfId="15901"/>
    <cellStyle name="Dane wyjściowe 2 25 36" xfId="15902"/>
    <cellStyle name="Dane wyjściowe 2 25 36 2" xfId="15903"/>
    <cellStyle name="Dane wyjściowe 2 25 36 3" xfId="15904"/>
    <cellStyle name="Dane wyjściowe 2 25 37" xfId="15905"/>
    <cellStyle name="Dane wyjściowe 2 25 37 2" xfId="15906"/>
    <cellStyle name="Dane wyjściowe 2 25 37 3" xfId="15907"/>
    <cellStyle name="Dane wyjściowe 2 25 38" xfId="15908"/>
    <cellStyle name="Dane wyjściowe 2 25 38 2" xfId="15909"/>
    <cellStyle name="Dane wyjściowe 2 25 38 3" xfId="15910"/>
    <cellStyle name="Dane wyjściowe 2 25 39" xfId="15911"/>
    <cellStyle name="Dane wyjściowe 2 25 39 2" xfId="15912"/>
    <cellStyle name="Dane wyjściowe 2 25 39 3" xfId="15913"/>
    <cellStyle name="Dane wyjściowe 2 25 4" xfId="15914"/>
    <cellStyle name="Dane wyjściowe 2 25 4 2" xfId="15915"/>
    <cellStyle name="Dane wyjściowe 2 25 4 3" xfId="15916"/>
    <cellStyle name="Dane wyjściowe 2 25 4 4" xfId="15917"/>
    <cellStyle name="Dane wyjściowe 2 25 40" xfId="15918"/>
    <cellStyle name="Dane wyjściowe 2 25 40 2" xfId="15919"/>
    <cellStyle name="Dane wyjściowe 2 25 40 3" xfId="15920"/>
    <cellStyle name="Dane wyjściowe 2 25 41" xfId="15921"/>
    <cellStyle name="Dane wyjściowe 2 25 41 2" xfId="15922"/>
    <cellStyle name="Dane wyjściowe 2 25 41 3" xfId="15923"/>
    <cellStyle name="Dane wyjściowe 2 25 42" xfId="15924"/>
    <cellStyle name="Dane wyjściowe 2 25 42 2" xfId="15925"/>
    <cellStyle name="Dane wyjściowe 2 25 42 3" xfId="15926"/>
    <cellStyle name="Dane wyjściowe 2 25 43" xfId="15927"/>
    <cellStyle name="Dane wyjściowe 2 25 43 2" xfId="15928"/>
    <cellStyle name="Dane wyjściowe 2 25 43 3" xfId="15929"/>
    <cellStyle name="Dane wyjściowe 2 25 44" xfId="15930"/>
    <cellStyle name="Dane wyjściowe 2 25 44 2" xfId="15931"/>
    <cellStyle name="Dane wyjściowe 2 25 44 3" xfId="15932"/>
    <cellStyle name="Dane wyjściowe 2 25 45" xfId="15933"/>
    <cellStyle name="Dane wyjściowe 2 25 45 2" xfId="15934"/>
    <cellStyle name="Dane wyjściowe 2 25 45 3" xfId="15935"/>
    <cellStyle name="Dane wyjściowe 2 25 46" xfId="15936"/>
    <cellStyle name="Dane wyjściowe 2 25 46 2" xfId="15937"/>
    <cellStyle name="Dane wyjściowe 2 25 46 3" xfId="15938"/>
    <cellStyle name="Dane wyjściowe 2 25 47" xfId="15939"/>
    <cellStyle name="Dane wyjściowe 2 25 47 2" xfId="15940"/>
    <cellStyle name="Dane wyjściowe 2 25 47 3" xfId="15941"/>
    <cellStyle name="Dane wyjściowe 2 25 48" xfId="15942"/>
    <cellStyle name="Dane wyjściowe 2 25 48 2" xfId="15943"/>
    <cellStyle name="Dane wyjściowe 2 25 48 3" xfId="15944"/>
    <cellStyle name="Dane wyjściowe 2 25 49" xfId="15945"/>
    <cellStyle name="Dane wyjściowe 2 25 49 2" xfId="15946"/>
    <cellStyle name="Dane wyjściowe 2 25 49 3" xfId="15947"/>
    <cellStyle name="Dane wyjściowe 2 25 5" xfId="15948"/>
    <cellStyle name="Dane wyjściowe 2 25 5 2" xfId="15949"/>
    <cellStyle name="Dane wyjściowe 2 25 5 3" xfId="15950"/>
    <cellStyle name="Dane wyjściowe 2 25 5 4" xfId="15951"/>
    <cellStyle name="Dane wyjściowe 2 25 50" xfId="15952"/>
    <cellStyle name="Dane wyjściowe 2 25 50 2" xfId="15953"/>
    <cellStyle name="Dane wyjściowe 2 25 50 3" xfId="15954"/>
    <cellStyle name="Dane wyjściowe 2 25 51" xfId="15955"/>
    <cellStyle name="Dane wyjściowe 2 25 51 2" xfId="15956"/>
    <cellStyle name="Dane wyjściowe 2 25 51 3" xfId="15957"/>
    <cellStyle name="Dane wyjściowe 2 25 52" xfId="15958"/>
    <cellStyle name="Dane wyjściowe 2 25 52 2" xfId="15959"/>
    <cellStyle name="Dane wyjściowe 2 25 52 3" xfId="15960"/>
    <cellStyle name="Dane wyjściowe 2 25 53" xfId="15961"/>
    <cellStyle name="Dane wyjściowe 2 25 53 2" xfId="15962"/>
    <cellStyle name="Dane wyjściowe 2 25 53 3" xfId="15963"/>
    <cellStyle name="Dane wyjściowe 2 25 54" xfId="15964"/>
    <cellStyle name="Dane wyjściowe 2 25 54 2" xfId="15965"/>
    <cellStyle name="Dane wyjściowe 2 25 54 3" xfId="15966"/>
    <cellStyle name="Dane wyjściowe 2 25 55" xfId="15967"/>
    <cellStyle name="Dane wyjściowe 2 25 55 2" xfId="15968"/>
    <cellStyle name="Dane wyjściowe 2 25 55 3" xfId="15969"/>
    <cellStyle name="Dane wyjściowe 2 25 56" xfId="15970"/>
    <cellStyle name="Dane wyjściowe 2 25 56 2" xfId="15971"/>
    <cellStyle name="Dane wyjściowe 2 25 56 3" xfId="15972"/>
    <cellStyle name="Dane wyjściowe 2 25 57" xfId="15973"/>
    <cellStyle name="Dane wyjściowe 2 25 58" xfId="15974"/>
    <cellStyle name="Dane wyjściowe 2 25 6" xfId="15975"/>
    <cellStyle name="Dane wyjściowe 2 25 6 2" xfId="15976"/>
    <cellStyle name="Dane wyjściowe 2 25 6 3" xfId="15977"/>
    <cellStyle name="Dane wyjściowe 2 25 6 4" xfId="15978"/>
    <cellStyle name="Dane wyjściowe 2 25 7" xfId="15979"/>
    <cellStyle name="Dane wyjściowe 2 25 7 2" xfId="15980"/>
    <cellStyle name="Dane wyjściowe 2 25 7 3" xfId="15981"/>
    <cellStyle name="Dane wyjściowe 2 25 7 4" xfId="15982"/>
    <cellStyle name="Dane wyjściowe 2 25 8" xfId="15983"/>
    <cellStyle name="Dane wyjściowe 2 25 8 2" xfId="15984"/>
    <cellStyle name="Dane wyjściowe 2 25 8 3" xfId="15985"/>
    <cellStyle name="Dane wyjściowe 2 25 8 4" xfId="15986"/>
    <cellStyle name="Dane wyjściowe 2 25 9" xfId="15987"/>
    <cellStyle name="Dane wyjściowe 2 25 9 2" xfId="15988"/>
    <cellStyle name="Dane wyjściowe 2 25 9 3" xfId="15989"/>
    <cellStyle name="Dane wyjściowe 2 25 9 4" xfId="15990"/>
    <cellStyle name="Dane wyjściowe 2 26" xfId="15991"/>
    <cellStyle name="Dane wyjściowe 2 26 10" xfId="15992"/>
    <cellStyle name="Dane wyjściowe 2 26 10 2" xfId="15993"/>
    <cellStyle name="Dane wyjściowe 2 26 10 3" xfId="15994"/>
    <cellStyle name="Dane wyjściowe 2 26 10 4" xfId="15995"/>
    <cellStyle name="Dane wyjściowe 2 26 11" xfId="15996"/>
    <cellStyle name="Dane wyjściowe 2 26 11 2" xfId="15997"/>
    <cellStyle name="Dane wyjściowe 2 26 11 3" xfId="15998"/>
    <cellStyle name="Dane wyjściowe 2 26 11 4" xfId="15999"/>
    <cellStyle name="Dane wyjściowe 2 26 12" xfId="16000"/>
    <cellStyle name="Dane wyjściowe 2 26 12 2" xfId="16001"/>
    <cellStyle name="Dane wyjściowe 2 26 12 3" xfId="16002"/>
    <cellStyle name="Dane wyjściowe 2 26 12 4" xfId="16003"/>
    <cellStyle name="Dane wyjściowe 2 26 13" xfId="16004"/>
    <cellStyle name="Dane wyjściowe 2 26 13 2" xfId="16005"/>
    <cellStyle name="Dane wyjściowe 2 26 13 3" xfId="16006"/>
    <cellStyle name="Dane wyjściowe 2 26 13 4" xfId="16007"/>
    <cellStyle name="Dane wyjściowe 2 26 14" xfId="16008"/>
    <cellStyle name="Dane wyjściowe 2 26 14 2" xfId="16009"/>
    <cellStyle name="Dane wyjściowe 2 26 14 3" xfId="16010"/>
    <cellStyle name="Dane wyjściowe 2 26 14 4" xfId="16011"/>
    <cellStyle name="Dane wyjściowe 2 26 15" xfId="16012"/>
    <cellStyle name="Dane wyjściowe 2 26 15 2" xfId="16013"/>
    <cellStyle name="Dane wyjściowe 2 26 15 3" xfId="16014"/>
    <cellStyle name="Dane wyjściowe 2 26 15 4" xfId="16015"/>
    <cellStyle name="Dane wyjściowe 2 26 16" xfId="16016"/>
    <cellStyle name="Dane wyjściowe 2 26 16 2" xfId="16017"/>
    <cellStyle name="Dane wyjściowe 2 26 16 3" xfId="16018"/>
    <cellStyle name="Dane wyjściowe 2 26 16 4" xfId="16019"/>
    <cellStyle name="Dane wyjściowe 2 26 17" xfId="16020"/>
    <cellStyle name="Dane wyjściowe 2 26 17 2" xfId="16021"/>
    <cellStyle name="Dane wyjściowe 2 26 17 3" xfId="16022"/>
    <cellStyle name="Dane wyjściowe 2 26 17 4" xfId="16023"/>
    <cellStyle name="Dane wyjściowe 2 26 18" xfId="16024"/>
    <cellStyle name="Dane wyjściowe 2 26 18 2" xfId="16025"/>
    <cellStyle name="Dane wyjściowe 2 26 18 3" xfId="16026"/>
    <cellStyle name="Dane wyjściowe 2 26 18 4" xfId="16027"/>
    <cellStyle name="Dane wyjściowe 2 26 19" xfId="16028"/>
    <cellStyle name="Dane wyjściowe 2 26 19 2" xfId="16029"/>
    <cellStyle name="Dane wyjściowe 2 26 19 3" xfId="16030"/>
    <cellStyle name="Dane wyjściowe 2 26 19 4" xfId="16031"/>
    <cellStyle name="Dane wyjściowe 2 26 2" xfId="16032"/>
    <cellStyle name="Dane wyjściowe 2 26 2 2" xfId="16033"/>
    <cellStyle name="Dane wyjściowe 2 26 2 3" xfId="16034"/>
    <cellStyle name="Dane wyjściowe 2 26 2 4" xfId="16035"/>
    <cellStyle name="Dane wyjściowe 2 26 20" xfId="16036"/>
    <cellStyle name="Dane wyjściowe 2 26 20 2" xfId="16037"/>
    <cellStyle name="Dane wyjściowe 2 26 20 3" xfId="16038"/>
    <cellStyle name="Dane wyjściowe 2 26 20 4" xfId="16039"/>
    <cellStyle name="Dane wyjściowe 2 26 21" xfId="16040"/>
    <cellStyle name="Dane wyjściowe 2 26 21 2" xfId="16041"/>
    <cellStyle name="Dane wyjściowe 2 26 21 3" xfId="16042"/>
    <cellStyle name="Dane wyjściowe 2 26 22" xfId="16043"/>
    <cellStyle name="Dane wyjściowe 2 26 22 2" xfId="16044"/>
    <cellStyle name="Dane wyjściowe 2 26 22 3" xfId="16045"/>
    <cellStyle name="Dane wyjściowe 2 26 23" xfId="16046"/>
    <cellStyle name="Dane wyjściowe 2 26 23 2" xfId="16047"/>
    <cellStyle name="Dane wyjściowe 2 26 23 3" xfId="16048"/>
    <cellStyle name="Dane wyjściowe 2 26 24" xfId="16049"/>
    <cellStyle name="Dane wyjściowe 2 26 24 2" xfId="16050"/>
    <cellStyle name="Dane wyjściowe 2 26 24 3" xfId="16051"/>
    <cellStyle name="Dane wyjściowe 2 26 25" xfId="16052"/>
    <cellStyle name="Dane wyjściowe 2 26 25 2" xfId="16053"/>
    <cellStyle name="Dane wyjściowe 2 26 25 3" xfId="16054"/>
    <cellStyle name="Dane wyjściowe 2 26 26" xfId="16055"/>
    <cellStyle name="Dane wyjściowe 2 26 26 2" xfId="16056"/>
    <cellStyle name="Dane wyjściowe 2 26 26 3" xfId="16057"/>
    <cellStyle name="Dane wyjściowe 2 26 27" xfId="16058"/>
    <cellStyle name="Dane wyjściowe 2 26 27 2" xfId="16059"/>
    <cellStyle name="Dane wyjściowe 2 26 27 3" xfId="16060"/>
    <cellStyle name="Dane wyjściowe 2 26 28" xfId="16061"/>
    <cellStyle name="Dane wyjściowe 2 26 28 2" xfId="16062"/>
    <cellStyle name="Dane wyjściowe 2 26 28 3" xfId="16063"/>
    <cellStyle name="Dane wyjściowe 2 26 29" xfId="16064"/>
    <cellStyle name="Dane wyjściowe 2 26 29 2" xfId="16065"/>
    <cellStyle name="Dane wyjściowe 2 26 29 3" xfId="16066"/>
    <cellStyle name="Dane wyjściowe 2 26 3" xfId="16067"/>
    <cellStyle name="Dane wyjściowe 2 26 3 2" xfId="16068"/>
    <cellStyle name="Dane wyjściowe 2 26 3 3" xfId="16069"/>
    <cellStyle name="Dane wyjściowe 2 26 3 4" xfId="16070"/>
    <cellStyle name="Dane wyjściowe 2 26 30" xfId="16071"/>
    <cellStyle name="Dane wyjściowe 2 26 30 2" xfId="16072"/>
    <cellStyle name="Dane wyjściowe 2 26 30 3" xfId="16073"/>
    <cellStyle name="Dane wyjściowe 2 26 31" xfId="16074"/>
    <cellStyle name="Dane wyjściowe 2 26 31 2" xfId="16075"/>
    <cellStyle name="Dane wyjściowe 2 26 31 3" xfId="16076"/>
    <cellStyle name="Dane wyjściowe 2 26 32" xfId="16077"/>
    <cellStyle name="Dane wyjściowe 2 26 32 2" xfId="16078"/>
    <cellStyle name="Dane wyjściowe 2 26 32 3" xfId="16079"/>
    <cellStyle name="Dane wyjściowe 2 26 33" xfId="16080"/>
    <cellStyle name="Dane wyjściowe 2 26 33 2" xfId="16081"/>
    <cellStyle name="Dane wyjściowe 2 26 33 3" xfId="16082"/>
    <cellStyle name="Dane wyjściowe 2 26 34" xfId="16083"/>
    <cellStyle name="Dane wyjściowe 2 26 34 2" xfId="16084"/>
    <cellStyle name="Dane wyjściowe 2 26 34 3" xfId="16085"/>
    <cellStyle name="Dane wyjściowe 2 26 35" xfId="16086"/>
    <cellStyle name="Dane wyjściowe 2 26 35 2" xfId="16087"/>
    <cellStyle name="Dane wyjściowe 2 26 35 3" xfId="16088"/>
    <cellStyle name="Dane wyjściowe 2 26 36" xfId="16089"/>
    <cellStyle name="Dane wyjściowe 2 26 36 2" xfId="16090"/>
    <cellStyle name="Dane wyjściowe 2 26 36 3" xfId="16091"/>
    <cellStyle name="Dane wyjściowe 2 26 37" xfId="16092"/>
    <cellStyle name="Dane wyjściowe 2 26 37 2" xfId="16093"/>
    <cellStyle name="Dane wyjściowe 2 26 37 3" xfId="16094"/>
    <cellStyle name="Dane wyjściowe 2 26 38" xfId="16095"/>
    <cellStyle name="Dane wyjściowe 2 26 38 2" xfId="16096"/>
    <cellStyle name="Dane wyjściowe 2 26 38 3" xfId="16097"/>
    <cellStyle name="Dane wyjściowe 2 26 39" xfId="16098"/>
    <cellStyle name="Dane wyjściowe 2 26 39 2" xfId="16099"/>
    <cellStyle name="Dane wyjściowe 2 26 39 3" xfId="16100"/>
    <cellStyle name="Dane wyjściowe 2 26 4" xfId="16101"/>
    <cellStyle name="Dane wyjściowe 2 26 4 2" xfId="16102"/>
    <cellStyle name="Dane wyjściowe 2 26 4 3" xfId="16103"/>
    <cellStyle name="Dane wyjściowe 2 26 4 4" xfId="16104"/>
    <cellStyle name="Dane wyjściowe 2 26 40" xfId="16105"/>
    <cellStyle name="Dane wyjściowe 2 26 40 2" xfId="16106"/>
    <cellStyle name="Dane wyjściowe 2 26 40 3" xfId="16107"/>
    <cellStyle name="Dane wyjściowe 2 26 41" xfId="16108"/>
    <cellStyle name="Dane wyjściowe 2 26 41 2" xfId="16109"/>
    <cellStyle name="Dane wyjściowe 2 26 41 3" xfId="16110"/>
    <cellStyle name="Dane wyjściowe 2 26 42" xfId="16111"/>
    <cellStyle name="Dane wyjściowe 2 26 42 2" xfId="16112"/>
    <cellStyle name="Dane wyjściowe 2 26 42 3" xfId="16113"/>
    <cellStyle name="Dane wyjściowe 2 26 43" xfId="16114"/>
    <cellStyle name="Dane wyjściowe 2 26 43 2" xfId="16115"/>
    <cellStyle name="Dane wyjściowe 2 26 43 3" xfId="16116"/>
    <cellStyle name="Dane wyjściowe 2 26 44" xfId="16117"/>
    <cellStyle name="Dane wyjściowe 2 26 44 2" xfId="16118"/>
    <cellStyle name="Dane wyjściowe 2 26 44 3" xfId="16119"/>
    <cellStyle name="Dane wyjściowe 2 26 45" xfId="16120"/>
    <cellStyle name="Dane wyjściowe 2 26 45 2" xfId="16121"/>
    <cellStyle name="Dane wyjściowe 2 26 45 3" xfId="16122"/>
    <cellStyle name="Dane wyjściowe 2 26 46" xfId="16123"/>
    <cellStyle name="Dane wyjściowe 2 26 46 2" xfId="16124"/>
    <cellStyle name="Dane wyjściowe 2 26 46 3" xfId="16125"/>
    <cellStyle name="Dane wyjściowe 2 26 47" xfId="16126"/>
    <cellStyle name="Dane wyjściowe 2 26 47 2" xfId="16127"/>
    <cellStyle name="Dane wyjściowe 2 26 47 3" xfId="16128"/>
    <cellStyle name="Dane wyjściowe 2 26 48" xfId="16129"/>
    <cellStyle name="Dane wyjściowe 2 26 48 2" xfId="16130"/>
    <cellStyle name="Dane wyjściowe 2 26 48 3" xfId="16131"/>
    <cellStyle name="Dane wyjściowe 2 26 49" xfId="16132"/>
    <cellStyle name="Dane wyjściowe 2 26 49 2" xfId="16133"/>
    <cellStyle name="Dane wyjściowe 2 26 49 3" xfId="16134"/>
    <cellStyle name="Dane wyjściowe 2 26 5" xfId="16135"/>
    <cellStyle name="Dane wyjściowe 2 26 5 2" xfId="16136"/>
    <cellStyle name="Dane wyjściowe 2 26 5 3" xfId="16137"/>
    <cellStyle name="Dane wyjściowe 2 26 5 4" xfId="16138"/>
    <cellStyle name="Dane wyjściowe 2 26 50" xfId="16139"/>
    <cellStyle name="Dane wyjściowe 2 26 50 2" xfId="16140"/>
    <cellStyle name="Dane wyjściowe 2 26 50 3" xfId="16141"/>
    <cellStyle name="Dane wyjściowe 2 26 51" xfId="16142"/>
    <cellStyle name="Dane wyjściowe 2 26 51 2" xfId="16143"/>
    <cellStyle name="Dane wyjściowe 2 26 51 3" xfId="16144"/>
    <cellStyle name="Dane wyjściowe 2 26 52" xfId="16145"/>
    <cellStyle name="Dane wyjściowe 2 26 52 2" xfId="16146"/>
    <cellStyle name="Dane wyjściowe 2 26 52 3" xfId="16147"/>
    <cellStyle name="Dane wyjściowe 2 26 53" xfId="16148"/>
    <cellStyle name="Dane wyjściowe 2 26 53 2" xfId="16149"/>
    <cellStyle name="Dane wyjściowe 2 26 53 3" xfId="16150"/>
    <cellStyle name="Dane wyjściowe 2 26 54" xfId="16151"/>
    <cellStyle name="Dane wyjściowe 2 26 54 2" xfId="16152"/>
    <cellStyle name="Dane wyjściowe 2 26 54 3" xfId="16153"/>
    <cellStyle name="Dane wyjściowe 2 26 55" xfId="16154"/>
    <cellStyle name="Dane wyjściowe 2 26 55 2" xfId="16155"/>
    <cellStyle name="Dane wyjściowe 2 26 55 3" xfId="16156"/>
    <cellStyle name="Dane wyjściowe 2 26 56" xfId="16157"/>
    <cellStyle name="Dane wyjściowe 2 26 56 2" xfId="16158"/>
    <cellStyle name="Dane wyjściowe 2 26 56 3" xfId="16159"/>
    <cellStyle name="Dane wyjściowe 2 26 57" xfId="16160"/>
    <cellStyle name="Dane wyjściowe 2 26 58" xfId="16161"/>
    <cellStyle name="Dane wyjściowe 2 26 6" xfId="16162"/>
    <cellStyle name="Dane wyjściowe 2 26 6 2" xfId="16163"/>
    <cellStyle name="Dane wyjściowe 2 26 6 3" xfId="16164"/>
    <cellStyle name="Dane wyjściowe 2 26 6 4" xfId="16165"/>
    <cellStyle name="Dane wyjściowe 2 26 7" xfId="16166"/>
    <cellStyle name="Dane wyjściowe 2 26 7 2" xfId="16167"/>
    <cellStyle name="Dane wyjściowe 2 26 7 3" xfId="16168"/>
    <cellStyle name="Dane wyjściowe 2 26 7 4" xfId="16169"/>
    <cellStyle name="Dane wyjściowe 2 26 8" xfId="16170"/>
    <cellStyle name="Dane wyjściowe 2 26 8 2" xfId="16171"/>
    <cellStyle name="Dane wyjściowe 2 26 8 3" xfId="16172"/>
    <cellStyle name="Dane wyjściowe 2 26 8 4" xfId="16173"/>
    <cellStyle name="Dane wyjściowe 2 26 9" xfId="16174"/>
    <cellStyle name="Dane wyjściowe 2 26 9 2" xfId="16175"/>
    <cellStyle name="Dane wyjściowe 2 26 9 3" xfId="16176"/>
    <cellStyle name="Dane wyjściowe 2 26 9 4" xfId="16177"/>
    <cellStyle name="Dane wyjściowe 2 27" xfId="16178"/>
    <cellStyle name="Dane wyjściowe 2 27 10" xfId="16179"/>
    <cellStyle name="Dane wyjściowe 2 27 10 2" xfId="16180"/>
    <cellStyle name="Dane wyjściowe 2 27 10 3" xfId="16181"/>
    <cellStyle name="Dane wyjściowe 2 27 10 4" xfId="16182"/>
    <cellStyle name="Dane wyjściowe 2 27 11" xfId="16183"/>
    <cellStyle name="Dane wyjściowe 2 27 11 2" xfId="16184"/>
    <cellStyle name="Dane wyjściowe 2 27 11 3" xfId="16185"/>
    <cellStyle name="Dane wyjściowe 2 27 11 4" xfId="16186"/>
    <cellStyle name="Dane wyjściowe 2 27 12" xfId="16187"/>
    <cellStyle name="Dane wyjściowe 2 27 12 2" xfId="16188"/>
    <cellStyle name="Dane wyjściowe 2 27 12 3" xfId="16189"/>
    <cellStyle name="Dane wyjściowe 2 27 12 4" xfId="16190"/>
    <cellStyle name="Dane wyjściowe 2 27 13" xfId="16191"/>
    <cellStyle name="Dane wyjściowe 2 27 13 2" xfId="16192"/>
    <cellStyle name="Dane wyjściowe 2 27 13 3" xfId="16193"/>
    <cellStyle name="Dane wyjściowe 2 27 13 4" xfId="16194"/>
    <cellStyle name="Dane wyjściowe 2 27 14" xfId="16195"/>
    <cellStyle name="Dane wyjściowe 2 27 14 2" xfId="16196"/>
    <cellStyle name="Dane wyjściowe 2 27 14 3" xfId="16197"/>
    <cellStyle name="Dane wyjściowe 2 27 14 4" xfId="16198"/>
    <cellStyle name="Dane wyjściowe 2 27 15" xfId="16199"/>
    <cellStyle name="Dane wyjściowe 2 27 15 2" xfId="16200"/>
    <cellStyle name="Dane wyjściowe 2 27 15 3" xfId="16201"/>
    <cellStyle name="Dane wyjściowe 2 27 15 4" xfId="16202"/>
    <cellStyle name="Dane wyjściowe 2 27 16" xfId="16203"/>
    <cellStyle name="Dane wyjściowe 2 27 16 2" xfId="16204"/>
    <cellStyle name="Dane wyjściowe 2 27 16 3" xfId="16205"/>
    <cellStyle name="Dane wyjściowe 2 27 16 4" xfId="16206"/>
    <cellStyle name="Dane wyjściowe 2 27 17" xfId="16207"/>
    <cellStyle name="Dane wyjściowe 2 27 17 2" xfId="16208"/>
    <cellStyle name="Dane wyjściowe 2 27 17 3" xfId="16209"/>
    <cellStyle name="Dane wyjściowe 2 27 17 4" xfId="16210"/>
    <cellStyle name="Dane wyjściowe 2 27 18" xfId="16211"/>
    <cellStyle name="Dane wyjściowe 2 27 18 2" xfId="16212"/>
    <cellStyle name="Dane wyjściowe 2 27 18 3" xfId="16213"/>
    <cellStyle name="Dane wyjściowe 2 27 18 4" xfId="16214"/>
    <cellStyle name="Dane wyjściowe 2 27 19" xfId="16215"/>
    <cellStyle name="Dane wyjściowe 2 27 19 2" xfId="16216"/>
    <cellStyle name="Dane wyjściowe 2 27 19 3" xfId="16217"/>
    <cellStyle name="Dane wyjściowe 2 27 19 4" xfId="16218"/>
    <cellStyle name="Dane wyjściowe 2 27 2" xfId="16219"/>
    <cellStyle name="Dane wyjściowe 2 27 2 2" xfId="16220"/>
    <cellStyle name="Dane wyjściowe 2 27 2 3" xfId="16221"/>
    <cellStyle name="Dane wyjściowe 2 27 2 4" xfId="16222"/>
    <cellStyle name="Dane wyjściowe 2 27 20" xfId="16223"/>
    <cellStyle name="Dane wyjściowe 2 27 20 2" xfId="16224"/>
    <cellStyle name="Dane wyjściowe 2 27 20 3" xfId="16225"/>
    <cellStyle name="Dane wyjściowe 2 27 20 4" xfId="16226"/>
    <cellStyle name="Dane wyjściowe 2 27 21" xfId="16227"/>
    <cellStyle name="Dane wyjściowe 2 27 21 2" xfId="16228"/>
    <cellStyle name="Dane wyjściowe 2 27 21 3" xfId="16229"/>
    <cellStyle name="Dane wyjściowe 2 27 22" xfId="16230"/>
    <cellStyle name="Dane wyjściowe 2 27 22 2" xfId="16231"/>
    <cellStyle name="Dane wyjściowe 2 27 22 3" xfId="16232"/>
    <cellStyle name="Dane wyjściowe 2 27 23" xfId="16233"/>
    <cellStyle name="Dane wyjściowe 2 27 23 2" xfId="16234"/>
    <cellStyle name="Dane wyjściowe 2 27 23 3" xfId="16235"/>
    <cellStyle name="Dane wyjściowe 2 27 24" xfId="16236"/>
    <cellStyle name="Dane wyjściowe 2 27 24 2" xfId="16237"/>
    <cellStyle name="Dane wyjściowe 2 27 24 3" xfId="16238"/>
    <cellStyle name="Dane wyjściowe 2 27 25" xfId="16239"/>
    <cellStyle name="Dane wyjściowe 2 27 25 2" xfId="16240"/>
    <cellStyle name="Dane wyjściowe 2 27 25 3" xfId="16241"/>
    <cellStyle name="Dane wyjściowe 2 27 26" xfId="16242"/>
    <cellStyle name="Dane wyjściowe 2 27 26 2" xfId="16243"/>
    <cellStyle name="Dane wyjściowe 2 27 26 3" xfId="16244"/>
    <cellStyle name="Dane wyjściowe 2 27 27" xfId="16245"/>
    <cellStyle name="Dane wyjściowe 2 27 27 2" xfId="16246"/>
    <cellStyle name="Dane wyjściowe 2 27 27 3" xfId="16247"/>
    <cellStyle name="Dane wyjściowe 2 27 28" xfId="16248"/>
    <cellStyle name="Dane wyjściowe 2 27 28 2" xfId="16249"/>
    <cellStyle name="Dane wyjściowe 2 27 28 3" xfId="16250"/>
    <cellStyle name="Dane wyjściowe 2 27 29" xfId="16251"/>
    <cellStyle name="Dane wyjściowe 2 27 29 2" xfId="16252"/>
    <cellStyle name="Dane wyjściowe 2 27 29 3" xfId="16253"/>
    <cellStyle name="Dane wyjściowe 2 27 3" xfId="16254"/>
    <cellStyle name="Dane wyjściowe 2 27 3 2" xfId="16255"/>
    <cellStyle name="Dane wyjściowe 2 27 3 3" xfId="16256"/>
    <cellStyle name="Dane wyjściowe 2 27 3 4" xfId="16257"/>
    <cellStyle name="Dane wyjściowe 2 27 30" xfId="16258"/>
    <cellStyle name="Dane wyjściowe 2 27 30 2" xfId="16259"/>
    <cellStyle name="Dane wyjściowe 2 27 30 3" xfId="16260"/>
    <cellStyle name="Dane wyjściowe 2 27 31" xfId="16261"/>
    <cellStyle name="Dane wyjściowe 2 27 31 2" xfId="16262"/>
    <cellStyle name="Dane wyjściowe 2 27 31 3" xfId="16263"/>
    <cellStyle name="Dane wyjściowe 2 27 32" xfId="16264"/>
    <cellStyle name="Dane wyjściowe 2 27 32 2" xfId="16265"/>
    <cellStyle name="Dane wyjściowe 2 27 32 3" xfId="16266"/>
    <cellStyle name="Dane wyjściowe 2 27 33" xfId="16267"/>
    <cellStyle name="Dane wyjściowe 2 27 33 2" xfId="16268"/>
    <cellStyle name="Dane wyjściowe 2 27 33 3" xfId="16269"/>
    <cellStyle name="Dane wyjściowe 2 27 34" xfId="16270"/>
    <cellStyle name="Dane wyjściowe 2 27 34 2" xfId="16271"/>
    <cellStyle name="Dane wyjściowe 2 27 34 3" xfId="16272"/>
    <cellStyle name="Dane wyjściowe 2 27 35" xfId="16273"/>
    <cellStyle name="Dane wyjściowe 2 27 35 2" xfId="16274"/>
    <cellStyle name="Dane wyjściowe 2 27 35 3" xfId="16275"/>
    <cellStyle name="Dane wyjściowe 2 27 36" xfId="16276"/>
    <cellStyle name="Dane wyjściowe 2 27 36 2" xfId="16277"/>
    <cellStyle name="Dane wyjściowe 2 27 36 3" xfId="16278"/>
    <cellStyle name="Dane wyjściowe 2 27 37" xfId="16279"/>
    <cellStyle name="Dane wyjściowe 2 27 37 2" xfId="16280"/>
    <cellStyle name="Dane wyjściowe 2 27 37 3" xfId="16281"/>
    <cellStyle name="Dane wyjściowe 2 27 38" xfId="16282"/>
    <cellStyle name="Dane wyjściowe 2 27 38 2" xfId="16283"/>
    <cellStyle name="Dane wyjściowe 2 27 38 3" xfId="16284"/>
    <cellStyle name="Dane wyjściowe 2 27 39" xfId="16285"/>
    <cellStyle name="Dane wyjściowe 2 27 39 2" xfId="16286"/>
    <cellStyle name="Dane wyjściowe 2 27 39 3" xfId="16287"/>
    <cellStyle name="Dane wyjściowe 2 27 4" xfId="16288"/>
    <cellStyle name="Dane wyjściowe 2 27 4 2" xfId="16289"/>
    <cellStyle name="Dane wyjściowe 2 27 4 3" xfId="16290"/>
    <cellStyle name="Dane wyjściowe 2 27 4 4" xfId="16291"/>
    <cellStyle name="Dane wyjściowe 2 27 40" xfId="16292"/>
    <cellStyle name="Dane wyjściowe 2 27 40 2" xfId="16293"/>
    <cellStyle name="Dane wyjściowe 2 27 40 3" xfId="16294"/>
    <cellStyle name="Dane wyjściowe 2 27 41" xfId="16295"/>
    <cellStyle name="Dane wyjściowe 2 27 41 2" xfId="16296"/>
    <cellStyle name="Dane wyjściowe 2 27 41 3" xfId="16297"/>
    <cellStyle name="Dane wyjściowe 2 27 42" xfId="16298"/>
    <cellStyle name="Dane wyjściowe 2 27 42 2" xfId="16299"/>
    <cellStyle name="Dane wyjściowe 2 27 42 3" xfId="16300"/>
    <cellStyle name="Dane wyjściowe 2 27 43" xfId="16301"/>
    <cellStyle name="Dane wyjściowe 2 27 43 2" xfId="16302"/>
    <cellStyle name="Dane wyjściowe 2 27 43 3" xfId="16303"/>
    <cellStyle name="Dane wyjściowe 2 27 44" xfId="16304"/>
    <cellStyle name="Dane wyjściowe 2 27 44 2" xfId="16305"/>
    <cellStyle name="Dane wyjściowe 2 27 44 3" xfId="16306"/>
    <cellStyle name="Dane wyjściowe 2 27 45" xfId="16307"/>
    <cellStyle name="Dane wyjściowe 2 27 45 2" xfId="16308"/>
    <cellStyle name="Dane wyjściowe 2 27 45 3" xfId="16309"/>
    <cellStyle name="Dane wyjściowe 2 27 46" xfId="16310"/>
    <cellStyle name="Dane wyjściowe 2 27 46 2" xfId="16311"/>
    <cellStyle name="Dane wyjściowe 2 27 46 3" xfId="16312"/>
    <cellStyle name="Dane wyjściowe 2 27 47" xfId="16313"/>
    <cellStyle name="Dane wyjściowe 2 27 47 2" xfId="16314"/>
    <cellStyle name="Dane wyjściowe 2 27 47 3" xfId="16315"/>
    <cellStyle name="Dane wyjściowe 2 27 48" xfId="16316"/>
    <cellStyle name="Dane wyjściowe 2 27 48 2" xfId="16317"/>
    <cellStyle name="Dane wyjściowe 2 27 48 3" xfId="16318"/>
    <cellStyle name="Dane wyjściowe 2 27 49" xfId="16319"/>
    <cellStyle name="Dane wyjściowe 2 27 49 2" xfId="16320"/>
    <cellStyle name="Dane wyjściowe 2 27 49 3" xfId="16321"/>
    <cellStyle name="Dane wyjściowe 2 27 5" xfId="16322"/>
    <cellStyle name="Dane wyjściowe 2 27 5 2" xfId="16323"/>
    <cellStyle name="Dane wyjściowe 2 27 5 3" xfId="16324"/>
    <cellStyle name="Dane wyjściowe 2 27 5 4" xfId="16325"/>
    <cellStyle name="Dane wyjściowe 2 27 50" xfId="16326"/>
    <cellStyle name="Dane wyjściowe 2 27 50 2" xfId="16327"/>
    <cellStyle name="Dane wyjściowe 2 27 50 3" xfId="16328"/>
    <cellStyle name="Dane wyjściowe 2 27 51" xfId="16329"/>
    <cellStyle name="Dane wyjściowe 2 27 51 2" xfId="16330"/>
    <cellStyle name="Dane wyjściowe 2 27 51 3" xfId="16331"/>
    <cellStyle name="Dane wyjściowe 2 27 52" xfId="16332"/>
    <cellStyle name="Dane wyjściowe 2 27 52 2" xfId="16333"/>
    <cellStyle name="Dane wyjściowe 2 27 52 3" xfId="16334"/>
    <cellStyle name="Dane wyjściowe 2 27 53" xfId="16335"/>
    <cellStyle name="Dane wyjściowe 2 27 53 2" xfId="16336"/>
    <cellStyle name="Dane wyjściowe 2 27 53 3" xfId="16337"/>
    <cellStyle name="Dane wyjściowe 2 27 54" xfId="16338"/>
    <cellStyle name="Dane wyjściowe 2 27 54 2" xfId="16339"/>
    <cellStyle name="Dane wyjściowe 2 27 54 3" xfId="16340"/>
    <cellStyle name="Dane wyjściowe 2 27 55" xfId="16341"/>
    <cellStyle name="Dane wyjściowe 2 27 55 2" xfId="16342"/>
    <cellStyle name="Dane wyjściowe 2 27 55 3" xfId="16343"/>
    <cellStyle name="Dane wyjściowe 2 27 56" xfId="16344"/>
    <cellStyle name="Dane wyjściowe 2 27 56 2" xfId="16345"/>
    <cellStyle name="Dane wyjściowe 2 27 56 3" xfId="16346"/>
    <cellStyle name="Dane wyjściowe 2 27 57" xfId="16347"/>
    <cellStyle name="Dane wyjściowe 2 27 58" xfId="16348"/>
    <cellStyle name="Dane wyjściowe 2 27 6" xfId="16349"/>
    <cellStyle name="Dane wyjściowe 2 27 6 2" xfId="16350"/>
    <cellStyle name="Dane wyjściowe 2 27 6 3" xfId="16351"/>
    <cellStyle name="Dane wyjściowe 2 27 6 4" xfId="16352"/>
    <cellStyle name="Dane wyjściowe 2 27 7" xfId="16353"/>
    <cellStyle name="Dane wyjściowe 2 27 7 2" xfId="16354"/>
    <cellStyle name="Dane wyjściowe 2 27 7 3" xfId="16355"/>
    <cellStyle name="Dane wyjściowe 2 27 7 4" xfId="16356"/>
    <cellStyle name="Dane wyjściowe 2 27 8" xfId="16357"/>
    <cellStyle name="Dane wyjściowe 2 27 8 2" xfId="16358"/>
    <cellStyle name="Dane wyjściowe 2 27 8 3" xfId="16359"/>
    <cellStyle name="Dane wyjściowe 2 27 8 4" xfId="16360"/>
    <cellStyle name="Dane wyjściowe 2 27 9" xfId="16361"/>
    <cellStyle name="Dane wyjściowe 2 27 9 2" xfId="16362"/>
    <cellStyle name="Dane wyjściowe 2 27 9 3" xfId="16363"/>
    <cellStyle name="Dane wyjściowe 2 27 9 4" xfId="16364"/>
    <cellStyle name="Dane wyjściowe 2 28" xfId="16365"/>
    <cellStyle name="Dane wyjściowe 2 28 10" xfId="16366"/>
    <cellStyle name="Dane wyjściowe 2 28 10 2" xfId="16367"/>
    <cellStyle name="Dane wyjściowe 2 28 10 3" xfId="16368"/>
    <cellStyle name="Dane wyjściowe 2 28 10 4" xfId="16369"/>
    <cellStyle name="Dane wyjściowe 2 28 11" xfId="16370"/>
    <cellStyle name="Dane wyjściowe 2 28 11 2" xfId="16371"/>
    <cellStyle name="Dane wyjściowe 2 28 11 3" xfId="16372"/>
    <cellStyle name="Dane wyjściowe 2 28 11 4" xfId="16373"/>
    <cellStyle name="Dane wyjściowe 2 28 12" xfId="16374"/>
    <cellStyle name="Dane wyjściowe 2 28 12 2" xfId="16375"/>
    <cellStyle name="Dane wyjściowe 2 28 12 3" xfId="16376"/>
    <cellStyle name="Dane wyjściowe 2 28 12 4" xfId="16377"/>
    <cellStyle name="Dane wyjściowe 2 28 13" xfId="16378"/>
    <cellStyle name="Dane wyjściowe 2 28 13 2" xfId="16379"/>
    <cellStyle name="Dane wyjściowe 2 28 13 3" xfId="16380"/>
    <cellStyle name="Dane wyjściowe 2 28 13 4" xfId="16381"/>
    <cellStyle name="Dane wyjściowe 2 28 14" xfId="16382"/>
    <cellStyle name="Dane wyjściowe 2 28 14 2" xfId="16383"/>
    <cellStyle name="Dane wyjściowe 2 28 14 3" xfId="16384"/>
    <cellStyle name="Dane wyjściowe 2 28 14 4" xfId="16385"/>
    <cellStyle name="Dane wyjściowe 2 28 15" xfId="16386"/>
    <cellStyle name="Dane wyjściowe 2 28 15 2" xfId="16387"/>
    <cellStyle name="Dane wyjściowe 2 28 15 3" xfId="16388"/>
    <cellStyle name="Dane wyjściowe 2 28 15 4" xfId="16389"/>
    <cellStyle name="Dane wyjściowe 2 28 16" xfId="16390"/>
    <cellStyle name="Dane wyjściowe 2 28 16 2" xfId="16391"/>
    <cellStyle name="Dane wyjściowe 2 28 16 3" xfId="16392"/>
    <cellStyle name="Dane wyjściowe 2 28 16 4" xfId="16393"/>
    <cellStyle name="Dane wyjściowe 2 28 17" xfId="16394"/>
    <cellStyle name="Dane wyjściowe 2 28 17 2" xfId="16395"/>
    <cellStyle name="Dane wyjściowe 2 28 17 3" xfId="16396"/>
    <cellStyle name="Dane wyjściowe 2 28 17 4" xfId="16397"/>
    <cellStyle name="Dane wyjściowe 2 28 18" xfId="16398"/>
    <cellStyle name="Dane wyjściowe 2 28 18 2" xfId="16399"/>
    <cellStyle name="Dane wyjściowe 2 28 18 3" xfId="16400"/>
    <cellStyle name="Dane wyjściowe 2 28 18 4" xfId="16401"/>
    <cellStyle name="Dane wyjściowe 2 28 19" xfId="16402"/>
    <cellStyle name="Dane wyjściowe 2 28 19 2" xfId="16403"/>
    <cellStyle name="Dane wyjściowe 2 28 19 3" xfId="16404"/>
    <cellStyle name="Dane wyjściowe 2 28 19 4" xfId="16405"/>
    <cellStyle name="Dane wyjściowe 2 28 2" xfId="16406"/>
    <cellStyle name="Dane wyjściowe 2 28 2 2" xfId="16407"/>
    <cellStyle name="Dane wyjściowe 2 28 2 3" xfId="16408"/>
    <cellStyle name="Dane wyjściowe 2 28 2 4" xfId="16409"/>
    <cellStyle name="Dane wyjściowe 2 28 20" xfId="16410"/>
    <cellStyle name="Dane wyjściowe 2 28 20 2" xfId="16411"/>
    <cellStyle name="Dane wyjściowe 2 28 20 3" xfId="16412"/>
    <cellStyle name="Dane wyjściowe 2 28 20 4" xfId="16413"/>
    <cellStyle name="Dane wyjściowe 2 28 21" xfId="16414"/>
    <cellStyle name="Dane wyjściowe 2 28 21 2" xfId="16415"/>
    <cellStyle name="Dane wyjściowe 2 28 21 3" xfId="16416"/>
    <cellStyle name="Dane wyjściowe 2 28 22" xfId="16417"/>
    <cellStyle name="Dane wyjściowe 2 28 22 2" xfId="16418"/>
    <cellStyle name="Dane wyjściowe 2 28 22 3" xfId="16419"/>
    <cellStyle name="Dane wyjściowe 2 28 23" xfId="16420"/>
    <cellStyle name="Dane wyjściowe 2 28 23 2" xfId="16421"/>
    <cellStyle name="Dane wyjściowe 2 28 23 3" xfId="16422"/>
    <cellStyle name="Dane wyjściowe 2 28 24" xfId="16423"/>
    <cellStyle name="Dane wyjściowe 2 28 24 2" xfId="16424"/>
    <cellStyle name="Dane wyjściowe 2 28 24 3" xfId="16425"/>
    <cellStyle name="Dane wyjściowe 2 28 25" xfId="16426"/>
    <cellStyle name="Dane wyjściowe 2 28 25 2" xfId="16427"/>
    <cellStyle name="Dane wyjściowe 2 28 25 3" xfId="16428"/>
    <cellStyle name="Dane wyjściowe 2 28 26" xfId="16429"/>
    <cellStyle name="Dane wyjściowe 2 28 26 2" xfId="16430"/>
    <cellStyle name="Dane wyjściowe 2 28 26 3" xfId="16431"/>
    <cellStyle name="Dane wyjściowe 2 28 27" xfId="16432"/>
    <cellStyle name="Dane wyjściowe 2 28 27 2" xfId="16433"/>
    <cellStyle name="Dane wyjściowe 2 28 27 3" xfId="16434"/>
    <cellStyle name="Dane wyjściowe 2 28 28" xfId="16435"/>
    <cellStyle name="Dane wyjściowe 2 28 28 2" xfId="16436"/>
    <cellStyle name="Dane wyjściowe 2 28 28 3" xfId="16437"/>
    <cellStyle name="Dane wyjściowe 2 28 29" xfId="16438"/>
    <cellStyle name="Dane wyjściowe 2 28 29 2" xfId="16439"/>
    <cellStyle name="Dane wyjściowe 2 28 29 3" xfId="16440"/>
    <cellStyle name="Dane wyjściowe 2 28 3" xfId="16441"/>
    <cellStyle name="Dane wyjściowe 2 28 3 2" xfId="16442"/>
    <cellStyle name="Dane wyjściowe 2 28 3 3" xfId="16443"/>
    <cellStyle name="Dane wyjściowe 2 28 3 4" xfId="16444"/>
    <cellStyle name="Dane wyjściowe 2 28 30" xfId="16445"/>
    <cellStyle name="Dane wyjściowe 2 28 30 2" xfId="16446"/>
    <cellStyle name="Dane wyjściowe 2 28 30 3" xfId="16447"/>
    <cellStyle name="Dane wyjściowe 2 28 31" xfId="16448"/>
    <cellStyle name="Dane wyjściowe 2 28 31 2" xfId="16449"/>
    <cellStyle name="Dane wyjściowe 2 28 31 3" xfId="16450"/>
    <cellStyle name="Dane wyjściowe 2 28 32" xfId="16451"/>
    <cellStyle name="Dane wyjściowe 2 28 32 2" xfId="16452"/>
    <cellStyle name="Dane wyjściowe 2 28 32 3" xfId="16453"/>
    <cellStyle name="Dane wyjściowe 2 28 33" xfId="16454"/>
    <cellStyle name="Dane wyjściowe 2 28 33 2" xfId="16455"/>
    <cellStyle name="Dane wyjściowe 2 28 33 3" xfId="16456"/>
    <cellStyle name="Dane wyjściowe 2 28 34" xfId="16457"/>
    <cellStyle name="Dane wyjściowe 2 28 34 2" xfId="16458"/>
    <cellStyle name="Dane wyjściowe 2 28 34 3" xfId="16459"/>
    <cellStyle name="Dane wyjściowe 2 28 35" xfId="16460"/>
    <cellStyle name="Dane wyjściowe 2 28 35 2" xfId="16461"/>
    <cellStyle name="Dane wyjściowe 2 28 35 3" xfId="16462"/>
    <cellStyle name="Dane wyjściowe 2 28 36" xfId="16463"/>
    <cellStyle name="Dane wyjściowe 2 28 36 2" xfId="16464"/>
    <cellStyle name="Dane wyjściowe 2 28 36 3" xfId="16465"/>
    <cellStyle name="Dane wyjściowe 2 28 37" xfId="16466"/>
    <cellStyle name="Dane wyjściowe 2 28 37 2" xfId="16467"/>
    <cellStyle name="Dane wyjściowe 2 28 37 3" xfId="16468"/>
    <cellStyle name="Dane wyjściowe 2 28 38" xfId="16469"/>
    <cellStyle name="Dane wyjściowe 2 28 38 2" xfId="16470"/>
    <cellStyle name="Dane wyjściowe 2 28 38 3" xfId="16471"/>
    <cellStyle name="Dane wyjściowe 2 28 39" xfId="16472"/>
    <cellStyle name="Dane wyjściowe 2 28 39 2" xfId="16473"/>
    <cellStyle name="Dane wyjściowe 2 28 39 3" xfId="16474"/>
    <cellStyle name="Dane wyjściowe 2 28 4" xfId="16475"/>
    <cellStyle name="Dane wyjściowe 2 28 4 2" xfId="16476"/>
    <cellStyle name="Dane wyjściowe 2 28 4 3" xfId="16477"/>
    <cellStyle name="Dane wyjściowe 2 28 4 4" xfId="16478"/>
    <cellStyle name="Dane wyjściowe 2 28 40" xfId="16479"/>
    <cellStyle name="Dane wyjściowe 2 28 40 2" xfId="16480"/>
    <cellStyle name="Dane wyjściowe 2 28 40 3" xfId="16481"/>
    <cellStyle name="Dane wyjściowe 2 28 41" xfId="16482"/>
    <cellStyle name="Dane wyjściowe 2 28 41 2" xfId="16483"/>
    <cellStyle name="Dane wyjściowe 2 28 41 3" xfId="16484"/>
    <cellStyle name="Dane wyjściowe 2 28 42" xfId="16485"/>
    <cellStyle name="Dane wyjściowe 2 28 42 2" xfId="16486"/>
    <cellStyle name="Dane wyjściowe 2 28 42 3" xfId="16487"/>
    <cellStyle name="Dane wyjściowe 2 28 43" xfId="16488"/>
    <cellStyle name="Dane wyjściowe 2 28 43 2" xfId="16489"/>
    <cellStyle name="Dane wyjściowe 2 28 43 3" xfId="16490"/>
    <cellStyle name="Dane wyjściowe 2 28 44" xfId="16491"/>
    <cellStyle name="Dane wyjściowe 2 28 44 2" xfId="16492"/>
    <cellStyle name="Dane wyjściowe 2 28 44 3" xfId="16493"/>
    <cellStyle name="Dane wyjściowe 2 28 45" xfId="16494"/>
    <cellStyle name="Dane wyjściowe 2 28 45 2" xfId="16495"/>
    <cellStyle name="Dane wyjściowe 2 28 45 3" xfId="16496"/>
    <cellStyle name="Dane wyjściowe 2 28 46" xfId="16497"/>
    <cellStyle name="Dane wyjściowe 2 28 46 2" xfId="16498"/>
    <cellStyle name="Dane wyjściowe 2 28 46 3" xfId="16499"/>
    <cellStyle name="Dane wyjściowe 2 28 47" xfId="16500"/>
    <cellStyle name="Dane wyjściowe 2 28 47 2" xfId="16501"/>
    <cellStyle name="Dane wyjściowe 2 28 47 3" xfId="16502"/>
    <cellStyle name="Dane wyjściowe 2 28 48" xfId="16503"/>
    <cellStyle name="Dane wyjściowe 2 28 48 2" xfId="16504"/>
    <cellStyle name="Dane wyjściowe 2 28 48 3" xfId="16505"/>
    <cellStyle name="Dane wyjściowe 2 28 49" xfId="16506"/>
    <cellStyle name="Dane wyjściowe 2 28 49 2" xfId="16507"/>
    <cellStyle name="Dane wyjściowe 2 28 49 3" xfId="16508"/>
    <cellStyle name="Dane wyjściowe 2 28 5" xfId="16509"/>
    <cellStyle name="Dane wyjściowe 2 28 5 2" xfId="16510"/>
    <cellStyle name="Dane wyjściowe 2 28 5 3" xfId="16511"/>
    <cellStyle name="Dane wyjściowe 2 28 5 4" xfId="16512"/>
    <cellStyle name="Dane wyjściowe 2 28 50" xfId="16513"/>
    <cellStyle name="Dane wyjściowe 2 28 50 2" xfId="16514"/>
    <cellStyle name="Dane wyjściowe 2 28 50 3" xfId="16515"/>
    <cellStyle name="Dane wyjściowe 2 28 51" xfId="16516"/>
    <cellStyle name="Dane wyjściowe 2 28 51 2" xfId="16517"/>
    <cellStyle name="Dane wyjściowe 2 28 51 3" xfId="16518"/>
    <cellStyle name="Dane wyjściowe 2 28 52" xfId="16519"/>
    <cellStyle name="Dane wyjściowe 2 28 52 2" xfId="16520"/>
    <cellStyle name="Dane wyjściowe 2 28 52 3" xfId="16521"/>
    <cellStyle name="Dane wyjściowe 2 28 53" xfId="16522"/>
    <cellStyle name="Dane wyjściowe 2 28 53 2" xfId="16523"/>
    <cellStyle name="Dane wyjściowe 2 28 53 3" xfId="16524"/>
    <cellStyle name="Dane wyjściowe 2 28 54" xfId="16525"/>
    <cellStyle name="Dane wyjściowe 2 28 54 2" xfId="16526"/>
    <cellStyle name="Dane wyjściowe 2 28 54 3" xfId="16527"/>
    <cellStyle name="Dane wyjściowe 2 28 55" xfId="16528"/>
    <cellStyle name="Dane wyjściowe 2 28 55 2" xfId="16529"/>
    <cellStyle name="Dane wyjściowe 2 28 55 3" xfId="16530"/>
    <cellStyle name="Dane wyjściowe 2 28 56" xfId="16531"/>
    <cellStyle name="Dane wyjściowe 2 28 56 2" xfId="16532"/>
    <cellStyle name="Dane wyjściowe 2 28 56 3" xfId="16533"/>
    <cellStyle name="Dane wyjściowe 2 28 57" xfId="16534"/>
    <cellStyle name="Dane wyjściowe 2 28 58" xfId="16535"/>
    <cellStyle name="Dane wyjściowe 2 28 6" xfId="16536"/>
    <cellStyle name="Dane wyjściowe 2 28 6 2" xfId="16537"/>
    <cellStyle name="Dane wyjściowe 2 28 6 3" xfId="16538"/>
    <cellStyle name="Dane wyjściowe 2 28 6 4" xfId="16539"/>
    <cellStyle name="Dane wyjściowe 2 28 7" xfId="16540"/>
    <cellStyle name="Dane wyjściowe 2 28 7 2" xfId="16541"/>
    <cellStyle name="Dane wyjściowe 2 28 7 3" xfId="16542"/>
    <cellStyle name="Dane wyjściowe 2 28 7 4" xfId="16543"/>
    <cellStyle name="Dane wyjściowe 2 28 8" xfId="16544"/>
    <cellStyle name="Dane wyjściowe 2 28 8 2" xfId="16545"/>
    <cellStyle name="Dane wyjściowe 2 28 8 3" xfId="16546"/>
    <cellStyle name="Dane wyjściowe 2 28 8 4" xfId="16547"/>
    <cellStyle name="Dane wyjściowe 2 28 9" xfId="16548"/>
    <cellStyle name="Dane wyjściowe 2 28 9 2" xfId="16549"/>
    <cellStyle name="Dane wyjściowe 2 28 9 3" xfId="16550"/>
    <cellStyle name="Dane wyjściowe 2 28 9 4" xfId="16551"/>
    <cellStyle name="Dane wyjściowe 2 29" xfId="16552"/>
    <cellStyle name="Dane wyjściowe 2 29 2" xfId="16553"/>
    <cellStyle name="Dane wyjściowe 2 29 3" xfId="16554"/>
    <cellStyle name="Dane wyjściowe 2 29 4" xfId="16555"/>
    <cellStyle name="Dane wyjściowe 2 3" xfId="16556"/>
    <cellStyle name="Dane wyjściowe 2 3 10" xfId="16557"/>
    <cellStyle name="Dane wyjściowe 2 3 10 2" xfId="16558"/>
    <cellStyle name="Dane wyjściowe 2 3 10 3" xfId="16559"/>
    <cellStyle name="Dane wyjściowe 2 3 10 4" xfId="16560"/>
    <cellStyle name="Dane wyjściowe 2 3 11" xfId="16561"/>
    <cellStyle name="Dane wyjściowe 2 3 11 2" xfId="16562"/>
    <cellStyle name="Dane wyjściowe 2 3 11 3" xfId="16563"/>
    <cellStyle name="Dane wyjściowe 2 3 11 4" xfId="16564"/>
    <cellStyle name="Dane wyjściowe 2 3 12" xfId="16565"/>
    <cellStyle name="Dane wyjściowe 2 3 12 2" xfId="16566"/>
    <cellStyle name="Dane wyjściowe 2 3 12 3" xfId="16567"/>
    <cellStyle name="Dane wyjściowe 2 3 12 4" xfId="16568"/>
    <cellStyle name="Dane wyjściowe 2 3 13" xfId="16569"/>
    <cellStyle name="Dane wyjściowe 2 3 13 2" xfId="16570"/>
    <cellStyle name="Dane wyjściowe 2 3 13 3" xfId="16571"/>
    <cellStyle name="Dane wyjściowe 2 3 13 4" xfId="16572"/>
    <cellStyle name="Dane wyjściowe 2 3 14" xfId="16573"/>
    <cellStyle name="Dane wyjściowe 2 3 14 2" xfId="16574"/>
    <cellStyle name="Dane wyjściowe 2 3 14 3" xfId="16575"/>
    <cellStyle name="Dane wyjściowe 2 3 14 4" xfId="16576"/>
    <cellStyle name="Dane wyjściowe 2 3 15" xfId="16577"/>
    <cellStyle name="Dane wyjściowe 2 3 15 2" xfId="16578"/>
    <cellStyle name="Dane wyjściowe 2 3 15 3" xfId="16579"/>
    <cellStyle name="Dane wyjściowe 2 3 15 4" xfId="16580"/>
    <cellStyle name="Dane wyjściowe 2 3 16" xfId="16581"/>
    <cellStyle name="Dane wyjściowe 2 3 16 2" xfId="16582"/>
    <cellStyle name="Dane wyjściowe 2 3 16 3" xfId="16583"/>
    <cellStyle name="Dane wyjściowe 2 3 16 4" xfId="16584"/>
    <cellStyle name="Dane wyjściowe 2 3 17" xfId="16585"/>
    <cellStyle name="Dane wyjściowe 2 3 17 2" xfId="16586"/>
    <cellStyle name="Dane wyjściowe 2 3 17 3" xfId="16587"/>
    <cellStyle name="Dane wyjściowe 2 3 17 4" xfId="16588"/>
    <cellStyle name="Dane wyjściowe 2 3 18" xfId="16589"/>
    <cellStyle name="Dane wyjściowe 2 3 18 2" xfId="16590"/>
    <cellStyle name="Dane wyjściowe 2 3 18 3" xfId="16591"/>
    <cellStyle name="Dane wyjściowe 2 3 18 4" xfId="16592"/>
    <cellStyle name="Dane wyjściowe 2 3 19" xfId="16593"/>
    <cellStyle name="Dane wyjściowe 2 3 19 2" xfId="16594"/>
    <cellStyle name="Dane wyjściowe 2 3 19 3" xfId="16595"/>
    <cellStyle name="Dane wyjściowe 2 3 19 4" xfId="16596"/>
    <cellStyle name="Dane wyjściowe 2 3 2" xfId="16597"/>
    <cellStyle name="Dane wyjściowe 2 3 2 2" xfId="16598"/>
    <cellStyle name="Dane wyjściowe 2 3 2 3" xfId="16599"/>
    <cellStyle name="Dane wyjściowe 2 3 2 4" xfId="16600"/>
    <cellStyle name="Dane wyjściowe 2 3 20" xfId="16601"/>
    <cellStyle name="Dane wyjściowe 2 3 20 2" xfId="16602"/>
    <cellStyle name="Dane wyjściowe 2 3 20 3" xfId="16603"/>
    <cellStyle name="Dane wyjściowe 2 3 20 4" xfId="16604"/>
    <cellStyle name="Dane wyjściowe 2 3 21" xfId="16605"/>
    <cellStyle name="Dane wyjściowe 2 3 21 2" xfId="16606"/>
    <cellStyle name="Dane wyjściowe 2 3 21 3" xfId="16607"/>
    <cellStyle name="Dane wyjściowe 2 3 22" xfId="16608"/>
    <cellStyle name="Dane wyjściowe 2 3 22 2" xfId="16609"/>
    <cellStyle name="Dane wyjściowe 2 3 22 3" xfId="16610"/>
    <cellStyle name="Dane wyjściowe 2 3 23" xfId="16611"/>
    <cellStyle name="Dane wyjściowe 2 3 23 2" xfId="16612"/>
    <cellStyle name="Dane wyjściowe 2 3 23 3" xfId="16613"/>
    <cellStyle name="Dane wyjściowe 2 3 24" xfId="16614"/>
    <cellStyle name="Dane wyjściowe 2 3 24 2" xfId="16615"/>
    <cellStyle name="Dane wyjściowe 2 3 24 3" xfId="16616"/>
    <cellStyle name="Dane wyjściowe 2 3 25" xfId="16617"/>
    <cellStyle name="Dane wyjściowe 2 3 25 2" xfId="16618"/>
    <cellStyle name="Dane wyjściowe 2 3 25 3" xfId="16619"/>
    <cellStyle name="Dane wyjściowe 2 3 26" xfId="16620"/>
    <cellStyle name="Dane wyjściowe 2 3 26 2" xfId="16621"/>
    <cellStyle name="Dane wyjściowe 2 3 26 3" xfId="16622"/>
    <cellStyle name="Dane wyjściowe 2 3 27" xfId="16623"/>
    <cellStyle name="Dane wyjściowe 2 3 27 2" xfId="16624"/>
    <cellStyle name="Dane wyjściowe 2 3 27 3" xfId="16625"/>
    <cellStyle name="Dane wyjściowe 2 3 28" xfId="16626"/>
    <cellStyle name="Dane wyjściowe 2 3 28 2" xfId="16627"/>
    <cellStyle name="Dane wyjściowe 2 3 28 3" xfId="16628"/>
    <cellStyle name="Dane wyjściowe 2 3 29" xfId="16629"/>
    <cellStyle name="Dane wyjściowe 2 3 29 2" xfId="16630"/>
    <cellStyle name="Dane wyjściowe 2 3 29 3" xfId="16631"/>
    <cellStyle name="Dane wyjściowe 2 3 3" xfId="16632"/>
    <cellStyle name="Dane wyjściowe 2 3 3 2" xfId="16633"/>
    <cellStyle name="Dane wyjściowe 2 3 3 3" xfId="16634"/>
    <cellStyle name="Dane wyjściowe 2 3 3 4" xfId="16635"/>
    <cellStyle name="Dane wyjściowe 2 3 30" xfId="16636"/>
    <cellStyle name="Dane wyjściowe 2 3 30 2" xfId="16637"/>
    <cellStyle name="Dane wyjściowe 2 3 30 3" xfId="16638"/>
    <cellStyle name="Dane wyjściowe 2 3 31" xfId="16639"/>
    <cellStyle name="Dane wyjściowe 2 3 31 2" xfId="16640"/>
    <cellStyle name="Dane wyjściowe 2 3 31 3" xfId="16641"/>
    <cellStyle name="Dane wyjściowe 2 3 32" xfId="16642"/>
    <cellStyle name="Dane wyjściowe 2 3 32 2" xfId="16643"/>
    <cellStyle name="Dane wyjściowe 2 3 32 3" xfId="16644"/>
    <cellStyle name="Dane wyjściowe 2 3 33" xfId="16645"/>
    <cellStyle name="Dane wyjściowe 2 3 33 2" xfId="16646"/>
    <cellStyle name="Dane wyjściowe 2 3 33 3" xfId="16647"/>
    <cellStyle name="Dane wyjściowe 2 3 34" xfId="16648"/>
    <cellStyle name="Dane wyjściowe 2 3 34 2" xfId="16649"/>
    <cellStyle name="Dane wyjściowe 2 3 34 3" xfId="16650"/>
    <cellStyle name="Dane wyjściowe 2 3 35" xfId="16651"/>
    <cellStyle name="Dane wyjściowe 2 3 35 2" xfId="16652"/>
    <cellStyle name="Dane wyjściowe 2 3 35 3" xfId="16653"/>
    <cellStyle name="Dane wyjściowe 2 3 36" xfId="16654"/>
    <cellStyle name="Dane wyjściowe 2 3 36 2" xfId="16655"/>
    <cellStyle name="Dane wyjściowe 2 3 36 3" xfId="16656"/>
    <cellStyle name="Dane wyjściowe 2 3 37" xfId="16657"/>
    <cellStyle name="Dane wyjściowe 2 3 37 2" xfId="16658"/>
    <cellStyle name="Dane wyjściowe 2 3 37 3" xfId="16659"/>
    <cellStyle name="Dane wyjściowe 2 3 38" xfId="16660"/>
    <cellStyle name="Dane wyjściowe 2 3 38 2" xfId="16661"/>
    <cellStyle name="Dane wyjściowe 2 3 38 3" xfId="16662"/>
    <cellStyle name="Dane wyjściowe 2 3 39" xfId="16663"/>
    <cellStyle name="Dane wyjściowe 2 3 39 2" xfId="16664"/>
    <cellStyle name="Dane wyjściowe 2 3 39 3" xfId="16665"/>
    <cellStyle name="Dane wyjściowe 2 3 4" xfId="16666"/>
    <cellStyle name="Dane wyjściowe 2 3 4 2" xfId="16667"/>
    <cellStyle name="Dane wyjściowe 2 3 4 3" xfId="16668"/>
    <cellStyle name="Dane wyjściowe 2 3 4 4" xfId="16669"/>
    <cellStyle name="Dane wyjściowe 2 3 40" xfId="16670"/>
    <cellStyle name="Dane wyjściowe 2 3 40 2" xfId="16671"/>
    <cellStyle name="Dane wyjściowe 2 3 40 3" xfId="16672"/>
    <cellStyle name="Dane wyjściowe 2 3 41" xfId="16673"/>
    <cellStyle name="Dane wyjściowe 2 3 41 2" xfId="16674"/>
    <cellStyle name="Dane wyjściowe 2 3 41 3" xfId="16675"/>
    <cellStyle name="Dane wyjściowe 2 3 42" xfId="16676"/>
    <cellStyle name="Dane wyjściowe 2 3 42 2" xfId="16677"/>
    <cellStyle name="Dane wyjściowe 2 3 42 3" xfId="16678"/>
    <cellStyle name="Dane wyjściowe 2 3 43" xfId="16679"/>
    <cellStyle name="Dane wyjściowe 2 3 43 2" xfId="16680"/>
    <cellStyle name="Dane wyjściowe 2 3 43 3" xfId="16681"/>
    <cellStyle name="Dane wyjściowe 2 3 44" xfId="16682"/>
    <cellStyle name="Dane wyjściowe 2 3 44 2" xfId="16683"/>
    <cellStyle name="Dane wyjściowe 2 3 44 3" xfId="16684"/>
    <cellStyle name="Dane wyjściowe 2 3 45" xfId="16685"/>
    <cellStyle name="Dane wyjściowe 2 3 45 2" xfId="16686"/>
    <cellStyle name="Dane wyjściowe 2 3 45 3" xfId="16687"/>
    <cellStyle name="Dane wyjściowe 2 3 46" xfId="16688"/>
    <cellStyle name="Dane wyjściowe 2 3 46 2" xfId="16689"/>
    <cellStyle name="Dane wyjściowe 2 3 46 3" xfId="16690"/>
    <cellStyle name="Dane wyjściowe 2 3 47" xfId="16691"/>
    <cellStyle name="Dane wyjściowe 2 3 47 2" xfId="16692"/>
    <cellStyle name="Dane wyjściowe 2 3 47 3" xfId="16693"/>
    <cellStyle name="Dane wyjściowe 2 3 48" xfId="16694"/>
    <cellStyle name="Dane wyjściowe 2 3 48 2" xfId="16695"/>
    <cellStyle name="Dane wyjściowe 2 3 48 3" xfId="16696"/>
    <cellStyle name="Dane wyjściowe 2 3 49" xfId="16697"/>
    <cellStyle name="Dane wyjściowe 2 3 49 2" xfId="16698"/>
    <cellStyle name="Dane wyjściowe 2 3 49 3" xfId="16699"/>
    <cellStyle name="Dane wyjściowe 2 3 5" xfId="16700"/>
    <cellStyle name="Dane wyjściowe 2 3 5 2" xfId="16701"/>
    <cellStyle name="Dane wyjściowe 2 3 5 3" xfId="16702"/>
    <cellStyle name="Dane wyjściowe 2 3 5 4" xfId="16703"/>
    <cellStyle name="Dane wyjściowe 2 3 50" xfId="16704"/>
    <cellStyle name="Dane wyjściowe 2 3 50 2" xfId="16705"/>
    <cellStyle name="Dane wyjściowe 2 3 50 3" xfId="16706"/>
    <cellStyle name="Dane wyjściowe 2 3 51" xfId="16707"/>
    <cellStyle name="Dane wyjściowe 2 3 51 2" xfId="16708"/>
    <cellStyle name="Dane wyjściowe 2 3 51 3" xfId="16709"/>
    <cellStyle name="Dane wyjściowe 2 3 52" xfId="16710"/>
    <cellStyle name="Dane wyjściowe 2 3 52 2" xfId="16711"/>
    <cellStyle name="Dane wyjściowe 2 3 52 3" xfId="16712"/>
    <cellStyle name="Dane wyjściowe 2 3 53" xfId="16713"/>
    <cellStyle name="Dane wyjściowe 2 3 53 2" xfId="16714"/>
    <cellStyle name="Dane wyjściowe 2 3 53 3" xfId="16715"/>
    <cellStyle name="Dane wyjściowe 2 3 54" xfId="16716"/>
    <cellStyle name="Dane wyjściowe 2 3 54 2" xfId="16717"/>
    <cellStyle name="Dane wyjściowe 2 3 54 3" xfId="16718"/>
    <cellStyle name="Dane wyjściowe 2 3 55" xfId="16719"/>
    <cellStyle name="Dane wyjściowe 2 3 55 2" xfId="16720"/>
    <cellStyle name="Dane wyjściowe 2 3 55 3" xfId="16721"/>
    <cellStyle name="Dane wyjściowe 2 3 56" xfId="16722"/>
    <cellStyle name="Dane wyjściowe 2 3 56 2" xfId="16723"/>
    <cellStyle name="Dane wyjściowe 2 3 56 3" xfId="16724"/>
    <cellStyle name="Dane wyjściowe 2 3 57" xfId="16725"/>
    <cellStyle name="Dane wyjściowe 2 3 58" xfId="16726"/>
    <cellStyle name="Dane wyjściowe 2 3 6" xfId="16727"/>
    <cellStyle name="Dane wyjściowe 2 3 6 2" xfId="16728"/>
    <cellStyle name="Dane wyjściowe 2 3 6 3" xfId="16729"/>
    <cellStyle name="Dane wyjściowe 2 3 6 4" xfId="16730"/>
    <cellStyle name="Dane wyjściowe 2 3 7" xfId="16731"/>
    <cellStyle name="Dane wyjściowe 2 3 7 2" xfId="16732"/>
    <cellStyle name="Dane wyjściowe 2 3 7 3" xfId="16733"/>
    <cellStyle name="Dane wyjściowe 2 3 7 4" xfId="16734"/>
    <cellStyle name="Dane wyjściowe 2 3 8" xfId="16735"/>
    <cellStyle name="Dane wyjściowe 2 3 8 2" xfId="16736"/>
    <cellStyle name="Dane wyjściowe 2 3 8 3" xfId="16737"/>
    <cellStyle name="Dane wyjściowe 2 3 8 4" xfId="16738"/>
    <cellStyle name="Dane wyjściowe 2 3 9" xfId="16739"/>
    <cellStyle name="Dane wyjściowe 2 3 9 2" xfId="16740"/>
    <cellStyle name="Dane wyjściowe 2 3 9 3" xfId="16741"/>
    <cellStyle name="Dane wyjściowe 2 3 9 4" xfId="16742"/>
    <cellStyle name="Dane wyjściowe 2 30" xfId="16743"/>
    <cellStyle name="Dane wyjściowe 2 30 2" xfId="16744"/>
    <cellStyle name="Dane wyjściowe 2 30 3" xfId="16745"/>
    <cellStyle name="Dane wyjściowe 2 30 4" xfId="16746"/>
    <cellStyle name="Dane wyjściowe 2 31" xfId="16747"/>
    <cellStyle name="Dane wyjściowe 2 31 2" xfId="16748"/>
    <cellStyle name="Dane wyjściowe 2 31 3" xfId="16749"/>
    <cellStyle name="Dane wyjściowe 2 31 4" xfId="16750"/>
    <cellStyle name="Dane wyjściowe 2 32" xfId="16751"/>
    <cellStyle name="Dane wyjściowe 2 32 2" xfId="16752"/>
    <cellStyle name="Dane wyjściowe 2 32 3" xfId="16753"/>
    <cellStyle name="Dane wyjściowe 2 32 4" xfId="16754"/>
    <cellStyle name="Dane wyjściowe 2 33" xfId="16755"/>
    <cellStyle name="Dane wyjściowe 2 33 2" xfId="16756"/>
    <cellStyle name="Dane wyjściowe 2 33 3" xfId="16757"/>
    <cellStyle name="Dane wyjściowe 2 33 4" xfId="16758"/>
    <cellStyle name="Dane wyjściowe 2 34" xfId="16759"/>
    <cellStyle name="Dane wyjściowe 2 34 2" xfId="16760"/>
    <cellStyle name="Dane wyjściowe 2 34 3" xfId="16761"/>
    <cellStyle name="Dane wyjściowe 2 34 4" xfId="16762"/>
    <cellStyle name="Dane wyjściowe 2 35" xfId="16763"/>
    <cellStyle name="Dane wyjściowe 2 35 2" xfId="16764"/>
    <cellStyle name="Dane wyjściowe 2 35 3" xfId="16765"/>
    <cellStyle name="Dane wyjściowe 2 35 4" xfId="16766"/>
    <cellStyle name="Dane wyjściowe 2 36" xfId="16767"/>
    <cellStyle name="Dane wyjściowe 2 36 2" xfId="16768"/>
    <cellStyle name="Dane wyjściowe 2 36 3" xfId="16769"/>
    <cellStyle name="Dane wyjściowe 2 36 4" xfId="16770"/>
    <cellStyle name="Dane wyjściowe 2 37" xfId="16771"/>
    <cellStyle name="Dane wyjściowe 2 37 2" xfId="16772"/>
    <cellStyle name="Dane wyjściowe 2 37 3" xfId="16773"/>
    <cellStyle name="Dane wyjściowe 2 37 4" xfId="16774"/>
    <cellStyle name="Dane wyjściowe 2 38" xfId="16775"/>
    <cellStyle name="Dane wyjściowe 2 38 2" xfId="16776"/>
    <cellStyle name="Dane wyjściowe 2 38 3" xfId="16777"/>
    <cellStyle name="Dane wyjściowe 2 38 4" xfId="16778"/>
    <cellStyle name="Dane wyjściowe 2 39" xfId="16779"/>
    <cellStyle name="Dane wyjściowe 2 39 2" xfId="16780"/>
    <cellStyle name="Dane wyjściowe 2 39 3" xfId="16781"/>
    <cellStyle name="Dane wyjściowe 2 39 4" xfId="16782"/>
    <cellStyle name="Dane wyjściowe 2 4" xfId="16783"/>
    <cellStyle name="Dane wyjściowe 2 4 10" xfId="16784"/>
    <cellStyle name="Dane wyjściowe 2 4 10 2" xfId="16785"/>
    <cellStyle name="Dane wyjściowe 2 4 10 3" xfId="16786"/>
    <cellStyle name="Dane wyjściowe 2 4 10 4" xfId="16787"/>
    <cellStyle name="Dane wyjściowe 2 4 11" xfId="16788"/>
    <cellStyle name="Dane wyjściowe 2 4 11 2" xfId="16789"/>
    <cellStyle name="Dane wyjściowe 2 4 11 3" xfId="16790"/>
    <cellStyle name="Dane wyjściowe 2 4 11 4" xfId="16791"/>
    <cellStyle name="Dane wyjściowe 2 4 12" xfId="16792"/>
    <cellStyle name="Dane wyjściowe 2 4 12 2" xfId="16793"/>
    <cellStyle name="Dane wyjściowe 2 4 12 3" xfId="16794"/>
    <cellStyle name="Dane wyjściowe 2 4 12 4" xfId="16795"/>
    <cellStyle name="Dane wyjściowe 2 4 13" xfId="16796"/>
    <cellStyle name="Dane wyjściowe 2 4 13 2" xfId="16797"/>
    <cellStyle name="Dane wyjściowe 2 4 13 3" xfId="16798"/>
    <cellStyle name="Dane wyjściowe 2 4 13 4" xfId="16799"/>
    <cellStyle name="Dane wyjściowe 2 4 14" xfId="16800"/>
    <cellStyle name="Dane wyjściowe 2 4 14 2" xfId="16801"/>
    <cellStyle name="Dane wyjściowe 2 4 14 3" xfId="16802"/>
    <cellStyle name="Dane wyjściowe 2 4 14 4" xfId="16803"/>
    <cellStyle name="Dane wyjściowe 2 4 15" xfId="16804"/>
    <cellStyle name="Dane wyjściowe 2 4 15 2" xfId="16805"/>
    <cellStyle name="Dane wyjściowe 2 4 15 3" xfId="16806"/>
    <cellStyle name="Dane wyjściowe 2 4 15 4" xfId="16807"/>
    <cellStyle name="Dane wyjściowe 2 4 16" xfId="16808"/>
    <cellStyle name="Dane wyjściowe 2 4 16 2" xfId="16809"/>
    <cellStyle name="Dane wyjściowe 2 4 16 3" xfId="16810"/>
    <cellStyle name="Dane wyjściowe 2 4 16 4" xfId="16811"/>
    <cellStyle name="Dane wyjściowe 2 4 17" xfId="16812"/>
    <cellStyle name="Dane wyjściowe 2 4 17 2" xfId="16813"/>
    <cellStyle name="Dane wyjściowe 2 4 17 3" xfId="16814"/>
    <cellStyle name="Dane wyjściowe 2 4 17 4" xfId="16815"/>
    <cellStyle name="Dane wyjściowe 2 4 18" xfId="16816"/>
    <cellStyle name="Dane wyjściowe 2 4 18 2" xfId="16817"/>
    <cellStyle name="Dane wyjściowe 2 4 18 3" xfId="16818"/>
    <cellStyle name="Dane wyjściowe 2 4 18 4" xfId="16819"/>
    <cellStyle name="Dane wyjściowe 2 4 19" xfId="16820"/>
    <cellStyle name="Dane wyjściowe 2 4 19 2" xfId="16821"/>
    <cellStyle name="Dane wyjściowe 2 4 19 3" xfId="16822"/>
    <cellStyle name="Dane wyjściowe 2 4 19 4" xfId="16823"/>
    <cellStyle name="Dane wyjściowe 2 4 2" xfId="16824"/>
    <cellStyle name="Dane wyjściowe 2 4 2 2" xfId="16825"/>
    <cellStyle name="Dane wyjściowe 2 4 2 3" xfId="16826"/>
    <cellStyle name="Dane wyjściowe 2 4 2 4" xfId="16827"/>
    <cellStyle name="Dane wyjściowe 2 4 20" xfId="16828"/>
    <cellStyle name="Dane wyjściowe 2 4 20 2" xfId="16829"/>
    <cellStyle name="Dane wyjściowe 2 4 20 3" xfId="16830"/>
    <cellStyle name="Dane wyjściowe 2 4 20 4" xfId="16831"/>
    <cellStyle name="Dane wyjściowe 2 4 21" xfId="16832"/>
    <cellStyle name="Dane wyjściowe 2 4 21 2" xfId="16833"/>
    <cellStyle name="Dane wyjściowe 2 4 21 3" xfId="16834"/>
    <cellStyle name="Dane wyjściowe 2 4 22" xfId="16835"/>
    <cellStyle name="Dane wyjściowe 2 4 22 2" xfId="16836"/>
    <cellStyle name="Dane wyjściowe 2 4 22 3" xfId="16837"/>
    <cellStyle name="Dane wyjściowe 2 4 23" xfId="16838"/>
    <cellStyle name="Dane wyjściowe 2 4 23 2" xfId="16839"/>
    <cellStyle name="Dane wyjściowe 2 4 23 3" xfId="16840"/>
    <cellStyle name="Dane wyjściowe 2 4 24" xfId="16841"/>
    <cellStyle name="Dane wyjściowe 2 4 24 2" xfId="16842"/>
    <cellStyle name="Dane wyjściowe 2 4 24 3" xfId="16843"/>
    <cellStyle name="Dane wyjściowe 2 4 25" xfId="16844"/>
    <cellStyle name="Dane wyjściowe 2 4 25 2" xfId="16845"/>
    <cellStyle name="Dane wyjściowe 2 4 25 3" xfId="16846"/>
    <cellStyle name="Dane wyjściowe 2 4 26" xfId="16847"/>
    <cellStyle name="Dane wyjściowe 2 4 26 2" xfId="16848"/>
    <cellStyle name="Dane wyjściowe 2 4 26 3" xfId="16849"/>
    <cellStyle name="Dane wyjściowe 2 4 27" xfId="16850"/>
    <cellStyle name="Dane wyjściowe 2 4 27 2" xfId="16851"/>
    <cellStyle name="Dane wyjściowe 2 4 27 3" xfId="16852"/>
    <cellStyle name="Dane wyjściowe 2 4 28" xfId="16853"/>
    <cellStyle name="Dane wyjściowe 2 4 28 2" xfId="16854"/>
    <cellStyle name="Dane wyjściowe 2 4 28 3" xfId="16855"/>
    <cellStyle name="Dane wyjściowe 2 4 29" xfId="16856"/>
    <cellStyle name="Dane wyjściowe 2 4 29 2" xfId="16857"/>
    <cellStyle name="Dane wyjściowe 2 4 29 3" xfId="16858"/>
    <cellStyle name="Dane wyjściowe 2 4 3" xfId="16859"/>
    <cellStyle name="Dane wyjściowe 2 4 3 2" xfId="16860"/>
    <cellStyle name="Dane wyjściowe 2 4 3 3" xfId="16861"/>
    <cellStyle name="Dane wyjściowe 2 4 3 4" xfId="16862"/>
    <cellStyle name="Dane wyjściowe 2 4 30" xfId="16863"/>
    <cellStyle name="Dane wyjściowe 2 4 30 2" xfId="16864"/>
    <cellStyle name="Dane wyjściowe 2 4 30 3" xfId="16865"/>
    <cellStyle name="Dane wyjściowe 2 4 31" xfId="16866"/>
    <cellStyle name="Dane wyjściowe 2 4 31 2" xfId="16867"/>
    <cellStyle name="Dane wyjściowe 2 4 31 3" xfId="16868"/>
    <cellStyle name="Dane wyjściowe 2 4 32" xfId="16869"/>
    <cellStyle name="Dane wyjściowe 2 4 32 2" xfId="16870"/>
    <cellStyle name="Dane wyjściowe 2 4 32 3" xfId="16871"/>
    <cellStyle name="Dane wyjściowe 2 4 33" xfId="16872"/>
    <cellStyle name="Dane wyjściowe 2 4 33 2" xfId="16873"/>
    <cellStyle name="Dane wyjściowe 2 4 33 3" xfId="16874"/>
    <cellStyle name="Dane wyjściowe 2 4 34" xfId="16875"/>
    <cellStyle name="Dane wyjściowe 2 4 34 2" xfId="16876"/>
    <cellStyle name="Dane wyjściowe 2 4 34 3" xfId="16877"/>
    <cellStyle name="Dane wyjściowe 2 4 35" xfId="16878"/>
    <cellStyle name="Dane wyjściowe 2 4 35 2" xfId="16879"/>
    <cellStyle name="Dane wyjściowe 2 4 35 3" xfId="16880"/>
    <cellStyle name="Dane wyjściowe 2 4 36" xfId="16881"/>
    <cellStyle name="Dane wyjściowe 2 4 36 2" xfId="16882"/>
    <cellStyle name="Dane wyjściowe 2 4 36 3" xfId="16883"/>
    <cellStyle name="Dane wyjściowe 2 4 37" xfId="16884"/>
    <cellStyle name="Dane wyjściowe 2 4 37 2" xfId="16885"/>
    <cellStyle name="Dane wyjściowe 2 4 37 3" xfId="16886"/>
    <cellStyle name="Dane wyjściowe 2 4 38" xfId="16887"/>
    <cellStyle name="Dane wyjściowe 2 4 38 2" xfId="16888"/>
    <cellStyle name="Dane wyjściowe 2 4 38 3" xfId="16889"/>
    <cellStyle name="Dane wyjściowe 2 4 39" xfId="16890"/>
    <cellStyle name="Dane wyjściowe 2 4 39 2" xfId="16891"/>
    <cellStyle name="Dane wyjściowe 2 4 39 3" xfId="16892"/>
    <cellStyle name="Dane wyjściowe 2 4 4" xfId="16893"/>
    <cellStyle name="Dane wyjściowe 2 4 4 2" xfId="16894"/>
    <cellStyle name="Dane wyjściowe 2 4 4 3" xfId="16895"/>
    <cellStyle name="Dane wyjściowe 2 4 4 4" xfId="16896"/>
    <cellStyle name="Dane wyjściowe 2 4 40" xfId="16897"/>
    <cellStyle name="Dane wyjściowe 2 4 40 2" xfId="16898"/>
    <cellStyle name="Dane wyjściowe 2 4 40 3" xfId="16899"/>
    <cellStyle name="Dane wyjściowe 2 4 41" xfId="16900"/>
    <cellStyle name="Dane wyjściowe 2 4 41 2" xfId="16901"/>
    <cellStyle name="Dane wyjściowe 2 4 41 3" xfId="16902"/>
    <cellStyle name="Dane wyjściowe 2 4 42" xfId="16903"/>
    <cellStyle name="Dane wyjściowe 2 4 42 2" xfId="16904"/>
    <cellStyle name="Dane wyjściowe 2 4 42 3" xfId="16905"/>
    <cellStyle name="Dane wyjściowe 2 4 43" xfId="16906"/>
    <cellStyle name="Dane wyjściowe 2 4 43 2" xfId="16907"/>
    <cellStyle name="Dane wyjściowe 2 4 43 3" xfId="16908"/>
    <cellStyle name="Dane wyjściowe 2 4 44" xfId="16909"/>
    <cellStyle name="Dane wyjściowe 2 4 44 2" xfId="16910"/>
    <cellStyle name="Dane wyjściowe 2 4 44 3" xfId="16911"/>
    <cellStyle name="Dane wyjściowe 2 4 45" xfId="16912"/>
    <cellStyle name="Dane wyjściowe 2 4 45 2" xfId="16913"/>
    <cellStyle name="Dane wyjściowe 2 4 45 3" xfId="16914"/>
    <cellStyle name="Dane wyjściowe 2 4 46" xfId="16915"/>
    <cellStyle name="Dane wyjściowe 2 4 46 2" xfId="16916"/>
    <cellStyle name="Dane wyjściowe 2 4 46 3" xfId="16917"/>
    <cellStyle name="Dane wyjściowe 2 4 47" xfId="16918"/>
    <cellStyle name="Dane wyjściowe 2 4 47 2" xfId="16919"/>
    <cellStyle name="Dane wyjściowe 2 4 47 3" xfId="16920"/>
    <cellStyle name="Dane wyjściowe 2 4 48" xfId="16921"/>
    <cellStyle name="Dane wyjściowe 2 4 48 2" xfId="16922"/>
    <cellStyle name="Dane wyjściowe 2 4 48 3" xfId="16923"/>
    <cellStyle name="Dane wyjściowe 2 4 49" xfId="16924"/>
    <cellStyle name="Dane wyjściowe 2 4 49 2" xfId="16925"/>
    <cellStyle name="Dane wyjściowe 2 4 49 3" xfId="16926"/>
    <cellStyle name="Dane wyjściowe 2 4 5" xfId="16927"/>
    <cellStyle name="Dane wyjściowe 2 4 5 2" xfId="16928"/>
    <cellStyle name="Dane wyjściowe 2 4 5 3" xfId="16929"/>
    <cellStyle name="Dane wyjściowe 2 4 5 4" xfId="16930"/>
    <cellStyle name="Dane wyjściowe 2 4 50" xfId="16931"/>
    <cellStyle name="Dane wyjściowe 2 4 50 2" xfId="16932"/>
    <cellStyle name="Dane wyjściowe 2 4 50 3" xfId="16933"/>
    <cellStyle name="Dane wyjściowe 2 4 51" xfId="16934"/>
    <cellStyle name="Dane wyjściowe 2 4 51 2" xfId="16935"/>
    <cellStyle name="Dane wyjściowe 2 4 51 3" xfId="16936"/>
    <cellStyle name="Dane wyjściowe 2 4 52" xfId="16937"/>
    <cellStyle name="Dane wyjściowe 2 4 52 2" xfId="16938"/>
    <cellStyle name="Dane wyjściowe 2 4 52 3" xfId="16939"/>
    <cellStyle name="Dane wyjściowe 2 4 53" xfId="16940"/>
    <cellStyle name="Dane wyjściowe 2 4 53 2" xfId="16941"/>
    <cellStyle name="Dane wyjściowe 2 4 53 3" xfId="16942"/>
    <cellStyle name="Dane wyjściowe 2 4 54" xfId="16943"/>
    <cellStyle name="Dane wyjściowe 2 4 54 2" xfId="16944"/>
    <cellStyle name="Dane wyjściowe 2 4 54 3" xfId="16945"/>
    <cellStyle name="Dane wyjściowe 2 4 55" xfId="16946"/>
    <cellStyle name="Dane wyjściowe 2 4 55 2" xfId="16947"/>
    <cellStyle name="Dane wyjściowe 2 4 55 3" xfId="16948"/>
    <cellStyle name="Dane wyjściowe 2 4 56" xfId="16949"/>
    <cellStyle name="Dane wyjściowe 2 4 56 2" xfId="16950"/>
    <cellStyle name="Dane wyjściowe 2 4 56 3" xfId="16951"/>
    <cellStyle name="Dane wyjściowe 2 4 57" xfId="16952"/>
    <cellStyle name="Dane wyjściowe 2 4 58" xfId="16953"/>
    <cellStyle name="Dane wyjściowe 2 4 6" xfId="16954"/>
    <cellStyle name="Dane wyjściowe 2 4 6 2" xfId="16955"/>
    <cellStyle name="Dane wyjściowe 2 4 6 3" xfId="16956"/>
    <cellStyle name="Dane wyjściowe 2 4 6 4" xfId="16957"/>
    <cellStyle name="Dane wyjściowe 2 4 7" xfId="16958"/>
    <cellStyle name="Dane wyjściowe 2 4 7 2" xfId="16959"/>
    <cellStyle name="Dane wyjściowe 2 4 7 3" xfId="16960"/>
    <cellStyle name="Dane wyjściowe 2 4 7 4" xfId="16961"/>
    <cellStyle name="Dane wyjściowe 2 4 8" xfId="16962"/>
    <cellStyle name="Dane wyjściowe 2 4 8 2" xfId="16963"/>
    <cellStyle name="Dane wyjściowe 2 4 8 3" xfId="16964"/>
    <cellStyle name="Dane wyjściowe 2 4 8 4" xfId="16965"/>
    <cellStyle name="Dane wyjściowe 2 4 9" xfId="16966"/>
    <cellStyle name="Dane wyjściowe 2 4 9 2" xfId="16967"/>
    <cellStyle name="Dane wyjściowe 2 4 9 3" xfId="16968"/>
    <cellStyle name="Dane wyjściowe 2 4 9 4" xfId="16969"/>
    <cellStyle name="Dane wyjściowe 2 40" xfId="16970"/>
    <cellStyle name="Dane wyjściowe 2 40 2" xfId="16971"/>
    <cellStyle name="Dane wyjściowe 2 40 3" xfId="16972"/>
    <cellStyle name="Dane wyjściowe 2 40 4" xfId="16973"/>
    <cellStyle name="Dane wyjściowe 2 41" xfId="16974"/>
    <cellStyle name="Dane wyjściowe 2 41 2" xfId="16975"/>
    <cellStyle name="Dane wyjściowe 2 41 3" xfId="16976"/>
    <cellStyle name="Dane wyjściowe 2 41 4" xfId="16977"/>
    <cellStyle name="Dane wyjściowe 2 42" xfId="16978"/>
    <cellStyle name="Dane wyjściowe 2 42 2" xfId="16979"/>
    <cellStyle name="Dane wyjściowe 2 42 3" xfId="16980"/>
    <cellStyle name="Dane wyjściowe 2 42 4" xfId="16981"/>
    <cellStyle name="Dane wyjściowe 2 43" xfId="16982"/>
    <cellStyle name="Dane wyjściowe 2 43 2" xfId="16983"/>
    <cellStyle name="Dane wyjściowe 2 43 3" xfId="16984"/>
    <cellStyle name="Dane wyjściowe 2 43 4" xfId="16985"/>
    <cellStyle name="Dane wyjściowe 2 44" xfId="16986"/>
    <cellStyle name="Dane wyjściowe 2 44 2" xfId="16987"/>
    <cellStyle name="Dane wyjściowe 2 44 3" xfId="16988"/>
    <cellStyle name="Dane wyjściowe 2 44 4" xfId="16989"/>
    <cellStyle name="Dane wyjściowe 2 45" xfId="16990"/>
    <cellStyle name="Dane wyjściowe 2 45 2" xfId="16991"/>
    <cellStyle name="Dane wyjściowe 2 45 3" xfId="16992"/>
    <cellStyle name="Dane wyjściowe 2 45 4" xfId="16993"/>
    <cellStyle name="Dane wyjściowe 2 46" xfId="16994"/>
    <cellStyle name="Dane wyjściowe 2 46 2" xfId="16995"/>
    <cellStyle name="Dane wyjściowe 2 46 3" xfId="16996"/>
    <cellStyle name="Dane wyjściowe 2 46 4" xfId="16997"/>
    <cellStyle name="Dane wyjściowe 2 47" xfId="16998"/>
    <cellStyle name="Dane wyjściowe 2 47 2" xfId="16999"/>
    <cellStyle name="Dane wyjściowe 2 47 3" xfId="17000"/>
    <cellStyle name="Dane wyjściowe 2 47 4" xfId="17001"/>
    <cellStyle name="Dane wyjściowe 2 48" xfId="17002"/>
    <cellStyle name="Dane wyjściowe 2 48 2" xfId="17003"/>
    <cellStyle name="Dane wyjściowe 2 48 3" xfId="17004"/>
    <cellStyle name="Dane wyjściowe 2 48 4" xfId="17005"/>
    <cellStyle name="Dane wyjściowe 2 49" xfId="17006"/>
    <cellStyle name="Dane wyjściowe 2 49 2" xfId="17007"/>
    <cellStyle name="Dane wyjściowe 2 49 3" xfId="17008"/>
    <cellStyle name="Dane wyjściowe 2 49 4" xfId="17009"/>
    <cellStyle name="Dane wyjściowe 2 5" xfId="17010"/>
    <cellStyle name="Dane wyjściowe 2 5 10" xfId="17011"/>
    <cellStyle name="Dane wyjściowe 2 5 10 2" xfId="17012"/>
    <cellStyle name="Dane wyjściowe 2 5 10 3" xfId="17013"/>
    <cellStyle name="Dane wyjściowe 2 5 10 4" xfId="17014"/>
    <cellStyle name="Dane wyjściowe 2 5 11" xfId="17015"/>
    <cellStyle name="Dane wyjściowe 2 5 11 2" xfId="17016"/>
    <cellStyle name="Dane wyjściowe 2 5 11 3" xfId="17017"/>
    <cellStyle name="Dane wyjściowe 2 5 11 4" xfId="17018"/>
    <cellStyle name="Dane wyjściowe 2 5 12" xfId="17019"/>
    <cellStyle name="Dane wyjściowe 2 5 12 2" xfId="17020"/>
    <cellStyle name="Dane wyjściowe 2 5 12 3" xfId="17021"/>
    <cellStyle name="Dane wyjściowe 2 5 12 4" xfId="17022"/>
    <cellStyle name="Dane wyjściowe 2 5 13" xfId="17023"/>
    <cellStyle name="Dane wyjściowe 2 5 13 2" xfId="17024"/>
    <cellStyle name="Dane wyjściowe 2 5 13 3" xfId="17025"/>
    <cellStyle name="Dane wyjściowe 2 5 13 4" xfId="17026"/>
    <cellStyle name="Dane wyjściowe 2 5 14" xfId="17027"/>
    <cellStyle name="Dane wyjściowe 2 5 14 2" xfId="17028"/>
    <cellStyle name="Dane wyjściowe 2 5 14 3" xfId="17029"/>
    <cellStyle name="Dane wyjściowe 2 5 14 4" xfId="17030"/>
    <cellStyle name="Dane wyjściowe 2 5 15" xfId="17031"/>
    <cellStyle name="Dane wyjściowe 2 5 15 2" xfId="17032"/>
    <cellStyle name="Dane wyjściowe 2 5 15 3" xfId="17033"/>
    <cellStyle name="Dane wyjściowe 2 5 15 4" xfId="17034"/>
    <cellStyle name="Dane wyjściowe 2 5 16" xfId="17035"/>
    <cellStyle name="Dane wyjściowe 2 5 16 2" xfId="17036"/>
    <cellStyle name="Dane wyjściowe 2 5 16 3" xfId="17037"/>
    <cellStyle name="Dane wyjściowe 2 5 16 4" xfId="17038"/>
    <cellStyle name="Dane wyjściowe 2 5 17" xfId="17039"/>
    <cellStyle name="Dane wyjściowe 2 5 17 2" xfId="17040"/>
    <cellStyle name="Dane wyjściowe 2 5 17 3" xfId="17041"/>
    <cellStyle name="Dane wyjściowe 2 5 17 4" xfId="17042"/>
    <cellStyle name="Dane wyjściowe 2 5 18" xfId="17043"/>
    <cellStyle name="Dane wyjściowe 2 5 18 2" xfId="17044"/>
    <cellStyle name="Dane wyjściowe 2 5 18 3" xfId="17045"/>
    <cellStyle name="Dane wyjściowe 2 5 18 4" xfId="17046"/>
    <cellStyle name="Dane wyjściowe 2 5 19" xfId="17047"/>
    <cellStyle name="Dane wyjściowe 2 5 19 2" xfId="17048"/>
    <cellStyle name="Dane wyjściowe 2 5 19 3" xfId="17049"/>
    <cellStyle name="Dane wyjściowe 2 5 19 4" xfId="17050"/>
    <cellStyle name="Dane wyjściowe 2 5 2" xfId="17051"/>
    <cellStyle name="Dane wyjściowe 2 5 2 2" xfId="17052"/>
    <cellStyle name="Dane wyjściowe 2 5 2 3" xfId="17053"/>
    <cellStyle name="Dane wyjściowe 2 5 2 4" xfId="17054"/>
    <cellStyle name="Dane wyjściowe 2 5 20" xfId="17055"/>
    <cellStyle name="Dane wyjściowe 2 5 20 2" xfId="17056"/>
    <cellStyle name="Dane wyjściowe 2 5 20 3" xfId="17057"/>
    <cellStyle name="Dane wyjściowe 2 5 20 4" xfId="17058"/>
    <cellStyle name="Dane wyjściowe 2 5 21" xfId="17059"/>
    <cellStyle name="Dane wyjściowe 2 5 21 2" xfId="17060"/>
    <cellStyle name="Dane wyjściowe 2 5 21 3" xfId="17061"/>
    <cellStyle name="Dane wyjściowe 2 5 22" xfId="17062"/>
    <cellStyle name="Dane wyjściowe 2 5 22 2" xfId="17063"/>
    <cellStyle name="Dane wyjściowe 2 5 22 3" xfId="17064"/>
    <cellStyle name="Dane wyjściowe 2 5 23" xfId="17065"/>
    <cellStyle name="Dane wyjściowe 2 5 23 2" xfId="17066"/>
    <cellStyle name="Dane wyjściowe 2 5 23 3" xfId="17067"/>
    <cellStyle name="Dane wyjściowe 2 5 24" xfId="17068"/>
    <cellStyle name="Dane wyjściowe 2 5 24 2" xfId="17069"/>
    <cellStyle name="Dane wyjściowe 2 5 24 3" xfId="17070"/>
    <cellStyle name="Dane wyjściowe 2 5 25" xfId="17071"/>
    <cellStyle name="Dane wyjściowe 2 5 25 2" xfId="17072"/>
    <cellStyle name="Dane wyjściowe 2 5 25 3" xfId="17073"/>
    <cellStyle name="Dane wyjściowe 2 5 26" xfId="17074"/>
    <cellStyle name="Dane wyjściowe 2 5 26 2" xfId="17075"/>
    <cellStyle name="Dane wyjściowe 2 5 26 3" xfId="17076"/>
    <cellStyle name="Dane wyjściowe 2 5 27" xfId="17077"/>
    <cellStyle name="Dane wyjściowe 2 5 27 2" xfId="17078"/>
    <cellStyle name="Dane wyjściowe 2 5 27 3" xfId="17079"/>
    <cellStyle name="Dane wyjściowe 2 5 28" xfId="17080"/>
    <cellStyle name="Dane wyjściowe 2 5 28 2" xfId="17081"/>
    <cellStyle name="Dane wyjściowe 2 5 28 3" xfId="17082"/>
    <cellStyle name="Dane wyjściowe 2 5 29" xfId="17083"/>
    <cellStyle name="Dane wyjściowe 2 5 29 2" xfId="17084"/>
    <cellStyle name="Dane wyjściowe 2 5 29 3" xfId="17085"/>
    <cellStyle name="Dane wyjściowe 2 5 3" xfId="17086"/>
    <cellStyle name="Dane wyjściowe 2 5 3 2" xfId="17087"/>
    <cellStyle name="Dane wyjściowe 2 5 3 3" xfId="17088"/>
    <cellStyle name="Dane wyjściowe 2 5 3 4" xfId="17089"/>
    <cellStyle name="Dane wyjściowe 2 5 30" xfId="17090"/>
    <cellStyle name="Dane wyjściowe 2 5 30 2" xfId="17091"/>
    <cellStyle name="Dane wyjściowe 2 5 30 3" xfId="17092"/>
    <cellStyle name="Dane wyjściowe 2 5 31" xfId="17093"/>
    <cellStyle name="Dane wyjściowe 2 5 31 2" xfId="17094"/>
    <cellStyle name="Dane wyjściowe 2 5 31 3" xfId="17095"/>
    <cellStyle name="Dane wyjściowe 2 5 32" xfId="17096"/>
    <cellStyle name="Dane wyjściowe 2 5 32 2" xfId="17097"/>
    <cellStyle name="Dane wyjściowe 2 5 32 3" xfId="17098"/>
    <cellStyle name="Dane wyjściowe 2 5 33" xfId="17099"/>
    <cellStyle name="Dane wyjściowe 2 5 33 2" xfId="17100"/>
    <cellStyle name="Dane wyjściowe 2 5 33 3" xfId="17101"/>
    <cellStyle name="Dane wyjściowe 2 5 34" xfId="17102"/>
    <cellStyle name="Dane wyjściowe 2 5 34 2" xfId="17103"/>
    <cellStyle name="Dane wyjściowe 2 5 34 3" xfId="17104"/>
    <cellStyle name="Dane wyjściowe 2 5 35" xfId="17105"/>
    <cellStyle name="Dane wyjściowe 2 5 35 2" xfId="17106"/>
    <cellStyle name="Dane wyjściowe 2 5 35 3" xfId="17107"/>
    <cellStyle name="Dane wyjściowe 2 5 36" xfId="17108"/>
    <cellStyle name="Dane wyjściowe 2 5 36 2" xfId="17109"/>
    <cellStyle name="Dane wyjściowe 2 5 36 3" xfId="17110"/>
    <cellStyle name="Dane wyjściowe 2 5 37" xfId="17111"/>
    <cellStyle name="Dane wyjściowe 2 5 37 2" xfId="17112"/>
    <cellStyle name="Dane wyjściowe 2 5 37 3" xfId="17113"/>
    <cellStyle name="Dane wyjściowe 2 5 38" xfId="17114"/>
    <cellStyle name="Dane wyjściowe 2 5 38 2" xfId="17115"/>
    <cellStyle name="Dane wyjściowe 2 5 38 3" xfId="17116"/>
    <cellStyle name="Dane wyjściowe 2 5 39" xfId="17117"/>
    <cellStyle name="Dane wyjściowe 2 5 39 2" xfId="17118"/>
    <cellStyle name="Dane wyjściowe 2 5 39 3" xfId="17119"/>
    <cellStyle name="Dane wyjściowe 2 5 4" xfId="17120"/>
    <cellStyle name="Dane wyjściowe 2 5 4 2" xfId="17121"/>
    <cellStyle name="Dane wyjściowe 2 5 4 3" xfId="17122"/>
    <cellStyle name="Dane wyjściowe 2 5 4 4" xfId="17123"/>
    <cellStyle name="Dane wyjściowe 2 5 40" xfId="17124"/>
    <cellStyle name="Dane wyjściowe 2 5 40 2" xfId="17125"/>
    <cellStyle name="Dane wyjściowe 2 5 40 3" xfId="17126"/>
    <cellStyle name="Dane wyjściowe 2 5 41" xfId="17127"/>
    <cellStyle name="Dane wyjściowe 2 5 41 2" xfId="17128"/>
    <cellStyle name="Dane wyjściowe 2 5 41 3" xfId="17129"/>
    <cellStyle name="Dane wyjściowe 2 5 42" xfId="17130"/>
    <cellStyle name="Dane wyjściowe 2 5 42 2" xfId="17131"/>
    <cellStyle name="Dane wyjściowe 2 5 42 3" xfId="17132"/>
    <cellStyle name="Dane wyjściowe 2 5 43" xfId="17133"/>
    <cellStyle name="Dane wyjściowe 2 5 43 2" xfId="17134"/>
    <cellStyle name="Dane wyjściowe 2 5 43 3" xfId="17135"/>
    <cellStyle name="Dane wyjściowe 2 5 44" xfId="17136"/>
    <cellStyle name="Dane wyjściowe 2 5 44 2" xfId="17137"/>
    <cellStyle name="Dane wyjściowe 2 5 44 3" xfId="17138"/>
    <cellStyle name="Dane wyjściowe 2 5 45" xfId="17139"/>
    <cellStyle name="Dane wyjściowe 2 5 45 2" xfId="17140"/>
    <cellStyle name="Dane wyjściowe 2 5 45 3" xfId="17141"/>
    <cellStyle name="Dane wyjściowe 2 5 46" xfId="17142"/>
    <cellStyle name="Dane wyjściowe 2 5 46 2" xfId="17143"/>
    <cellStyle name="Dane wyjściowe 2 5 46 3" xfId="17144"/>
    <cellStyle name="Dane wyjściowe 2 5 47" xfId="17145"/>
    <cellStyle name="Dane wyjściowe 2 5 47 2" xfId="17146"/>
    <cellStyle name="Dane wyjściowe 2 5 47 3" xfId="17147"/>
    <cellStyle name="Dane wyjściowe 2 5 48" xfId="17148"/>
    <cellStyle name="Dane wyjściowe 2 5 48 2" xfId="17149"/>
    <cellStyle name="Dane wyjściowe 2 5 48 3" xfId="17150"/>
    <cellStyle name="Dane wyjściowe 2 5 49" xfId="17151"/>
    <cellStyle name="Dane wyjściowe 2 5 49 2" xfId="17152"/>
    <cellStyle name="Dane wyjściowe 2 5 49 3" xfId="17153"/>
    <cellStyle name="Dane wyjściowe 2 5 5" xfId="17154"/>
    <cellStyle name="Dane wyjściowe 2 5 5 2" xfId="17155"/>
    <cellStyle name="Dane wyjściowe 2 5 5 3" xfId="17156"/>
    <cellStyle name="Dane wyjściowe 2 5 5 4" xfId="17157"/>
    <cellStyle name="Dane wyjściowe 2 5 50" xfId="17158"/>
    <cellStyle name="Dane wyjściowe 2 5 50 2" xfId="17159"/>
    <cellStyle name="Dane wyjściowe 2 5 50 3" xfId="17160"/>
    <cellStyle name="Dane wyjściowe 2 5 51" xfId="17161"/>
    <cellStyle name="Dane wyjściowe 2 5 51 2" xfId="17162"/>
    <cellStyle name="Dane wyjściowe 2 5 51 3" xfId="17163"/>
    <cellStyle name="Dane wyjściowe 2 5 52" xfId="17164"/>
    <cellStyle name="Dane wyjściowe 2 5 52 2" xfId="17165"/>
    <cellStyle name="Dane wyjściowe 2 5 52 3" xfId="17166"/>
    <cellStyle name="Dane wyjściowe 2 5 53" xfId="17167"/>
    <cellStyle name="Dane wyjściowe 2 5 53 2" xfId="17168"/>
    <cellStyle name="Dane wyjściowe 2 5 53 3" xfId="17169"/>
    <cellStyle name="Dane wyjściowe 2 5 54" xfId="17170"/>
    <cellStyle name="Dane wyjściowe 2 5 54 2" xfId="17171"/>
    <cellStyle name="Dane wyjściowe 2 5 54 3" xfId="17172"/>
    <cellStyle name="Dane wyjściowe 2 5 55" xfId="17173"/>
    <cellStyle name="Dane wyjściowe 2 5 55 2" xfId="17174"/>
    <cellStyle name="Dane wyjściowe 2 5 55 3" xfId="17175"/>
    <cellStyle name="Dane wyjściowe 2 5 56" xfId="17176"/>
    <cellStyle name="Dane wyjściowe 2 5 56 2" xfId="17177"/>
    <cellStyle name="Dane wyjściowe 2 5 56 3" xfId="17178"/>
    <cellStyle name="Dane wyjściowe 2 5 57" xfId="17179"/>
    <cellStyle name="Dane wyjściowe 2 5 58" xfId="17180"/>
    <cellStyle name="Dane wyjściowe 2 5 6" xfId="17181"/>
    <cellStyle name="Dane wyjściowe 2 5 6 2" xfId="17182"/>
    <cellStyle name="Dane wyjściowe 2 5 6 3" xfId="17183"/>
    <cellStyle name="Dane wyjściowe 2 5 6 4" xfId="17184"/>
    <cellStyle name="Dane wyjściowe 2 5 7" xfId="17185"/>
    <cellStyle name="Dane wyjściowe 2 5 7 2" xfId="17186"/>
    <cellStyle name="Dane wyjściowe 2 5 7 3" xfId="17187"/>
    <cellStyle name="Dane wyjściowe 2 5 7 4" xfId="17188"/>
    <cellStyle name="Dane wyjściowe 2 5 8" xfId="17189"/>
    <cellStyle name="Dane wyjściowe 2 5 8 2" xfId="17190"/>
    <cellStyle name="Dane wyjściowe 2 5 8 3" xfId="17191"/>
    <cellStyle name="Dane wyjściowe 2 5 8 4" xfId="17192"/>
    <cellStyle name="Dane wyjściowe 2 5 9" xfId="17193"/>
    <cellStyle name="Dane wyjściowe 2 5 9 2" xfId="17194"/>
    <cellStyle name="Dane wyjściowe 2 5 9 3" xfId="17195"/>
    <cellStyle name="Dane wyjściowe 2 5 9 4" xfId="17196"/>
    <cellStyle name="Dane wyjściowe 2 50" xfId="17197"/>
    <cellStyle name="Dane wyjściowe 2 50 2" xfId="17198"/>
    <cellStyle name="Dane wyjściowe 2 50 3" xfId="17199"/>
    <cellStyle name="Dane wyjściowe 2 50 4" xfId="17200"/>
    <cellStyle name="Dane wyjściowe 2 51" xfId="17201"/>
    <cellStyle name="Dane wyjściowe 2 51 2" xfId="17202"/>
    <cellStyle name="Dane wyjściowe 2 51 3" xfId="17203"/>
    <cellStyle name="Dane wyjściowe 2 51 4" xfId="17204"/>
    <cellStyle name="Dane wyjściowe 2 52" xfId="17205"/>
    <cellStyle name="Dane wyjściowe 2 52 2" xfId="17206"/>
    <cellStyle name="Dane wyjściowe 2 52 3" xfId="17207"/>
    <cellStyle name="Dane wyjściowe 2 52 4" xfId="17208"/>
    <cellStyle name="Dane wyjściowe 2 53" xfId="17209"/>
    <cellStyle name="Dane wyjściowe 2 53 2" xfId="17210"/>
    <cellStyle name="Dane wyjściowe 2 53 3" xfId="17211"/>
    <cellStyle name="Dane wyjściowe 2 53 4" xfId="17212"/>
    <cellStyle name="Dane wyjściowe 2 54" xfId="17213"/>
    <cellStyle name="Dane wyjściowe 2 54 2" xfId="17214"/>
    <cellStyle name="Dane wyjściowe 2 54 3" xfId="17215"/>
    <cellStyle name="Dane wyjściowe 2 54 4" xfId="17216"/>
    <cellStyle name="Dane wyjściowe 2 55" xfId="17217"/>
    <cellStyle name="Dane wyjściowe 2 55 2" xfId="17218"/>
    <cellStyle name="Dane wyjściowe 2 55 3" xfId="17219"/>
    <cellStyle name="Dane wyjściowe 2 55 4" xfId="17220"/>
    <cellStyle name="Dane wyjściowe 2 56" xfId="17221"/>
    <cellStyle name="Dane wyjściowe 2 56 2" xfId="17222"/>
    <cellStyle name="Dane wyjściowe 2 56 3" xfId="17223"/>
    <cellStyle name="Dane wyjściowe 2 56 4" xfId="17224"/>
    <cellStyle name="Dane wyjściowe 2 57" xfId="17225"/>
    <cellStyle name="Dane wyjściowe 2 57 2" xfId="17226"/>
    <cellStyle name="Dane wyjściowe 2 57 3" xfId="17227"/>
    <cellStyle name="Dane wyjściowe 2 57 4" xfId="17228"/>
    <cellStyle name="Dane wyjściowe 2 58" xfId="17229"/>
    <cellStyle name="Dane wyjściowe 2 58 2" xfId="17230"/>
    <cellStyle name="Dane wyjściowe 2 58 3" xfId="17231"/>
    <cellStyle name="Dane wyjściowe 2 58 4" xfId="17232"/>
    <cellStyle name="Dane wyjściowe 2 59" xfId="17233"/>
    <cellStyle name="Dane wyjściowe 2 59 2" xfId="17234"/>
    <cellStyle name="Dane wyjściowe 2 59 3" xfId="17235"/>
    <cellStyle name="Dane wyjściowe 2 59 4" xfId="17236"/>
    <cellStyle name="Dane wyjściowe 2 6" xfId="17237"/>
    <cellStyle name="Dane wyjściowe 2 6 10" xfId="17238"/>
    <cellStyle name="Dane wyjściowe 2 6 10 2" xfId="17239"/>
    <cellStyle name="Dane wyjściowe 2 6 10 3" xfId="17240"/>
    <cellStyle name="Dane wyjściowe 2 6 10 4" xfId="17241"/>
    <cellStyle name="Dane wyjściowe 2 6 11" xfId="17242"/>
    <cellStyle name="Dane wyjściowe 2 6 11 2" xfId="17243"/>
    <cellStyle name="Dane wyjściowe 2 6 11 3" xfId="17244"/>
    <cellStyle name="Dane wyjściowe 2 6 11 4" xfId="17245"/>
    <cellStyle name="Dane wyjściowe 2 6 12" xfId="17246"/>
    <cellStyle name="Dane wyjściowe 2 6 12 2" xfId="17247"/>
    <cellStyle name="Dane wyjściowe 2 6 12 3" xfId="17248"/>
    <cellStyle name="Dane wyjściowe 2 6 12 4" xfId="17249"/>
    <cellStyle name="Dane wyjściowe 2 6 13" xfId="17250"/>
    <cellStyle name="Dane wyjściowe 2 6 13 2" xfId="17251"/>
    <cellStyle name="Dane wyjściowe 2 6 13 3" xfId="17252"/>
    <cellStyle name="Dane wyjściowe 2 6 13 4" xfId="17253"/>
    <cellStyle name="Dane wyjściowe 2 6 14" xfId="17254"/>
    <cellStyle name="Dane wyjściowe 2 6 14 2" xfId="17255"/>
    <cellStyle name="Dane wyjściowe 2 6 14 3" xfId="17256"/>
    <cellStyle name="Dane wyjściowe 2 6 14 4" xfId="17257"/>
    <cellStyle name="Dane wyjściowe 2 6 15" xfId="17258"/>
    <cellStyle name="Dane wyjściowe 2 6 15 2" xfId="17259"/>
    <cellStyle name="Dane wyjściowe 2 6 15 3" xfId="17260"/>
    <cellStyle name="Dane wyjściowe 2 6 15 4" xfId="17261"/>
    <cellStyle name="Dane wyjściowe 2 6 16" xfId="17262"/>
    <cellStyle name="Dane wyjściowe 2 6 16 2" xfId="17263"/>
    <cellStyle name="Dane wyjściowe 2 6 16 3" xfId="17264"/>
    <cellStyle name="Dane wyjściowe 2 6 16 4" xfId="17265"/>
    <cellStyle name="Dane wyjściowe 2 6 17" xfId="17266"/>
    <cellStyle name="Dane wyjściowe 2 6 17 2" xfId="17267"/>
    <cellStyle name="Dane wyjściowe 2 6 17 3" xfId="17268"/>
    <cellStyle name="Dane wyjściowe 2 6 17 4" xfId="17269"/>
    <cellStyle name="Dane wyjściowe 2 6 18" xfId="17270"/>
    <cellStyle name="Dane wyjściowe 2 6 18 2" xfId="17271"/>
    <cellStyle name="Dane wyjściowe 2 6 18 3" xfId="17272"/>
    <cellStyle name="Dane wyjściowe 2 6 18 4" xfId="17273"/>
    <cellStyle name="Dane wyjściowe 2 6 19" xfId="17274"/>
    <cellStyle name="Dane wyjściowe 2 6 19 2" xfId="17275"/>
    <cellStyle name="Dane wyjściowe 2 6 19 3" xfId="17276"/>
    <cellStyle name="Dane wyjściowe 2 6 19 4" xfId="17277"/>
    <cellStyle name="Dane wyjściowe 2 6 2" xfId="17278"/>
    <cellStyle name="Dane wyjściowe 2 6 2 2" xfId="17279"/>
    <cellStyle name="Dane wyjściowe 2 6 2 3" xfId="17280"/>
    <cellStyle name="Dane wyjściowe 2 6 2 4" xfId="17281"/>
    <cellStyle name="Dane wyjściowe 2 6 20" xfId="17282"/>
    <cellStyle name="Dane wyjściowe 2 6 20 2" xfId="17283"/>
    <cellStyle name="Dane wyjściowe 2 6 20 3" xfId="17284"/>
    <cellStyle name="Dane wyjściowe 2 6 20 4" xfId="17285"/>
    <cellStyle name="Dane wyjściowe 2 6 21" xfId="17286"/>
    <cellStyle name="Dane wyjściowe 2 6 21 2" xfId="17287"/>
    <cellStyle name="Dane wyjściowe 2 6 21 3" xfId="17288"/>
    <cellStyle name="Dane wyjściowe 2 6 22" xfId="17289"/>
    <cellStyle name="Dane wyjściowe 2 6 22 2" xfId="17290"/>
    <cellStyle name="Dane wyjściowe 2 6 22 3" xfId="17291"/>
    <cellStyle name="Dane wyjściowe 2 6 23" xfId="17292"/>
    <cellStyle name="Dane wyjściowe 2 6 23 2" xfId="17293"/>
    <cellStyle name="Dane wyjściowe 2 6 23 3" xfId="17294"/>
    <cellStyle name="Dane wyjściowe 2 6 24" xfId="17295"/>
    <cellStyle name="Dane wyjściowe 2 6 24 2" xfId="17296"/>
    <cellStyle name="Dane wyjściowe 2 6 24 3" xfId="17297"/>
    <cellStyle name="Dane wyjściowe 2 6 25" xfId="17298"/>
    <cellStyle name="Dane wyjściowe 2 6 25 2" xfId="17299"/>
    <cellStyle name="Dane wyjściowe 2 6 25 3" xfId="17300"/>
    <cellStyle name="Dane wyjściowe 2 6 26" xfId="17301"/>
    <cellStyle name="Dane wyjściowe 2 6 26 2" xfId="17302"/>
    <cellStyle name="Dane wyjściowe 2 6 26 3" xfId="17303"/>
    <cellStyle name="Dane wyjściowe 2 6 27" xfId="17304"/>
    <cellStyle name="Dane wyjściowe 2 6 27 2" xfId="17305"/>
    <cellStyle name="Dane wyjściowe 2 6 27 3" xfId="17306"/>
    <cellStyle name="Dane wyjściowe 2 6 28" xfId="17307"/>
    <cellStyle name="Dane wyjściowe 2 6 28 2" xfId="17308"/>
    <cellStyle name="Dane wyjściowe 2 6 28 3" xfId="17309"/>
    <cellStyle name="Dane wyjściowe 2 6 29" xfId="17310"/>
    <cellStyle name="Dane wyjściowe 2 6 29 2" xfId="17311"/>
    <cellStyle name="Dane wyjściowe 2 6 29 3" xfId="17312"/>
    <cellStyle name="Dane wyjściowe 2 6 3" xfId="17313"/>
    <cellStyle name="Dane wyjściowe 2 6 3 2" xfId="17314"/>
    <cellStyle name="Dane wyjściowe 2 6 3 3" xfId="17315"/>
    <cellStyle name="Dane wyjściowe 2 6 3 4" xfId="17316"/>
    <cellStyle name="Dane wyjściowe 2 6 30" xfId="17317"/>
    <cellStyle name="Dane wyjściowe 2 6 30 2" xfId="17318"/>
    <cellStyle name="Dane wyjściowe 2 6 30 3" xfId="17319"/>
    <cellStyle name="Dane wyjściowe 2 6 31" xfId="17320"/>
    <cellStyle name="Dane wyjściowe 2 6 31 2" xfId="17321"/>
    <cellStyle name="Dane wyjściowe 2 6 31 3" xfId="17322"/>
    <cellStyle name="Dane wyjściowe 2 6 32" xfId="17323"/>
    <cellStyle name="Dane wyjściowe 2 6 32 2" xfId="17324"/>
    <cellStyle name="Dane wyjściowe 2 6 32 3" xfId="17325"/>
    <cellStyle name="Dane wyjściowe 2 6 33" xfId="17326"/>
    <cellStyle name="Dane wyjściowe 2 6 33 2" xfId="17327"/>
    <cellStyle name="Dane wyjściowe 2 6 33 3" xfId="17328"/>
    <cellStyle name="Dane wyjściowe 2 6 34" xfId="17329"/>
    <cellStyle name="Dane wyjściowe 2 6 34 2" xfId="17330"/>
    <cellStyle name="Dane wyjściowe 2 6 34 3" xfId="17331"/>
    <cellStyle name="Dane wyjściowe 2 6 35" xfId="17332"/>
    <cellStyle name="Dane wyjściowe 2 6 35 2" xfId="17333"/>
    <cellStyle name="Dane wyjściowe 2 6 35 3" xfId="17334"/>
    <cellStyle name="Dane wyjściowe 2 6 36" xfId="17335"/>
    <cellStyle name="Dane wyjściowe 2 6 36 2" xfId="17336"/>
    <cellStyle name="Dane wyjściowe 2 6 36 3" xfId="17337"/>
    <cellStyle name="Dane wyjściowe 2 6 37" xfId="17338"/>
    <cellStyle name="Dane wyjściowe 2 6 37 2" xfId="17339"/>
    <cellStyle name="Dane wyjściowe 2 6 37 3" xfId="17340"/>
    <cellStyle name="Dane wyjściowe 2 6 38" xfId="17341"/>
    <cellStyle name="Dane wyjściowe 2 6 38 2" xfId="17342"/>
    <cellStyle name="Dane wyjściowe 2 6 38 3" xfId="17343"/>
    <cellStyle name="Dane wyjściowe 2 6 39" xfId="17344"/>
    <cellStyle name="Dane wyjściowe 2 6 39 2" xfId="17345"/>
    <cellStyle name="Dane wyjściowe 2 6 39 3" xfId="17346"/>
    <cellStyle name="Dane wyjściowe 2 6 4" xfId="17347"/>
    <cellStyle name="Dane wyjściowe 2 6 4 2" xfId="17348"/>
    <cellStyle name="Dane wyjściowe 2 6 4 3" xfId="17349"/>
    <cellStyle name="Dane wyjściowe 2 6 4 4" xfId="17350"/>
    <cellStyle name="Dane wyjściowe 2 6 40" xfId="17351"/>
    <cellStyle name="Dane wyjściowe 2 6 40 2" xfId="17352"/>
    <cellStyle name="Dane wyjściowe 2 6 40 3" xfId="17353"/>
    <cellStyle name="Dane wyjściowe 2 6 41" xfId="17354"/>
    <cellStyle name="Dane wyjściowe 2 6 41 2" xfId="17355"/>
    <cellStyle name="Dane wyjściowe 2 6 41 3" xfId="17356"/>
    <cellStyle name="Dane wyjściowe 2 6 42" xfId="17357"/>
    <cellStyle name="Dane wyjściowe 2 6 42 2" xfId="17358"/>
    <cellStyle name="Dane wyjściowe 2 6 42 3" xfId="17359"/>
    <cellStyle name="Dane wyjściowe 2 6 43" xfId="17360"/>
    <cellStyle name="Dane wyjściowe 2 6 43 2" xfId="17361"/>
    <cellStyle name="Dane wyjściowe 2 6 43 3" xfId="17362"/>
    <cellStyle name="Dane wyjściowe 2 6 44" xfId="17363"/>
    <cellStyle name="Dane wyjściowe 2 6 44 2" xfId="17364"/>
    <cellStyle name="Dane wyjściowe 2 6 44 3" xfId="17365"/>
    <cellStyle name="Dane wyjściowe 2 6 45" xfId="17366"/>
    <cellStyle name="Dane wyjściowe 2 6 45 2" xfId="17367"/>
    <cellStyle name="Dane wyjściowe 2 6 45 3" xfId="17368"/>
    <cellStyle name="Dane wyjściowe 2 6 46" xfId="17369"/>
    <cellStyle name="Dane wyjściowe 2 6 46 2" xfId="17370"/>
    <cellStyle name="Dane wyjściowe 2 6 46 3" xfId="17371"/>
    <cellStyle name="Dane wyjściowe 2 6 47" xfId="17372"/>
    <cellStyle name="Dane wyjściowe 2 6 47 2" xfId="17373"/>
    <cellStyle name="Dane wyjściowe 2 6 47 3" xfId="17374"/>
    <cellStyle name="Dane wyjściowe 2 6 48" xfId="17375"/>
    <cellStyle name="Dane wyjściowe 2 6 48 2" xfId="17376"/>
    <cellStyle name="Dane wyjściowe 2 6 48 3" xfId="17377"/>
    <cellStyle name="Dane wyjściowe 2 6 49" xfId="17378"/>
    <cellStyle name="Dane wyjściowe 2 6 49 2" xfId="17379"/>
    <cellStyle name="Dane wyjściowe 2 6 49 3" xfId="17380"/>
    <cellStyle name="Dane wyjściowe 2 6 5" xfId="17381"/>
    <cellStyle name="Dane wyjściowe 2 6 5 2" xfId="17382"/>
    <cellStyle name="Dane wyjściowe 2 6 5 3" xfId="17383"/>
    <cellStyle name="Dane wyjściowe 2 6 5 4" xfId="17384"/>
    <cellStyle name="Dane wyjściowe 2 6 50" xfId="17385"/>
    <cellStyle name="Dane wyjściowe 2 6 50 2" xfId="17386"/>
    <cellStyle name="Dane wyjściowe 2 6 50 3" xfId="17387"/>
    <cellStyle name="Dane wyjściowe 2 6 51" xfId="17388"/>
    <cellStyle name="Dane wyjściowe 2 6 51 2" xfId="17389"/>
    <cellStyle name="Dane wyjściowe 2 6 51 3" xfId="17390"/>
    <cellStyle name="Dane wyjściowe 2 6 52" xfId="17391"/>
    <cellStyle name="Dane wyjściowe 2 6 52 2" xfId="17392"/>
    <cellStyle name="Dane wyjściowe 2 6 52 3" xfId="17393"/>
    <cellStyle name="Dane wyjściowe 2 6 53" xfId="17394"/>
    <cellStyle name="Dane wyjściowe 2 6 53 2" xfId="17395"/>
    <cellStyle name="Dane wyjściowe 2 6 53 3" xfId="17396"/>
    <cellStyle name="Dane wyjściowe 2 6 54" xfId="17397"/>
    <cellStyle name="Dane wyjściowe 2 6 54 2" xfId="17398"/>
    <cellStyle name="Dane wyjściowe 2 6 54 3" xfId="17399"/>
    <cellStyle name="Dane wyjściowe 2 6 55" xfId="17400"/>
    <cellStyle name="Dane wyjściowe 2 6 55 2" xfId="17401"/>
    <cellStyle name="Dane wyjściowe 2 6 55 3" xfId="17402"/>
    <cellStyle name="Dane wyjściowe 2 6 56" xfId="17403"/>
    <cellStyle name="Dane wyjściowe 2 6 56 2" xfId="17404"/>
    <cellStyle name="Dane wyjściowe 2 6 56 3" xfId="17405"/>
    <cellStyle name="Dane wyjściowe 2 6 57" xfId="17406"/>
    <cellStyle name="Dane wyjściowe 2 6 58" xfId="17407"/>
    <cellStyle name="Dane wyjściowe 2 6 6" xfId="17408"/>
    <cellStyle name="Dane wyjściowe 2 6 6 2" xfId="17409"/>
    <cellStyle name="Dane wyjściowe 2 6 6 3" xfId="17410"/>
    <cellStyle name="Dane wyjściowe 2 6 6 4" xfId="17411"/>
    <cellStyle name="Dane wyjściowe 2 6 7" xfId="17412"/>
    <cellStyle name="Dane wyjściowe 2 6 7 2" xfId="17413"/>
    <cellStyle name="Dane wyjściowe 2 6 7 3" xfId="17414"/>
    <cellStyle name="Dane wyjściowe 2 6 7 4" xfId="17415"/>
    <cellStyle name="Dane wyjściowe 2 6 8" xfId="17416"/>
    <cellStyle name="Dane wyjściowe 2 6 8 2" xfId="17417"/>
    <cellStyle name="Dane wyjściowe 2 6 8 3" xfId="17418"/>
    <cellStyle name="Dane wyjściowe 2 6 8 4" xfId="17419"/>
    <cellStyle name="Dane wyjściowe 2 6 9" xfId="17420"/>
    <cellStyle name="Dane wyjściowe 2 6 9 2" xfId="17421"/>
    <cellStyle name="Dane wyjściowe 2 6 9 3" xfId="17422"/>
    <cellStyle name="Dane wyjściowe 2 6 9 4" xfId="17423"/>
    <cellStyle name="Dane wyjściowe 2 60" xfId="17424"/>
    <cellStyle name="Dane wyjściowe 2 60 2" xfId="17425"/>
    <cellStyle name="Dane wyjściowe 2 60 3" xfId="17426"/>
    <cellStyle name="Dane wyjściowe 2 60 4" xfId="17427"/>
    <cellStyle name="Dane wyjściowe 2 61" xfId="17428"/>
    <cellStyle name="Dane wyjściowe 2 61 2" xfId="17429"/>
    <cellStyle name="Dane wyjściowe 2 61 3" xfId="17430"/>
    <cellStyle name="Dane wyjściowe 2 61 4" xfId="17431"/>
    <cellStyle name="Dane wyjściowe 2 62" xfId="17432"/>
    <cellStyle name="Dane wyjściowe 2 62 2" xfId="17433"/>
    <cellStyle name="Dane wyjściowe 2 62 3" xfId="17434"/>
    <cellStyle name="Dane wyjściowe 2 62 4" xfId="17435"/>
    <cellStyle name="Dane wyjściowe 2 63" xfId="17436"/>
    <cellStyle name="Dane wyjściowe 2 63 2" xfId="17437"/>
    <cellStyle name="Dane wyjściowe 2 63 3" xfId="17438"/>
    <cellStyle name="Dane wyjściowe 2 63 4" xfId="17439"/>
    <cellStyle name="Dane wyjściowe 2 64" xfId="17440"/>
    <cellStyle name="Dane wyjściowe 2 64 2" xfId="17441"/>
    <cellStyle name="Dane wyjściowe 2 64 3" xfId="17442"/>
    <cellStyle name="Dane wyjściowe 2 64 4" xfId="17443"/>
    <cellStyle name="Dane wyjściowe 2 65" xfId="17444"/>
    <cellStyle name="Dane wyjściowe 2 65 2" xfId="17445"/>
    <cellStyle name="Dane wyjściowe 2 65 3" xfId="17446"/>
    <cellStyle name="Dane wyjściowe 2 65 4" xfId="17447"/>
    <cellStyle name="Dane wyjściowe 2 66" xfId="17448"/>
    <cellStyle name="Dane wyjściowe 2 66 2" xfId="17449"/>
    <cellStyle name="Dane wyjściowe 2 66 3" xfId="17450"/>
    <cellStyle name="Dane wyjściowe 2 66 4" xfId="17451"/>
    <cellStyle name="Dane wyjściowe 2 67" xfId="17452"/>
    <cellStyle name="Dane wyjściowe 2 67 2" xfId="17453"/>
    <cellStyle name="Dane wyjściowe 2 67 3" xfId="17454"/>
    <cellStyle name="Dane wyjściowe 2 68" xfId="17455"/>
    <cellStyle name="Dane wyjściowe 2 68 2" xfId="17456"/>
    <cellStyle name="Dane wyjściowe 2 68 3" xfId="17457"/>
    <cellStyle name="Dane wyjściowe 2 69" xfId="17458"/>
    <cellStyle name="Dane wyjściowe 2 69 2" xfId="17459"/>
    <cellStyle name="Dane wyjściowe 2 69 3" xfId="17460"/>
    <cellStyle name="Dane wyjściowe 2 7" xfId="17461"/>
    <cellStyle name="Dane wyjściowe 2 7 10" xfId="17462"/>
    <cellStyle name="Dane wyjściowe 2 7 10 2" xfId="17463"/>
    <cellStyle name="Dane wyjściowe 2 7 10 3" xfId="17464"/>
    <cellStyle name="Dane wyjściowe 2 7 10 4" xfId="17465"/>
    <cellStyle name="Dane wyjściowe 2 7 11" xfId="17466"/>
    <cellStyle name="Dane wyjściowe 2 7 11 2" xfId="17467"/>
    <cellStyle name="Dane wyjściowe 2 7 11 3" xfId="17468"/>
    <cellStyle name="Dane wyjściowe 2 7 11 4" xfId="17469"/>
    <cellStyle name="Dane wyjściowe 2 7 12" xfId="17470"/>
    <cellStyle name="Dane wyjściowe 2 7 12 2" xfId="17471"/>
    <cellStyle name="Dane wyjściowe 2 7 12 3" xfId="17472"/>
    <cellStyle name="Dane wyjściowe 2 7 12 4" xfId="17473"/>
    <cellStyle name="Dane wyjściowe 2 7 13" xfId="17474"/>
    <cellStyle name="Dane wyjściowe 2 7 13 2" xfId="17475"/>
    <cellStyle name="Dane wyjściowe 2 7 13 3" xfId="17476"/>
    <cellStyle name="Dane wyjściowe 2 7 13 4" xfId="17477"/>
    <cellStyle name="Dane wyjściowe 2 7 14" xfId="17478"/>
    <cellStyle name="Dane wyjściowe 2 7 14 2" xfId="17479"/>
    <cellStyle name="Dane wyjściowe 2 7 14 3" xfId="17480"/>
    <cellStyle name="Dane wyjściowe 2 7 14 4" xfId="17481"/>
    <cellStyle name="Dane wyjściowe 2 7 15" xfId="17482"/>
    <cellStyle name="Dane wyjściowe 2 7 15 2" xfId="17483"/>
    <cellStyle name="Dane wyjściowe 2 7 15 3" xfId="17484"/>
    <cellStyle name="Dane wyjściowe 2 7 15 4" xfId="17485"/>
    <cellStyle name="Dane wyjściowe 2 7 16" xfId="17486"/>
    <cellStyle name="Dane wyjściowe 2 7 16 2" xfId="17487"/>
    <cellStyle name="Dane wyjściowe 2 7 16 3" xfId="17488"/>
    <cellStyle name="Dane wyjściowe 2 7 16 4" xfId="17489"/>
    <cellStyle name="Dane wyjściowe 2 7 17" xfId="17490"/>
    <cellStyle name="Dane wyjściowe 2 7 17 2" xfId="17491"/>
    <cellStyle name="Dane wyjściowe 2 7 17 3" xfId="17492"/>
    <cellStyle name="Dane wyjściowe 2 7 17 4" xfId="17493"/>
    <cellStyle name="Dane wyjściowe 2 7 18" xfId="17494"/>
    <cellStyle name="Dane wyjściowe 2 7 18 2" xfId="17495"/>
    <cellStyle name="Dane wyjściowe 2 7 18 3" xfId="17496"/>
    <cellStyle name="Dane wyjściowe 2 7 18 4" xfId="17497"/>
    <cellStyle name="Dane wyjściowe 2 7 19" xfId="17498"/>
    <cellStyle name="Dane wyjściowe 2 7 19 2" xfId="17499"/>
    <cellStyle name="Dane wyjściowe 2 7 19 3" xfId="17500"/>
    <cellStyle name="Dane wyjściowe 2 7 19 4" xfId="17501"/>
    <cellStyle name="Dane wyjściowe 2 7 2" xfId="17502"/>
    <cellStyle name="Dane wyjściowe 2 7 2 2" xfId="17503"/>
    <cellStyle name="Dane wyjściowe 2 7 2 3" xfId="17504"/>
    <cellStyle name="Dane wyjściowe 2 7 2 4" xfId="17505"/>
    <cellStyle name="Dane wyjściowe 2 7 20" xfId="17506"/>
    <cellStyle name="Dane wyjściowe 2 7 20 2" xfId="17507"/>
    <cellStyle name="Dane wyjściowe 2 7 20 3" xfId="17508"/>
    <cellStyle name="Dane wyjściowe 2 7 20 4" xfId="17509"/>
    <cellStyle name="Dane wyjściowe 2 7 21" xfId="17510"/>
    <cellStyle name="Dane wyjściowe 2 7 21 2" xfId="17511"/>
    <cellStyle name="Dane wyjściowe 2 7 21 3" xfId="17512"/>
    <cellStyle name="Dane wyjściowe 2 7 22" xfId="17513"/>
    <cellStyle name="Dane wyjściowe 2 7 22 2" xfId="17514"/>
    <cellStyle name="Dane wyjściowe 2 7 22 3" xfId="17515"/>
    <cellStyle name="Dane wyjściowe 2 7 23" xfId="17516"/>
    <cellStyle name="Dane wyjściowe 2 7 23 2" xfId="17517"/>
    <cellStyle name="Dane wyjściowe 2 7 23 3" xfId="17518"/>
    <cellStyle name="Dane wyjściowe 2 7 24" xfId="17519"/>
    <cellStyle name="Dane wyjściowe 2 7 24 2" xfId="17520"/>
    <cellStyle name="Dane wyjściowe 2 7 24 3" xfId="17521"/>
    <cellStyle name="Dane wyjściowe 2 7 25" xfId="17522"/>
    <cellStyle name="Dane wyjściowe 2 7 25 2" xfId="17523"/>
    <cellStyle name="Dane wyjściowe 2 7 25 3" xfId="17524"/>
    <cellStyle name="Dane wyjściowe 2 7 26" xfId="17525"/>
    <cellStyle name="Dane wyjściowe 2 7 26 2" xfId="17526"/>
    <cellStyle name="Dane wyjściowe 2 7 26 3" xfId="17527"/>
    <cellStyle name="Dane wyjściowe 2 7 27" xfId="17528"/>
    <cellStyle name="Dane wyjściowe 2 7 27 2" xfId="17529"/>
    <cellStyle name="Dane wyjściowe 2 7 27 3" xfId="17530"/>
    <cellStyle name="Dane wyjściowe 2 7 28" xfId="17531"/>
    <cellStyle name="Dane wyjściowe 2 7 28 2" xfId="17532"/>
    <cellStyle name="Dane wyjściowe 2 7 28 3" xfId="17533"/>
    <cellStyle name="Dane wyjściowe 2 7 29" xfId="17534"/>
    <cellStyle name="Dane wyjściowe 2 7 29 2" xfId="17535"/>
    <cellStyle name="Dane wyjściowe 2 7 29 3" xfId="17536"/>
    <cellStyle name="Dane wyjściowe 2 7 3" xfId="17537"/>
    <cellStyle name="Dane wyjściowe 2 7 3 2" xfId="17538"/>
    <cellStyle name="Dane wyjściowe 2 7 3 3" xfId="17539"/>
    <cellStyle name="Dane wyjściowe 2 7 3 4" xfId="17540"/>
    <cellStyle name="Dane wyjściowe 2 7 30" xfId="17541"/>
    <cellStyle name="Dane wyjściowe 2 7 30 2" xfId="17542"/>
    <cellStyle name="Dane wyjściowe 2 7 30 3" xfId="17543"/>
    <cellStyle name="Dane wyjściowe 2 7 31" xfId="17544"/>
    <cellStyle name="Dane wyjściowe 2 7 31 2" xfId="17545"/>
    <cellStyle name="Dane wyjściowe 2 7 31 3" xfId="17546"/>
    <cellStyle name="Dane wyjściowe 2 7 32" xfId="17547"/>
    <cellStyle name="Dane wyjściowe 2 7 32 2" xfId="17548"/>
    <cellStyle name="Dane wyjściowe 2 7 32 3" xfId="17549"/>
    <cellStyle name="Dane wyjściowe 2 7 33" xfId="17550"/>
    <cellStyle name="Dane wyjściowe 2 7 33 2" xfId="17551"/>
    <cellStyle name="Dane wyjściowe 2 7 33 3" xfId="17552"/>
    <cellStyle name="Dane wyjściowe 2 7 34" xfId="17553"/>
    <cellStyle name="Dane wyjściowe 2 7 34 2" xfId="17554"/>
    <cellStyle name="Dane wyjściowe 2 7 34 3" xfId="17555"/>
    <cellStyle name="Dane wyjściowe 2 7 35" xfId="17556"/>
    <cellStyle name="Dane wyjściowe 2 7 35 2" xfId="17557"/>
    <cellStyle name="Dane wyjściowe 2 7 35 3" xfId="17558"/>
    <cellStyle name="Dane wyjściowe 2 7 36" xfId="17559"/>
    <cellStyle name="Dane wyjściowe 2 7 36 2" xfId="17560"/>
    <cellStyle name="Dane wyjściowe 2 7 36 3" xfId="17561"/>
    <cellStyle name="Dane wyjściowe 2 7 37" xfId="17562"/>
    <cellStyle name="Dane wyjściowe 2 7 37 2" xfId="17563"/>
    <cellStyle name="Dane wyjściowe 2 7 37 3" xfId="17564"/>
    <cellStyle name="Dane wyjściowe 2 7 38" xfId="17565"/>
    <cellStyle name="Dane wyjściowe 2 7 38 2" xfId="17566"/>
    <cellStyle name="Dane wyjściowe 2 7 38 3" xfId="17567"/>
    <cellStyle name="Dane wyjściowe 2 7 39" xfId="17568"/>
    <cellStyle name="Dane wyjściowe 2 7 39 2" xfId="17569"/>
    <cellStyle name="Dane wyjściowe 2 7 39 3" xfId="17570"/>
    <cellStyle name="Dane wyjściowe 2 7 4" xfId="17571"/>
    <cellStyle name="Dane wyjściowe 2 7 4 2" xfId="17572"/>
    <cellStyle name="Dane wyjściowe 2 7 4 3" xfId="17573"/>
    <cellStyle name="Dane wyjściowe 2 7 4 4" xfId="17574"/>
    <cellStyle name="Dane wyjściowe 2 7 40" xfId="17575"/>
    <cellStyle name="Dane wyjściowe 2 7 40 2" xfId="17576"/>
    <cellStyle name="Dane wyjściowe 2 7 40 3" xfId="17577"/>
    <cellStyle name="Dane wyjściowe 2 7 41" xfId="17578"/>
    <cellStyle name="Dane wyjściowe 2 7 41 2" xfId="17579"/>
    <cellStyle name="Dane wyjściowe 2 7 41 3" xfId="17580"/>
    <cellStyle name="Dane wyjściowe 2 7 42" xfId="17581"/>
    <cellStyle name="Dane wyjściowe 2 7 42 2" xfId="17582"/>
    <cellStyle name="Dane wyjściowe 2 7 42 3" xfId="17583"/>
    <cellStyle name="Dane wyjściowe 2 7 43" xfId="17584"/>
    <cellStyle name="Dane wyjściowe 2 7 43 2" xfId="17585"/>
    <cellStyle name="Dane wyjściowe 2 7 43 3" xfId="17586"/>
    <cellStyle name="Dane wyjściowe 2 7 44" xfId="17587"/>
    <cellStyle name="Dane wyjściowe 2 7 44 2" xfId="17588"/>
    <cellStyle name="Dane wyjściowe 2 7 44 3" xfId="17589"/>
    <cellStyle name="Dane wyjściowe 2 7 45" xfId="17590"/>
    <cellStyle name="Dane wyjściowe 2 7 45 2" xfId="17591"/>
    <cellStyle name="Dane wyjściowe 2 7 45 3" xfId="17592"/>
    <cellStyle name="Dane wyjściowe 2 7 46" xfId="17593"/>
    <cellStyle name="Dane wyjściowe 2 7 46 2" xfId="17594"/>
    <cellStyle name="Dane wyjściowe 2 7 46 3" xfId="17595"/>
    <cellStyle name="Dane wyjściowe 2 7 47" xfId="17596"/>
    <cellStyle name="Dane wyjściowe 2 7 47 2" xfId="17597"/>
    <cellStyle name="Dane wyjściowe 2 7 47 3" xfId="17598"/>
    <cellStyle name="Dane wyjściowe 2 7 48" xfId="17599"/>
    <cellStyle name="Dane wyjściowe 2 7 48 2" xfId="17600"/>
    <cellStyle name="Dane wyjściowe 2 7 48 3" xfId="17601"/>
    <cellStyle name="Dane wyjściowe 2 7 49" xfId="17602"/>
    <cellStyle name="Dane wyjściowe 2 7 49 2" xfId="17603"/>
    <cellStyle name="Dane wyjściowe 2 7 49 3" xfId="17604"/>
    <cellStyle name="Dane wyjściowe 2 7 5" xfId="17605"/>
    <cellStyle name="Dane wyjściowe 2 7 5 2" xfId="17606"/>
    <cellStyle name="Dane wyjściowe 2 7 5 3" xfId="17607"/>
    <cellStyle name="Dane wyjściowe 2 7 5 4" xfId="17608"/>
    <cellStyle name="Dane wyjściowe 2 7 50" xfId="17609"/>
    <cellStyle name="Dane wyjściowe 2 7 50 2" xfId="17610"/>
    <cellStyle name="Dane wyjściowe 2 7 50 3" xfId="17611"/>
    <cellStyle name="Dane wyjściowe 2 7 51" xfId="17612"/>
    <cellStyle name="Dane wyjściowe 2 7 51 2" xfId="17613"/>
    <cellStyle name="Dane wyjściowe 2 7 51 3" xfId="17614"/>
    <cellStyle name="Dane wyjściowe 2 7 52" xfId="17615"/>
    <cellStyle name="Dane wyjściowe 2 7 52 2" xfId="17616"/>
    <cellStyle name="Dane wyjściowe 2 7 52 3" xfId="17617"/>
    <cellStyle name="Dane wyjściowe 2 7 53" xfId="17618"/>
    <cellStyle name="Dane wyjściowe 2 7 53 2" xfId="17619"/>
    <cellStyle name="Dane wyjściowe 2 7 53 3" xfId="17620"/>
    <cellStyle name="Dane wyjściowe 2 7 54" xfId="17621"/>
    <cellStyle name="Dane wyjściowe 2 7 54 2" xfId="17622"/>
    <cellStyle name="Dane wyjściowe 2 7 54 3" xfId="17623"/>
    <cellStyle name="Dane wyjściowe 2 7 55" xfId="17624"/>
    <cellStyle name="Dane wyjściowe 2 7 55 2" xfId="17625"/>
    <cellStyle name="Dane wyjściowe 2 7 55 3" xfId="17626"/>
    <cellStyle name="Dane wyjściowe 2 7 56" xfId="17627"/>
    <cellStyle name="Dane wyjściowe 2 7 56 2" xfId="17628"/>
    <cellStyle name="Dane wyjściowe 2 7 56 3" xfId="17629"/>
    <cellStyle name="Dane wyjściowe 2 7 57" xfId="17630"/>
    <cellStyle name="Dane wyjściowe 2 7 58" xfId="17631"/>
    <cellStyle name="Dane wyjściowe 2 7 6" xfId="17632"/>
    <cellStyle name="Dane wyjściowe 2 7 6 2" xfId="17633"/>
    <cellStyle name="Dane wyjściowe 2 7 6 3" xfId="17634"/>
    <cellStyle name="Dane wyjściowe 2 7 6 4" xfId="17635"/>
    <cellStyle name="Dane wyjściowe 2 7 7" xfId="17636"/>
    <cellStyle name="Dane wyjściowe 2 7 7 2" xfId="17637"/>
    <cellStyle name="Dane wyjściowe 2 7 7 3" xfId="17638"/>
    <cellStyle name="Dane wyjściowe 2 7 7 4" xfId="17639"/>
    <cellStyle name="Dane wyjściowe 2 7 8" xfId="17640"/>
    <cellStyle name="Dane wyjściowe 2 7 8 2" xfId="17641"/>
    <cellStyle name="Dane wyjściowe 2 7 8 3" xfId="17642"/>
    <cellStyle name="Dane wyjściowe 2 7 8 4" xfId="17643"/>
    <cellStyle name="Dane wyjściowe 2 7 9" xfId="17644"/>
    <cellStyle name="Dane wyjściowe 2 7 9 2" xfId="17645"/>
    <cellStyle name="Dane wyjściowe 2 7 9 3" xfId="17646"/>
    <cellStyle name="Dane wyjściowe 2 7 9 4" xfId="17647"/>
    <cellStyle name="Dane wyjściowe 2 70" xfId="17648"/>
    <cellStyle name="Dane wyjściowe 2 70 2" xfId="17649"/>
    <cellStyle name="Dane wyjściowe 2 70 3" xfId="17650"/>
    <cellStyle name="Dane wyjściowe 2 71" xfId="17651"/>
    <cellStyle name="Dane wyjściowe 2 71 2" xfId="17652"/>
    <cellStyle name="Dane wyjściowe 2 71 3" xfId="17653"/>
    <cellStyle name="Dane wyjściowe 2 72" xfId="17654"/>
    <cellStyle name="Dane wyjściowe 2 72 2" xfId="17655"/>
    <cellStyle name="Dane wyjściowe 2 72 3" xfId="17656"/>
    <cellStyle name="Dane wyjściowe 2 73" xfId="17657"/>
    <cellStyle name="Dane wyjściowe 2 73 2" xfId="17658"/>
    <cellStyle name="Dane wyjściowe 2 73 3" xfId="17659"/>
    <cellStyle name="Dane wyjściowe 2 74" xfId="17660"/>
    <cellStyle name="Dane wyjściowe 2 74 2" xfId="17661"/>
    <cellStyle name="Dane wyjściowe 2 74 3" xfId="17662"/>
    <cellStyle name="Dane wyjściowe 2 75" xfId="17663"/>
    <cellStyle name="Dane wyjściowe 2 75 2" xfId="17664"/>
    <cellStyle name="Dane wyjściowe 2 75 3" xfId="17665"/>
    <cellStyle name="Dane wyjściowe 2 76" xfId="17666"/>
    <cellStyle name="Dane wyjściowe 2 76 2" xfId="17667"/>
    <cellStyle name="Dane wyjściowe 2 76 3" xfId="17668"/>
    <cellStyle name="Dane wyjściowe 2 77" xfId="17669"/>
    <cellStyle name="Dane wyjściowe 2 77 2" xfId="17670"/>
    <cellStyle name="Dane wyjściowe 2 77 3" xfId="17671"/>
    <cellStyle name="Dane wyjściowe 2 78" xfId="17672"/>
    <cellStyle name="Dane wyjściowe 2 78 2" xfId="17673"/>
    <cellStyle name="Dane wyjściowe 2 78 3" xfId="17674"/>
    <cellStyle name="Dane wyjściowe 2 79" xfId="17675"/>
    <cellStyle name="Dane wyjściowe 2 79 2" xfId="17676"/>
    <cellStyle name="Dane wyjściowe 2 79 3" xfId="17677"/>
    <cellStyle name="Dane wyjściowe 2 8" xfId="17678"/>
    <cellStyle name="Dane wyjściowe 2 8 10" xfId="17679"/>
    <cellStyle name="Dane wyjściowe 2 8 10 2" xfId="17680"/>
    <cellStyle name="Dane wyjściowe 2 8 10 3" xfId="17681"/>
    <cellStyle name="Dane wyjściowe 2 8 10 4" xfId="17682"/>
    <cellStyle name="Dane wyjściowe 2 8 11" xfId="17683"/>
    <cellStyle name="Dane wyjściowe 2 8 11 2" xfId="17684"/>
    <cellStyle name="Dane wyjściowe 2 8 11 3" xfId="17685"/>
    <cellStyle name="Dane wyjściowe 2 8 11 4" xfId="17686"/>
    <cellStyle name="Dane wyjściowe 2 8 12" xfId="17687"/>
    <cellStyle name="Dane wyjściowe 2 8 12 2" xfId="17688"/>
    <cellStyle name="Dane wyjściowe 2 8 12 3" xfId="17689"/>
    <cellStyle name="Dane wyjściowe 2 8 12 4" xfId="17690"/>
    <cellStyle name="Dane wyjściowe 2 8 13" xfId="17691"/>
    <cellStyle name="Dane wyjściowe 2 8 13 2" xfId="17692"/>
    <cellStyle name="Dane wyjściowe 2 8 13 3" xfId="17693"/>
    <cellStyle name="Dane wyjściowe 2 8 13 4" xfId="17694"/>
    <cellStyle name="Dane wyjściowe 2 8 14" xfId="17695"/>
    <cellStyle name="Dane wyjściowe 2 8 14 2" xfId="17696"/>
    <cellStyle name="Dane wyjściowe 2 8 14 3" xfId="17697"/>
    <cellStyle name="Dane wyjściowe 2 8 14 4" xfId="17698"/>
    <cellStyle name="Dane wyjściowe 2 8 15" xfId="17699"/>
    <cellStyle name="Dane wyjściowe 2 8 15 2" xfId="17700"/>
    <cellStyle name="Dane wyjściowe 2 8 15 3" xfId="17701"/>
    <cellStyle name="Dane wyjściowe 2 8 15 4" xfId="17702"/>
    <cellStyle name="Dane wyjściowe 2 8 16" xfId="17703"/>
    <cellStyle name="Dane wyjściowe 2 8 16 2" xfId="17704"/>
    <cellStyle name="Dane wyjściowe 2 8 16 3" xfId="17705"/>
    <cellStyle name="Dane wyjściowe 2 8 16 4" xfId="17706"/>
    <cellStyle name="Dane wyjściowe 2 8 17" xfId="17707"/>
    <cellStyle name="Dane wyjściowe 2 8 17 2" xfId="17708"/>
    <cellStyle name="Dane wyjściowe 2 8 17 3" xfId="17709"/>
    <cellStyle name="Dane wyjściowe 2 8 17 4" xfId="17710"/>
    <cellStyle name="Dane wyjściowe 2 8 18" xfId="17711"/>
    <cellStyle name="Dane wyjściowe 2 8 18 2" xfId="17712"/>
    <cellStyle name="Dane wyjściowe 2 8 18 3" xfId="17713"/>
    <cellStyle name="Dane wyjściowe 2 8 18 4" xfId="17714"/>
    <cellStyle name="Dane wyjściowe 2 8 19" xfId="17715"/>
    <cellStyle name="Dane wyjściowe 2 8 19 2" xfId="17716"/>
    <cellStyle name="Dane wyjściowe 2 8 19 3" xfId="17717"/>
    <cellStyle name="Dane wyjściowe 2 8 19 4" xfId="17718"/>
    <cellStyle name="Dane wyjściowe 2 8 2" xfId="17719"/>
    <cellStyle name="Dane wyjściowe 2 8 2 2" xfId="17720"/>
    <cellStyle name="Dane wyjściowe 2 8 2 3" xfId="17721"/>
    <cellStyle name="Dane wyjściowe 2 8 2 4" xfId="17722"/>
    <cellStyle name="Dane wyjściowe 2 8 20" xfId="17723"/>
    <cellStyle name="Dane wyjściowe 2 8 20 2" xfId="17724"/>
    <cellStyle name="Dane wyjściowe 2 8 20 3" xfId="17725"/>
    <cellStyle name="Dane wyjściowe 2 8 20 4" xfId="17726"/>
    <cellStyle name="Dane wyjściowe 2 8 21" xfId="17727"/>
    <cellStyle name="Dane wyjściowe 2 8 21 2" xfId="17728"/>
    <cellStyle name="Dane wyjściowe 2 8 21 3" xfId="17729"/>
    <cellStyle name="Dane wyjściowe 2 8 22" xfId="17730"/>
    <cellStyle name="Dane wyjściowe 2 8 22 2" xfId="17731"/>
    <cellStyle name="Dane wyjściowe 2 8 22 3" xfId="17732"/>
    <cellStyle name="Dane wyjściowe 2 8 23" xfId="17733"/>
    <cellStyle name="Dane wyjściowe 2 8 23 2" xfId="17734"/>
    <cellStyle name="Dane wyjściowe 2 8 23 3" xfId="17735"/>
    <cellStyle name="Dane wyjściowe 2 8 24" xfId="17736"/>
    <cellStyle name="Dane wyjściowe 2 8 24 2" xfId="17737"/>
    <cellStyle name="Dane wyjściowe 2 8 24 3" xfId="17738"/>
    <cellStyle name="Dane wyjściowe 2 8 25" xfId="17739"/>
    <cellStyle name="Dane wyjściowe 2 8 25 2" xfId="17740"/>
    <cellStyle name="Dane wyjściowe 2 8 25 3" xfId="17741"/>
    <cellStyle name="Dane wyjściowe 2 8 26" xfId="17742"/>
    <cellStyle name="Dane wyjściowe 2 8 26 2" xfId="17743"/>
    <cellStyle name="Dane wyjściowe 2 8 26 3" xfId="17744"/>
    <cellStyle name="Dane wyjściowe 2 8 27" xfId="17745"/>
    <cellStyle name="Dane wyjściowe 2 8 27 2" xfId="17746"/>
    <cellStyle name="Dane wyjściowe 2 8 27 3" xfId="17747"/>
    <cellStyle name="Dane wyjściowe 2 8 28" xfId="17748"/>
    <cellStyle name="Dane wyjściowe 2 8 28 2" xfId="17749"/>
    <cellStyle name="Dane wyjściowe 2 8 28 3" xfId="17750"/>
    <cellStyle name="Dane wyjściowe 2 8 29" xfId="17751"/>
    <cellStyle name="Dane wyjściowe 2 8 29 2" xfId="17752"/>
    <cellStyle name="Dane wyjściowe 2 8 29 3" xfId="17753"/>
    <cellStyle name="Dane wyjściowe 2 8 3" xfId="17754"/>
    <cellStyle name="Dane wyjściowe 2 8 3 2" xfId="17755"/>
    <cellStyle name="Dane wyjściowe 2 8 3 3" xfId="17756"/>
    <cellStyle name="Dane wyjściowe 2 8 3 4" xfId="17757"/>
    <cellStyle name="Dane wyjściowe 2 8 30" xfId="17758"/>
    <cellStyle name="Dane wyjściowe 2 8 30 2" xfId="17759"/>
    <cellStyle name="Dane wyjściowe 2 8 30 3" xfId="17760"/>
    <cellStyle name="Dane wyjściowe 2 8 31" xfId="17761"/>
    <cellStyle name="Dane wyjściowe 2 8 31 2" xfId="17762"/>
    <cellStyle name="Dane wyjściowe 2 8 31 3" xfId="17763"/>
    <cellStyle name="Dane wyjściowe 2 8 32" xfId="17764"/>
    <cellStyle name="Dane wyjściowe 2 8 32 2" xfId="17765"/>
    <cellStyle name="Dane wyjściowe 2 8 32 3" xfId="17766"/>
    <cellStyle name="Dane wyjściowe 2 8 33" xfId="17767"/>
    <cellStyle name="Dane wyjściowe 2 8 33 2" xfId="17768"/>
    <cellStyle name="Dane wyjściowe 2 8 33 3" xfId="17769"/>
    <cellStyle name="Dane wyjściowe 2 8 34" xfId="17770"/>
    <cellStyle name="Dane wyjściowe 2 8 34 2" xfId="17771"/>
    <cellStyle name="Dane wyjściowe 2 8 34 3" xfId="17772"/>
    <cellStyle name="Dane wyjściowe 2 8 35" xfId="17773"/>
    <cellStyle name="Dane wyjściowe 2 8 35 2" xfId="17774"/>
    <cellStyle name="Dane wyjściowe 2 8 35 3" xfId="17775"/>
    <cellStyle name="Dane wyjściowe 2 8 36" xfId="17776"/>
    <cellStyle name="Dane wyjściowe 2 8 36 2" xfId="17777"/>
    <cellStyle name="Dane wyjściowe 2 8 36 3" xfId="17778"/>
    <cellStyle name="Dane wyjściowe 2 8 37" xfId="17779"/>
    <cellStyle name="Dane wyjściowe 2 8 37 2" xfId="17780"/>
    <cellStyle name="Dane wyjściowe 2 8 37 3" xfId="17781"/>
    <cellStyle name="Dane wyjściowe 2 8 38" xfId="17782"/>
    <cellStyle name="Dane wyjściowe 2 8 38 2" xfId="17783"/>
    <cellStyle name="Dane wyjściowe 2 8 38 3" xfId="17784"/>
    <cellStyle name="Dane wyjściowe 2 8 39" xfId="17785"/>
    <cellStyle name="Dane wyjściowe 2 8 39 2" xfId="17786"/>
    <cellStyle name="Dane wyjściowe 2 8 39 3" xfId="17787"/>
    <cellStyle name="Dane wyjściowe 2 8 4" xfId="17788"/>
    <cellStyle name="Dane wyjściowe 2 8 4 2" xfId="17789"/>
    <cellStyle name="Dane wyjściowe 2 8 4 3" xfId="17790"/>
    <cellStyle name="Dane wyjściowe 2 8 4 4" xfId="17791"/>
    <cellStyle name="Dane wyjściowe 2 8 40" xfId="17792"/>
    <cellStyle name="Dane wyjściowe 2 8 40 2" xfId="17793"/>
    <cellStyle name="Dane wyjściowe 2 8 40 3" xfId="17794"/>
    <cellStyle name="Dane wyjściowe 2 8 41" xfId="17795"/>
    <cellStyle name="Dane wyjściowe 2 8 41 2" xfId="17796"/>
    <cellStyle name="Dane wyjściowe 2 8 41 3" xfId="17797"/>
    <cellStyle name="Dane wyjściowe 2 8 42" xfId="17798"/>
    <cellStyle name="Dane wyjściowe 2 8 42 2" xfId="17799"/>
    <cellStyle name="Dane wyjściowe 2 8 42 3" xfId="17800"/>
    <cellStyle name="Dane wyjściowe 2 8 43" xfId="17801"/>
    <cellStyle name="Dane wyjściowe 2 8 43 2" xfId="17802"/>
    <cellStyle name="Dane wyjściowe 2 8 43 3" xfId="17803"/>
    <cellStyle name="Dane wyjściowe 2 8 44" xfId="17804"/>
    <cellStyle name="Dane wyjściowe 2 8 44 2" xfId="17805"/>
    <cellStyle name="Dane wyjściowe 2 8 44 3" xfId="17806"/>
    <cellStyle name="Dane wyjściowe 2 8 45" xfId="17807"/>
    <cellStyle name="Dane wyjściowe 2 8 45 2" xfId="17808"/>
    <cellStyle name="Dane wyjściowe 2 8 45 3" xfId="17809"/>
    <cellStyle name="Dane wyjściowe 2 8 46" xfId="17810"/>
    <cellStyle name="Dane wyjściowe 2 8 46 2" xfId="17811"/>
    <cellStyle name="Dane wyjściowe 2 8 46 3" xfId="17812"/>
    <cellStyle name="Dane wyjściowe 2 8 47" xfId="17813"/>
    <cellStyle name="Dane wyjściowe 2 8 47 2" xfId="17814"/>
    <cellStyle name="Dane wyjściowe 2 8 47 3" xfId="17815"/>
    <cellStyle name="Dane wyjściowe 2 8 48" xfId="17816"/>
    <cellStyle name="Dane wyjściowe 2 8 48 2" xfId="17817"/>
    <cellStyle name="Dane wyjściowe 2 8 48 3" xfId="17818"/>
    <cellStyle name="Dane wyjściowe 2 8 49" xfId="17819"/>
    <cellStyle name="Dane wyjściowe 2 8 49 2" xfId="17820"/>
    <cellStyle name="Dane wyjściowe 2 8 49 3" xfId="17821"/>
    <cellStyle name="Dane wyjściowe 2 8 5" xfId="17822"/>
    <cellStyle name="Dane wyjściowe 2 8 5 2" xfId="17823"/>
    <cellStyle name="Dane wyjściowe 2 8 5 3" xfId="17824"/>
    <cellStyle name="Dane wyjściowe 2 8 5 4" xfId="17825"/>
    <cellStyle name="Dane wyjściowe 2 8 50" xfId="17826"/>
    <cellStyle name="Dane wyjściowe 2 8 50 2" xfId="17827"/>
    <cellStyle name="Dane wyjściowe 2 8 50 3" xfId="17828"/>
    <cellStyle name="Dane wyjściowe 2 8 51" xfId="17829"/>
    <cellStyle name="Dane wyjściowe 2 8 51 2" xfId="17830"/>
    <cellStyle name="Dane wyjściowe 2 8 51 3" xfId="17831"/>
    <cellStyle name="Dane wyjściowe 2 8 52" xfId="17832"/>
    <cellStyle name="Dane wyjściowe 2 8 52 2" xfId="17833"/>
    <cellStyle name="Dane wyjściowe 2 8 52 3" xfId="17834"/>
    <cellStyle name="Dane wyjściowe 2 8 53" xfId="17835"/>
    <cellStyle name="Dane wyjściowe 2 8 53 2" xfId="17836"/>
    <cellStyle name="Dane wyjściowe 2 8 53 3" xfId="17837"/>
    <cellStyle name="Dane wyjściowe 2 8 54" xfId="17838"/>
    <cellStyle name="Dane wyjściowe 2 8 54 2" xfId="17839"/>
    <cellStyle name="Dane wyjściowe 2 8 54 3" xfId="17840"/>
    <cellStyle name="Dane wyjściowe 2 8 55" xfId="17841"/>
    <cellStyle name="Dane wyjściowe 2 8 55 2" xfId="17842"/>
    <cellStyle name="Dane wyjściowe 2 8 55 3" xfId="17843"/>
    <cellStyle name="Dane wyjściowe 2 8 56" xfId="17844"/>
    <cellStyle name="Dane wyjściowe 2 8 56 2" xfId="17845"/>
    <cellStyle name="Dane wyjściowe 2 8 56 3" xfId="17846"/>
    <cellStyle name="Dane wyjściowe 2 8 57" xfId="17847"/>
    <cellStyle name="Dane wyjściowe 2 8 58" xfId="17848"/>
    <cellStyle name="Dane wyjściowe 2 8 6" xfId="17849"/>
    <cellStyle name="Dane wyjściowe 2 8 6 2" xfId="17850"/>
    <cellStyle name="Dane wyjściowe 2 8 6 3" xfId="17851"/>
    <cellStyle name="Dane wyjściowe 2 8 6 4" xfId="17852"/>
    <cellStyle name="Dane wyjściowe 2 8 7" xfId="17853"/>
    <cellStyle name="Dane wyjściowe 2 8 7 2" xfId="17854"/>
    <cellStyle name="Dane wyjściowe 2 8 7 3" xfId="17855"/>
    <cellStyle name="Dane wyjściowe 2 8 7 4" xfId="17856"/>
    <cellStyle name="Dane wyjściowe 2 8 8" xfId="17857"/>
    <cellStyle name="Dane wyjściowe 2 8 8 2" xfId="17858"/>
    <cellStyle name="Dane wyjściowe 2 8 8 3" xfId="17859"/>
    <cellStyle name="Dane wyjściowe 2 8 8 4" xfId="17860"/>
    <cellStyle name="Dane wyjściowe 2 8 9" xfId="17861"/>
    <cellStyle name="Dane wyjściowe 2 8 9 2" xfId="17862"/>
    <cellStyle name="Dane wyjściowe 2 8 9 3" xfId="17863"/>
    <cellStyle name="Dane wyjściowe 2 8 9 4" xfId="17864"/>
    <cellStyle name="Dane wyjściowe 2 80" xfId="17865"/>
    <cellStyle name="Dane wyjściowe 2 80 2" xfId="17866"/>
    <cellStyle name="Dane wyjściowe 2 80 3" xfId="17867"/>
    <cellStyle name="Dane wyjściowe 2 81" xfId="17868"/>
    <cellStyle name="Dane wyjściowe 2 81 2" xfId="17869"/>
    <cellStyle name="Dane wyjściowe 2 81 3" xfId="17870"/>
    <cellStyle name="Dane wyjściowe 2 82" xfId="17871"/>
    <cellStyle name="Dane wyjściowe 2 82 2" xfId="17872"/>
    <cellStyle name="Dane wyjściowe 2 82 3" xfId="17873"/>
    <cellStyle name="Dane wyjściowe 2 83" xfId="17874"/>
    <cellStyle name="Dane wyjściowe 2 83 2" xfId="17875"/>
    <cellStyle name="Dane wyjściowe 2 83 3" xfId="17876"/>
    <cellStyle name="Dane wyjściowe 2 84" xfId="17877"/>
    <cellStyle name="Dane wyjściowe 2 84 2" xfId="17878"/>
    <cellStyle name="Dane wyjściowe 2 84 3" xfId="17879"/>
    <cellStyle name="Dane wyjściowe 2 85" xfId="17880"/>
    <cellStyle name="Dane wyjściowe 2 85 2" xfId="17881"/>
    <cellStyle name="Dane wyjściowe 2 85 3" xfId="17882"/>
    <cellStyle name="Dane wyjściowe 2 86" xfId="17883"/>
    <cellStyle name="Dane wyjściowe 2 86 2" xfId="17884"/>
    <cellStyle name="Dane wyjściowe 2 86 3" xfId="17885"/>
    <cellStyle name="Dane wyjściowe 2 87" xfId="17886"/>
    <cellStyle name="Dane wyjściowe 2 87 2" xfId="17887"/>
    <cellStyle name="Dane wyjściowe 2 87 3" xfId="17888"/>
    <cellStyle name="Dane wyjściowe 2 88" xfId="17889"/>
    <cellStyle name="Dane wyjściowe 2 89" xfId="17890"/>
    <cellStyle name="Dane wyjściowe 2 9" xfId="17891"/>
    <cellStyle name="Dane wyjściowe 2 9 10" xfId="17892"/>
    <cellStyle name="Dane wyjściowe 2 9 10 2" xfId="17893"/>
    <cellStyle name="Dane wyjściowe 2 9 10 3" xfId="17894"/>
    <cellStyle name="Dane wyjściowe 2 9 10 4" xfId="17895"/>
    <cellStyle name="Dane wyjściowe 2 9 11" xfId="17896"/>
    <cellStyle name="Dane wyjściowe 2 9 11 2" xfId="17897"/>
    <cellStyle name="Dane wyjściowe 2 9 11 3" xfId="17898"/>
    <cellStyle name="Dane wyjściowe 2 9 11 4" xfId="17899"/>
    <cellStyle name="Dane wyjściowe 2 9 12" xfId="17900"/>
    <cellStyle name="Dane wyjściowe 2 9 12 2" xfId="17901"/>
    <cellStyle name="Dane wyjściowe 2 9 12 3" xfId="17902"/>
    <cellStyle name="Dane wyjściowe 2 9 12 4" xfId="17903"/>
    <cellStyle name="Dane wyjściowe 2 9 13" xfId="17904"/>
    <cellStyle name="Dane wyjściowe 2 9 13 2" xfId="17905"/>
    <cellStyle name="Dane wyjściowe 2 9 13 3" xfId="17906"/>
    <cellStyle name="Dane wyjściowe 2 9 13 4" xfId="17907"/>
    <cellStyle name="Dane wyjściowe 2 9 14" xfId="17908"/>
    <cellStyle name="Dane wyjściowe 2 9 14 2" xfId="17909"/>
    <cellStyle name="Dane wyjściowe 2 9 14 3" xfId="17910"/>
    <cellStyle name="Dane wyjściowe 2 9 14 4" xfId="17911"/>
    <cellStyle name="Dane wyjściowe 2 9 15" xfId="17912"/>
    <cellStyle name="Dane wyjściowe 2 9 15 2" xfId="17913"/>
    <cellStyle name="Dane wyjściowe 2 9 15 3" xfId="17914"/>
    <cellStyle name="Dane wyjściowe 2 9 15 4" xfId="17915"/>
    <cellStyle name="Dane wyjściowe 2 9 16" xfId="17916"/>
    <cellStyle name="Dane wyjściowe 2 9 16 2" xfId="17917"/>
    <cellStyle name="Dane wyjściowe 2 9 16 3" xfId="17918"/>
    <cellStyle name="Dane wyjściowe 2 9 16 4" xfId="17919"/>
    <cellStyle name="Dane wyjściowe 2 9 17" xfId="17920"/>
    <cellStyle name="Dane wyjściowe 2 9 17 2" xfId="17921"/>
    <cellStyle name="Dane wyjściowe 2 9 17 3" xfId="17922"/>
    <cellStyle name="Dane wyjściowe 2 9 17 4" xfId="17923"/>
    <cellStyle name="Dane wyjściowe 2 9 18" xfId="17924"/>
    <cellStyle name="Dane wyjściowe 2 9 18 2" xfId="17925"/>
    <cellStyle name="Dane wyjściowe 2 9 18 3" xfId="17926"/>
    <cellStyle name="Dane wyjściowe 2 9 18 4" xfId="17927"/>
    <cellStyle name="Dane wyjściowe 2 9 19" xfId="17928"/>
    <cellStyle name="Dane wyjściowe 2 9 19 2" xfId="17929"/>
    <cellStyle name="Dane wyjściowe 2 9 19 3" xfId="17930"/>
    <cellStyle name="Dane wyjściowe 2 9 19 4" xfId="17931"/>
    <cellStyle name="Dane wyjściowe 2 9 2" xfId="17932"/>
    <cellStyle name="Dane wyjściowe 2 9 2 2" xfId="17933"/>
    <cellStyle name="Dane wyjściowe 2 9 2 3" xfId="17934"/>
    <cellStyle name="Dane wyjściowe 2 9 2 4" xfId="17935"/>
    <cellStyle name="Dane wyjściowe 2 9 20" xfId="17936"/>
    <cellStyle name="Dane wyjściowe 2 9 20 2" xfId="17937"/>
    <cellStyle name="Dane wyjściowe 2 9 20 3" xfId="17938"/>
    <cellStyle name="Dane wyjściowe 2 9 20 4" xfId="17939"/>
    <cellStyle name="Dane wyjściowe 2 9 21" xfId="17940"/>
    <cellStyle name="Dane wyjściowe 2 9 21 2" xfId="17941"/>
    <cellStyle name="Dane wyjściowe 2 9 21 3" xfId="17942"/>
    <cellStyle name="Dane wyjściowe 2 9 22" xfId="17943"/>
    <cellStyle name="Dane wyjściowe 2 9 22 2" xfId="17944"/>
    <cellStyle name="Dane wyjściowe 2 9 22 3" xfId="17945"/>
    <cellStyle name="Dane wyjściowe 2 9 23" xfId="17946"/>
    <cellStyle name="Dane wyjściowe 2 9 23 2" xfId="17947"/>
    <cellStyle name="Dane wyjściowe 2 9 23 3" xfId="17948"/>
    <cellStyle name="Dane wyjściowe 2 9 24" xfId="17949"/>
    <cellStyle name="Dane wyjściowe 2 9 24 2" xfId="17950"/>
    <cellStyle name="Dane wyjściowe 2 9 24 3" xfId="17951"/>
    <cellStyle name="Dane wyjściowe 2 9 25" xfId="17952"/>
    <cellStyle name="Dane wyjściowe 2 9 25 2" xfId="17953"/>
    <cellStyle name="Dane wyjściowe 2 9 25 3" xfId="17954"/>
    <cellStyle name="Dane wyjściowe 2 9 26" xfId="17955"/>
    <cellStyle name="Dane wyjściowe 2 9 26 2" xfId="17956"/>
    <cellStyle name="Dane wyjściowe 2 9 26 3" xfId="17957"/>
    <cellStyle name="Dane wyjściowe 2 9 27" xfId="17958"/>
    <cellStyle name="Dane wyjściowe 2 9 27 2" xfId="17959"/>
    <cellStyle name="Dane wyjściowe 2 9 27 3" xfId="17960"/>
    <cellStyle name="Dane wyjściowe 2 9 28" xfId="17961"/>
    <cellStyle name="Dane wyjściowe 2 9 28 2" xfId="17962"/>
    <cellStyle name="Dane wyjściowe 2 9 28 3" xfId="17963"/>
    <cellStyle name="Dane wyjściowe 2 9 29" xfId="17964"/>
    <cellStyle name="Dane wyjściowe 2 9 29 2" xfId="17965"/>
    <cellStyle name="Dane wyjściowe 2 9 29 3" xfId="17966"/>
    <cellStyle name="Dane wyjściowe 2 9 3" xfId="17967"/>
    <cellStyle name="Dane wyjściowe 2 9 3 2" xfId="17968"/>
    <cellStyle name="Dane wyjściowe 2 9 3 3" xfId="17969"/>
    <cellStyle name="Dane wyjściowe 2 9 3 4" xfId="17970"/>
    <cellStyle name="Dane wyjściowe 2 9 30" xfId="17971"/>
    <cellStyle name="Dane wyjściowe 2 9 30 2" xfId="17972"/>
    <cellStyle name="Dane wyjściowe 2 9 30 3" xfId="17973"/>
    <cellStyle name="Dane wyjściowe 2 9 31" xfId="17974"/>
    <cellStyle name="Dane wyjściowe 2 9 31 2" xfId="17975"/>
    <cellStyle name="Dane wyjściowe 2 9 31 3" xfId="17976"/>
    <cellStyle name="Dane wyjściowe 2 9 32" xfId="17977"/>
    <cellStyle name="Dane wyjściowe 2 9 32 2" xfId="17978"/>
    <cellStyle name="Dane wyjściowe 2 9 32 3" xfId="17979"/>
    <cellStyle name="Dane wyjściowe 2 9 33" xfId="17980"/>
    <cellStyle name="Dane wyjściowe 2 9 33 2" xfId="17981"/>
    <cellStyle name="Dane wyjściowe 2 9 33 3" xfId="17982"/>
    <cellStyle name="Dane wyjściowe 2 9 34" xfId="17983"/>
    <cellStyle name="Dane wyjściowe 2 9 34 2" xfId="17984"/>
    <cellStyle name="Dane wyjściowe 2 9 34 3" xfId="17985"/>
    <cellStyle name="Dane wyjściowe 2 9 35" xfId="17986"/>
    <cellStyle name="Dane wyjściowe 2 9 35 2" xfId="17987"/>
    <cellStyle name="Dane wyjściowe 2 9 35 3" xfId="17988"/>
    <cellStyle name="Dane wyjściowe 2 9 36" xfId="17989"/>
    <cellStyle name="Dane wyjściowe 2 9 36 2" xfId="17990"/>
    <cellStyle name="Dane wyjściowe 2 9 36 3" xfId="17991"/>
    <cellStyle name="Dane wyjściowe 2 9 37" xfId="17992"/>
    <cellStyle name="Dane wyjściowe 2 9 37 2" xfId="17993"/>
    <cellStyle name="Dane wyjściowe 2 9 37 3" xfId="17994"/>
    <cellStyle name="Dane wyjściowe 2 9 38" xfId="17995"/>
    <cellStyle name="Dane wyjściowe 2 9 38 2" xfId="17996"/>
    <cellStyle name="Dane wyjściowe 2 9 38 3" xfId="17997"/>
    <cellStyle name="Dane wyjściowe 2 9 39" xfId="17998"/>
    <cellStyle name="Dane wyjściowe 2 9 39 2" xfId="17999"/>
    <cellStyle name="Dane wyjściowe 2 9 39 3" xfId="18000"/>
    <cellStyle name="Dane wyjściowe 2 9 4" xfId="18001"/>
    <cellStyle name="Dane wyjściowe 2 9 4 2" xfId="18002"/>
    <cellStyle name="Dane wyjściowe 2 9 4 3" xfId="18003"/>
    <cellStyle name="Dane wyjściowe 2 9 4 4" xfId="18004"/>
    <cellStyle name="Dane wyjściowe 2 9 40" xfId="18005"/>
    <cellStyle name="Dane wyjściowe 2 9 40 2" xfId="18006"/>
    <cellStyle name="Dane wyjściowe 2 9 40 3" xfId="18007"/>
    <cellStyle name="Dane wyjściowe 2 9 41" xfId="18008"/>
    <cellStyle name="Dane wyjściowe 2 9 41 2" xfId="18009"/>
    <cellStyle name="Dane wyjściowe 2 9 41 3" xfId="18010"/>
    <cellStyle name="Dane wyjściowe 2 9 42" xfId="18011"/>
    <cellStyle name="Dane wyjściowe 2 9 42 2" xfId="18012"/>
    <cellStyle name="Dane wyjściowe 2 9 42 3" xfId="18013"/>
    <cellStyle name="Dane wyjściowe 2 9 43" xfId="18014"/>
    <cellStyle name="Dane wyjściowe 2 9 43 2" xfId="18015"/>
    <cellStyle name="Dane wyjściowe 2 9 43 3" xfId="18016"/>
    <cellStyle name="Dane wyjściowe 2 9 44" xfId="18017"/>
    <cellStyle name="Dane wyjściowe 2 9 44 2" xfId="18018"/>
    <cellStyle name="Dane wyjściowe 2 9 44 3" xfId="18019"/>
    <cellStyle name="Dane wyjściowe 2 9 45" xfId="18020"/>
    <cellStyle name="Dane wyjściowe 2 9 45 2" xfId="18021"/>
    <cellStyle name="Dane wyjściowe 2 9 45 3" xfId="18022"/>
    <cellStyle name="Dane wyjściowe 2 9 46" xfId="18023"/>
    <cellStyle name="Dane wyjściowe 2 9 46 2" xfId="18024"/>
    <cellStyle name="Dane wyjściowe 2 9 46 3" xfId="18025"/>
    <cellStyle name="Dane wyjściowe 2 9 47" xfId="18026"/>
    <cellStyle name="Dane wyjściowe 2 9 47 2" xfId="18027"/>
    <cellStyle name="Dane wyjściowe 2 9 47 3" xfId="18028"/>
    <cellStyle name="Dane wyjściowe 2 9 48" xfId="18029"/>
    <cellStyle name="Dane wyjściowe 2 9 48 2" xfId="18030"/>
    <cellStyle name="Dane wyjściowe 2 9 48 3" xfId="18031"/>
    <cellStyle name="Dane wyjściowe 2 9 49" xfId="18032"/>
    <cellStyle name="Dane wyjściowe 2 9 49 2" xfId="18033"/>
    <cellStyle name="Dane wyjściowe 2 9 49 3" xfId="18034"/>
    <cellStyle name="Dane wyjściowe 2 9 5" xfId="18035"/>
    <cellStyle name="Dane wyjściowe 2 9 5 2" xfId="18036"/>
    <cellStyle name="Dane wyjściowe 2 9 5 3" xfId="18037"/>
    <cellStyle name="Dane wyjściowe 2 9 5 4" xfId="18038"/>
    <cellStyle name="Dane wyjściowe 2 9 50" xfId="18039"/>
    <cellStyle name="Dane wyjściowe 2 9 50 2" xfId="18040"/>
    <cellStyle name="Dane wyjściowe 2 9 50 3" xfId="18041"/>
    <cellStyle name="Dane wyjściowe 2 9 51" xfId="18042"/>
    <cellStyle name="Dane wyjściowe 2 9 51 2" xfId="18043"/>
    <cellStyle name="Dane wyjściowe 2 9 51 3" xfId="18044"/>
    <cellStyle name="Dane wyjściowe 2 9 52" xfId="18045"/>
    <cellStyle name="Dane wyjściowe 2 9 52 2" xfId="18046"/>
    <cellStyle name="Dane wyjściowe 2 9 52 3" xfId="18047"/>
    <cellStyle name="Dane wyjściowe 2 9 53" xfId="18048"/>
    <cellStyle name="Dane wyjściowe 2 9 53 2" xfId="18049"/>
    <cellStyle name="Dane wyjściowe 2 9 53 3" xfId="18050"/>
    <cellStyle name="Dane wyjściowe 2 9 54" xfId="18051"/>
    <cellStyle name="Dane wyjściowe 2 9 54 2" xfId="18052"/>
    <cellStyle name="Dane wyjściowe 2 9 54 3" xfId="18053"/>
    <cellStyle name="Dane wyjściowe 2 9 55" xfId="18054"/>
    <cellStyle name="Dane wyjściowe 2 9 55 2" xfId="18055"/>
    <cellStyle name="Dane wyjściowe 2 9 55 3" xfId="18056"/>
    <cellStyle name="Dane wyjściowe 2 9 56" xfId="18057"/>
    <cellStyle name="Dane wyjściowe 2 9 56 2" xfId="18058"/>
    <cellStyle name="Dane wyjściowe 2 9 56 3" xfId="18059"/>
    <cellStyle name="Dane wyjściowe 2 9 57" xfId="18060"/>
    <cellStyle name="Dane wyjściowe 2 9 58" xfId="18061"/>
    <cellStyle name="Dane wyjściowe 2 9 6" xfId="18062"/>
    <cellStyle name="Dane wyjściowe 2 9 6 2" xfId="18063"/>
    <cellStyle name="Dane wyjściowe 2 9 6 3" xfId="18064"/>
    <cellStyle name="Dane wyjściowe 2 9 6 4" xfId="18065"/>
    <cellStyle name="Dane wyjściowe 2 9 7" xfId="18066"/>
    <cellStyle name="Dane wyjściowe 2 9 7 2" xfId="18067"/>
    <cellStyle name="Dane wyjściowe 2 9 7 3" xfId="18068"/>
    <cellStyle name="Dane wyjściowe 2 9 7 4" xfId="18069"/>
    <cellStyle name="Dane wyjściowe 2 9 8" xfId="18070"/>
    <cellStyle name="Dane wyjściowe 2 9 8 2" xfId="18071"/>
    <cellStyle name="Dane wyjściowe 2 9 8 3" xfId="18072"/>
    <cellStyle name="Dane wyjściowe 2 9 8 4" xfId="18073"/>
    <cellStyle name="Dane wyjściowe 2 9 9" xfId="18074"/>
    <cellStyle name="Dane wyjściowe 2 9 9 2" xfId="18075"/>
    <cellStyle name="Dane wyjściowe 2 9 9 3" xfId="18076"/>
    <cellStyle name="Dane wyjściowe 2 9 9 4" xfId="18077"/>
    <cellStyle name="Dane wyjściowe 3" xfId="18078"/>
    <cellStyle name="Dane wyjściowe 3 2" xfId="18079"/>
    <cellStyle name="Dane wyjściowe 3 2 2" xfId="18080"/>
    <cellStyle name="Dane wyjściowe 3 3" xfId="18081"/>
    <cellStyle name="Dane wyjściowe 3 4" xfId="18082"/>
    <cellStyle name="Dane wyjściowe 3 5" xfId="18083"/>
    <cellStyle name="Dane wyjściowe 3 6" xfId="18084"/>
    <cellStyle name="Dane wyjściowe 3 7" xfId="18085"/>
    <cellStyle name="Dane wyjściowe 3 8" xfId="18086"/>
    <cellStyle name="Dane wyjściowe 3 9" xfId="18087"/>
    <cellStyle name="Dane wyjściowe 4" xfId="18088"/>
    <cellStyle name="Dane wyjściowe 4 2" xfId="18089"/>
    <cellStyle name="Dane wyjściowe 4 3" xfId="18090"/>
    <cellStyle name="Dane wyjściowe 4 4" xfId="18091"/>
    <cellStyle name="Dane wyjściowe 4 5" xfId="18092"/>
    <cellStyle name="Dane wyjściowe 4 6" xfId="18093"/>
    <cellStyle name="Dane wyjściowe 4 7" xfId="18094"/>
    <cellStyle name="Dane wyjściowe 4 8" xfId="18095"/>
    <cellStyle name="Dane wyjściowe 4 9" xfId="18096"/>
    <cellStyle name="Dane wyjściowe 5" xfId="18097"/>
    <cellStyle name="Dane wyjściowe 5 2" xfId="18098"/>
    <cellStyle name="Dane wyjściowe 5 3" xfId="18099"/>
    <cellStyle name="Dane wyjściowe 6" xfId="18100"/>
    <cellStyle name="Dane wyjściowe 6 2" xfId="18101"/>
    <cellStyle name="Dane wyjściowe 7" xfId="18102"/>
    <cellStyle name="Dobre 2" xfId="18103"/>
    <cellStyle name="Dobre 2 10" xfId="18104"/>
    <cellStyle name="Dobre 2 10 2" xfId="18105"/>
    <cellStyle name="Dobre 2 10 3" xfId="18106"/>
    <cellStyle name="Dobre 2 10 4" xfId="18107"/>
    <cellStyle name="Dobre 2 10 5" xfId="18108"/>
    <cellStyle name="Dobre 2 10 6" xfId="18109"/>
    <cellStyle name="Dobre 2 10 7" xfId="18110"/>
    <cellStyle name="Dobre 2 11" xfId="18111"/>
    <cellStyle name="Dobre 2 11 2" xfId="18112"/>
    <cellStyle name="Dobre 2 11 3" xfId="18113"/>
    <cellStyle name="Dobre 2 11 4" xfId="18114"/>
    <cellStyle name="Dobre 2 11 5" xfId="18115"/>
    <cellStyle name="Dobre 2 11 6" xfId="18116"/>
    <cellStyle name="Dobre 2 11 7" xfId="18117"/>
    <cellStyle name="Dobre 2 12" xfId="18118"/>
    <cellStyle name="Dobre 2 12 2" xfId="18119"/>
    <cellStyle name="Dobre 2 12 3" xfId="18120"/>
    <cellStyle name="Dobre 2 12 4" xfId="18121"/>
    <cellStyle name="Dobre 2 12 5" xfId="18122"/>
    <cellStyle name="Dobre 2 12 6" xfId="18123"/>
    <cellStyle name="Dobre 2 12 7" xfId="18124"/>
    <cellStyle name="Dobre 2 13" xfId="18125"/>
    <cellStyle name="Dobre 2 13 2" xfId="18126"/>
    <cellStyle name="Dobre 2 13 3" xfId="18127"/>
    <cellStyle name="Dobre 2 13 4" xfId="18128"/>
    <cellStyle name="Dobre 2 13 5" xfId="18129"/>
    <cellStyle name="Dobre 2 13 6" xfId="18130"/>
    <cellStyle name="Dobre 2 13 7" xfId="18131"/>
    <cellStyle name="Dobre 2 14" xfId="18132"/>
    <cellStyle name="Dobre 2 14 2" xfId="18133"/>
    <cellStyle name="Dobre 2 14 3" xfId="18134"/>
    <cellStyle name="Dobre 2 14 4" xfId="18135"/>
    <cellStyle name="Dobre 2 14 5" xfId="18136"/>
    <cellStyle name="Dobre 2 14 6" xfId="18137"/>
    <cellStyle name="Dobre 2 14 7" xfId="18138"/>
    <cellStyle name="Dobre 2 15" xfId="18139"/>
    <cellStyle name="Dobre 2 15 2" xfId="18140"/>
    <cellStyle name="Dobre 2 15 3" xfId="18141"/>
    <cellStyle name="Dobre 2 15 4" xfId="18142"/>
    <cellStyle name="Dobre 2 15 5" xfId="18143"/>
    <cellStyle name="Dobre 2 15 6" xfId="18144"/>
    <cellStyle name="Dobre 2 15 7" xfId="18145"/>
    <cellStyle name="Dobre 2 16" xfId="18146"/>
    <cellStyle name="Dobre 2 16 2" xfId="18147"/>
    <cellStyle name="Dobre 2 16 3" xfId="18148"/>
    <cellStyle name="Dobre 2 16 4" xfId="18149"/>
    <cellStyle name="Dobre 2 16 5" xfId="18150"/>
    <cellStyle name="Dobre 2 16 6" xfId="18151"/>
    <cellStyle name="Dobre 2 16 7" xfId="18152"/>
    <cellStyle name="Dobre 2 17" xfId="18153"/>
    <cellStyle name="Dobre 2 17 2" xfId="18154"/>
    <cellStyle name="Dobre 2 17 3" xfId="18155"/>
    <cellStyle name="Dobre 2 17 4" xfId="18156"/>
    <cellStyle name="Dobre 2 17 5" xfId="18157"/>
    <cellStyle name="Dobre 2 17 6" xfId="18158"/>
    <cellStyle name="Dobre 2 17 7" xfId="18159"/>
    <cellStyle name="Dobre 2 18" xfId="18160"/>
    <cellStyle name="Dobre 2 18 2" xfId="18161"/>
    <cellStyle name="Dobre 2 18 3" xfId="18162"/>
    <cellStyle name="Dobre 2 18 4" xfId="18163"/>
    <cellStyle name="Dobre 2 18 5" xfId="18164"/>
    <cellStyle name="Dobre 2 18 6" xfId="18165"/>
    <cellStyle name="Dobre 2 18 7" xfId="18166"/>
    <cellStyle name="Dobre 2 19" xfId="18167"/>
    <cellStyle name="Dobre 2 19 2" xfId="18168"/>
    <cellStyle name="Dobre 2 19 3" xfId="18169"/>
    <cellStyle name="Dobre 2 19 4" xfId="18170"/>
    <cellStyle name="Dobre 2 19 5" xfId="18171"/>
    <cellStyle name="Dobre 2 19 6" xfId="18172"/>
    <cellStyle name="Dobre 2 19 7" xfId="18173"/>
    <cellStyle name="Dobre 2 2" xfId="18174"/>
    <cellStyle name="Dobre 2 2 2" xfId="18175"/>
    <cellStyle name="Dobre 2 2 3" xfId="18176"/>
    <cellStyle name="Dobre 2 2 4" xfId="18177"/>
    <cellStyle name="Dobre 2 2 5" xfId="18178"/>
    <cellStyle name="Dobre 2 2 6" xfId="18179"/>
    <cellStyle name="Dobre 2 2 7" xfId="18180"/>
    <cellStyle name="Dobre 2 2 8" xfId="18181"/>
    <cellStyle name="Dobre 2 20" xfId="18182"/>
    <cellStyle name="Dobre 2 20 2" xfId="18183"/>
    <cellStyle name="Dobre 2 20 3" xfId="18184"/>
    <cellStyle name="Dobre 2 20 4" xfId="18185"/>
    <cellStyle name="Dobre 2 20 5" xfId="18186"/>
    <cellStyle name="Dobre 2 20 6" xfId="18187"/>
    <cellStyle name="Dobre 2 20 7" xfId="18188"/>
    <cellStyle name="Dobre 2 21" xfId="18189"/>
    <cellStyle name="Dobre 2 21 2" xfId="18190"/>
    <cellStyle name="Dobre 2 21 3" xfId="18191"/>
    <cellStyle name="Dobre 2 21 4" xfId="18192"/>
    <cellStyle name="Dobre 2 21 5" xfId="18193"/>
    <cellStyle name="Dobre 2 21 6" xfId="18194"/>
    <cellStyle name="Dobre 2 21 7" xfId="18195"/>
    <cellStyle name="Dobre 2 22" xfId="18196"/>
    <cellStyle name="Dobre 2 22 2" xfId="18197"/>
    <cellStyle name="Dobre 2 22 3" xfId="18198"/>
    <cellStyle name="Dobre 2 22 4" xfId="18199"/>
    <cellStyle name="Dobre 2 22 5" xfId="18200"/>
    <cellStyle name="Dobre 2 22 6" xfId="18201"/>
    <cellStyle name="Dobre 2 22 7" xfId="18202"/>
    <cellStyle name="Dobre 2 23" xfId="18203"/>
    <cellStyle name="Dobre 2 23 2" xfId="18204"/>
    <cellStyle name="Dobre 2 23 3" xfId="18205"/>
    <cellStyle name="Dobre 2 23 4" xfId="18206"/>
    <cellStyle name="Dobre 2 23 5" xfId="18207"/>
    <cellStyle name="Dobre 2 23 6" xfId="18208"/>
    <cellStyle name="Dobre 2 23 7" xfId="18209"/>
    <cellStyle name="Dobre 2 24" xfId="18210"/>
    <cellStyle name="Dobre 2 24 2" xfId="18211"/>
    <cellStyle name="Dobre 2 24 3" xfId="18212"/>
    <cellStyle name="Dobre 2 24 4" xfId="18213"/>
    <cellStyle name="Dobre 2 24 5" xfId="18214"/>
    <cellStyle name="Dobre 2 24 6" xfId="18215"/>
    <cellStyle name="Dobre 2 24 7" xfId="18216"/>
    <cellStyle name="Dobre 2 25" xfId="18217"/>
    <cellStyle name="Dobre 2 25 2" xfId="18218"/>
    <cellStyle name="Dobre 2 25 3" xfId="18219"/>
    <cellStyle name="Dobre 2 25 4" xfId="18220"/>
    <cellStyle name="Dobre 2 25 5" xfId="18221"/>
    <cellStyle name="Dobre 2 25 6" xfId="18222"/>
    <cellStyle name="Dobre 2 25 7" xfId="18223"/>
    <cellStyle name="Dobre 2 26" xfId="18224"/>
    <cellStyle name="Dobre 2 26 2" xfId="18225"/>
    <cellStyle name="Dobre 2 26 3" xfId="18226"/>
    <cellStyle name="Dobre 2 26 4" xfId="18227"/>
    <cellStyle name="Dobre 2 26 5" xfId="18228"/>
    <cellStyle name="Dobre 2 26 6" xfId="18229"/>
    <cellStyle name="Dobre 2 26 7" xfId="18230"/>
    <cellStyle name="Dobre 2 27" xfId="18231"/>
    <cellStyle name="Dobre 2 27 2" xfId="18232"/>
    <cellStyle name="Dobre 2 27 3" xfId="18233"/>
    <cellStyle name="Dobre 2 27 4" xfId="18234"/>
    <cellStyle name="Dobre 2 27 5" xfId="18235"/>
    <cellStyle name="Dobre 2 27 6" xfId="18236"/>
    <cellStyle name="Dobre 2 27 7" xfId="18237"/>
    <cellStyle name="Dobre 2 28" xfId="18238"/>
    <cellStyle name="Dobre 2 28 2" xfId="18239"/>
    <cellStyle name="Dobre 2 28 3" xfId="18240"/>
    <cellStyle name="Dobre 2 28 4" xfId="18241"/>
    <cellStyle name="Dobre 2 28 5" xfId="18242"/>
    <cellStyle name="Dobre 2 28 6" xfId="18243"/>
    <cellStyle name="Dobre 2 28 7" xfId="18244"/>
    <cellStyle name="Dobre 2 29" xfId="18245"/>
    <cellStyle name="Dobre 2 29 2" xfId="18246"/>
    <cellStyle name="Dobre 2 3" xfId="18247"/>
    <cellStyle name="Dobre 2 3 2" xfId="18248"/>
    <cellStyle name="Dobre 2 3 3" xfId="18249"/>
    <cellStyle name="Dobre 2 3 4" xfId="18250"/>
    <cellStyle name="Dobre 2 3 5" xfId="18251"/>
    <cellStyle name="Dobre 2 3 6" xfId="18252"/>
    <cellStyle name="Dobre 2 3 7" xfId="18253"/>
    <cellStyle name="Dobre 2 30" xfId="18254"/>
    <cellStyle name="Dobre 2 30 2" xfId="18255"/>
    <cellStyle name="Dobre 2 31" xfId="18256"/>
    <cellStyle name="Dobre 2 31 2" xfId="18257"/>
    <cellStyle name="Dobre 2 32" xfId="18258"/>
    <cellStyle name="Dobre 2 32 2" xfId="18259"/>
    <cellStyle name="Dobre 2 33" xfId="18260"/>
    <cellStyle name="Dobre 2 34" xfId="18261"/>
    <cellStyle name="Dobre 2 35" xfId="18262"/>
    <cellStyle name="Dobre 2 36" xfId="18263"/>
    <cellStyle name="Dobre 2 37" xfId="18264"/>
    <cellStyle name="Dobre 2 38" xfId="18265"/>
    <cellStyle name="Dobre 2 39" xfId="18266"/>
    <cellStyle name="Dobre 2 4" xfId="18267"/>
    <cellStyle name="Dobre 2 4 2" xfId="18268"/>
    <cellStyle name="Dobre 2 4 3" xfId="18269"/>
    <cellStyle name="Dobre 2 4 4" xfId="18270"/>
    <cellStyle name="Dobre 2 4 5" xfId="18271"/>
    <cellStyle name="Dobre 2 4 6" xfId="18272"/>
    <cellStyle name="Dobre 2 4 7" xfId="18273"/>
    <cellStyle name="Dobre 2 5" xfId="18274"/>
    <cellStyle name="Dobre 2 5 2" xfId="18275"/>
    <cellStyle name="Dobre 2 5 3" xfId="18276"/>
    <cellStyle name="Dobre 2 5 4" xfId="18277"/>
    <cellStyle name="Dobre 2 5 5" xfId="18278"/>
    <cellStyle name="Dobre 2 5 6" xfId="18279"/>
    <cellStyle name="Dobre 2 5 7" xfId="18280"/>
    <cellStyle name="Dobre 2 6" xfId="18281"/>
    <cellStyle name="Dobre 2 6 2" xfId="18282"/>
    <cellStyle name="Dobre 2 6 3" xfId="18283"/>
    <cellStyle name="Dobre 2 6 4" xfId="18284"/>
    <cellStyle name="Dobre 2 6 5" xfId="18285"/>
    <cellStyle name="Dobre 2 6 6" xfId="18286"/>
    <cellStyle name="Dobre 2 6 7" xfId="18287"/>
    <cellStyle name="Dobre 2 7" xfId="18288"/>
    <cellStyle name="Dobre 2 7 2" xfId="18289"/>
    <cellStyle name="Dobre 2 7 3" xfId="18290"/>
    <cellStyle name="Dobre 2 7 4" xfId="18291"/>
    <cellStyle name="Dobre 2 7 5" xfId="18292"/>
    <cellStyle name="Dobre 2 7 6" xfId="18293"/>
    <cellStyle name="Dobre 2 7 7" xfId="18294"/>
    <cellStyle name="Dobre 2 8" xfId="18295"/>
    <cellStyle name="Dobre 2 8 2" xfId="18296"/>
    <cellStyle name="Dobre 2 8 3" xfId="18297"/>
    <cellStyle name="Dobre 2 8 4" xfId="18298"/>
    <cellStyle name="Dobre 2 8 5" xfId="18299"/>
    <cellStyle name="Dobre 2 8 6" xfId="18300"/>
    <cellStyle name="Dobre 2 8 7" xfId="18301"/>
    <cellStyle name="Dobre 2 9" xfId="18302"/>
    <cellStyle name="Dobre 2 9 2" xfId="18303"/>
    <cellStyle name="Dobre 2 9 3" xfId="18304"/>
    <cellStyle name="Dobre 2 9 4" xfId="18305"/>
    <cellStyle name="Dobre 2 9 5" xfId="18306"/>
    <cellStyle name="Dobre 2 9 6" xfId="18307"/>
    <cellStyle name="Dobre 2 9 7" xfId="18308"/>
    <cellStyle name="Dobre 3" xfId="18309"/>
    <cellStyle name="Dobre 3 2" xfId="18310"/>
    <cellStyle name="Dobre 3 2 2" xfId="18311"/>
    <cellStyle name="Dobre 3 3" xfId="18312"/>
    <cellStyle name="Dobre 3 4" xfId="18313"/>
    <cellStyle name="Dobre 3 5" xfId="18314"/>
    <cellStyle name="Dobre 3 6" xfId="18315"/>
    <cellStyle name="Dobre 3 7" xfId="18316"/>
    <cellStyle name="Dobre 3 8" xfId="18317"/>
    <cellStyle name="Dobre 3 9" xfId="18318"/>
    <cellStyle name="Dobre 4" xfId="18319"/>
    <cellStyle name="Dobre 4 2" xfId="18320"/>
    <cellStyle name="Dobre 4 3" xfId="18321"/>
    <cellStyle name="Dobre 4 4" xfId="18322"/>
    <cellStyle name="Dobre 4 5" xfId="18323"/>
    <cellStyle name="Dobre 4 6" xfId="18324"/>
    <cellStyle name="Dobre 4 7" xfId="18325"/>
    <cellStyle name="Dobre 4 8" xfId="18326"/>
    <cellStyle name="Dobre 4 9" xfId="18327"/>
    <cellStyle name="Dobre 5" xfId="18328"/>
    <cellStyle name="Dobre 5 2" xfId="18329"/>
    <cellStyle name="Dobre 5 3" xfId="18330"/>
    <cellStyle name="Dobre 6" xfId="18331"/>
    <cellStyle name="Dobre 6 2" xfId="18332"/>
    <cellStyle name="Dobre 7" xfId="18333"/>
    <cellStyle name="done" xfId="18334"/>
    <cellStyle name="Dziesietny [0]_Arkusz1" xfId="18335"/>
    <cellStyle name="Dziesietny_Arkusz1" xfId="18336"/>
    <cellStyle name="Dziesiętny" xfId="1" builtinId="3"/>
    <cellStyle name="Dziesiętny 10" xfId="18337"/>
    <cellStyle name="Dziesiętny 11" xfId="18338"/>
    <cellStyle name="Dziesiętny 12" xfId="18339"/>
    <cellStyle name="Dziesiętny 13" xfId="42846"/>
    <cellStyle name="Dziesiętny 14" xfId="10"/>
    <cellStyle name="Dziesiętny 2" xfId="8"/>
    <cellStyle name="Dziesiętny 2 10" xfId="18341"/>
    <cellStyle name="Dziesiętny 2 10 2" xfId="18342"/>
    <cellStyle name="Dziesiętny 2 11" xfId="18343"/>
    <cellStyle name="Dziesiętny 2 11 2" xfId="18344"/>
    <cellStyle name="Dziesiętny 2 12" xfId="18345"/>
    <cellStyle name="Dziesiętny 2 12 2" xfId="18346"/>
    <cellStyle name="Dziesiętny 2 13" xfId="18347"/>
    <cellStyle name="Dziesiętny 2 13 2" xfId="18348"/>
    <cellStyle name="Dziesiętny 2 14" xfId="18349"/>
    <cellStyle name="Dziesiętny 2 14 2" xfId="18350"/>
    <cellStyle name="Dziesiętny 2 15" xfId="18351"/>
    <cellStyle name="Dziesiętny 2 15 2" xfId="18352"/>
    <cellStyle name="Dziesiętny 2 16" xfId="18353"/>
    <cellStyle name="Dziesiętny 2 16 2" xfId="18354"/>
    <cellStyle name="Dziesiętny 2 17" xfId="18355"/>
    <cellStyle name="Dziesiętny 2 17 2" xfId="18356"/>
    <cellStyle name="Dziesiętny 2 18" xfId="18357"/>
    <cellStyle name="Dziesiętny 2 18 2" xfId="18358"/>
    <cellStyle name="Dziesiętny 2 19" xfId="18359"/>
    <cellStyle name="Dziesiętny 2 19 2" xfId="18360"/>
    <cellStyle name="Dziesiętny 2 2" xfId="18361"/>
    <cellStyle name="Dziesiętny 2 2 2" xfId="18362"/>
    <cellStyle name="Dziesiętny 2 2 2 2" xfId="18363"/>
    <cellStyle name="Dziesiętny 2 2 2 3" xfId="18364"/>
    <cellStyle name="Dziesiętny 2 2 2 4" xfId="18365"/>
    <cellStyle name="Dziesiętny 2 2 2 5" xfId="18366"/>
    <cellStyle name="Dziesiętny 2 2 2 6" xfId="18367"/>
    <cellStyle name="Dziesiętny 2 2 2 7" xfId="18368"/>
    <cellStyle name="Dziesiętny 2 2 3" xfId="18369"/>
    <cellStyle name="Dziesiętny 2 2 3 2" xfId="18370"/>
    <cellStyle name="Dziesiętny 2 2 3 3" xfId="18371"/>
    <cellStyle name="Dziesiętny 2 2 3 4" xfId="18372"/>
    <cellStyle name="Dziesiętny 2 2 3 5" xfId="18373"/>
    <cellStyle name="Dziesiętny 2 2 3 6" xfId="18374"/>
    <cellStyle name="Dziesiętny 2 2 4" xfId="18375"/>
    <cellStyle name="Dziesiętny 2 2 4 2" xfId="18376"/>
    <cellStyle name="Dziesiętny 2 2 5" xfId="18377"/>
    <cellStyle name="Dziesiętny 2 2 5 2" xfId="18378"/>
    <cellStyle name="Dziesiętny 2 2 6" xfId="18379"/>
    <cellStyle name="Dziesiętny 2 2 6 2" xfId="18380"/>
    <cellStyle name="Dziesiętny 2 2 7" xfId="18381"/>
    <cellStyle name="Dziesiętny 2 2 8" xfId="18382"/>
    <cellStyle name="Dziesiętny 2 2 9" xfId="18383"/>
    <cellStyle name="Dziesiętny 2 20" xfId="18384"/>
    <cellStyle name="Dziesiętny 2 20 2" xfId="18385"/>
    <cellStyle name="Dziesiętny 2 21" xfId="18386"/>
    <cellStyle name="Dziesiętny 2 21 2" xfId="18387"/>
    <cellStyle name="Dziesiętny 2 22" xfId="18388"/>
    <cellStyle name="Dziesiętny 2 23" xfId="18389"/>
    <cellStyle name="Dziesiętny 2 24" xfId="18390"/>
    <cellStyle name="Dziesiętny 2 25" xfId="18391"/>
    <cellStyle name="Dziesiętny 2 26" xfId="18392"/>
    <cellStyle name="Dziesiętny 2 27" xfId="18393"/>
    <cellStyle name="Dziesiętny 2 28" xfId="18394"/>
    <cellStyle name="Dziesiętny 2 29" xfId="18395"/>
    <cellStyle name="Dziesiętny 2 3" xfId="18396"/>
    <cellStyle name="Dziesiętny 2 3 2" xfId="18397"/>
    <cellStyle name="Dziesiętny 2 3 2 2" xfId="18398"/>
    <cellStyle name="Dziesiętny 2 3 3" xfId="18399"/>
    <cellStyle name="Dziesiętny 2 3 4" xfId="18400"/>
    <cellStyle name="Dziesiętny 2 3 5" xfId="18401"/>
    <cellStyle name="Dziesiętny 2 3 6" xfId="18402"/>
    <cellStyle name="Dziesiętny 2 3 7" xfId="18403"/>
    <cellStyle name="Dziesiętny 2 3 8" xfId="18404"/>
    <cellStyle name="Dziesiętny 2 30" xfId="18405"/>
    <cellStyle name="Dziesiętny 2 31" xfId="18406"/>
    <cellStyle name="Dziesiętny 2 32" xfId="18407"/>
    <cellStyle name="Dziesiętny 2 33" xfId="18408"/>
    <cellStyle name="Dziesiętny 2 34" xfId="18409"/>
    <cellStyle name="Dziesiętny 2 35" xfId="18410"/>
    <cellStyle name="Dziesiętny 2 36" xfId="18411"/>
    <cellStyle name="Dziesiętny 2 37" xfId="18412"/>
    <cellStyle name="Dziesiętny 2 38" xfId="18413"/>
    <cellStyle name="Dziesiętny 2 39" xfId="18414"/>
    <cellStyle name="Dziesiętny 2 4" xfId="18415"/>
    <cellStyle name="Dziesiętny 2 4 2" xfId="18416"/>
    <cellStyle name="Dziesiętny 2 4 3" xfId="18417"/>
    <cellStyle name="Dziesiętny 2 4 4" xfId="18418"/>
    <cellStyle name="Dziesiętny 2 4 5" xfId="18419"/>
    <cellStyle name="Dziesiętny 2 40" xfId="18420"/>
    <cellStyle name="Dziesiętny 2 41" xfId="18421"/>
    <cellStyle name="Dziesiętny 2 42" xfId="18422"/>
    <cellStyle name="Dziesiętny 2 43" xfId="18423"/>
    <cellStyle name="Dziesiętny 2 44" xfId="18424"/>
    <cellStyle name="Dziesiętny 2 45" xfId="18425"/>
    <cellStyle name="Dziesiętny 2 46" xfId="18426"/>
    <cellStyle name="Dziesiętny 2 47" xfId="18427"/>
    <cellStyle name="Dziesiętny 2 48" xfId="18428"/>
    <cellStyle name="Dziesiętny 2 49" xfId="18429"/>
    <cellStyle name="Dziesiętny 2 5" xfId="18430"/>
    <cellStyle name="Dziesiętny 2 5 2" xfId="18431"/>
    <cellStyle name="Dziesiętny 2 50" xfId="18432"/>
    <cellStyle name="Dziesiętny 2 51" xfId="18433"/>
    <cellStyle name="Dziesiętny 2 52" xfId="18434"/>
    <cellStyle name="Dziesiętny 2 53" xfId="18340"/>
    <cellStyle name="Dziesiętny 2 6" xfId="18435"/>
    <cellStyle name="Dziesiętny 2 6 2" xfId="18436"/>
    <cellStyle name="Dziesiętny 2 7" xfId="18437"/>
    <cellStyle name="Dziesiętny 2 7 2" xfId="18438"/>
    <cellStyle name="Dziesiętny 2 8" xfId="18439"/>
    <cellStyle name="Dziesiętny 2 8 2" xfId="18440"/>
    <cellStyle name="Dziesiętny 2 9" xfId="18441"/>
    <cellStyle name="Dziesiętny 2 9 2" xfId="18442"/>
    <cellStyle name="Dziesiętny 3" xfId="18443"/>
    <cellStyle name="Dziesiętny 3 10" xfId="18444"/>
    <cellStyle name="Dziesiętny 3 11" xfId="18445"/>
    <cellStyle name="Dziesiętny 3 12" xfId="18446"/>
    <cellStyle name="Dziesiętny 3 13" xfId="18447"/>
    <cellStyle name="Dziesiętny 3 14" xfId="18448"/>
    <cellStyle name="Dziesiętny 3 15" xfId="18449"/>
    <cellStyle name="Dziesiętny 3 16" xfId="18450"/>
    <cellStyle name="Dziesiętny 3 17" xfId="18451"/>
    <cellStyle name="Dziesiętny 3 18" xfId="18452"/>
    <cellStyle name="Dziesiętny 3 19" xfId="18453"/>
    <cellStyle name="Dziesiętny 3 2" xfId="18454"/>
    <cellStyle name="Dziesiętny 3 2 2" xfId="18455"/>
    <cellStyle name="Dziesiętny 3 2 3" xfId="18456"/>
    <cellStyle name="Dziesiętny 3 3" xfId="18457"/>
    <cellStyle name="Dziesiętny 3 3 2" xfId="18458"/>
    <cellStyle name="Dziesiętny 3 3 3" xfId="18459"/>
    <cellStyle name="Dziesiętny 3 4" xfId="17"/>
    <cellStyle name="Dziesiętny 3 4 2" xfId="18460"/>
    <cellStyle name="Dziesiętny 3 4 3" xfId="18461"/>
    <cellStyle name="Dziesiętny 3 4 4" xfId="18462"/>
    <cellStyle name="Dziesiętny 3 5" xfId="18463"/>
    <cellStyle name="Dziesiętny 3 6" xfId="18464"/>
    <cellStyle name="Dziesiętny 3 7" xfId="18465"/>
    <cellStyle name="Dziesiętny 3 8" xfId="18466"/>
    <cellStyle name="Dziesiętny 3 9" xfId="18467"/>
    <cellStyle name="Dziesiętny 4" xfId="18468"/>
    <cellStyle name="Dziesiętny 4 2" xfId="18469"/>
    <cellStyle name="Dziesiętny 4 2 2" xfId="18470"/>
    <cellStyle name="Dziesiętny 4 2 2 2" xfId="18471"/>
    <cellStyle name="Dziesiętny 4 2 3" xfId="18472"/>
    <cellStyle name="Dziesiętny 4 3" xfId="18473"/>
    <cellStyle name="Dziesiętny 4 3 2" xfId="18474"/>
    <cellStyle name="Dziesiętny 4 4" xfId="18475"/>
    <cellStyle name="Dziesiętny 4 4 2" xfId="18476"/>
    <cellStyle name="Dziesiętny 4 4 3" xfId="18477"/>
    <cellStyle name="Dziesiętny 4 5" xfId="18478"/>
    <cellStyle name="Dziesiętny 5" xfId="18479"/>
    <cellStyle name="Dziesiętny 5 2" xfId="18480"/>
    <cellStyle name="Dziesiętny 6" xfId="18481"/>
    <cellStyle name="Dziesiętny 6 2" xfId="18482"/>
    <cellStyle name="Dziesiętny 7" xfId="18483"/>
    <cellStyle name="Dziesiętny 8" xfId="18484"/>
    <cellStyle name="Dziesiętny 9" xfId="18485"/>
    <cellStyle name="E&amp;Y House" xfId="18486"/>
    <cellStyle name="Euro" xfId="18487"/>
    <cellStyle name="Euro 2" xfId="18488"/>
    <cellStyle name="Euro 2 2" xfId="18489"/>
    <cellStyle name="Euro 3" xfId="18490"/>
    <cellStyle name="Euro 3 2" xfId="18491"/>
    <cellStyle name="Euro 4" xfId="18492"/>
    <cellStyle name="Ezres [0]_cb-fr" xfId="18493"/>
    <cellStyle name="Ezres_cb-fr" xfId="18494"/>
    <cellStyle name="Family_Option" xfId="18495"/>
    <cellStyle name="FormBk" xfId="18496"/>
    <cellStyle name="general" xfId="18497"/>
    <cellStyle name="Grey" xfId="18498"/>
    <cellStyle name="GROS" xfId="18499"/>
    <cellStyle name="Header1" xfId="18500"/>
    <cellStyle name="Header2" xfId="18501"/>
    <cellStyle name="heading1" xfId="18502"/>
    <cellStyle name="heading2" xfId="18503"/>
    <cellStyle name="heading3" xfId="18504"/>
    <cellStyle name="heading4" xfId="18505"/>
    <cellStyle name="heading5" xfId="18506"/>
    <cellStyle name="Hiperłącze 2" xfId="18507"/>
    <cellStyle name="HUF" xfId="18508"/>
    <cellStyle name="Hyperlink_Arkusz Sygnity_2009H2 v10" xfId="18509"/>
    <cellStyle name="Input [yellow]" xfId="18510"/>
    <cellStyle name="International" xfId="18511"/>
    <cellStyle name="International1" xfId="18512"/>
    <cellStyle name="k$" xfId="18513"/>
    <cellStyle name="kECU" xfId="18514"/>
    <cellStyle name="kHUF" xfId="18515"/>
    <cellStyle name="kLE" xfId="18516"/>
    <cellStyle name="Komórka połączona 2" xfId="18517"/>
    <cellStyle name="Komórka połączona 2 10" xfId="18518"/>
    <cellStyle name="Komórka połączona 2 10 2" xfId="18519"/>
    <cellStyle name="Komórka połączona 2 10 3" xfId="18520"/>
    <cellStyle name="Komórka połączona 2 10 4" xfId="18521"/>
    <cellStyle name="Komórka połączona 2 10 5" xfId="18522"/>
    <cellStyle name="Komórka połączona 2 10 6" xfId="18523"/>
    <cellStyle name="Komórka połączona 2 10 7" xfId="18524"/>
    <cellStyle name="Komórka połączona 2 11" xfId="18525"/>
    <cellStyle name="Komórka połączona 2 11 2" xfId="18526"/>
    <cellStyle name="Komórka połączona 2 11 3" xfId="18527"/>
    <cellStyle name="Komórka połączona 2 11 4" xfId="18528"/>
    <cellStyle name="Komórka połączona 2 11 5" xfId="18529"/>
    <cellStyle name="Komórka połączona 2 11 6" xfId="18530"/>
    <cellStyle name="Komórka połączona 2 11 7" xfId="18531"/>
    <cellStyle name="Komórka połączona 2 12" xfId="18532"/>
    <cellStyle name="Komórka połączona 2 12 2" xfId="18533"/>
    <cellStyle name="Komórka połączona 2 12 3" xfId="18534"/>
    <cellStyle name="Komórka połączona 2 12 4" xfId="18535"/>
    <cellStyle name="Komórka połączona 2 12 5" xfId="18536"/>
    <cellStyle name="Komórka połączona 2 12 6" xfId="18537"/>
    <cellStyle name="Komórka połączona 2 12 7" xfId="18538"/>
    <cellStyle name="Komórka połączona 2 13" xfId="18539"/>
    <cellStyle name="Komórka połączona 2 13 2" xfId="18540"/>
    <cellStyle name="Komórka połączona 2 13 3" xfId="18541"/>
    <cellStyle name="Komórka połączona 2 13 4" xfId="18542"/>
    <cellStyle name="Komórka połączona 2 13 5" xfId="18543"/>
    <cellStyle name="Komórka połączona 2 13 6" xfId="18544"/>
    <cellStyle name="Komórka połączona 2 13 7" xfId="18545"/>
    <cellStyle name="Komórka połączona 2 14" xfId="18546"/>
    <cellStyle name="Komórka połączona 2 14 2" xfId="18547"/>
    <cellStyle name="Komórka połączona 2 14 3" xfId="18548"/>
    <cellStyle name="Komórka połączona 2 14 4" xfId="18549"/>
    <cellStyle name="Komórka połączona 2 14 5" xfId="18550"/>
    <cellStyle name="Komórka połączona 2 14 6" xfId="18551"/>
    <cellStyle name="Komórka połączona 2 14 7" xfId="18552"/>
    <cellStyle name="Komórka połączona 2 15" xfId="18553"/>
    <cellStyle name="Komórka połączona 2 15 2" xfId="18554"/>
    <cellStyle name="Komórka połączona 2 15 3" xfId="18555"/>
    <cellStyle name="Komórka połączona 2 15 4" xfId="18556"/>
    <cellStyle name="Komórka połączona 2 15 5" xfId="18557"/>
    <cellStyle name="Komórka połączona 2 15 6" xfId="18558"/>
    <cellStyle name="Komórka połączona 2 15 7" xfId="18559"/>
    <cellStyle name="Komórka połączona 2 16" xfId="18560"/>
    <cellStyle name="Komórka połączona 2 16 2" xfId="18561"/>
    <cellStyle name="Komórka połączona 2 16 3" xfId="18562"/>
    <cellStyle name="Komórka połączona 2 16 4" xfId="18563"/>
    <cellStyle name="Komórka połączona 2 16 5" xfId="18564"/>
    <cellStyle name="Komórka połączona 2 16 6" xfId="18565"/>
    <cellStyle name="Komórka połączona 2 16 7" xfId="18566"/>
    <cellStyle name="Komórka połączona 2 17" xfId="18567"/>
    <cellStyle name="Komórka połączona 2 17 2" xfId="18568"/>
    <cellStyle name="Komórka połączona 2 17 3" xfId="18569"/>
    <cellStyle name="Komórka połączona 2 17 4" xfId="18570"/>
    <cellStyle name="Komórka połączona 2 17 5" xfId="18571"/>
    <cellStyle name="Komórka połączona 2 17 6" xfId="18572"/>
    <cellStyle name="Komórka połączona 2 17 7" xfId="18573"/>
    <cellStyle name="Komórka połączona 2 18" xfId="18574"/>
    <cellStyle name="Komórka połączona 2 18 2" xfId="18575"/>
    <cellStyle name="Komórka połączona 2 18 3" xfId="18576"/>
    <cellStyle name="Komórka połączona 2 18 4" xfId="18577"/>
    <cellStyle name="Komórka połączona 2 18 5" xfId="18578"/>
    <cellStyle name="Komórka połączona 2 18 6" xfId="18579"/>
    <cellStyle name="Komórka połączona 2 18 7" xfId="18580"/>
    <cellStyle name="Komórka połączona 2 19" xfId="18581"/>
    <cellStyle name="Komórka połączona 2 19 2" xfId="18582"/>
    <cellStyle name="Komórka połączona 2 19 3" xfId="18583"/>
    <cellStyle name="Komórka połączona 2 19 4" xfId="18584"/>
    <cellStyle name="Komórka połączona 2 19 5" xfId="18585"/>
    <cellStyle name="Komórka połączona 2 19 6" xfId="18586"/>
    <cellStyle name="Komórka połączona 2 19 7" xfId="18587"/>
    <cellStyle name="Komórka połączona 2 2" xfId="18588"/>
    <cellStyle name="Komórka połączona 2 2 2" xfId="18589"/>
    <cellStyle name="Komórka połączona 2 2 3" xfId="18590"/>
    <cellStyle name="Komórka połączona 2 2 4" xfId="18591"/>
    <cellStyle name="Komórka połączona 2 2 5" xfId="18592"/>
    <cellStyle name="Komórka połączona 2 2 6" xfId="18593"/>
    <cellStyle name="Komórka połączona 2 2 7" xfId="18594"/>
    <cellStyle name="Komórka połączona 2 2 8" xfId="18595"/>
    <cellStyle name="Komórka połączona 2 20" xfId="18596"/>
    <cellStyle name="Komórka połączona 2 20 2" xfId="18597"/>
    <cellStyle name="Komórka połączona 2 20 3" xfId="18598"/>
    <cellStyle name="Komórka połączona 2 20 4" xfId="18599"/>
    <cellStyle name="Komórka połączona 2 20 5" xfId="18600"/>
    <cellStyle name="Komórka połączona 2 20 6" xfId="18601"/>
    <cellStyle name="Komórka połączona 2 20 7" xfId="18602"/>
    <cellStyle name="Komórka połączona 2 21" xfId="18603"/>
    <cellStyle name="Komórka połączona 2 21 2" xfId="18604"/>
    <cellStyle name="Komórka połączona 2 21 3" xfId="18605"/>
    <cellStyle name="Komórka połączona 2 21 4" xfId="18606"/>
    <cellStyle name="Komórka połączona 2 21 5" xfId="18607"/>
    <cellStyle name="Komórka połączona 2 21 6" xfId="18608"/>
    <cellStyle name="Komórka połączona 2 21 7" xfId="18609"/>
    <cellStyle name="Komórka połączona 2 22" xfId="18610"/>
    <cellStyle name="Komórka połączona 2 22 2" xfId="18611"/>
    <cellStyle name="Komórka połączona 2 22 3" xfId="18612"/>
    <cellStyle name="Komórka połączona 2 22 4" xfId="18613"/>
    <cellStyle name="Komórka połączona 2 22 5" xfId="18614"/>
    <cellStyle name="Komórka połączona 2 22 6" xfId="18615"/>
    <cellStyle name="Komórka połączona 2 22 7" xfId="18616"/>
    <cellStyle name="Komórka połączona 2 23" xfId="18617"/>
    <cellStyle name="Komórka połączona 2 23 2" xfId="18618"/>
    <cellStyle name="Komórka połączona 2 23 3" xfId="18619"/>
    <cellStyle name="Komórka połączona 2 23 4" xfId="18620"/>
    <cellStyle name="Komórka połączona 2 23 5" xfId="18621"/>
    <cellStyle name="Komórka połączona 2 23 6" xfId="18622"/>
    <cellStyle name="Komórka połączona 2 23 7" xfId="18623"/>
    <cellStyle name="Komórka połączona 2 24" xfId="18624"/>
    <cellStyle name="Komórka połączona 2 24 2" xfId="18625"/>
    <cellStyle name="Komórka połączona 2 24 3" xfId="18626"/>
    <cellStyle name="Komórka połączona 2 24 4" xfId="18627"/>
    <cellStyle name="Komórka połączona 2 24 5" xfId="18628"/>
    <cellStyle name="Komórka połączona 2 24 6" xfId="18629"/>
    <cellStyle name="Komórka połączona 2 24 7" xfId="18630"/>
    <cellStyle name="Komórka połączona 2 25" xfId="18631"/>
    <cellStyle name="Komórka połączona 2 25 2" xfId="18632"/>
    <cellStyle name="Komórka połączona 2 25 3" xfId="18633"/>
    <cellStyle name="Komórka połączona 2 25 4" xfId="18634"/>
    <cellStyle name="Komórka połączona 2 25 5" xfId="18635"/>
    <cellStyle name="Komórka połączona 2 25 6" xfId="18636"/>
    <cellStyle name="Komórka połączona 2 25 7" xfId="18637"/>
    <cellStyle name="Komórka połączona 2 26" xfId="18638"/>
    <cellStyle name="Komórka połączona 2 26 2" xfId="18639"/>
    <cellStyle name="Komórka połączona 2 26 3" xfId="18640"/>
    <cellStyle name="Komórka połączona 2 26 4" xfId="18641"/>
    <cellStyle name="Komórka połączona 2 26 5" xfId="18642"/>
    <cellStyle name="Komórka połączona 2 26 6" xfId="18643"/>
    <cellStyle name="Komórka połączona 2 26 7" xfId="18644"/>
    <cellStyle name="Komórka połączona 2 27" xfId="18645"/>
    <cellStyle name="Komórka połączona 2 27 2" xfId="18646"/>
    <cellStyle name="Komórka połączona 2 27 3" xfId="18647"/>
    <cellStyle name="Komórka połączona 2 27 4" xfId="18648"/>
    <cellStyle name="Komórka połączona 2 27 5" xfId="18649"/>
    <cellStyle name="Komórka połączona 2 27 6" xfId="18650"/>
    <cellStyle name="Komórka połączona 2 27 7" xfId="18651"/>
    <cellStyle name="Komórka połączona 2 28" xfId="18652"/>
    <cellStyle name="Komórka połączona 2 28 2" xfId="18653"/>
    <cellStyle name="Komórka połączona 2 28 3" xfId="18654"/>
    <cellStyle name="Komórka połączona 2 28 4" xfId="18655"/>
    <cellStyle name="Komórka połączona 2 28 5" xfId="18656"/>
    <cellStyle name="Komórka połączona 2 28 6" xfId="18657"/>
    <cellStyle name="Komórka połączona 2 28 7" xfId="18658"/>
    <cellStyle name="Komórka połączona 2 29" xfId="18659"/>
    <cellStyle name="Komórka połączona 2 29 2" xfId="18660"/>
    <cellStyle name="Komórka połączona 2 3" xfId="18661"/>
    <cellStyle name="Komórka połączona 2 3 2" xfId="18662"/>
    <cellStyle name="Komórka połączona 2 3 3" xfId="18663"/>
    <cellStyle name="Komórka połączona 2 3 4" xfId="18664"/>
    <cellStyle name="Komórka połączona 2 3 5" xfId="18665"/>
    <cellStyle name="Komórka połączona 2 3 6" xfId="18666"/>
    <cellStyle name="Komórka połączona 2 3 7" xfId="18667"/>
    <cellStyle name="Komórka połączona 2 30" xfId="18668"/>
    <cellStyle name="Komórka połączona 2 30 2" xfId="18669"/>
    <cellStyle name="Komórka połączona 2 31" xfId="18670"/>
    <cellStyle name="Komórka połączona 2 31 2" xfId="18671"/>
    <cellStyle name="Komórka połączona 2 32" xfId="18672"/>
    <cellStyle name="Komórka połączona 2 32 2" xfId="18673"/>
    <cellStyle name="Komórka połączona 2 33" xfId="18674"/>
    <cellStyle name="Komórka połączona 2 34" xfId="18675"/>
    <cellStyle name="Komórka połączona 2 35" xfId="18676"/>
    <cellStyle name="Komórka połączona 2 36" xfId="18677"/>
    <cellStyle name="Komórka połączona 2 37" xfId="18678"/>
    <cellStyle name="Komórka połączona 2 38" xfId="18679"/>
    <cellStyle name="Komórka połączona 2 4" xfId="18680"/>
    <cellStyle name="Komórka połączona 2 4 2" xfId="18681"/>
    <cellStyle name="Komórka połączona 2 4 3" xfId="18682"/>
    <cellStyle name="Komórka połączona 2 4 4" xfId="18683"/>
    <cellStyle name="Komórka połączona 2 4 5" xfId="18684"/>
    <cellStyle name="Komórka połączona 2 4 6" xfId="18685"/>
    <cellStyle name="Komórka połączona 2 4 7" xfId="18686"/>
    <cellStyle name="Komórka połączona 2 5" xfId="18687"/>
    <cellStyle name="Komórka połączona 2 5 2" xfId="18688"/>
    <cellStyle name="Komórka połączona 2 5 3" xfId="18689"/>
    <cellStyle name="Komórka połączona 2 5 4" xfId="18690"/>
    <cellStyle name="Komórka połączona 2 5 5" xfId="18691"/>
    <cellStyle name="Komórka połączona 2 5 6" xfId="18692"/>
    <cellStyle name="Komórka połączona 2 5 7" xfId="18693"/>
    <cellStyle name="Komórka połączona 2 6" xfId="18694"/>
    <cellStyle name="Komórka połączona 2 6 2" xfId="18695"/>
    <cellStyle name="Komórka połączona 2 6 3" xfId="18696"/>
    <cellStyle name="Komórka połączona 2 6 4" xfId="18697"/>
    <cellStyle name="Komórka połączona 2 6 5" xfId="18698"/>
    <cellStyle name="Komórka połączona 2 6 6" xfId="18699"/>
    <cellStyle name="Komórka połączona 2 6 7" xfId="18700"/>
    <cellStyle name="Komórka połączona 2 7" xfId="18701"/>
    <cellStyle name="Komórka połączona 2 7 2" xfId="18702"/>
    <cellStyle name="Komórka połączona 2 7 3" xfId="18703"/>
    <cellStyle name="Komórka połączona 2 7 4" xfId="18704"/>
    <cellStyle name="Komórka połączona 2 7 5" xfId="18705"/>
    <cellStyle name="Komórka połączona 2 7 6" xfId="18706"/>
    <cellStyle name="Komórka połączona 2 7 7" xfId="18707"/>
    <cellStyle name="Komórka połączona 2 8" xfId="18708"/>
    <cellStyle name="Komórka połączona 2 8 2" xfId="18709"/>
    <cellStyle name="Komórka połączona 2 8 3" xfId="18710"/>
    <cellStyle name="Komórka połączona 2 8 4" xfId="18711"/>
    <cellStyle name="Komórka połączona 2 8 5" xfId="18712"/>
    <cellStyle name="Komórka połączona 2 8 6" xfId="18713"/>
    <cellStyle name="Komórka połączona 2 8 7" xfId="18714"/>
    <cellStyle name="Komórka połączona 2 9" xfId="18715"/>
    <cellStyle name="Komórka połączona 2 9 2" xfId="18716"/>
    <cellStyle name="Komórka połączona 2 9 3" xfId="18717"/>
    <cellStyle name="Komórka połączona 2 9 4" xfId="18718"/>
    <cellStyle name="Komórka połączona 2 9 5" xfId="18719"/>
    <cellStyle name="Komórka połączona 2 9 6" xfId="18720"/>
    <cellStyle name="Komórka połączona 2 9 7" xfId="18721"/>
    <cellStyle name="Komórka połączona 3" xfId="18722"/>
    <cellStyle name="Komórka połączona 3 2" xfId="18723"/>
    <cellStyle name="Komórka połączona 3 2 2" xfId="18724"/>
    <cellStyle name="Komórka połączona 3 3" xfId="18725"/>
    <cellStyle name="Komórka połączona 3 4" xfId="18726"/>
    <cellStyle name="Komórka połączona 3 5" xfId="18727"/>
    <cellStyle name="Komórka połączona 3 6" xfId="18728"/>
    <cellStyle name="Komórka połączona 3 7" xfId="18729"/>
    <cellStyle name="Komórka połączona 3 8" xfId="18730"/>
    <cellStyle name="Komórka połączona 3 9" xfId="18731"/>
    <cellStyle name="Komórka połączona 4" xfId="18732"/>
    <cellStyle name="Komórka połączona 4 2" xfId="18733"/>
    <cellStyle name="Komórka połączona 4 3" xfId="18734"/>
    <cellStyle name="Komórka połączona 4 4" xfId="18735"/>
    <cellStyle name="Komórka połączona 4 5" xfId="18736"/>
    <cellStyle name="Komórka połączona 4 6" xfId="18737"/>
    <cellStyle name="Komórka połączona 4 7" xfId="18738"/>
    <cellStyle name="Komórka połączona 4 8" xfId="18739"/>
    <cellStyle name="Komórka połączona 4 9" xfId="18740"/>
    <cellStyle name="Komórka połączona 5" xfId="18741"/>
    <cellStyle name="Komórka połączona 5 2" xfId="18742"/>
    <cellStyle name="Komórka połączona 6" xfId="18743"/>
    <cellStyle name="Komórka połączona 7" xfId="18744"/>
    <cellStyle name="Komórka zaznaczona 2" xfId="18745"/>
    <cellStyle name="Komórka zaznaczona 2 10" xfId="18746"/>
    <cellStyle name="Komórka zaznaczona 2 10 2" xfId="18747"/>
    <cellStyle name="Komórka zaznaczona 2 10 3" xfId="18748"/>
    <cellStyle name="Komórka zaznaczona 2 10 4" xfId="18749"/>
    <cellStyle name="Komórka zaznaczona 2 10 5" xfId="18750"/>
    <cellStyle name="Komórka zaznaczona 2 10 6" xfId="18751"/>
    <cellStyle name="Komórka zaznaczona 2 10 7" xfId="18752"/>
    <cellStyle name="Komórka zaznaczona 2 11" xfId="18753"/>
    <cellStyle name="Komórka zaznaczona 2 11 2" xfId="18754"/>
    <cellStyle name="Komórka zaznaczona 2 11 3" xfId="18755"/>
    <cellStyle name="Komórka zaznaczona 2 11 4" xfId="18756"/>
    <cellStyle name="Komórka zaznaczona 2 11 5" xfId="18757"/>
    <cellStyle name="Komórka zaznaczona 2 11 6" xfId="18758"/>
    <cellStyle name="Komórka zaznaczona 2 11 7" xfId="18759"/>
    <cellStyle name="Komórka zaznaczona 2 12" xfId="18760"/>
    <cellStyle name="Komórka zaznaczona 2 12 2" xfId="18761"/>
    <cellStyle name="Komórka zaznaczona 2 12 3" xfId="18762"/>
    <cellStyle name="Komórka zaznaczona 2 12 4" xfId="18763"/>
    <cellStyle name="Komórka zaznaczona 2 12 5" xfId="18764"/>
    <cellStyle name="Komórka zaznaczona 2 12 6" xfId="18765"/>
    <cellStyle name="Komórka zaznaczona 2 12 7" xfId="18766"/>
    <cellStyle name="Komórka zaznaczona 2 13" xfId="18767"/>
    <cellStyle name="Komórka zaznaczona 2 13 2" xfId="18768"/>
    <cellStyle name="Komórka zaznaczona 2 13 3" xfId="18769"/>
    <cellStyle name="Komórka zaznaczona 2 13 4" xfId="18770"/>
    <cellStyle name="Komórka zaznaczona 2 13 5" xfId="18771"/>
    <cellStyle name="Komórka zaznaczona 2 13 6" xfId="18772"/>
    <cellStyle name="Komórka zaznaczona 2 13 7" xfId="18773"/>
    <cellStyle name="Komórka zaznaczona 2 14" xfId="18774"/>
    <cellStyle name="Komórka zaznaczona 2 14 2" xfId="18775"/>
    <cellStyle name="Komórka zaznaczona 2 14 3" xfId="18776"/>
    <cellStyle name="Komórka zaznaczona 2 14 4" xfId="18777"/>
    <cellStyle name="Komórka zaznaczona 2 14 5" xfId="18778"/>
    <cellStyle name="Komórka zaznaczona 2 14 6" xfId="18779"/>
    <cellStyle name="Komórka zaznaczona 2 14 7" xfId="18780"/>
    <cellStyle name="Komórka zaznaczona 2 15" xfId="18781"/>
    <cellStyle name="Komórka zaznaczona 2 15 2" xfId="18782"/>
    <cellStyle name="Komórka zaznaczona 2 15 3" xfId="18783"/>
    <cellStyle name="Komórka zaznaczona 2 15 4" xfId="18784"/>
    <cellStyle name="Komórka zaznaczona 2 15 5" xfId="18785"/>
    <cellStyle name="Komórka zaznaczona 2 15 6" xfId="18786"/>
    <cellStyle name="Komórka zaznaczona 2 15 7" xfId="18787"/>
    <cellStyle name="Komórka zaznaczona 2 16" xfId="18788"/>
    <cellStyle name="Komórka zaznaczona 2 16 2" xfId="18789"/>
    <cellStyle name="Komórka zaznaczona 2 16 3" xfId="18790"/>
    <cellStyle name="Komórka zaznaczona 2 16 4" xfId="18791"/>
    <cellStyle name="Komórka zaznaczona 2 16 5" xfId="18792"/>
    <cellStyle name="Komórka zaznaczona 2 16 6" xfId="18793"/>
    <cellStyle name="Komórka zaznaczona 2 16 7" xfId="18794"/>
    <cellStyle name="Komórka zaznaczona 2 17" xfId="18795"/>
    <cellStyle name="Komórka zaznaczona 2 17 2" xfId="18796"/>
    <cellStyle name="Komórka zaznaczona 2 17 3" xfId="18797"/>
    <cellStyle name="Komórka zaznaczona 2 17 4" xfId="18798"/>
    <cellStyle name="Komórka zaznaczona 2 17 5" xfId="18799"/>
    <cellStyle name="Komórka zaznaczona 2 17 6" xfId="18800"/>
    <cellStyle name="Komórka zaznaczona 2 17 7" xfId="18801"/>
    <cellStyle name="Komórka zaznaczona 2 18" xfId="18802"/>
    <cellStyle name="Komórka zaznaczona 2 18 2" xfId="18803"/>
    <cellStyle name="Komórka zaznaczona 2 18 3" xfId="18804"/>
    <cellStyle name="Komórka zaznaczona 2 18 4" xfId="18805"/>
    <cellStyle name="Komórka zaznaczona 2 18 5" xfId="18806"/>
    <cellStyle name="Komórka zaznaczona 2 18 6" xfId="18807"/>
    <cellStyle name="Komórka zaznaczona 2 18 7" xfId="18808"/>
    <cellStyle name="Komórka zaznaczona 2 19" xfId="18809"/>
    <cellStyle name="Komórka zaznaczona 2 19 2" xfId="18810"/>
    <cellStyle name="Komórka zaznaczona 2 19 3" xfId="18811"/>
    <cellStyle name="Komórka zaznaczona 2 19 4" xfId="18812"/>
    <cellStyle name="Komórka zaznaczona 2 19 5" xfId="18813"/>
    <cellStyle name="Komórka zaznaczona 2 19 6" xfId="18814"/>
    <cellStyle name="Komórka zaznaczona 2 19 7" xfId="18815"/>
    <cellStyle name="Komórka zaznaczona 2 2" xfId="18816"/>
    <cellStyle name="Komórka zaznaczona 2 2 2" xfId="18817"/>
    <cellStyle name="Komórka zaznaczona 2 2 3" xfId="18818"/>
    <cellStyle name="Komórka zaznaczona 2 2 4" xfId="18819"/>
    <cellStyle name="Komórka zaznaczona 2 2 5" xfId="18820"/>
    <cellStyle name="Komórka zaznaczona 2 2 6" xfId="18821"/>
    <cellStyle name="Komórka zaznaczona 2 2 7" xfId="18822"/>
    <cellStyle name="Komórka zaznaczona 2 2 8" xfId="18823"/>
    <cellStyle name="Komórka zaznaczona 2 20" xfId="18824"/>
    <cellStyle name="Komórka zaznaczona 2 20 2" xfId="18825"/>
    <cellStyle name="Komórka zaznaczona 2 20 3" xfId="18826"/>
    <cellStyle name="Komórka zaznaczona 2 20 4" xfId="18827"/>
    <cellStyle name="Komórka zaznaczona 2 20 5" xfId="18828"/>
    <cellStyle name="Komórka zaznaczona 2 20 6" xfId="18829"/>
    <cellStyle name="Komórka zaznaczona 2 20 7" xfId="18830"/>
    <cellStyle name="Komórka zaznaczona 2 21" xfId="18831"/>
    <cellStyle name="Komórka zaznaczona 2 21 2" xfId="18832"/>
    <cellStyle name="Komórka zaznaczona 2 21 3" xfId="18833"/>
    <cellStyle name="Komórka zaznaczona 2 21 4" xfId="18834"/>
    <cellStyle name="Komórka zaznaczona 2 21 5" xfId="18835"/>
    <cellStyle name="Komórka zaznaczona 2 21 6" xfId="18836"/>
    <cellStyle name="Komórka zaznaczona 2 21 7" xfId="18837"/>
    <cellStyle name="Komórka zaznaczona 2 22" xfId="18838"/>
    <cellStyle name="Komórka zaznaczona 2 22 2" xfId="18839"/>
    <cellStyle name="Komórka zaznaczona 2 22 3" xfId="18840"/>
    <cellStyle name="Komórka zaznaczona 2 22 4" xfId="18841"/>
    <cellStyle name="Komórka zaznaczona 2 22 5" xfId="18842"/>
    <cellStyle name="Komórka zaznaczona 2 22 6" xfId="18843"/>
    <cellStyle name="Komórka zaznaczona 2 22 7" xfId="18844"/>
    <cellStyle name="Komórka zaznaczona 2 23" xfId="18845"/>
    <cellStyle name="Komórka zaznaczona 2 23 2" xfId="18846"/>
    <cellStyle name="Komórka zaznaczona 2 23 3" xfId="18847"/>
    <cellStyle name="Komórka zaznaczona 2 23 4" xfId="18848"/>
    <cellStyle name="Komórka zaznaczona 2 23 5" xfId="18849"/>
    <cellStyle name="Komórka zaznaczona 2 23 6" xfId="18850"/>
    <cellStyle name="Komórka zaznaczona 2 23 7" xfId="18851"/>
    <cellStyle name="Komórka zaznaczona 2 24" xfId="18852"/>
    <cellStyle name="Komórka zaznaczona 2 24 2" xfId="18853"/>
    <cellStyle name="Komórka zaznaczona 2 24 3" xfId="18854"/>
    <cellStyle name="Komórka zaznaczona 2 24 4" xfId="18855"/>
    <cellStyle name="Komórka zaznaczona 2 24 5" xfId="18856"/>
    <cellStyle name="Komórka zaznaczona 2 24 6" xfId="18857"/>
    <cellStyle name="Komórka zaznaczona 2 24 7" xfId="18858"/>
    <cellStyle name="Komórka zaznaczona 2 25" xfId="18859"/>
    <cellStyle name="Komórka zaznaczona 2 25 2" xfId="18860"/>
    <cellStyle name="Komórka zaznaczona 2 25 3" xfId="18861"/>
    <cellStyle name="Komórka zaznaczona 2 25 4" xfId="18862"/>
    <cellStyle name="Komórka zaznaczona 2 25 5" xfId="18863"/>
    <cellStyle name="Komórka zaznaczona 2 25 6" xfId="18864"/>
    <cellStyle name="Komórka zaznaczona 2 25 7" xfId="18865"/>
    <cellStyle name="Komórka zaznaczona 2 26" xfId="18866"/>
    <cellStyle name="Komórka zaznaczona 2 26 2" xfId="18867"/>
    <cellStyle name="Komórka zaznaczona 2 26 3" xfId="18868"/>
    <cellStyle name="Komórka zaznaczona 2 26 4" xfId="18869"/>
    <cellStyle name="Komórka zaznaczona 2 26 5" xfId="18870"/>
    <cellStyle name="Komórka zaznaczona 2 26 6" xfId="18871"/>
    <cellStyle name="Komórka zaznaczona 2 26 7" xfId="18872"/>
    <cellStyle name="Komórka zaznaczona 2 27" xfId="18873"/>
    <cellStyle name="Komórka zaznaczona 2 27 2" xfId="18874"/>
    <cellStyle name="Komórka zaznaczona 2 27 3" xfId="18875"/>
    <cellStyle name="Komórka zaznaczona 2 27 4" xfId="18876"/>
    <cellStyle name="Komórka zaznaczona 2 27 5" xfId="18877"/>
    <cellStyle name="Komórka zaznaczona 2 27 6" xfId="18878"/>
    <cellStyle name="Komórka zaznaczona 2 27 7" xfId="18879"/>
    <cellStyle name="Komórka zaznaczona 2 28" xfId="18880"/>
    <cellStyle name="Komórka zaznaczona 2 28 2" xfId="18881"/>
    <cellStyle name="Komórka zaznaczona 2 28 3" xfId="18882"/>
    <cellStyle name="Komórka zaznaczona 2 28 4" xfId="18883"/>
    <cellStyle name="Komórka zaznaczona 2 28 5" xfId="18884"/>
    <cellStyle name="Komórka zaznaczona 2 28 6" xfId="18885"/>
    <cellStyle name="Komórka zaznaczona 2 28 7" xfId="18886"/>
    <cellStyle name="Komórka zaznaczona 2 29" xfId="18887"/>
    <cellStyle name="Komórka zaznaczona 2 29 2" xfId="18888"/>
    <cellStyle name="Komórka zaznaczona 2 3" xfId="18889"/>
    <cellStyle name="Komórka zaznaczona 2 3 2" xfId="18890"/>
    <cellStyle name="Komórka zaznaczona 2 3 3" xfId="18891"/>
    <cellStyle name="Komórka zaznaczona 2 3 4" xfId="18892"/>
    <cellStyle name="Komórka zaznaczona 2 3 5" xfId="18893"/>
    <cellStyle name="Komórka zaznaczona 2 3 6" xfId="18894"/>
    <cellStyle name="Komórka zaznaczona 2 3 7" xfId="18895"/>
    <cellStyle name="Komórka zaznaczona 2 30" xfId="18896"/>
    <cellStyle name="Komórka zaznaczona 2 30 2" xfId="18897"/>
    <cellStyle name="Komórka zaznaczona 2 31" xfId="18898"/>
    <cellStyle name="Komórka zaznaczona 2 31 2" xfId="18899"/>
    <cellStyle name="Komórka zaznaczona 2 32" xfId="18900"/>
    <cellStyle name="Komórka zaznaczona 2 32 2" xfId="18901"/>
    <cellStyle name="Komórka zaznaczona 2 33" xfId="18902"/>
    <cellStyle name="Komórka zaznaczona 2 34" xfId="18903"/>
    <cellStyle name="Komórka zaznaczona 2 35" xfId="18904"/>
    <cellStyle name="Komórka zaznaczona 2 36" xfId="18905"/>
    <cellStyle name="Komórka zaznaczona 2 37" xfId="18906"/>
    <cellStyle name="Komórka zaznaczona 2 38" xfId="18907"/>
    <cellStyle name="Komórka zaznaczona 2 39" xfId="18908"/>
    <cellStyle name="Komórka zaznaczona 2 4" xfId="18909"/>
    <cellStyle name="Komórka zaznaczona 2 4 2" xfId="18910"/>
    <cellStyle name="Komórka zaznaczona 2 4 3" xfId="18911"/>
    <cellStyle name="Komórka zaznaczona 2 4 4" xfId="18912"/>
    <cellStyle name="Komórka zaznaczona 2 4 5" xfId="18913"/>
    <cellStyle name="Komórka zaznaczona 2 4 6" xfId="18914"/>
    <cellStyle name="Komórka zaznaczona 2 4 7" xfId="18915"/>
    <cellStyle name="Komórka zaznaczona 2 40" xfId="18916"/>
    <cellStyle name="Komórka zaznaczona 2 41" xfId="18917"/>
    <cellStyle name="Komórka zaznaczona 2 42" xfId="18918"/>
    <cellStyle name="Komórka zaznaczona 2 43" xfId="18919"/>
    <cellStyle name="Komórka zaznaczona 2 44" xfId="18920"/>
    <cellStyle name="Komórka zaznaczona 2 45" xfId="18921"/>
    <cellStyle name="Komórka zaznaczona 2 46" xfId="18922"/>
    <cellStyle name="Komórka zaznaczona 2 47" xfId="18923"/>
    <cellStyle name="Komórka zaznaczona 2 48" xfId="18924"/>
    <cellStyle name="Komórka zaznaczona 2 49" xfId="18925"/>
    <cellStyle name="Komórka zaznaczona 2 5" xfId="18926"/>
    <cellStyle name="Komórka zaznaczona 2 5 2" xfId="18927"/>
    <cellStyle name="Komórka zaznaczona 2 5 3" xfId="18928"/>
    <cellStyle name="Komórka zaznaczona 2 5 4" xfId="18929"/>
    <cellStyle name="Komórka zaznaczona 2 5 5" xfId="18930"/>
    <cellStyle name="Komórka zaznaczona 2 5 6" xfId="18931"/>
    <cellStyle name="Komórka zaznaczona 2 5 7" xfId="18932"/>
    <cellStyle name="Komórka zaznaczona 2 50" xfId="18933"/>
    <cellStyle name="Komórka zaznaczona 2 51" xfId="18934"/>
    <cellStyle name="Komórka zaznaczona 2 52" xfId="18935"/>
    <cellStyle name="Komórka zaznaczona 2 53" xfId="18936"/>
    <cellStyle name="Komórka zaznaczona 2 54" xfId="18937"/>
    <cellStyle name="Komórka zaznaczona 2 6" xfId="18938"/>
    <cellStyle name="Komórka zaznaczona 2 6 2" xfId="18939"/>
    <cellStyle name="Komórka zaznaczona 2 6 3" xfId="18940"/>
    <cellStyle name="Komórka zaznaczona 2 6 4" xfId="18941"/>
    <cellStyle name="Komórka zaznaczona 2 6 5" xfId="18942"/>
    <cellStyle name="Komórka zaznaczona 2 6 6" xfId="18943"/>
    <cellStyle name="Komórka zaznaczona 2 6 7" xfId="18944"/>
    <cellStyle name="Komórka zaznaczona 2 7" xfId="18945"/>
    <cellStyle name="Komórka zaznaczona 2 7 2" xfId="18946"/>
    <cellStyle name="Komórka zaznaczona 2 7 3" xfId="18947"/>
    <cellStyle name="Komórka zaznaczona 2 7 4" xfId="18948"/>
    <cellStyle name="Komórka zaznaczona 2 7 5" xfId="18949"/>
    <cellStyle name="Komórka zaznaczona 2 7 6" xfId="18950"/>
    <cellStyle name="Komórka zaznaczona 2 7 7" xfId="18951"/>
    <cellStyle name="Komórka zaznaczona 2 8" xfId="18952"/>
    <cellStyle name="Komórka zaznaczona 2 8 2" xfId="18953"/>
    <cellStyle name="Komórka zaznaczona 2 8 3" xfId="18954"/>
    <cellStyle name="Komórka zaznaczona 2 8 4" xfId="18955"/>
    <cellStyle name="Komórka zaznaczona 2 8 5" xfId="18956"/>
    <cellStyle name="Komórka zaznaczona 2 8 6" xfId="18957"/>
    <cellStyle name="Komórka zaznaczona 2 8 7" xfId="18958"/>
    <cellStyle name="Komórka zaznaczona 2 9" xfId="18959"/>
    <cellStyle name="Komórka zaznaczona 2 9 2" xfId="18960"/>
    <cellStyle name="Komórka zaznaczona 2 9 3" xfId="18961"/>
    <cellStyle name="Komórka zaznaczona 2 9 4" xfId="18962"/>
    <cellStyle name="Komórka zaznaczona 2 9 5" xfId="18963"/>
    <cellStyle name="Komórka zaznaczona 2 9 6" xfId="18964"/>
    <cellStyle name="Komórka zaznaczona 2 9 7" xfId="18965"/>
    <cellStyle name="Komórka zaznaczona 3" xfId="18966"/>
    <cellStyle name="Komórka zaznaczona 3 10" xfId="18967"/>
    <cellStyle name="Komórka zaznaczona 3 2" xfId="18968"/>
    <cellStyle name="Komórka zaznaczona 3 2 2" xfId="18969"/>
    <cellStyle name="Komórka zaznaczona 3 2 3" xfId="18970"/>
    <cellStyle name="Komórka zaznaczona 3 3" xfId="18971"/>
    <cellStyle name="Komórka zaznaczona 3 4" xfId="18972"/>
    <cellStyle name="Komórka zaznaczona 3 5" xfId="18973"/>
    <cellStyle name="Komórka zaznaczona 3 6" xfId="18974"/>
    <cellStyle name="Komórka zaznaczona 3 7" xfId="18975"/>
    <cellStyle name="Komórka zaznaczona 3 8" xfId="18976"/>
    <cellStyle name="Komórka zaznaczona 3 9" xfId="18977"/>
    <cellStyle name="Komórka zaznaczona 4" xfId="18978"/>
    <cellStyle name="Komórka zaznaczona 4 10" xfId="18979"/>
    <cellStyle name="Komórka zaznaczona 4 2" xfId="18980"/>
    <cellStyle name="Komórka zaznaczona 4 3" xfId="18981"/>
    <cellStyle name="Komórka zaznaczona 4 4" xfId="18982"/>
    <cellStyle name="Komórka zaznaczona 4 5" xfId="18983"/>
    <cellStyle name="Komórka zaznaczona 4 6" xfId="18984"/>
    <cellStyle name="Komórka zaznaczona 4 7" xfId="18985"/>
    <cellStyle name="Komórka zaznaczona 4 8" xfId="18986"/>
    <cellStyle name="Komórka zaznaczona 4 9" xfId="18987"/>
    <cellStyle name="Komórka zaznaczona 5" xfId="18988"/>
    <cellStyle name="Komórka zaznaczona 5 2" xfId="18989"/>
    <cellStyle name="Komórka zaznaczona 5 3" xfId="18990"/>
    <cellStyle name="Komórka zaznaczona 6" xfId="18991"/>
    <cellStyle name="Komórka zaznaczona 6 2" xfId="18992"/>
    <cellStyle name="Komórka zaznaczona 7" xfId="18993"/>
    <cellStyle name="LP0" xfId="18994"/>
    <cellStyle name="měny_laroux" xfId="18995"/>
    <cellStyle name="Miglia - Style1" xfId="18996"/>
    <cellStyle name="Migliaia (0)" xfId="18997"/>
    <cellStyle name="Milliers [0]_CASHUPDA" xfId="18998"/>
    <cellStyle name="Milliers_CASHUPDA" xfId="18999"/>
    <cellStyle name="Monétaire [0]_CASHUPDA" xfId="19000"/>
    <cellStyle name="Monétaire_CASHUPDA" xfId="19001"/>
    <cellStyle name="Nagłówek 1 2" xfId="19002"/>
    <cellStyle name="Nagłówek 1 2 10" xfId="19003"/>
    <cellStyle name="Nagłówek 1 2 10 2" xfId="19004"/>
    <cellStyle name="Nagłówek 1 2 10 3" xfId="19005"/>
    <cellStyle name="Nagłówek 1 2 10 4" xfId="19006"/>
    <cellStyle name="Nagłówek 1 2 10 5" xfId="19007"/>
    <cellStyle name="Nagłówek 1 2 10 6" xfId="19008"/>
    <cellStyle name="Nagłówek 1 2 10 7" xfId="19009"/>
    <cellStyle name="Nagłówek 1 2 11" xfId="19010"/>
    <cellStyle name="Nagłówek 1 2 11 2" xfId="19011"/>
    <cellStyle name="Nagłówek 1 2 11 3" xfId="19012"/>
    <cellStyle name="Nagłówek 1 2 11 4" xfId="19013"/>
    <cellStyle name="Nagłówek 1 2 11 5" xfId="19014"/>
    <cellStyle name="Nagłówek 1 2 11 6" xfId="19015"/>
    <cellStyle name="Nagłówek 1 2 11 7" xfId="19016"/>
    <cellStyle name="Nagłówek 1 2 12" xfId="19017"/>
    <cellStyle name="Nagłówek 1 2 12 2" xfId="19018"/>
    <cellStyle name="Nagłówek 1 2 12 3" xfId="19019"/>
    <cellStyle name="Nagłówek 1 2 12 4" xfId="19020"/>
    <cellStyle name="Nagłówek 1 2 12 5" xfId="19021"/>
    <cellStyle name="Nagłówek 1 2 12 6" xfId="19022"/>
    <cellStyle name="Nagłówek 1 2 12 7" xfId="19023"/>
    <cellStyle name="Nagłówek 1 2 13" xfId="19024"/>
    <cellStyle name="Nagłówek 1 2 13 2" xfId="19025"/>
    <cellStyle name="Nagłówek 1 2 13 3" xfId="19026"/>
    <cellStyle name="Nagłówek 1 2 13 4" xfId="19027"/>
    <cellStyle name="Nagłówek 1 2 13 5" xfId="19028"/>
    <cellStyle name="Nagłówek 1 2 13 6" xfId="19029"/>
    <cellStyle name="Nagłówek 1 2 13 7" xfId="19030"/>
    <cellStyle name="Nagłówek 1 2 14" xfId="19031"/>
    <cellStyle name="Nagłówek 1 2 14 2" xfId="19032"/>
    <cellStyle name="Nagłówek 1 2 14 3" xfId="19033"/>
    <cellStyle name="Nagłówek 1 2 14 4" xfId="19034"/>
    <cellStyle name="Nagłówek 1 2 14 5" xfId="19035"/>
    <cellStyle name="Nagłówek 1 2 14 6" xfId="19036"/>
    <cellStyle name="Nagłówek 1 2 14 7" xfId="19037"/>
    <cellStyle name="Nagłówek 1 2 15" xfId="19038"/>
    <cellStyle name="Nagłówek 1 2 15 2" xfId="19039"/>
    <cellStyle name="Nagłówek 1 2 15 3" xfId="19040"/>
    <cellStyle name="Nagłówek 1 2 15 4" xfId="19041"/>
    <cellStyle name="Nagłówek 1 2 15 5" xfId="19042"/>
    <cellStyle name="Nagłówek 1 2 15 6" xfId="19043"/>
    <cellStyle name="Nagłówek 1 2 15 7" xfId="19044"/>
    <cellStyle name="Nagłówek 1 2 16" xfId="19045"/>
    <cellStyle name="Nagłówek 1 2 16 2" xfId="19046"/>
    <cellStyle name="Nagłówek 1 2 16 3" xfId="19047"/>
    <cellStyle name="Nagłówek 1 2 16 4" xfId="19048"/>
    <cellStyle name="Nagłówek 1 2 16 5" xfId="19049"/>
    <cellStyle name="Nagłówek 1 2 16 6" xfId="19050"/>
    <cellStyle name="Nagłówek 1 2 16 7" xfId="19051"/>
    <cellStyle name="Nagłówek 1 2 17" xfId="19052"/>
    <cellStyle name="Nagłówek 1 2 17 2" xfId="19053"/>
    <cellStyle name="Nagłówek 1 2 17 3" xfId="19054"/>
    <cellStyle name="Nagłówek 1 2 17 4" xfId="19055"/>
    <cellStyle name="Nagłówek 1 2 17 5" xfId="19056"/>
    <cellStyle name="Nagłówek 1 2 17 6" xfId="19057"/>
    <cellStyle name="Nagłówek 1 2 17 7" xfId="19058"/>
    <cellStyle name="Nagłówek 1 2 18" xfId="19059"/>
    <cellStyle name="Nagłówek 1 2 18 2" xfId="19060"/>
    <cellStyle name="Nagłówek 1 2 18 3" xfId="19061"/>
    <cellStyle name="Nagłówek 1 2 18 4" xfId="19062"/>
    <cellStyle name="Nagłówek 1 2 18 5" xfId="19063"/>
    <cellStyle name="Nagłówek 1 2 18 6" xfId="19064"/>
    <cellStyle name="Nagłówek 1 2 18 7" xfId="19065"/>
    <cellStyle name="Nagłówek 1 2 19" xfId="19066"/>
    <cellStyle name="Nagłówek 1 2 19 2" xfId="19067"/>
    <cellStyle name="Nagłówek 1 2 19 3" xfId="19068"/>
    <cellStyle name="Nagłówek 1 2 19 4" xfId="19069"/>
    <cellStyle name="Nagłówek 1 2 19 5" xfId="19070"/>
    <cellStyle name="Nagłówek 1 2 19 6" xfId="19071"/>
    <cellStyle name="Nagłówek 1 2 19 7" xfId="19072"/>
    <cellStyle name="Nagłówek 1 2 2" xfId="19073"/>
    <cellStyle name="Nagłówek 1 2 2 2" xfId="19074"/>
    <cellStyle name="Nagłówek 1 2 2 3" xfId="19075"/>
    <cellStyle name="Nagłówek 1 2 2 4" xfId="19076"/>
    <cellStyle name="Nagłówek 1 2 2 5" xfId="19077"/>
    <cellStyle name="Nagłówek 1 2 2 6" xfId="19078"/>
    <cellStyle name="Nagłówek 1 2 2 7" xfId="19079"/>
    <cellStyle name="Nagłówek 1 2 2 8" xfId="19080"/>
    <cellStyle name="Nagłówek 1 2 20" xfId="19081"/>
    <cellStyle name="Nagłówek 1 2 20 2" xfId="19082"/>
    <cellStyle name="Nagłówek 1 2 20 3" xfId="19083"/>
    <cellStyle name="Nagłówek 1 2 20 4" xfId="19084"/>
    <cellStyle name="Nagłówek 1 2 20 5" xfId="19085"/>
    <cellStyle name="Nagłówek 1 2 20 6" xfId="19086"/>
    <cellStyle name="Nagłówek 1 2 20 7" xfId="19087"/>
    <cellStyle name="Nagłówek 1 2 21" xfId="19088"/>
    <cellStyle name="Nagłówek 1 2 21 2" xfId="19089"/>
    <cellStyle name="Nagłówek 1 2 21 3" xfId="19090"/>
    <cellStyle name="Nagłówek 1 2 21 4" xfId="19091"/>
    <cellStyle name="Nagłówek 1 2 21 5" xfId="19092"/>
    <cellStyle name="Nagłówek 1 2 21 6" xfId="19093"/>
    <cellStyle name="Nagłówek 1 2 21 7" xfId="19094"/>
    <cellStyle name="Nagłówek 1 2 22" xfId="19095"/>
    <cellStyle name="Nagłówek 1 2 22 2" xfId="19096"/>
    <cellStyle name="Nagłówek 1 2 22 3" xfId="19097"/>
    <cellStyle name="Nagłówek 1 2 22 4" xfId="19098"/>
    <cellStyle name="Nagłówek 1 2 22 5" xfId="19099"/>
    <cellStyle name="Nagłówek 1 2 22 6" xfId="19100"/>
    <cellStyle name="Nagłówek 1 2 22 7" xfId="19101"/>
    <cellStyle name="Nagłówek 1 2 23" xfId="19102"/>
    <cellStyle name="Nagłówek 1 2 23 2" xfId="19103"/>
    <cellStyle name="Nagłówek 1 2 23 3" xfId="19104"/>
    <cellStyle name="Nagłówek 1 2 23 4" xfId="19105"/>
    <cellStyle name="Nagłówek 1 2 23 5" xfId="19106"/>
    <cellStyle name="Nagłówek 1 2 23 6" xfId="19107"/>
    <cellStyle name="Nagłówek 1 2 23 7" xfId="19108"/>
    <cellStyle name="Nagłówek 1 2 24" xfId="19109"/>
    <cellStyle name="Nagłówek 1 2 24 2" xfId="19110"/>
    <cellStyle name="Nagłówek 1 2 24 3" xfId="19111"/>
    <cellStyle name="Nagłówek 1 2 24 4" xfId="19112"/>
    <cellStyle name="Nagłówek 1 2 24 5" xfId="19113"/>
    <cellStyle name="Nagłówek 1 2 24 6" xfId="19114"/>
    <cellStyle name="Nagłówek 1 2 24 7" xfId="19115"/>
    <cellStyle name="Nagłówek 1 2 25" xfId="19116"/>
    <cellStyle name="Nagłówek 1 2 25 2" xfId="19117"/>
    <cellStyle name="Nagłówek 1 2 25 3" xfId="19118"/>
    <cellStyle name="Nagłówek 1 2 25 4" xfId="19119"/>
    <cellStyle name="Nagłówek 1 2 25 5" xfId="19120"/>
    <cellStyle name="Nagłówek 1 2 25 6" xfId="19121"/>
    <cellStyle name="Nagłówek 1 2 25 7" xfId="19122"/>
    <cellStyle name="Nagłówek 1 2 26" xfId="19123"/>
    <cellStyle name="Nagłówek 1 2 26 2" xfId="19124"/>
    <cellStyle name="Nagłówek 1 2 26 3" xfId="19125"/>
    <cellStyle name="Nagłówek 1 2 26 4" xfId="19126"/>
    <cellStyle name="Nagłówek 1 2 26 5" xfId="19127"/>
    <cellStyle name="Nagłówek 1 2 26 6" xfId="19128"/>
    <cellStyle name="Nagłówek 1 2 26 7" xfId="19129"/>
    <cellStyle name="Nagłówek 1 2 27" xfId="19130"/>
    <cellStyle name="Nagłówek 1 2 27 2" xfId="19131"/>
    <cellStyle name="Nagłówek 1 2 27 3" xfId="19132"/>
    <cellStyle name="Nagłówek 1 2 27 4" xfId="19133"/>
    <cellStyle name="Nagłówek 1 2 27 5" xfId="19134"/>
    <cellStyle name="Nagłówek 1 2 27 6" xfId="19135"/>
    <cellStyle name="Nagłówek 1 2 27 7" xfId="19136"/>
    <cellStyle name="Nagłówek 1 2 28" xfId="19137"/>
    <cellStyle name="Nagłówek 1 2 28 2" xfId="19138"/>
    <cellStyle name="Nagłówek 1 2 28 3" xfId="19139"/>
    <cellStyle name="Nagłówek 1 2 28 4" xfId="19140"/>
    <cellStyle name="Nagłówek 1 2 28 5" xfId="19141"/>
    <cellStyle name="Nagłówek 1 2 28 6" xfId="19142"/>
    <cellStyle name="Nagłówek 1 2 28 7" xfId="19143"/>
    <cellStyle name="Nagłówek 1 2 29" xfId="19144"/>
    <cellStyle name="Nagłówek 1 2 29 2" xfId="19145"/>
    <cellStyle name="Nagłówek 1 2 3" xfId="19146"/>
    <cellStyle name="Nagłówek 1 2 3 2" xfId="19147"/>
    <cellStyle name="Nagłówek 1 2 3 3" xfId="19148"/>
    <cellStyle name="Nagłówek 1 2 3 4" xfId="19149"/>
    <cellStyle name="Nagłówek 1 2 3 5" xfId="19150"/>
    <cellStyle name="Nagłówek 1 2 3 6" xfId="19151"/>
    <cellStyle name="Nagłówek 1 2 3 7" xfId="19152"/>
    <cellStyle name="Nagłówek 1 2 30" xfId="19153"/>
    <cellStyle name="Nagłówek 1 2 30 2" xfId="19154"/>
    <cellStyle name="Nagłówek 1 2 31" xfId="19155"/>
    <cellStyle name="Nagłówek 1 2 31 2" xfId="19156"/>
    <cellStyle name="Nagłówek 1 2 32" xfId="19157"/>
    <cellStyle name="Nagłówek 1 2 32 2" xfId="19158"/>
    <cellStyle name="Nagłówek 1 2 33" xfId="19159"/>
    <cellStyle name="Nagłówek 1 2 34" xfId="19160"/>
    <cellStyle name="Nagłówek 1 2 35" xfId="19161"/>
    <cellStyle name="Nagłówek 1 2 36" xfId="19162"/>
    <cellStyle name="Nagłówek 1 2 37" xfId="19163"/>
    <cellStyle name="Nagłówek 1 2 38" xfId="19164"/>
    <cellStyle name="Nagłówek 1 2 39" xfId="19165"/>
    <cellStyle name="Nagłówek 1 2 4" xfId="19166"/>
    <cellStyle name="Nagłówek 1 2 4 2" xfId="19167"/>
    <cellStyle name="Nagłówek 1 2 4 3" xfId="19168"/>
    <cellStyle name="Nagłówek 1 2 4 4" xfId="19169"/>
    <cellStyle name="Nagłówek 1 2 4 5" xfId="19170"/>
    <cellStyle name="Nagłówek 1 2 4 6" xfId="19171"/>
    <cellStyle name="Nagłówek 1 2 4 7" xfId="19172"/>
    <cellStyle name="Nagłówek 1 2 40" xfId="19173"/>
    <cellStyle name="Nagłówek 1 2 41" xfId="19174"/>
    <cellStyle name="Nagłówek 1 2 42" xfId="19175"/>
    <cellStyle name="Nagłówek 1 2 43" xfId="19176"/>
    <cellStyle name="Nagłówek 1 2 44" xfId="19177"/>
    <cellStyle name="Nagłówek 1 2 45" xfId="19178"/>
    <cellStyle name="Nagłówek 1 2 46" xfId="19179"/>
    <cellStyle name="Nagłówek 1 2 47" xfId="19180"/>
    <cellStyle name="Nagłówek 1 2 48" xfId="19181"/>
    <cellStyle name="Nagłówek 1 2 49" xfId="19182"/>
    <cellStyle name="Nagłówek 1 2 5" xfId="19183"/>
    <cellStyle name="Nagłówek 1 2 5 2" xfId="19184"/>
    <cellStyle name="Nagłówek 1 2 5 3" xfId="19185"/>
    <cellStyle name="Nagłówek 1 2 5 4" xfId="19186"/>
    <cellStyle name="Nagłówek 1 2 5 5" xfId="19187"/>
    <cellStyle name="Nagłówek 1 2 5 6" xfId="19188"/>
    <cellStyle name="Nagłówek 1 2 5 7" xfId="19189"/>
    <cellStyle name="Nagłówek 1 2 50" xfId="19190"/>
    <cellStyle name="Nagłówek 1 2 51" xfId="19191"/>
    <cellStyle name="Nagłówek 1 2 52" xfId="19192"/>
    <cellStyle name="Nagłówek 1 2 53" xfId="19193"/>
    <cellStyle name="Nagłówek 1 2 6" xfId="19194"/>
    <cellStyle name="Nagłówek 1 2 6 2" xfId="19195"/>
    <cellStyle name="Nagłówek 1 2 6 3" xfId="19196"/>
    <cellStyle name="Nagłówek 1 2 6 4" xfId="19197"/>
    <cellStyle name="Nagłówek 1 2 6 5" xfId="19198"/>
    <cellStyle name="Nagłówek 1 2 6 6" xfId="19199"/>
    <cellStyle name="Nagłówek 1 2 6 7" xfId="19200"/>
    <cellStyle name="Nagłówek 1 2 7" xfId="19201"/>
    <cellStyle name="Nagłówek 1 2 7 2" xfId="19202"/>
    <cellStyle name="Nagłówek 1 2 7 3" xfId="19203"/>
    <cellStyle name="Nagłówek 1 2 7 4" xfId="19204"/>
    <cellStyle name="Nagłówek 1 2 7 5" xfId="19205"/>
    <cellStyle name="Nagłówek 1 2 7 6" xfId="19206"/>
    <cellStyle name="Nagłówek 1 2 7 7" xfId="19207"/>
    <cellStyle name="Nagłówek 1 2 8" xfId="19208"/>
    <cellStyle name="Nagłówek 1 2 8 2" xfId="19209"/>
    <cellStyle name="Nagłówek 1 2 8 3" xfId="19210"/>
    <cellStyle name="Nagłówek 1 2 8 4" xfId="19211"/>
    <cellStyle name="Nagłówek 1 2 8 5" xfId="19212"/>
    <cellStyle name="Nagłówek 1 2 8 6" xfId="19213"/>
    <cellStyle name="Nagłówek 1 2 8 7" xfId="19214"/>
    <cellStyle name="Nagłówek 1 2 9" xfId="19215"/>
    <cellStyle name="Nagłówek 1 2 9 2" xfId="19216"/>
    <cellStyle name="Nagłówek 1 2 9 3" xfId="19217"/>
    <cellStyle name="Nagłówek 1 2 9 4" xfId="19218"/>
    <cellStyle name="Nagłówek 1 2 9 5" xfId="19219"/>
    <cellStyle name="Nagłówek 1 2 9 6" xfId="19220"/>
    <cellStyle name="Nagłówek 1 2 9 7" xfId="19221"/>
    <cellStyle name="Nagłówek 1 3" xfId="19222"/>
    <cellStyle name="Nagłówek 1 3 2" xfId="19223"/>
    <cellStyle name="Nagłówek 1 3 2 2" xfId="19224"/>
    <cellStyle name="Nagłówek 1 3 3" xfId="19225"/>
    <cellStyle name="Nagłówek 1 3 4" xfId="19226"/>
    <cellStyle name="Nagłówek 1 3 5" xfId="19227"/>
    <cellStyle name="Nagłówek 1 4" xfId="19228"/>
    <cellStyle name="Nagłówek 1 4 2" xfId="19229"/>
    <cellStyle name="Nagłówek 1 4 3" xfId="19230"/>
    <cellStyle name="Nagłówek 1 4 4" xfId="19231"/>
    <cellStyle name="Nagłówek 1 4 5" xfId="19232"/>
    <cellStyle name="Nagłówek 1 5" xfId="19233"/>
    <cellStyle name="Nagłówek 1 5 2" xfId="19234"/>
    <cellStyle name="Nagłówek 1 5 3" xfId="19235"/>
    <cellStyle name="Nagłówek 1 6" xfId="19236"/>
    <cellStyle name="Nagłówek 1 6 2" xfId="19237"/>
    <cellStyle name="Nagłówek 1 7" xfId="19238"/>
    <cellStyle name="Nagłówek 2 2" xfId="19239"/>
    <cellStyle name="Nagłówek 2 2 10" xfId="19240"/>
    <cellStyle name="Nagłówek 2 2 10 2" xfId="19241"/>
    <cellStyle name="Nagłówek 2 2 10 3" xfId="19242"/>
    <cellStyle name="Nagłówek 2 2 10 4" xfId="19243"/>
    <cellStyle name="Nagłówek 2 2 10 5" xfId="19244"/>
    <cellStyle name="Nagłówek 2 2 10 6" xfId="19245"/>
    <cellStyle name="Nagłówek 2 2 10 7" xfId="19246"/>
    <cellStyle name="Nagłówek 2 2 11" xfId="19247"/>
    <cellStyle name="Nagłówek 2 2 11 2" xfId="19248"/>
    <cellStyle name="Nagłówek 2 2 11 3" xfId="19249"/>
    <cellStyle name="Nagłówek 2 2 11 4" xfId="19250"/>
    <cellStyle name="Nagłówek 2 2 11 5" xfId="19251"/>
    <cellStyle name="Nagłówek 2 2 11 6" xfId="19252"/>
    <cellStyle name="Nagłówek 2 2 11 7" xfId="19253"/>
    <cellStyle name="Nagłówek 2 2 12" xfId="19254"/>
    <cellStyle name="Nagłówek 2 2 12 2" xfId="19255"/>
    <cellStyle name="Nagłówek 2 2 12 3" xfId="19256"/>
    <cellStyle name="Nagłówek 2 2 12 4" xfId="19257"/>
    <cellStyle name="Nagłówek 2 2 12 5" xfId="19258"/>
    <cellStyle name="Nagłówek 2 2 12 6" xfId="19259"/>
    <cellStyle name="Nagłówek 2 2 12 7" xfId="19260"/>
    <cellStyle name="Nagłówek 2 2 13" xfId="19261"/>
    <cellStyle name="Nagłówek 2 2 13 2" xfId="19262"/>
    <cellStyle name="Nagłówek 2 2 13 3" xfId="19263"/>
    <cellStyle name="Nagłówek 2 2 13 4" xfId="19264"/>
    <cellStyle name="Nagłówek 2 2 13 5" xfId="19265"/>
    <cellStyle name="Nagłówek 2 2 13 6" xfId="19266"/>
    <cellStyle name="Nagłówek 2 2 13 7" xfId="19267"/>
    <cellStyle name="Nagłówek 2 2 14" xfId="19268"/>
    <cellStyle name="Nagłówek 2 2 14 2" xfId="19269"/>
    <cellStyle name="Nagłówek 2 2 14 3" xfId="19270"/>
    <cellStyle name="Nagłówek 2 2 14 4" xfId="19271"/>
    <cellStyle name="Nagłówek 2 2 14 5" xfId="19272"/>
    <cellStyle name="Nagłówek 2 2 14 6" xfId="19273"/>
    <cellStyle name="Nagłówek 2 2 14 7" xfId="19274"/>
    <cellStyle name="Nagłówek 2 2 15" xfId="19275"/>
    <cellStyle name="Nagłówek 2 2 15 2" xfId="19276"/>
    <cellStyle name="Nagłówek 2 2 15 3" xfId="19277"/>
    <cellStyle name="Nagłówek 2 2 15 4" xfId="19278"/>
    <cellStyle name="Nagłówek 2 2 15 5" xfId="19279"/>
    <cellStyle name="Nagłówek 2 2 15 6" xfId="19280"/>
    <cellStyle name="Nagłówek 2 2 15 7" xfId="19281"/>
    <cellStyle name="Nagłówek 2 2 16" xfId="19282"/>
    <cellStyle name="Nagłówek 2 2 16 2" xfId="19283"/>
    <cellStyle name="Nagłówek 2 2 16 3" xfId="19284"/>
    <cellStyle name="Nagłówek 2 2 16 4" xfId="19285"/>
    <cellStyle name="Nagłówek 2 2 16 5" xfId="19286"/>
    <cellStyle name="Nagłówek 2 2 16 6" xfId="19287"/>
    <cellStyle name="Nagłówek 2 2 16 7" xfId="19288"/>
    <cellStyle name="Nagłówek 2 2 17" xfId="19289"/>
    <cellStyle name="Nagłówek 2 2 17 2" xfId="19290"/>
    <cellStyle name="Nagłówek 2 2 17 3" xfId="19291"/>
    <cellStyle name="Nagłówek 2 2 17 4" xfId="19292"/>
    <cellStyle name="Nagłówek 2 2 17 5" xfId="19293"/>
    <cellStyle name="Nagłówek 2 2 17 6" xfId="19294"/>
    <cellStyle name="Nagłówek 2 2 17 7" xfId="19295"/>
    <cellStyle name="Nagłówek 2 2 18" xfId="19296"/>
    <cellStyle name="Nagłówek 2 2 18 2" xfId="19297"/>
    <cellStyle name="Nagłówek 2 2 18 3" xfId="19298"/>
    <cellStyle name="Nagłówek 2 2 18 4" xfId="19299"/>
    <cellStyle name="Nagłówek 2 2 18 5" xfId="19300"/>
    <cellStyle name="Nagłówek 2 2 18 6" xfId="19301"/>
    <cellStyle name="Nagłówek 2 2 18 7" xfId="19302"/>
    <cellStyle name="Nagłówek 2 2 19" xfId="19303"/>
    <cellStyle name="Nagłówek 2 2 19 2" xfId="19304"/>
    <cellStyle name="Nagłówek 2 2 19 3" xfId="19305"/>
    <cellStyle name="Nagłówek 2 2 19 4" xfId="19306"/>
    <cellStyle name="Nagłówek 2 2 19 5" xfId="19307"/>
    <cellStyle name="Nagłówek 2 2 19 6" xfId="19308"/>
    <cellStyle name="Nagłówek 2 2 19 7" xfId="19309"/>
    <cellStyle name="Nagłówek 2 2 2" xfId="19310"/>
    <cellStyle name="Nagłówek 2 2 2 2" xfId="19311"/>
    <cellStyle name="Nagłówek 2 2 2 3" xfId="19312"/>
    <cellStyle name="Nagłówek 2 2 2 4" xfId="19313"/>
    <cellStyle name="Nagłówek 2 2 2 5" xfId="19314"/>
    <cellStyle name="Nagłówek 2 2 2 6" xfId="19315"/>
    <cellStyle name="Nagłówek 2 2 2 7" xfId="19316"/>
    <cellStyle name="Nagłówek 2 2 2 8" xfId="19317"/>
    <cellStyle name="Nagłówek 2 2 20" xfId="19318"/>
    <cellStyle name="Nagłówek 2 2 20 2" xfId="19319"/>
    <cellStyle name="Nagłówek 2 2 20 3" xfId="19320"/>
    <cellStyle name="Nagłówek 2 2 20 4" xfId="19321"/>
    <cellStyle name="Nagłówek 2 2 20 5" xfId="19322"/>
    <cellStyle name="Nagłówek 2 2 20 6" xfId="19323"/>
    <cellStyle name="Nagłówek 2 2 20 7" xfId="19324"/>
    <cellStyle name="Nagłówek 2 2 21" xfId="19325"/>
    <cellStyle name="Nagłówek 2 2 21 2" xfId="19326"/>
    <cellStyle name="Nagłówek 2 2 21 3" xfId="19327"/>
    <cellStyle name="Nagłówek 2 2 21 4" xfId="19328"/>
    <cellStyle name="Nagłówek 2 2 21 5" xfId="19329"/>
    <cellStyle name="Nagłówek 2 2 21 6" xfId="19330"/>
    <cellStyle name="Nagłówek 2 2 21 7" xfId="19331"/>
    <cellStyle name="Nagłówek 2 2 22" xfId="19332"/>
    <cellStyle name="Nagłówek 2 2 22 2" xfId="19333"/>
    <cellStyle name="Nagłówek 2 2 22 3" xfId="19334"/>
    <cellStyle name="Nagłówek 2 2 22 4" xfId="19335"/>
    <cellStyle name="Nagłówek 2 2 22 5" xfId="19336"/>
    <cellStyle name="Nagłówek 2 2 22 6" xfId="19337"/>
    <cellStyle name="Nagłówek 2 2 22 7" xfId="19338"/>
    <cellStyle name="Nagłówek 2 2 23" xfId="19339"/>
    <cellStyle name="Nagłówek 2 2 23 2" xfId="19340"/>
    <cellStyle name="Nagłówek 2 2 23 3" xfId="19341"/>
    <cellStyle name="Nagłówek 2 2 23 4" xfId="19342"/>
    <cellStyle name="Nagłówek 2 2 23 5" xfId="19343"/>
    <cellStyle name="Nagłówek 2 2 23 6" xfId="19344"/>
    <cellStyle name="Nagłówek 2 2 23 7" xfId="19345"/>
    <cellStyle name="Nagłówek 2 2 24" xfId="19346"/>
    <cellStyle name="Nagłówek 2 2 24 2" xfId="19347"/>
    <cellStyle name="Nagłówek 2 2 24 3" xfId="19348"/>
    <cellStyle name="Nagłówek 2 2 24 4" xfId="19349"/>
    <cellStyle name="Nagłówek 2 2 24 5" xfId="19350"/>
    <cellStyle name="Nagłówek 2 2 24 6" xfId="19351"/>
    <cellStyle name="Nagłówek 2 2 24 7" xfId="19352"/>
    <cellStyle name="Nagłówek 2 2 25" xfId="19353"/>
    <cellStyle name="Nagłówek 2 2 25 2" xfId="19354"/>
    <cellStyle name="Nagłówek 2 2 25 3" xfId="19355"/>
    <cellStyle name="Nagłówek 2 2 25 4" xfId="19356"/>
    <cellStyle name="Nagłówek 2 2 25 5" xfId="19357"/>
    <cellStyle name="Nagłówek 2 2 25 6" xfId="19358"/>
    <cellStyle name="Nagłówek 2 2 25 7" xfId="19359"/>
    <cellStyle name="Nagłówek 2 2 26" xfId="19360"/>
    <cellStyle name="Nagłówek 2 2 26 2" xfId="19361"/>
    <cellStyle name="Nagłówek 2 2 26 3" xfId="19362"/>
    <cellStyle name="Nagłówek 2 2 26 4" xfId="19363"/>
    <cellStyle name="Nagłówek 2 2 26 5" xfId="19364"/>
    <cellStyle name="Nagłówek 2 2 26 6" xfId="19365"/>
    <cellStyle name="Nagłówek 2 2 26 7" xfId="19366"/>
    <cellStyle name="Nagłówek 2 2 27" xfId="19367"/>
    <cellStyle name="Nagłówek 2 2 27 2" xfId="19368"/>
    <cellStyle name="Nagłówek 2 2 27 3" xfId="19369"/>
    <cellStyle name="Nagłówek 2 2 27 4" xfId="19370"/>
    <cellStyle name="Nagłówek 2 2 27 5" xfId="19371"/>
    <cellStyle name="Nagłówek 2 2 27 6" xfId="19372"/>
    <cellStyle name="Nagłówek 2 2 27 7" xfId="19373"/>
    <cellStyle name="Nagłówek 2 2 28" xfId="19374"/>
    <cellStyle name="Nagłówek 2 2 28 2" xfId="19375"/>
    <cellStyle name="Nagłówek 2 2 28 3" xfId="19376"/>
    <cellStyle name="Nagłówek 2 2 28 4" xfId="19377"/>
    <cellStyle name="Nagłówek 2 2 28 5" xfId="19378"/>
    <cellStyle name="Nagłówek 2 2 28 6" xfId="19379"/>
    <cellStyle name="Nagłówek 2 2 28 7" xfId="19380"/>
    <cellStyle name="Nagłówek 2 2 29" xfId="19381"/>
    <cellStyle name="Nagłówek 2 2 29 2" xfId="19382"/>
    <cellStyle name="Nagłówek 2 2 3" xfId="19383"/>
    <cellStyle name="Nagłówek 2 2 3 2" xfId="19384"/>
    <cellStyle name="Nagłówek 2 2 3 3" xfId="19385"/>
    <cellStyle name="Nagłówek 2 2 3 4" xfId="19386"/>
    <cellStyle name="Nagłówek 2 2 3 5" xfId="19387"/>
    <cellStyle name="Nagłówek 2 2 3 6" xfId="19388"/>
    <cellStyle name="Nagłówek 2 2 3 7" xfId="19389"/>
    <cellStyle name="Nagłówek 2 2 30" xfId="19390"/>
    <cellStyle name="Nagłówek 2 2 30 2" xfId="19391"/>
    <cellStyle name="Nagłówek 2 2 31" xfId="19392"/>
    <cellStyle name="Nagłówek 2 2 31 2" xfId="19393"/>
    <cellStyle name="Nagłówek 2 2 32" xfId="19394"/>
    <cellStyle name="Nagłówek 2 2 32 2" xfId="19395"/>
    <cellStyle name="Nagłówek 2 2 33" xfId="19396"/>
    <cellStyle name="Nagłówek 2 2 34" xfId="19397"/>
    <cellStyle name="Nagłówek 2 2 35" xfId="19398"/>
    <cellStyle name="Nagłówek 2 2 36" xfId="19399"/>
    <cellStyle name="Nagłówek 2 2 37" xfId="19400"/>
    <cellStyle name="Nagłówek 2 2 38" xfId="19401"/>
    <cellStyle name="Nagłówek 2 2 39" xfId="19402"/>
    <cellStyle name="Nagłówek 2 2 4" xfId="19403"/>
    <cellStyle name="Nagłówek 2 2 4 2" xfId="19404"/>
    <cellStyle name="Nagłówek 2 2 4 3" xfId="19405"/>
    <cellStyle name="Nagłówek 2 2 4 4" xfId="19406"/>
    <cellStyle name="Nagłówek 2 2 4 5" xfId="19407"/>
    <cellStyle name="Nagłówek 2 2 4 6" xfId="19408"/>
    <cellStyle name="Nagłówek 2 2 4 7" xfId="19409"/>
    <cellStyle name="Nagłówek 2 2 40" xfId="19410"/>
    <cellStyle name="Nagłówek 2 2 41" xfId="19411"/>
    <cellStyle name="Nagłówek 2 2 42" xfId="19412"/>
    <cellStyle name="Nagłówek 2 2 43" xfId="19413"/>
    <cellStyle name="Nagłówek 2 2 44" xfId="19414"/>
    <cellStyle name="Nagłówek 2 2 45" xfId="19415"/>
    <cellStyle name="Nagłówek 2 2 46" xfId="19416"/>
    <cellStyle name="Nagłówek 2 2 47" xfId="19417"/>
    <cellStyle name="Nagłówek 2 2 48" xfId="19418"/>
    <cellStyle name="Nagłówek 2 2 49" xfId="19419"/>
    <cellStyle name="Nagłówek 2 2 5" xfId="19420"/>
    <cellStyle name="Nagłówek 2 2 5 2" xfId="19421"/>
    <cellStyle name="Nagłówek 2 2 5 3" xfId="19422"/>
    <cellStyle name="Nagłówek 2 2 5 4" xfId="19423"/>
    <cellStyle name="Nagłówek 2 2 5 5" xfId="19424"/>
    <cellStyle name="Nagłówek 2 2 5 6" xfId="19425"/>
    <cellStyle name="Nagłówek 2 2 5 7" xfId="19426"/>
    <cellStyle name="Nagłówek 2 2 50" xfId="19427"/>
    <cellStyle name="Nagłówek 2 2 51" xfId="19428"/>
    <cellStyle name="Nagłówek 2 2 52" xfId="19429"/>
    <cellStyle name="Nagłówek 2 2 53" xfId="19430"/>
    <cellStyle name="Nagłówek 2 2 6" xfId="19431"/>
    <cellStyle name="Nagłówek 2 2 6 2" xfId="19432"/>
    <cellStyle name="Nagłówek 2 2 6 3" xfId="19433"/>
    <cellStyle name="Nagłówek 2 2 6 4" xfId="19434"/>
    <cellStyle name="Nagłówek 2 2 6 5" xfId="19435"/>
    <cellStyle name="Nagłówek 2 2 6 6" xfId="19436"/>
    <cellStyle name="Nagłówek 2 2 6 7" xfId="19437"/>
    <cellStyle name="Nagłówek 2 2 7" xfId="19438"/>
    <cellStyle name="Nagłówek 2 2 7 2" xfId="19439"/>
    <cellStyle name="Nagłówek 2 2 7 3" xfId="19440"/>
    <cellStyle name="Nagłówek 2 2 7 4" xfId="19441"/>
    <cellStyle name="Nagłówek 2 2 7 5" xfId="19442"/>
    <cellStyle name="Nagłówek 2 2 7 6" xfId="19443"/>
    <cellStyle name="Nagłówek 2 2 7 7" xfId="19444"/>
    <cellStyle name="Nagłówek 2 2 8" xfId="19445"/>
    <cellStyle name="Nagłówek 2 2 8 2" xfId="19446"/>
    <cellStyle name="Nagłówek 2 2 8 3" xfId="19447"/>
    <cellStyle name="Nagłówek 2 2 8 4" xfId="19448"/>
    <cellStyle name="Nagłówek 2 2 8 5" xfId="19449"/>
    <cellStyle name="Nagłówek 2 2 8 6" xfId="19450"/>
    <cellStyle name="Nagłówek 2 2 8 7" xfId="19451"/>
    <cellStyle name="Nagłówek 2 2 9" xfId="19452"/>
    <cellStyle name="Nagłówek 2 2 9 2" xfId="19453"/>
    <cellStyle name="Nagłówek 2 2 9 3" xfId="19454"/>
    <cellStyle name="Nagłówek 2 2 9 4" xfId="19455"/>
    <cellStyle name="Nagłówek 2 2 9 5" xfId="19456"/>
    <cellStyle name="Nagłówek 2 2 9 6" xfId="19457"/>
    <cellStyle name="Nagłówek 2 2 9 7" xfId="19458"/>
    <cellStyle name="Nagłówek 2 3" xfId="19459"/>
    <cellStyle name="Nagłówek 2 3 2" xfId="19460"/>
    <cellStyle name="Nagłówek 2 3 2 2" xfId="19461"/>
    <cellStyle name="Nagłówek 2 3 3" xfId="19462"/>
    <cellStyle name="Nagłówek 2 3 4" xfId="19463"/>
    <cellStyle name="Nagłówek 2 3 5" xfId="19464"/>
    <cellStyle name="Nagłówek 2 4" xfId="19465"/>
    <cellStyle name="Nagłówek 2 4 2" xfId="19466"/>
    <cellStyle name="Nagłówek 2 4 3" xfId="19467"/>
    <cellStyle name="Nagłówek 2 4 4" xfId="19468"/>
    <cellStyle name="Nagłówek 2 4 5" xfId="19469"/>
    <cellStyle name="Nagłówek 2 5" xfId="19470"/>
    <cellStyle name="Nagłówek 2 5 2" xfId="19471"/>
    <cellStyle name="Nagłówek 2 5 3" xfId="19472"/>
    <cellStyle name="Nagłówek 2 6" xfId="19473"/>
    <cellStyle name="Nagłówek 2 6 2" xfId="19474"/>
    <cellStyle name="Nagłówek 2 7" xfId="19475"/>
    <cellStyle name="Nagłówek 3 2" xfId="19476"/>
    <cellStyle name="Nagłówek 3 2 10" xfId="19477"/>
    <cellStyle name="Nagłówek 3 2 10 2" xfId="19478"/>
    <cellStyle name="Nagłówek 3 2 10 3" xfId="19479"/>
    <cellStyle name="Nagłówek 3 2 10 4" xfId="19480"/>
    <cellStyle name="Nagłówek 3 2 10 5" xfId="19481"/>
    <cellStyle name="Nagłówek 3 2 10 6" xfId="19482"/>
    <cellStyle name="Nagłówek 3 2 10 7" xfId="19483"/>
    <cellStyle name="Nagłówek 3 2 11" xfId="19484"/>
    <cellStyle name="Nagłówek 3 2 11 2" xfId="19485"/>
    <cellStyle name="Nagłówek 3 2 11 3" xfId="19486"/>
    <cellStyle name="Nagłówek 3 2 11 4" xfId="19487"/>
    <cellStyle name="Nagłówek 3 2 11 5" xfId="19488"/>
    <cellStyle name="Nagłówek 3 2 11 6" xfId="19489"/>
    <cellStyle name="Nagłówek 3 2 11 7" xfId="19490"/>
    <cellStyle name="Nagłówek 3 2 12" xfId="19491"/>
    <cellStyle name="Nagłówek 3 2 12 2" xfId="19492"/>
    <cellStyle name="Nagłówek 3 2 12 3" xfId="19493"/>
    <cellStyle name="Nagłówek 3 2 12 4" xfId="19494"/>
    <cellStyle name="Nagłówek 3 2 12 5" xfId="19495"/>
    <cellStyle name="Nagłówek 3 2 12 6" xfId="19496"/>
    <cellStyle name="Nagłówek 3 2 12 7" xfId="19497"/>
    <cellStyle name="Nagłówek 3 2 13" xfId="19498"/>
    <cellStyle name="Nagłówek 3 2 13 2" xfId="19499"/>
    <cellStyle name="Nagłówek 3 2 13 3" xfId="19500"/>
    <cellStyle name="Nagłówek 3 2 13 4" xfId="19501"/>
    <cellStyle name="Nagłówek 3 2 13 5" xfId="19502"/>
    <cellStyle name="Nagłówek 3 2 13 6" xfId="19503"/>
    <cellStyle name="Nagłówek 3 2 13 7" xfId="19504"/>
    <cellStyle name="Nagłówek 3 2 14" xfId="19505"/>
    <cellStyle name="Nagłówek 3 2 14 2" xfId="19506"/>
    <cellStyle name="Nagłówek 3 2 14 3" xfId="19507"/>
    <cellStyle name="Nagłówek 3 2 14 4" xfId="19508"/>
    <cellStyle name="Nagłówek 3 2 14 5" xfId="19509"/>
    <cellStyle name="Nagłówek 3 2 14 6" xfId="19510"/>
    <cellStyle name="Nagłówek 3 2 14 7" xfId="19511"/>
    <cellStyle name="Nagłówek 3 2 15" xfId="19512"/>
    <cellStyle name="Nagłówek 3 2 15 2" xfId="19513"/>
    <cellStyle name="Nagłówek 3 2 15 3" xfId="19514"/>
    <cellStyle name="Nagłówek 3 2 15 4" xfId="19515"/>
    <cellStyle name="Nagłówek 3 2 15 5" xfId="19516"/>
    <cellStyle name="Nagłówek 3 2 15 6" xfId="19517"/>
    <cellStyle name="Nagłówek 3 2 15 7" xfId="19518"/>
    <cellStyle name="Nagłówek 3 2 16" xfId="19519"/>
    <cellStyle name="Nagłówek 3 2 16 2" xfId="19520"/>
    <cellStyle name="Nagłówek 3 2 16 3" xfId="19521"/>
    <cellStyle name="Nagłówek 3 2 16 4" xfId="19522"/>
    <cellStyle name="Nagłówek 3 2 16 5" xfId="19523"/>
    <cellStyle name="Nagłówek 3 2 16 6" xfId="19524"/>
    <cellStyle name="Nagłówek 3 2 16 7" xfId="19525"/>
    <cellStyle name="Nagłówek 3 2 17" xfId="19526"/>
    <cellStyle name="Nagłówek 3 2 17 2" xfId="19527"/>
    <cellStyle name="Nagłówek 3 2 17 3" xfId="19528"/>
    <cellStyle name="Nagłówek 3 2 17 4" xfId="19529"/>
    <cellStyle name="Nagłówek 3 2 17 5" xfId="19530"/>
    <cellStyle name="Nagłówek 3 2 17 6" xfId="19531"/>
    <cellStyle name="Nagłówek 3 2 17 7" xfId="19532"/>
    <cellStyle name="Nagłówek 3 2 18" xfId="19533"/>
    <cellStyle name="Nagłówek 3 2 18 2" xfId="19534"/>
    <cellStyle name="Nagłówek 3 2 18 3" xfId="19535"/>
    <cellStyle name="Nagłówek 3 2 18 4" xfId="19536"/>
    <cellStyle name="Nagłówek 3 2 18 5" xfId="19537"/>
    <cellStyle name="Nagłówek 3 2 18 6" xfId="19538"/>
    <cellStyle name="Nagłówek 3 2 18 7" xfId="19539"/>
    <cellStyle name="Nagłówek 3 2 19" xfId="19540"/>
    <cellStyle name="Nagłówek 3 2 19 2" xfId="19541"/>
    <cellStyle name="Nagłówek 3 2 19 3" xfId="19542"/>
    <cellStyle name="Nagłówek 3 2 19 4" xfId="19543"/>
    <cellStyle name="Nagłówek 3 2 19 5" xfId="19544"/>
    <cellStyle name="Nagłówek 3 2 19 6" xfId="19545"/>
    <cellStyle name="Nagłówek 3 2 19 7" xfId="19546"/>
    <cellStyle name="Nagłówek 3 2 2" xfId="19547"/>
    <cellStyle name="Nagłówek 3 2 2 2" xfId="19548"/>
    <cellStyle name="Nagłówek 3 2 2 3" xfId="19549"/>
    <cellStyle name="Nagłówek 3 2 2 4" xfId="19550"/>
    <cellStyle name="Nagłówek 3 2 2 5" xfId="19551"/>
    <cellStyle name="Nagłówek 3 2 2 6" xfId="19552"/>
    <cellStyle name="Nagłówek 3 2 2 7" xfId="19553"/>
    <cellStyle name="Nagłówek 3 2 2 8" xfId="19554"/>
    <cellStyle name="Nagłówek 3 2 20" xfId="19555"/>
    <cellStyle name="Nagłówek 3 2 20 2" xfId="19556"/>
    <cellStyle name="Nagłówek 3 2 20 3" xfId="19557"/>
    <cellStyle name="Nagłówek 3 2 20 4" xfId="19558"/>
    <cellStyle name="Nagłówek 3 2 20 5" xfId="19559"/>
    <cellStyle name="Nagłówek 3 2 20 6" xfId="19560"/>
    <cellStyle name="Nagłówek 3 2 20 7" xfId="19561"/>
    <cellStyle name="Nagłówek 3 2 21" xfId="19562"/>
    <cellStyle name="Nagłówek 3 2 21 2" xfId="19563"/>
    <cellStyle name="Nagłówek 3 2 21 3" xfId="19564"/>
    <cellStyle name="Nagłówek 3 2 21 4" xfId="19565"/>
    <cellStyle name="Nagłówek 3 2 21 5" xfId="19566"/>
    <cellStyle name="Nagłówek 3 2 21 6" xfId="19567"/>
    <cellStyle name="Nagłówek 3 2 21 7" xfId="19568"/>
    <cellStyle name="Nagłówek 3 2 22" xfId="19569"/>
    <cellStyle name="Nagłówek 3 2 22 2" xfId="19570"/>
    <cellStyle name="Nagłówek 3 2 22 3" xfId="19571"/>
    <cellStyle name="Nagłówek 3 2 22 4" xfId="19572"/>
    <cellStyle name="Nagłówek 3 2 22 5" xfId="19573"/>
    <cellStyle name="Nagłówek 3 2 22 6" xfId="19574"/>
    <cellStyle name="Nagłówek 3 2 22 7" xfId="19575"/>
    <cellStyle name="Nagłówek 3 2 23" xfId="19576"/>
    <cellStyle name="Nagłówek 3 2 23 2" xfId="19577"/>
    <cellStyle name="Nagłówek 3 2 23 3" xfId="19578"/>
    <cellStyle name="Nagłówek 3 2 23 4" xfId="19579"/>
    <cellStyle name="Nagłówek 3 2 23 5" xfId="19580"/>
    <cellStyle name="Nagłówek 3 2 23 6" xfId="19581"/>
    <cellStyle name="Nagłówek 3 2 23 7" xfId="19582"/>
    <cellStyle name="Nagłówek 3 2 24" xfId="19583"/>
    <cellStyle name="Nagłówek 3 2 24 2" xfId="19584"/>
    <cellStyle name="Nagłówek 3 2 24 3" xfId="19585"/>
    <cellStyle name="Nagłówek 3 2 24 4" xfId="19586"/>
    <cellStyle name="Nagłówek 3 2 24 5" xfId="19587"/>
    <cellStyle name="Nagłówek 3 2 24 6" xfId="19588"/>
    <cellStyle name="Nagłówek 3 2 24 7" xfId="19589"/>
    <cellStyle name="Nagłówek 3 2 25" xfId="19590"/>
    <cellStyle name="Nagłówek 3 2 25 2" xfId="19591"/>
    <cellStyle name="Nagłówek 3 2 25 3" xfId="19592"/>
    <cellStyle name="Nagłówek 3 2 25 4" xfId="19593"/>
    <cellStyle name="Nagłówek 3 2 25 5" xfId="19594"/>
    <cellStyle name="Nagłówek 3 2 25 6" xfId="19595"/>
    <cellStyle name="Nagłówek 3 2 25 7" xfId="19596"/>
    <cellStyle name="Nagłówek 3 2 26" xfId="19597"/>
    <cellStyle name="Nagłówek 3 2 26 2" xfId="19598"/>
    <cellStyle name="Nagłówek 3 2 26 3" xfId="19599"/>
    <cellStyle name="Nagłówek 3 2 26 4" xfId="19600"/>
    <cellStyle name="Nagłówek 3 2 26 5" xfId="19601"/>
    <cellStyle name="Nagłówek 3 2 26 6" xfId="19602"/>
    <cellStyle name="Nagłówek 3 2 26 7" xfId="19603"/>
    <cellStyle name="Nagłówek 3 2 27" xfId="19604"/>
    <cellStyle name="Nagłówek 3 2 27 2" xfId="19605"/>
    <cellStyle name="Nagłówek 3 2 27 3" xfId="19606"/>
    <cellStyle name="Nagłówek 3 2 27 4" xfId="19607"/>
    <cellStyle name="Nagłówek 3 2 27 5" xfId="19608"/>
    <cellStyle name="Nagłówek 3 2 27 6" xfId="19609"/>
    <cellStyle name="Nagłówek 3 2 27 7" xfId="19610"/>
    <cellStyle name="Nagłówek 3 2 28" xfId="19611"/>
    <cellStyle name="Nagłówek 3 2 28 2" xfId="19612"/>
    <cellStyle name="Nagłówek 3 2 28 3" xfId="19613"/>
    <cellStyle name="Nagłówek 3 2 28 4" xfId="19614"/>
    <cellStyle name="Nagłówek 3 2 28 5" xfId="19615"/>
    <cellStyle name="Nagłówek 3 2 28 6" xfId="19616"/>
    <cellStyle name="Nagłówek 3 2 28 7" xfId="19617"/>
    <cellStyle name="Nagłówek 3 2 29" xfId="19618"/>
    <cellStyle name="Nagłówek 3 2 29 2" xfId="19619"/>
    <cellStyle name="Nagłówek 3 2 3" xfId="19620"/>
    <cellStyle name="Nagłówek 3 2 3 2" xfId="19621"/>
    <cellStyle name="Nagłówek 3 2 3 3" xfId="19622"/>
    <cellStyle name="Nagłówek 3 2 3 4" xfId="19623"/>
    <cellStyle name="Nagłówek 3 2 3 5" xfId="19624"/>
    <cellStyle name="Nagłówek 3 2 3 6" xfId="19625"/>
    <cellStyle name="Nagłówek 3 2 3 7" xfId="19626"/>
    <cellStyle name="Nagłówek 3 2 30" xfId="19627"/>
    <cellStyle name="Nagłówek 3 2 30 2" xfId="19628"/>
    <cellStyle name="Nagłówek 3 2 31" xfId="19629"/>
    <cellStyle name="Nagłówek 3 2 31 2" xfId="19630"/>
    <cellStyle name="Nagłówek 3 2 32" xfId="19631"/>
    <cellStyle name="Nagłówek 3 2 32 2" xfId="19632"/>
    <cellStyle name="Nagłówek 3 2 33" xfId="19633"/>
    <cellStyle name="Nagłówek 3 2 34" xfId="19634"/>
    <cellStyle name="Nagłówek 3 2 35" xfId="19635"/>
    <cellStyle name="Nagłówek 3 2 36" xfId="19636"/>
    <cellStyle name="Nagłówek 3 2 37" xfId="19637"/>
    <cellStyle name="Nagłówek 3 2 38" xfId="19638"/>
    <cellStyle name="Nagłówek 3 2 39" xfId="19639"/>
    <cellStyle name="Nagłówek 3 2 4" xfId="19640"/>
    <cellStyle name="Nagłówek 3 2 4 2" xfId="19641"/>
    <cellStyle name="Nagłówek 3 2 4 3" xfId="19642"/>
    <cellStyle name="Nagłówek 3 2 4 4" xfId="19643"/>
    <cellStyle name="Nagłówek 3 2 4 5" xfId="19644"/>
    <cellStyle name="Nagłówek 3 2 4 6" xfId="19645"/>
    <cellStyle name="Nagłówek 3 2 4 7" xfId="19646"/>
    <cellStyle name="Nagłówek 3 2 40" xfId="19647"/>
    <cellStyle name="Nagłówek 3 2 41" xfId="19648"/>
    <cellStyle name="Nagłówek 3 2 42" xfId="19649"/>
    <cellStyle name="Nagłówek 3 2 43" xfId="19650"/>
    <cellStyle name="Nagłówek 3 2 44" xfId="19651"/>
    <cellStyle name="Nagłówek 3 2 45" xfId="19652"/>
    <cellStyle name="Nagłówek 3 2 46" xfId="19653"/>
    <cellStyle name="Nagłówek 3 2 47" xfId="19654"/>
    <cellStyle name="Nagłówek 3 2 48" xfId="19655"/>
    <cellStyle name="Nagłówek 3 2 49" xfId="19656"/>
    <cellStyle name="Nagłówek 3 2 5" xfId="19657"/>
    <cellStyle name="Nagłówek 3 2 5 2" xfId="19658"/>
    <cellStyle name="Nagłówek 3 2 5 3" xfId="19659"/>
    <cellStyle name="Nagłówek 3 2 5 4" xfId="19660"/>
    <cellStyle name="Nagłówek 3 2 5 5" xfId="19661"/>
    <cellStyle name="Nagłówek 3 2 5 6" xfId="19662"/>
    <cellStyle name="Nagłówek 3 2 5 7" xfId="19663"/>
    <cellStyle name="Nagłówek 3 2 50" xfId="19664"/>
    <cellStyle name="Nagłówek 3 2 51" xfId="19665"/>
    <cellStyle name="Nagłówek 3 2 52" xfId="19666"/>
    <cellStyle name="Nagłówek 3 2 53" xfId="19667"/>
    <cellStyle name="Nagłówek 3 2 6" xfId="19668"/>
    <cellStyle name="Nagłówek 3 2 6 2" xfId="19669"/>
    <cellStyle name="Nagłówek 3 2 6 3" xfId="19670"/>
    <cellStyle name="Nagłówek 3 2 6 4" xfId="19671"/>
    <cellStyle name="Nagłówek 3 2 6 5" xfId="19672"/>
    <cellStyle name="Nagłówek 3 2 6 6" xfId="19673"/>
    <cellStyle name="Nagłówek 3 2 6 7" xfId="19674"/>
    <cellStyle name="Nagłówek 3 2 7" xfId="19675"/>
    <cellStyle name="Nagłówek 3 2 7 2" xfId="19676"/>
    <cellStyle name="Nagłówek 3 2 7 3" xfId="19677"/>
    <cellStyle name="Nagłówek 3 2 7 4" xfId="19678"/>
    <cellStyle name="Nagłówek 3 2 7 5" xfId="19679"/>
    <cellStyle name="Nagłówek 3 2 7 6" xfId="19680"/>
    <cellStyle name="Nagłówek 3 2 7 7" xfId="19681"/>
    <cellStyle name="Nagłówek 3 2 8" xfId="19682"/>
    <cellStyle name="Nagłówek 3 2 8 2" xfId="19683"/>
    <cellStyle name="Nagłówek 3 2 8 3" xfId="19684"/>
    <cellStyle name="Nagłówek 3 2 8 4" xfId="19685"/>
    <cellStyle name="Nagłówek 3 2 8 5" xfId="19686"/>
    <cellStyle name="Nagłówek 3 2 8 6" xfId="19687"/>
    <cellStyle name="Nagłówek 3 2 8 7" xfId="19688"/>
    <cellStyle name="Nagłówek 3 2 9" xfId="19689"/>
    <cellStyle name="Nagłówek 3 2 9 2" xfId="19690"/>
    <cellStyle name="Nagłówek 3 2 9 3" xfId="19691"/>
    <cellStyle name="Nagłówek 3 2 9 4" xfId="19692"/>
    <cellStyle name="Nagłówek 3 2 9 5" xfId="19693"/>
    <cellStyle name="Nagłówek 3 2 9 6" xfId="19694"/>
    <cellStyle name="Nagłówek 3 2 9 7" xfId="19695"/>
    <cellStyle name="Nagłówek 3 3" xfId="19696"/>
    <cellStyle name="Nagłówek 3 3 2" xfId="19697"/>
    <cellStyle name="Nagłówek 3 3 2 2" xfId="19698"/>
    <cellStyle name="Nagłówek 3 3 3" xfId="19699"/>
    <cellStyle name="Nagłówek 3 3 4" xfId="19700"/>
    <cellStyle name="Nagłówek 3 3 5" xfId="19701"/>
    <cellStyle name="Nagłówek 3 4" xfId="19702"/>
    <cellStyle name="Nagłówek 3 4 2" xfId="19703"/>
    <cellStyle name="Nagłówek 3 4 3" xfId="19704"/>
    <cellStyle name="Nagłówek 3 4 4" xfId="19705"/>
    <cellStyle name="Nagłówek 3 4 5" xfId="19706"/>
    <cellStyle name="Nagłówek 3 5" xfId="19707"/>
    <cellStyle name="Nagłówek 3 5 2" xfId="19708"/>
    <cellStyle name="Nagłówek 3 5 3" xfId="19709"/>
    <cellStyle name="Nagłówek 3 6" xfId="19710"/>
    <cellStyle name="Nagłówek 3 6 2" xfId="19711"/>
    <cellStyle name="Nagłówek 3 7" xfId="19712"/>
    <cellStyle name="Nagłówek 4 2" xfId="19713"/>
    <cellStyle name="Nagłówek 4 2 10" xfId="19714"/>
    <cellStyle name="Nagłówek 4 2 10 2" xfId="19715"/>
    <cellStyle name="Nagłówek 4 2 10 3" xfId="19716"/>
    <cellStyle name="Nagłówek 4 2 10 4" xfId="19717"/>
    <cellStyle name="Nagłówek 4 2 10 5" xfId="19718"/>
    <cellStyle name="Nagłówek 4 2 10 6" xfId="19719"/>
    <cellStyle name="Nagłówek 4 2 10 7" xfId="19720"/>
    <cellStyle name="Nagłówek 4 2 11" xfId="19721"/>
    <cellStyle name="Nagłówek 4 2 11 2" xfId="19722"/>
    <cellStyle name="Nagłówek 4 2 11 3" xfId="19723"/>
    <cellStyle name="Nagłówek 4 2 11 4" xfId="19724"/>
    <cellStyle name="Nagłówek 4 2 11 5" xfId="19725"/>
    <cellStyle name="Nagłówek 4 2 11 6" xfId="19726"/>
    <cellStyle name="Nagłówek 4 2 11 7" xfId="19727"/>
    <cellStyle name="Nagłówek 4 2 12" xfId="19728"/>
    <cellStyle name="Nagłówek 4 2 12 2" xfId="19729"/>
    <cellStyle name="Nagłówek 4 2 12 3" xfId="19730"/>
    <cellStyle name="Nagłówek 4 2 12 4" xfId="19731"/>
    <cellStyle name="Nagłówek 4 2 12 5" xfId="19732"/>
    <cellStyle name="Nagłówek 4 2 12 6" xfId="19733"/>
    <cellStyle name="Nagłówek 4 2 12 7" xfId="19734"/>
    <cellStyle name="Nagłówek 4 2 13" xfId="19735"/>
    <cellStyle name="Nagłówek 4 2 13 2" xfId="19736"/>
    <cellStyle name="Nagłówek 4 2 13 3" xfId="19737"/>
    <cellStyle name="Nagłówek 4 2 13 4" xfId="19738"/>
    <cellStyle name="Nagłówek 4 2 13 5" xfId="19739"/>
    <cellStyle name="Nagłówek 4 2 13 6" xfId="19740"/>
    <cellStyle name="Nagłówek 4 2 13 7" xfId="19741"/>
    <cellStyle name="Nagłówek 4 2 14" xfId="19742"/>
    <cellStyle name="Nagłówek 4 2 14 2" xfId="19743"/>
    <cellStyle name="Nagłówek 4 2 14 3" xfId="19744"/>
    <cellStyle name="Nagłówek 4 2 14 4" xfId="19745"/>
    <cellStyle name="Nagłówek 4 2 14 5" xfId="19746"/>
    <cellStyle name="Nagłówek 4 2 14 6" xfId="19747"/>
    <cellStyle name="Nagłówek 4 2 14 7" xfId="19748"/>
    <cellStyle name="Nagłówek 4 2 15" xfId="19749"/>
    <cellStyle name="Nagłówek 4 2 15 2" xfId="19750"/>
    <cellStyle name="Nagłówek 4 2 15 3" xfId="19751"/>
    <cellStyle name="Nagłówek 4 2 15 4" xfId="19752"/>
    <cellStyle name="Nagłówek 4 2 15 5" xfId="19753"/>
    <cellStyle name="Nagłówek 4 2 15 6" xfId="19754"/>
    <cellStyle name="Nagłówek 4 2 15 7" xfId="19755"/>
    <cellStyle name="Nagłówek 4 2 16" xfId="19756"/>
    <cellStyle name="Nagłówek 4 2 16 2" xfId="19757"/>
    <cellStyle name="Nagłówek 4 2 16 3" xfId="19758"/>
    <cellStyle name="Nagłówek 4 2 16 4" xfId="19759"/>
    <cellStyle name="Nagłówek 4 2 16 5" xfId="19760"/>
    <cellStyle name="Nagłówek 4 2 16 6" xfId="19761"/>
    <cellStyle name="Nagłówek 4 2 16 7" xfId="19762"/>
    <cellStyle name="Nagłówek 4 2 17" xfId="19763"/>
    <cellStyle name="Nagłówek 4 2 17 2" xfId="19764"/>
    <cellStyle name="Nagłówek 4 2 17 3" xfId="19765"/>
    <cellStyle name="Nagłówek 4 2 17 4" xfId="19766"/>
    <cellStyle name="Nagłówek 4 2 17 5" xfId="19767"/>
    <cellStyle name="Nagłówek 4 2 17 6" xfId="19768"/>
    <cellStyle name="Nagłówek 4 2 17 7" xfId="19769"/>
    <cellStyle name="Nagłówek 4 2 18" xfId="19770"/>
    <cellStyle name="Nagłówek 4 2 18 2" xfId="19771"/>
    <cellStyle name="Nagłówek 4 2 18 3" xfId="19772"/>
    <cellStyle name="Nagłówek 4 2 18 4" xfId="19773"/>
    <cellStyle name="Nagłówek 4 2 18 5" xfId="19774"/>
    <cellStyle name="Nagłówek 4 2 18 6" xfId="19775"/>
    <cellStyle name="Nagłówek 4 2 18 7" xfId="19776"/>
    <cellStyle name="Nagłówek 4 2 19" xfId="19777"/>
    <cellStyle name="Nagłówek 4 2 19 2" xfId="19778"/>
    <cellStyle name="Nagłówek 4 2 19 3" xfId="19779"/>
    <cellStyle name="Nagłówek 4 2 19 4" xfId="19780"/>
    <cellStyle name="Nagłówek 4 2 19 5" xfId="19781"/>
    <cellStyle name="Nagłówek 4 2 19 6" xfId="19782"/>
    <cellStyle name="Nagłówek 4 2 19 7" xfId="19783"/>
    <cellStyle name="Nagłówek 4 2 2" xfId="19784"/>
    <cellStyle name="Nagłówek 4 2 2 2" xfId="19785"/>
    <cellStyle name="Nagłówek 4 2 2 3" xfId="19786"/>
    <cellStyle name="Nagłówek 4 2 2 4" xfId="19787"/>
    <cellStyle name="Nagłówek 4 2 2 5" xfId="19788"/>
    <cellStyle name="Nagłówek 4 2 2 6" xfId="19789"/>
    <cellStyle name="Nagłówek 4 2 2 7" xfId="19790"/>
    <cellStyle name="Nagłówek 4 2 2 8" xfId="19791"/>
    <cellStyle name="Nagłówek 4 2 20" xfId="19792"/>
    <cellStyle name="Nagłówek 4 2 20 2" xfId="19793"/>
    <cellStyle name="Nagłówek 4 2 20 3" xfId="19794"/>
    <cellStyle name="Nagłówek 4 2 20 4" xfId="19795"/>
    <cellStyle name="Nagłówek 4 2 20 5" xfId="19796"/>
    <cellStyle name="Nagłówek 4 2 20 6" xfId="19797"/>
    <cellStyle name="Nagłówek 4 2 20 7" xfId="19798"/>
    <cellStyle name="Nagłówek 4 2 21" xfId="19799"/>
    <cellStyle name="Nagłówek 4 2 21 2" xfId="19800"/>
    <cellStyle name="Nagłówek 4 2 21 3" xfId="19801"/>
    <cellStyle name="Nagłówek 4 2 21 4" xfId="19802"/>
    <cellStyle name="Nagłówek 4 2 21 5" xfId="19803"/>
    <cellStyle name="Nagłówek 4 2 21 6" xfId="19804"/>
    <cellStyle name="Nagłówek 4 2 21 7" xfId="19805"/>
    <cellStyle name="Nagłówek 4 2 22" xfId="19806"/>
    <cellStyle name="Nagłówek 4 2 22 2" xfId="19807"/>
    <cellStyle name="Nagłówek 4 2 22 3" xfId="19808"/>
    <cellStyle name="Nagłówek 4 2 22 4" xfId="19809"/>
    <cellStyle name="Nagłówek 4 2 22 5" xfId="19810"/>
    <cellStyle name="Nagłówek 4 2 22 6" xfId="19811"/>
    <cellStyle name="Nagłówek 4 2 22 7" xfId="19812"/>
    <cellStyle name="Nagłówek 4 2 23" xfId="19813"/>
    <cellStyle name="Nagłówek 4 2 23 2" xfId="19814"/>
    <cellStyle name="Nagłówek 4 2 23 3" xfId="19815"/>
    <cellStyle name="Nagłówek 4 2 23 4" xfId="19816"/>
    <cellStyle name="Nagłówek 4 2 23 5" xfId="19817"/>
    <cellStyle name="Nagłówek 4 2 23 6" xfId="19818"/>
    <cellStyle name="Nagłówek 4 2 23 7" xfId="19819"/>
    <cellStyle name="Nagłówek 4 2 24" xfId="19820"/>
    <cellStyle name="Nagłówek 4 2 24 2" xfId="19821"/>
    <cellStyle name="Nagłówek 4 2 24 3" xfId="19822"/>
    <cellStyle name="Nagłówek 4 2 24 4" xfId="19823"/>
    <cellStyle name="Nagłówek 4 2 24 5" xfId="19824"/>
    <cellStyle name="Nagłówek 4 2 24 6" xfId="19825"/>
    <cellStyle name="Nagłówek 4 2 24 7" xfId="19826"/>
    <cellStyle name="Nagłówek 4 2 25" xfId="19827"/>
    <cellStyle name="Nagłówek 4 2 25 2" xfId="19828"/>
    <cellStyle name="Nagłówek 4 2 25 3" xfId="19829"/>
    <cellStyle name="Nagłówek 4 2 25 4" xfId="19830"/>
    <cellStyle name="Nagłówek 4 2 25 5" xfId="19831"/>
    <cellStyle name="Nagłówek 4 2 25 6" xfId="19832"/>
    <cellStyle name="Nagłówek 4 2 25 7" xfId="19833"/>
    <cellStyle name="Nagłówek 4 2 26" xfId="19834"/>
    <cellStyle name="Nagłówek 4 2 26 2" xfId="19835"/>
    <cellStyle name="Nagłówek 4 2 26 3" xfId="19836"/>
    <cellStyle name="Nagłówek 4 2 26 4" xfId="19837"/>
    <cellStyle name="Nagłówek 4 2 26 5" xfId="19838"/>
    <cellStyle name="Nagłówek 4 2 26 6" xfId="19839"/>
    <cellStyle name="Nagłówek 4 2 26 7" xfId="19840"/>
    <cellStyle name="Nagłówek 4 2 27" xfId="19841"/>
    <cellStyle name="Nagłówek 4 2 27 2" xfId="19842"/>
    <cellStyle name="Nagłówek 4 2 27 3" xfId="19843"/>
    <cellStyle name="Nagłówek 4 2 27 4" xfId="19844"/>
    <cellStyle name="Nagłówek 4 2 27 5" xfId="19845"/>
    <cellStyle name="Nagłówek 4 2 27 6" xfId="19846"/>
    <cellStyle name="Nagłówek 4 2 27 7" xfId="19847"/>
    <cellStyle name="Nagłówek 4 2 28" xfId="19848"/>
    <cellStyle name="Nagłówek 4 2 28 2" xfId="19849"/>
    <cellStyle name="Nagłówek 4 2 28 3" xfId="19850"/>
    <cellStyle name="Nagłówek 4 2 28 4" xfId="19851"/>
    <cellStyle name="Nagłówek 4 2 28 5" xfId="19852"/>
    <cellStyle name="Nagłówek 4 2 28 6" xfId="19853"/>
    <cellStyle name="Nagłówek 4 2 28 7" xfId="19854"/>
    <cellStyle name="Nagłówek 4 2 29" xfId="19855"/>
    <cellStyle name="Nagłówek 4 2 29 2" xfId="19856"/>
    <cellStyle name="Nagłówek 4 2 3" xfId="19857"/>
    <cellStyle name="Nagłówek 4 2 3 2" xfId="19858"/>
    <cellStyle name="Nagłówek 4 2 3 3" xfId="19859"/>
    <cellStyle name="Nagłówek 4 2 3 4" xfId="19860"/>
    <cellStyle name="Nagłówek 4 2 3 5" xfId="19861"/>
    <cellStyle name="Nagłówek 4 2 3 6" xfId="19862"/>
    <cellStyle name="Nagłówek 4 2 3 7" xfId="19863"/>
    <cellStyle name="Nagłówek 4 2 30" xfId="19864"/>
    <cellStyle name="Nagłówek 4 2 30 2" xfId="19865"/>
    <cellStyle name="Nagłówek 4 2 31" xfId="19866"/>
    <cellStyle name="Nagłówek 4 2 31 2" xfId="19867"/>
    <cellStyle name="Nagłówek 4 2 32" xfId="19868"/>
    <cellStyle name="Nagłówek 4 2 32 2" xfId="19869"/>
    <cellStyle name="Nagłówek 4 2 33" xfId="19870"/>
    <cellStyle name="Nagłówek 4 2 34" xfId="19871"/>
    <cellStyle name="Nagłówek 4 2 35" xfId="19872"/>
    <cellStyle name="Nagłówek 4 2 36" xfId="19873"/>
    <cellStyle name="Nagłówek 4 2 37" xfId="19874"/>
    <cellStyle name="Nagłówek 4 2 38" xfId="19875"/>
    <cellStyle name="Nagłówek 4 2 39" xfId="19876"/>
    <cellStyle name="Nagłówek 4 2 4" xfId="19877"/>
    <cellStyle name="Nagłówek 4 2 4 2" xfId="19878"/>
    <cellStyle name="Nagłówek 4 2 4 3" xfId="19879"/>
    <cellStyle name="Nagłówek 4 2 4 4" xfId="19880"/>
    <cellStyle name="Nagłówek 4 2 4 5" xfId="19881"/>
    <cellStyle name="Nagłówek 4 2 4 6" xfId="19882"/>
    <cellStyle name="Nagłówek 4 2 4 7" xfId="19883"/>
    <cellStyle name="Nagłówek 4 2 40" xfId="19884"/>
    <cellStyle name="Nagłówek 4 2 41" xfId="19885"/>
    <cellStyle name="Nagłówek 4 2 42" xfId="19886"/>
    <cellStyle name="Nagłówek 4 2 43" xfId="19887"/>
    <cellStyle name="Nagłówek 4 2 44" xfId="19888"/>
    <cellStyle name="Nagłówek 4 2 45" xfId="19889"/>
    <cellStyle name="Nagłówek 4 2 46" xfId="19890"/>
    <cellStyle name="Nagłówek 4 2 47" xfId="19891"/>
    <cellStyle name="Nagłówek 4 2 48" xfId="19892"/>
    <cellStyle name="Nagłówek 4 2 49" xfId="19893"/>
    <cellStyle name="Nagłówek 4 2 5" xfId="19894"/>
    <cellStyle name="Nagłówek 4 2 5 2" xfId="19895"/>
    <cellStyle name="Nagłówek 4 2 5 3" xfId="19896"/>
    <cellStyle name="Nagłówek 4 2 5 4" xfId="19897"/>
    <cellStyle name="Nagłówek 4 2 5 5" xfId="19898"/>
    <cellStyle name="Nagłówek 4 2 5 6" xfId="19899"/>
    <cellStyle name="Nagłówek 4 2 5 7" xfId="19900"/>
    <cellStyle name="Nagłówek 4 2 50" xfId="19901"/>
    <cellStyle name="Nagłówek 4 2 51" xfId="19902"/>
    <cellStyle name="Nagłówek 4 2 52" xfId="19903"/>
    <cellStyle name="Nagłówek 4 2 53" xfId="19904"/>
    <cellStyle name="Nagłówek 4 2 6" xfId="19905"/>
    <cellStyle name="Nagłówek 4 2 6 2" xfId="19906"/>
    <cellStyle name="Nagłówek 4 2 6 3" xfId="19907"/>
    <cellStyle name="Nagłówek 4 2 6 4" xfId="19908"/>
    <cellStyle name="Nagłówek 4 2 6 5" xfId="19909"/>
    <cellStyle name="Nagłówek 4 2 6 6" xfId="19910"/>
    <cellStyle name="Nagłówek 4 2 6 7" xfId="19911"/>
    <cellStyle name="Nagłówek 4 2 7" xfId="19912"/>
    <cellStyle name="Nagłówek 4 2 7 2" xfId="19913"/>
    <cellStyle name="Nagłówek 4 2 7 3" xfId="19914"/>
    <cellStyle name="Nagłówek 4 2 7 4" xfId="19915"/>
    <cellStyle name="Nagłówek 4 2 7 5" xfId="19916"/>
    <cellStyle name="Nagłówek 4 2 7 6" xfId="19917"/>
    <cellStyle name="Nagłówek 4 2 7 7" xfId="19918"/>
    <cellStyle name="Nagłówek 4 2 8" xfId="19919"/>
    <cellStyle name="Nagłówek 4 2 8 2" xfId="19920"/>
    <cellStyle name="Nagłówek 4 2 8 3" xfId="19921"/>
    <cellStyle name="Nagłówek 4 2 8 4" xfId="19922"/>
    <cellStyle name="Nagłówek 4 2 8 5" xfId="19923"/>
    <cellStyle name="Nagłówek 4 2 8 6" xfId="19924"/>
    <cellStyle name="Nagłówek 4 2 8 7" xfId="19925"/>
    <cellStyle name="Nagłówek 4 2 9" xfId="19926"/>
    <cellStyle name="Nagłówek 4 2 9 2" xfId="19927"/>
    <cellStyle name="Nagłówek 4 2 9 3" xfId="19928"/>
    <cellStyle name="Nagłówek 4 2 9 4" xfId="19929"/>
    <cellStyle name="Nagłówek 4 2 9 5" xfId="19930"/>
    <cellStyle name="Nagłówek 4 2 9 6" xfId="19931"/>
    <cellStyle name="Nagłówek 4 2 9 7" xfId="19932"/>
    <cellStyle name="Nagłówek 4 3" xfId="19933"/>
    <cellStyle name="Nagłówek 4 3 2" xfId="19934"/>
    <cellStyle name="Nagłówek 4 3 2 2" xfId="19935"/>
    <cellStyle name="Nagłówek 4 3 3" xfId="19936"/>
    <cellStyle name="Nagłówek 4 3 4" xfId="19937"/>
    <cellStyle name="Nagłówek 4 3 5" xfId="19938"/>
    <cellStyle name="Nagłówek 4 4" xfId="19939"/>
    <cellStyle name="Nagłówek 4 4 2" xfId="19940"/>
    <cellStyle name="Nagłówek 4 4 3" xfId="19941"/>
    <cellStyle name="Nagłówek 4 4 4" xfId="19942"/>
    <cellStyle name="Nagłówek 4 4 5" xfId="19943"/>
    <cellStyle name="Nagłówek 4 5" xfId="19944"/>
    <cellStyle name="Nagłówek 4 5 2" xfId="19945"/>
    <cellStyle name="Nagłówek 4 5 3" xfId="19946"/>
    <cellStyle name="Nagłówek 4 6" xfId="19947"/>
    <cellStyle name="Nagłówek 4 6 2" xfId="19948"/>
    <cellStyle name="Nagłówek 4 7" xfId="19949"/>
    <cellStyle name="Neutralne 2" xfId="19950"/>
    <cellStyle name="Neutralne 2 10" xfId="19951"/>
    <cellStyle name="Neutralne 2 10 2" xfId="19952"/>
    <cellStyle name="Neutralne 2 10 3" xfId="19953"/>
    <cellStyle name="Neutralne 2 10 4" xfId="19954"/>
    <cellStyle name="Neutralne 2 10 5" xfId="19955"/>
    <cellStyle name="Neutralne 2 10 6" xfId="19956"/>
    <cellStyle name="Neutralne 2 10 7" xfId="19957"/>
    <cellStyle name="Neutralne 2 11" xfId="19958"/>
    <cellStyle name="Neutralne 2 11 2" xfId="19959"/>
    <cellStyle name="Neutralne 2 11 3" xfId="19960"/>
    <cellStyle name="Neutralne 2 11 4" xfId="19961"/>
    <cellStyle name="Neutralne 2 11 5" xfId="19962"/>
    <cellStyle name="Neutralne 2 11 6" xfId="19963"/>
    <cellStyle name="Neutralne 2 11 7" xfId="19964"/>
    <cellStyle name="Neutralne 2 12" xfId="19965"/>
    <cellStyle name="Neutralne 2 12 2" xfId="19966"/>
    <cellStyle name="Neutralne 2 12 3" xfId="19967"/>
    <cellStyle name="Neutralne 2 12 4" xfId="19968"/>
    <cellStyle name="Neutralne 2 12 5" xfId="19969"/>
    <cellStyle name="Neutralne 2 12 6" xfId="19970"/>
    <cellStyle name="Neutralne 2 12 7" xfId="19971"/>
    <cellStyle name="Neutralne 2 13" xfId="19972"/>
    <cellStyle name="Neutralne 2 13 2" xfId="19973"/>
    <cellStyle name="Neutralne 2 13 3" xfId="19974"/>
    <cellStyle name="Neutralne 2 13 4" xfId="19975"/>
    <cellStyle name="Neutralne 2 13 5" xfId="19976"/>
    <cellStyle name="Neutralne 2 13 6" xfId="19977"/>
    <cellStyle name="Neutralne 2 13 7" xfId="19978"/>
    <cellStyle name="Neutralne 2 14" xfId="19979"/>
    <cellStyle name="Neutralne 2 14 2" xfId="19980"/>
    <cellStyle name="Neutralne 2 14 3" xfId="19981"/>
    <cellStyle name="Neutralne 2 14 4" xfId="19982"/>
    <cellStyle name="Neutralne 2 14 5" xfId="19983"/>
    <cellStyle name="Neutralne 2 14 6" xfId="19984"/>
    <cellStyle name="Neutralne 2 14 7" xfId="19985"/>
    <cellStyle name="Neutralne 2 15" xfId="19986"/>
    <cellStyle name="Neutralne 2 15 2" xfId="19987"/>
    <cellStyle name="Neutralne 2 15 3" xfId="19988"/>
    <cellStyle name="Neutralne 2 15 4" xfId="19989"/>
    <cellStyle name="Neutralne 2 15 5" xfId="19990"/>
    <cellStyle name="Neutralne 2 15 6" xfId="19991"/>
    <cellStyle name="Neutralne 2 15 7" xfId="19992"/>
    <cellStyle name="Neutralne 2 16" xfId="19993"/>
    <cellStyle name="Neutralne 2 16 2" xfId="19994"/>
    <cellStyle name="Neutralne 2 16 3" xfId="19995"/>
    <cellStyle name="Neutralne 2 16 4" xfId="19996"/>
    <cellStyle name="Neutralne 2 16 5" xfId="19997"/>
    <cellStyle name="Neutralne 2 16 6" xfId="19998"/>
    <cellStyle name="Neutralne 2 16 7" xfId="19999"/>
    <cellStyle name="Neutralne 2 17" xfId="20000"/>
    <cellStyle name="Neutralne 2 17 2" xfId="20001"/>
    <cellStyle name="Neutralne 2 17 3" xfId="20002"/>
    <cellStyle name="Neutralne 2 17 4" xfId="20003"/>
    <cellStyle name="Neutralne 2 17 5" xfId="20004"/>
    <cellStyle name="Neutralne 2 17 6" xfId="20005"/>
    <cellStyle name="Neutralne 2 17 7" xfId="20006"/>
    <cellStyle name="Neutralne 2 18" xfId="20007"/>
    <cellStyle name="Neutralne 2 18 2" xfId="20008"/>
    <cellStyle name="Neutralne 2 18 3" xfId="20009"/>
    <cellStyle name="Neutralne 2 18 4" xfId="20010"/>
    <cellStyle name="Neutralne 2 18 5" xfId="20011"/>
    <cellStyle name="Neutralne 2 18 6" xfId="20012"/>
    <cellStyle name="Neutralne 2 18 7" xfId="20013"/>
    <cellStyle name="Neutralne 2 19" xfId="20014"/>
    <cellStyle name="Neutralne 2 19 2" xfId="20015"/>
    <cellStyle name="Neutralne 2 19 3" xfId="20016"/>
    <cellStyle name="Neutralne 2 19 4" xfId="20017"/>
    <cellStyle name="Neutralne 2 19 5" xfId="20018"/>
    <cellStyle name="Neutralne 2 19 6" xfId="20019"/>
    <cellStyle name="Neutralne 2 19 7" xfId="20020"/>
    <cellStyle name="Neutralne 2 2" xfId="20021"/>
    <cellStyle name="Neutralne 2 2 2" xfId="20022"/>
    <cellStyle name="Neutralne 2 2 3" xfId="20023"/>
    <cellStyle name="Neutralne 2 2 4" xfId="20024"/>
    <cellStyle name="Neutralne 2 2 5" xfId="20025"/>
    <cellStyle name="Neutralne 2 2 6" xfId="20026"/>
    <cellStyle name="Neutralne 2 2 7" xfId="20027"/>
    <cellStyle name="Neutralne 2 2 8" xfId="20028"/>
    <cellStyle name="Neutralne 2 20" xfId="20029"/>
    <cellStyle name="Neutralne 2 20 2" xfId="20030"/>
    <cellStyle name="Neutralne 2 20 3" xfId="20031"/>
    <cellStyle name="Neutralne 2 20 4" xfId="20032"/>
    <cellStyle name="Neutralne 2 20 5" xfId="20033"/>
    <cellStyle name="Neutralne 2 20 6" xfId="20034"/>
    <cellStyle name="Neutralne 2 20 7" xfId="20035"/>
    <cellStyle name="Neutralne 2 21" xfId="20036"/>
    <cellStyle name="Neutralne 2 21 2" xfId="20037"/>
    <cellStyle name="Neutralne 2 21 3" xfId="20038"/>
    <cellStyle name="Neutralne 2 21 4" xfId="20039"/>
    <cellStyle name="Neutralne 2 21 5" xfId="20040"/>
    <cellStyle name="Neutralne 2 21 6" xfId="20041"/>
    <cellStyle name="Neutralne 2 21 7" xfId="20042"/>
    <cellStyle name="Neutralne 2 22" xfId="20043"/>
    <cellStyle name="Neutralne 2 22 2" xfId="20044"/>
    <cellStyle name="Neutralne 2 22 3" xfId="20045"/>
    <cellStyle name="Neutralne 2 22 4" xfId="20046"/>
    <cellStyle name="Neutralne 2 22 5" xfId="20047"/>
    <cellStyle name="Neutralne 2 22 6" xfId="20048"/>
    <cellStyle name="Neutralne 2 22 7" xfId="20049"/>
    <cellStyle name="Neutralne 2 23" xfId="20050"/>
    <cellStyle name="Neutralne 2 23 2" xfId="20051"/>
    <cellStyle name="Neutralne 2 23 3" xfId="20052"/>
    <cellStyle name="Neutralne 2 23 4" xfId="20053"/>
    <cellStyle name="Neutralne 2 23 5" xfId="20054"/>
    <cellStyle name="Neutralne 2 23 6" xfId="20055"/>
    <cellStyle name="Neutralne 2 23 7" xfId="20056"/>
    <cellStyle name="Neutralne 2 24" xfId="20057"/>
    <cellStyle name="Neutralne 2 24 2" xfId="20058"/>
    <cellStyle name="Neutralne 2 24 3" xfId="20059"/>
    <cellStyle name="Neutralne 2 24 4" xfId="20060"/>
    <cellStyle name="Neutralne 2 24 5" xfId="20061"/>
    <cellStyle name="Neutralne 2 24 6" xfId="20062"/>
    <cellStyle name="Neutralne 2 24 7" xfId="20063"/>
    <cellStyle name="Neutralne 2 25" xfId="20064"/>
    <cellStyle name="Neutralne 2 25 2" xfId="20065"/>
    <cellStyle name="Neutralne 2 25 3" xfId="20066"/>
    <cellStyle name="Neutralne 2 25 4" xfId="20067"/>
    <cellStyle name="Neutralne 2 25 5" xfId="20068"/>
    <cellStyle name="Neutralne 2 25 6" xfId="20069"/>
    <cellStyle name="Neutralne 2 25 7" xfId="20070"/>
    <cellStyle name="Neutralne 2 26" xfId="20071"/>
    <cellStyle name="Neutralne 2 26 2" xfId="20072"/>
    <cellStyle name="Neutralne 2 26 3" xfId="20073"/>
    <cellStyle name="Neutralne 2 26 4" xfId="20074"/>
    <cellStyle name="Neutralne 2 26 5" xfId="20075"/>
    <cellStyle name="Neutralne 2 26 6" xfId="20076"/>
    <cellStyle name="Neutralne 2 26 7" xfId="20077"/>
    <cellStyle name="Neutralne 2 27" xfId="20078"/>
    <cellStyle name="Neutralne 2 27 2" xfId="20079"/>
    <cellStyle name="Neutralne 2 27 3" xfId="20080"/>
    <cellStyle name="Neutralne 2 27 4" xfId="20081"/>
    <cellStyle name="Neutralne 2 27 5" xfId="20082"/>
    <cellStyle name="Neutralne 2 27 6" xfId="20083"/>
    <cellStyle name="Neutralne 2 27 7" xfId="20084"/>
    <cellStyle name="Neutralne 2 28" xfId="20085"/>
    <cellStyle name="Neutralne 2 28 2" xfId="20086"/>
    <cellStyle name="Neutralne 2 28 3" xfId="20087"/>
    <cellStyle name="Neutralne 2 28 4" xfId="20088"/>
    <cellStyle name="Neutralne 2 28 5" xfId="20089"/>
    <cellStyle name="Neutralne 2 28 6" xfId="20090"/>
    <cellStyle name="Neutralne 2 28 7" xfId="20091"/>
    <cellStyle name="Neutralne 2 29" xfId="20092"/>
    <cellStyle name="Neutralne 2 29 2" xfId="20093"/>
    <cellStyle name="Neutralne 2 3" xfId="20094"/>
    <cellStyle name="Neutralne 2 3 2" xfId="20095"/>
    <cellStyle name="Neutralne 2 3 3" xfId="20096"/>
    <cellStyle name="Neutralne 2 3 4" xfId="20097"/>
    <cellStyle name="Neutralne 2 3 5" xfId="20098"/>
    <cellStyle name="Neutralne 2 3 6" xfId="20099"/>
    <cellStyle name="Neutralne 2 3 7" xfId="20100"/>
    <cellStyle name="Neutralne 2 30" xfId="20101"/>
    <cellStyle name="Neutralne 2 30 2" xfId="20102"/>
    <cellStyle name="Neutralne 2 31" xfId="20103"/>
    <cellStyle name="Neutralne 2 31 2" xfId="20104"/>
    <cellStyle name="Neutralne 2 32" xfId="20105"/>
    <cellStyle name="Neutralne 2 32 2" xfId="20106"/>
    <cellStyle name="Neutralne 2 33" xfId="20107"/>
    <cellStyle name="Neutralne 2 34" xfId="20108"/>
    <cellStyle name="Neutralne 2 35" xfId="20109"/>
    <cellStyle name="Neutralne 2 36" xfId="20110"/>
    <cellStyle name="Neutralne 2 37" xfId="20111"/>
    <cellStyle name="Neutralne 2 38" xfId="20112"/>
    <cellStyle name="Neutralne 2 39" xfId="20113"/>
    <cellStyle name="Neutralne 2 4" xfId="20114"/>
    <cellStyle name="Neutralne 2 4 2" xfId="20115"/>
    <cellStyle name="Neutralne 2 4 3" xfId="20116"/>
    <cellStyle name="Neutralne 2 4 4" xfId="20117"/>
    <cellStyle name="Neutralne 2 4 5" xfId="20118"/>
    <cellStyle name="Neutralne 2 4 6" xfId="20119"/>
    <cellStyle name="Neutralne 2 4 7" xfId="20120"/>
    <cellStyle name="Neutralne 2 5" xfId="20121"/>
    <cellStyle name="Neutralne 2 5 2" xfId="20122"/>
    <cellStyle name="Neutralne 2 5 3" xfId="20123"/>
    <cellStyle name="Neutralne 2 5 4" xfId="20124"/>
    <cellStyle name="Neutralne 2 5 5" xfId="20125"/>
    <cellStyle name="Neutralne 2 5 6" xfId="20126"/>
    <cellStyle name="Neutralne 2 5 7" xfId="20127"/>
    <cellStyle name="Neutralne 2 6" xfId="20128"/>
    <cellStyle name="Neutralne 2 6 2" xfId="20129"/>
    <cellStyle name="Neutralne 2 6 3" xfId="20130"/>
    <cellStyle name="Neutralne 2 6 4" xfId="20131"/>
    <cellStyle name="Neutralne 2 6 5" xfId="20132"/>
    <cellStyle name="Neutralne 2 6 6" xfId="20133"/>
    <cellStyle name="Neutralne 2 6 7" xfId="20134"/>
    <cellStyle name="Neutralne 2 7" xfId="20135"/>
    <cellStyle name="Neutralne 2 7 2" xfId="20136"/>
    <cellStyle name="Neutralne 2 7 3" xfId="20137"/>
    <cellStyle name="Neutralne 2 7 4" xfId="20138"/>
    <cellStyle name="Neutralne 2 7 5" xfId="20139"/>
    <cellStyle name="Neutralne 2 7 6" xfId="20140"/>
    <cellStyle name="Neutralne 2 7 7" xfId="20141"/>
    <cellStyle name="Neutralne 2 8" xfId="20142"/>
    <cellStyle name="Neutralne 2 8 2" xfId="20143"/>
    <cellStyle name="Neutralne 2 8 3" xfId="20144"/>
    <cellStyle name="Neutralne 2 8 4" xfId="20145"/>
    <cellStyle name="Neutralne 2 8 5" xfId="20146"/>
    <cellStyle name="Neutralne 2 8 6" xfId="20147"/>
    <cellStyle name="Neutralne 2 8 7" xfId="20148"/>
    <cellStyle name="Neutralne 2 9" xfId="20149"/>
    <cellStyle name="Neutralne 2 9 2" xfId="20150"/>
    <cellStyle name="Neutralne 2 9 3" xfId="20151"/>
    <cellStyle name="Neutralne 2 9 4" xfId="20152"/>
    <cellStyle name="Neutralne 2 9 5" xfId="20153"/>
    <cellStyle name="Neutralne 2 9 6" xfId="20154"/>
    <cellStyle name="Neutralne 2 9 7" xfId="20155"/>
    <cellStyle name="Neutralne 3" xfId="20156"/>
    <cellStyle name="Neutralne 3 2" xfId="20157"/>
    <cellStyle name="Neutralne 3 2 2" xfId="20158"/>
    <cellStyle name="Neutralne 3 3" xfId="20159"/>
    <cellStyle name="Neutralne 3 4" xfId="20160"/>
    <cellStyle name="Neutralne 3 5" xfId="20161"/>
    <cellStyle name="Neutralne 3 6" xfId="20162"/>
    <cellStyle name="Neutralne 3 7" xfId="20163"/>
    <cellStyle name="Neutralne 3 8" xfId="20164"/>
    <cellStyle name="Neutralne 3 9" xfId="20165"/>
    <cellStyle name="Neutralne 4" xfId="20166"/>
    <cellStyle name="Neutralne 4 2" xfId="20167"/>
    <cellStyle name="Neutralne 4 3" xfId="20168"/>
    <cellStyle name="Neutralne 4 4" xfId="20169"/>
    <cellStyle name="Neutralne 4 5" xfId="20170"/>
    <cellStyle name="Neutralne 4 6" xfId="20171"/>
    <cellStyle name="Neutralne 4 7" xfId="20172"/>
    <cellStyle name="Neutralne 4 8" xfId="20173"/>
    <cellStyle name="Neutralne 4 9" xfId="20174"/>
    <cellStyle name="Neutralne 5" xfId="20175"/>
    <cellStyle name="Neutralne 5 2" xfId="20176"/>
    <cellStyle name="Neutralne 5 3" xfId="20177"/>
    <cellStyle name="Neutralne 6" xfId="20178"/>
    <cellStyle name="Neutralne 6 2" xfId="20179"/>
    <cellStyle name="Neutralne 7" xfId="20180"/>
    <cellStyle name="Nor}al" xfId="20181"/>
    <cellStyle name="Normal - Style1" xfId="20182"/>
    <cellStyle name="Normal 2" xfId="20183"/>
    <cellStyle name="Normal 3" xfId="20184"/>
    <cellStyle name="Normal 4" xfId="18"/>
    <cellStyle name="Normal_bilans_kardia" xfId="20185"/>
    <cellStyle name="Normál_cb-fr" xfId="20186"/>
    <cellStyle name="Normal_CC_SM_B" xfId="20187"/>
    <cellStyle name="Normale_INDIA_Allegato3" xfId="20188"/>
    <cellStyle name="normální_Kopie - Kalos_DD­_3" xfId="20189"/>
    <cellStyle name="Normalny" xfId="0" builtinId="0"/>
    <cellStyle name="Normalny 10" xfId="20190"/>
    <cellStyle name="Normalny 10 10" xfId="20191"/>
    <cellStyle name="Normalny 10 10 2" xfId="20192"/>
    <cellStyle name="Normalny 10 11" xfId="20193"/>
    <cellStyle name="Normalny 10 11 2" xfId="20194"/>
    <cellStyle name="Normalny 10 12" xfId="20195"/>
    <cellStyle name="Normalny 10 12 2" xfId="20196"/>
    <cellStyle name="Normalny 10 13" xfId="20197"/>
    <cellStyle name="Normalny 10 13 2" xfId="20198"/>
    <cellStyle name="Normalny 10 14" xfId="20199"/>
    <cellStyle name="Normalny 10 14 2" xfId="20200"/>
    <cellStyle name="Normalny 10 15" xfId="20201"/>
    <cellStyle name="Normalny 10 15 2" xfId="20202"/>
    <cellStyle name="Normalny 10 16" xfId="20203"/>
    <cellStyle name="Normalny 10 16 2" xfId="20204"/>
    <cellStyle name="Normalny 10 17" xfId="20205"/>
    <cellStyle name="Normalny 10 17 2" xfId="20206"/>
    <cellStyle name="Normalny 10 18" xfId="20207"/>
    <cellStyle name="Normalny 10 18 2" xfId="20208"/>
    <cellStyle name="Normalny 10 19" xfId="20209"/>
    <cellStyle name="Normalny 10 19 2" xfId="20210"/>
    <cellStyle name="Normalny 10 2" xfId="20211"/>
    <cellStyle name="Normalny 10 2 2" xfId="20212"/>
    <cellStyle name="Normalny 10 2 3" xfId="20213"/>
    <cellStyle name="Normalny 10 2 4" xfId="20214"/>
    <cellStyle name="Normalny 10 20" xfId="20215"/>
    <cellStyle name="Normalny 10 20 2" xfId="20216"/>
    <cellStyle name="Normalny 10 21" xfId="20217"/>
    <cellStyle name="Normalny 10 21 2" xfId="20218"/>
    <cellStyle name="Normalny 10 22" xfId="20219"/>
    <cellStyle name="Normalny 10 22 2" xfId="20220"/>
    <cellStyle name="Normalny 10 23" xfId="20221"/>
    <cellStyle name="Normalny 10 23 2" xfId="20222"/>
    <cellStyle name="Normalny 10 24" xfId="20223"/>
    <cellStyle name="Normalny 10 24 2" xfId="20224"/>
    <cellStyle name="Normalny 10 25" xfId="20225"/>
    <cellStyle name="Normalny 10 25 2" xfId="20226"/>
    <cellStyle name="Normalny 10 26" xfId="20227"/>
    <cellStyle name="Normalny 10 26 2" xfId="20228"/>
    <cellStyle name="Normalny 10 27" xfId="20229"/>
    <cellStyle name="Normalny 10 27 2" xfId="20230"/>
    <cellStyle name="Normalny 10 28" xfId="20231"/>
    <cellStyle name="Normalny 10 29" xfId="20232"/>
    <cellStyle name="Normalny 10 3" xfId="20233"/>
    <cellStyle name="Normalny 10 3 2" xfId="20234"/>
    <cellStyle name="Normalny 10 3 3" xfId="20235"/>
    <cellStyle name="Normalny 10 3 4" xfId="20236"/>
    <cellStyle name="Normalny 10 30" xfId="20237"/>
    <cellStyle name="Normalny 10 31" xfId="20238"/>
    <cellStyle name="Normalny 10 32" xfId="20239"/>
    <cellStyle name="Normalny 10 33" xfId="20240"/>
    <cellStyle name="Normalny 10 34" xfId="20241"/>
    <cellStyle name="Normalny 10 35" xfId="20242"/>
    <cellStyle name="Normalny 10 36" xfId="20243"/>
    <cellStyle name="Normalny 10 37" xfId="20244"/>
    <cellStyle name="Normalny 10 38" xfId="20245"/>
    <cellStyle name="Normalny 10 39" xfId="20246"/>
    <cellStyle name="Normalny 10 4" xfId="20247"/>
    <cellStyle name="Normalny 10 4 2" xfId="20248"/>
    <cellStyle name="Normalny 10 4 3" xfId="20249"/>
    <cellStyle name="Normalny 10 40" xfId="20250"/>
    <cellStyle name="Normalny 10 41" xfId="20251"/>
    <cellStyle name="Normalny 10 42" xfId="20252"/>
    <cellStyle name="Normalny 10 43" xfId="20253"/>
    <cellStyle name="Normalny 10 44" xfId="20254"/>
    <cellStyle name="Normalny 10 45" xfId="20255"/>
    <cellStyle name="Normalny 10 46" xfId="20256"/>
    <cellStyle name="Normalny 10 47" xfId="20257"/>
    <cellStyle name="Normalny 10 48" xfId="20258"/>
    <cellStyle name="Normalny 10 49" xfId="20259"/>
    <cellStyle name="Normalny 10 5" xfId="20260"/>
    <cellStyle name="Normalny 10 5 2" xfId="20261"/>
    <cellStyle name="Normalny 10 5 3" xfId="20262"/>
    <cellStyle name="Normalny 10 50" xfId="20263"/>
    <cellStyle name="Normalny 10 51" xfId="20264"/>
    <cellStyle name="Normalny 10 52" xfId="20265"/>
    <cellStyle name="Normalny 10 53" xfId="20266"/>
    <cellStyle name="Normalny 10 54" xfId="20267"/>
    <cellStyle name="Normalny 10 55" xfId="20268"/>
    <cellStyle name="Normalny 10 56" xfId="20269"/>
    <cellStyle name="Normalny 10 57" xfId="20270"/>
    <cellStyle name="Normalny 10 58" xfId="20271"/>
    <cellStyle name="Normalny 10 59" xfId="20272"/>
    <cellStyle name="Normalny 10 6" xfId="20273"/>
    <cellStyle name="Normalny 10 6 2" xfId="20274"/>
    <cellStyle name="Normalny 10 60" xfId="20275"/>
    <cellStyle name="Normalny 10 61" xfId="20276"/>
    <cellStyle name="Normalny 10 62" xfId="20277"/>
    <cellStyle name="Normalny 10 63" xfId="20278"/>
    <cellStyle name="Normalny 10 64" xfId="20279"/>
    <cellStyle name="Normalny 10 65" xfId="20280"/>
    <cellStyle name="Normalny 10 66" xfId="20281"/>
    <cellStyle name="Normalny 10 67" xfId="20282"/>
    <cellStyle name="Normalny 10 68" xfId="20283"/>
    <cellStyle name="Normalny 10 69" xfId="20284"/>
    <cellStyle name="Normalny 10 7" xfId="20285"/>
    <cellStyle name="Normalny 10 7 2" xfId="20286"/>
    <cellStyle name="Normalny 10 70" xfId="20287"/>
    <cellStyle name="Normalny 10 71" xfId="20288"/>
    <cellStyle name="Normalny 10 72" xfId="20289"/>
    <cellStyle name="Normalny 10 73" xfId="20290"/>
    <cellStyle name="Normalny 10 74" xfId="20291"/>
    <cellStyle name="Normalny 10 75" xfId="20292"/>
    <cellStyle name="Normalny 10 8" xfId="20293"/>
    <cellStyle name="Normalny 10 8 2" xfId="20294"/>
    <cellStyle name="Normalny 10 9" xfId="20295"/>
    <cellStyle name="Normalny 10 9 2" xfId="20296"/>
    <cellStyle name="Normalny 100" xfId="20297"/>
    <cellStyle name="Normalny 100 2" xfId="20298"/>
    <cellStyle name="Normalny 101" xfId="20299"/>
    <cellStyle name="Normalny 101 2" xfId="20300"/>
    <cellStyle name="Normalny 102" xfId="20301"/>
    <cellStyle name="Normalny 102 2" xfId="20302"/>
    <cellStyle name="Normalny 103" xfId="20303"/>
    <cellStyle name="Normalny 103 2" xfId="20304"/>
    <cellStyle name="Normalny 104" xfId="20305"/>
    <cellStyle name="Normalny 104 2" xfId="20306"/>
    <cellStyle name="Normalny 105" xfId="20307"/>
    <cellStyle name="Normalny 105 2" xfId="20308"/>
    <cellStyle name="Normalny 106" xfId="20309"/>
    <cellStyle name="Normalny 106 2" xfId="20310"/>
    <cellStyle name="Normalny 107" xfId="20311"/>
    <cellStyle name="Normalny 107 2" xfId="20312"/>
    <cellStyle name="Normalny 108" xfId="20313"/>
    <cellStyle name="Normalny 108 2" xfId="20314"/>
    <cellStyle name="Normalny 109" xfId="20315"/>
    <cellStyle name="Normalny 109 2" xfId="20316"/>
    <cellStyle name="Normalny 11" xfId="20317"/>
    <cellStyle name="Normalny 11 2" xfId="20318"/>
    <cellStyle name="Normalny 11 2 2" xfId="20319"/>
    <cellStyle name="Normalny 11 2 3" xfId="20320"/>
    <cellStyle name="Normalny 11 3" xfId="20321"/>
    <cellStyle name="Normalny 11 3 2" xfId="20322"/>
    <cellStyle name="Normalny 11 4" xfId="20323"/>
    <cellStyle name="Normalny 11 5" xfId="20324"/>
    <cellStyle name="Normalny 110" xfId="20325"/>
    <cellStyle name="Normalny 110 2" xfId="20326"/>
    <cellStyle name="Normalny 111" xfId="20327"/>
    <cellStyle name="Normalny 111 2" xfId="20328"/>
    <cellStyle name="Normalny 112" xfId="20329"/>
    <cellStyle name="Normalny 112 2" xfId="20330"/>
    <cellStyle name="Normalny 113" xfId="20331"/>
    <cellStyle name="Normalny 113 2" xfId="20332"/>
    <cellStyle name="Normalny 114" xfId="20333"/>
    <cellStyle name="Normalny 114 2" xfId="20334"/>
    <cellStyle name="Normalny 115" xfId="20335"/>
    <cellStyle name="Normalny 115 2" xfId="20336"/>
    <cellStyle name="Normalny 116" xfId="20337"/>
    <cellStyle name="Normalny 116 2" xfId="20338"/>
    <cellStyle name="Normalny 117" xfId="20339"/>
    <cellStyle name="Normalny 117 2" xfId="20340"/>
    <cellStyle name="Normalny 118" xfId="20341"/>
    <cellStyle name="Normalny 118 2" xfId="20342"/>
    <cellStyle name="Normalny 119" xfId="20343"/>
    <cellStyle name="Normalny 119 2" xfId="20344"/>
    <cellStyle name="Normalny 12" xfId="20345"/>
    <cellStyle name="Normalny 12 10" xfId="20346"/>
    <cellStyle name="Normalny 12 10 2" xfId="20347"/>
    <cellStyle name="Normalny 12 11" xfId="20348"/>
    <cellStyle name="Normalny 12 11 2" xfId="20349"/>
    <cellStyle name="Normalny 12 12" xfId="20350"/>
    <cellStyle name="Normalny 12 12 2" xfId="20351"/>
    <cellStyle name="Normalny 12 13" xfId="20352"/>
    <cellStyle name="Normalny 12 13 2" xfId="20353"/>
    <cellStyle name="Normalny 12 14" xfId="20354"/>
    <cellStyle name="Normalny 12 14 2" xfId="20355"/>
    <cellStyle name="Normalny 12 15" xfId="20356"/>
    <cellStyle name="Normalny 12 15 2" xfId="20357"/>
    <cellStyle name="Normalny 12 16" xfId="20358"/>
    <cellStyle name="Normalny 12 16 2" xfId="20359"/>
    <cellStyle name="Normalny 12 17" xfId="20360"/>
    <cellStyle name="Normalny 12 17 2" xfId="20361"/>
    <cellStyle name="Normalny 12 18" xfId="20362"/>
    <cellStyle name="Normalny 12 18 2" xfId="20363"/>
    <cellStyle name="Normalny 12 19" xfId="20364"/>
    <cellStyle name="Normalny 12 19 2" xfId="20365"/>
    <cellStyle name="Normalny 12 2" xfId="20366"/>
    <cellStyle name="Normalny 12 2 2" xfId="20367"/>
    <cellStyle name="Normalny 12 2 3" xfId="20368"/>
    <cellStyle name="Normalny 12 2 4" xfId="20369"/>
    <cellStyle name="Normalny 12 20" xfId="20370"/>
    <cellStyle name="Normalny 12 20 2" xfId="20371"/>
    <cellStyle name="Normalny 12 21" xfId="20372"/>
    <cellStyle name="Normalny 12 21 2" xfId="20373"/>
    <cellStyle name="Normalny 12 22" xfId="20374"/>
    <cellStyle name="Normalny 12 22 2" xfId="20375"/>
    <cellStyle name="Normalny 12 23" xfId="20376"/>
    <cellStyle name="Normalny 12 23 2" xfId="20377"/>
    <cellStyle name="Normalny 12 24" xfId="20378"/>
    <cellStyle name="Normalny 12 24 2" xfId="20379"/>
    <cellStyle name="Normalny 12 25" xfId="20380"/>
    <cellStyle name="Normalny 12 25 2" xfId="20381"/>
    <cellStyle name="Normalny 12 26" xfId="20382"/>
    <cellStyle name="Normalny 12 26 2" xfId="20383"/>
    <cellStyle name="Normalny 12 27" xfId="20384"/>
    <cellStyle name="Normalny 12 27 2" xfId="20385"/>
    <cellStyle name="Normalny 12 28" xfId="20386"/>
    <cellStyle name="Normalny 12 29" xfId="20387"/>
    <cellStyle name="Normalny 12 3" xfId="20388"/>
    <cellStyle name="Normalny 12 3 2" xfId="20389"/>
    <cellStyle name="Normalny 12 3 3" xfId="20390"/>
    <cellStyle name="Normalny 12 30" xfId="20391"/>
    <cellStyle name="Normalny 12 31" xfId="20392"/>
    <cellStyle name="Normalny 12 32" xfId="20393"/>
    <cellStyle name="Normalny 12 33" xfId="20394"/>
    <cellStyle name="Normalny 12 34" xfId="20395"/>
    <cellStyle name="Normalny 12 35" xfId="20396"/>
    <cellStyle name="Normalny 12 36" xfId="20397"/>
    <cellStyle name="Normalny 12 37" xfId="20398"/>
    <cellStyle name="Normalny 12 38" xfId="20399"/>
    <cellStyle name="Normalny 12 39" xfId="20400"/>
    <cellStyle name="Normalny 12 4" xfId="20401"/>
    <cellStyle name="Normalny 12 4 2" xfId="20402"/>
    <cellStyle name="Normalny 12 4 3" xfId="20403"/>
    <cellStyle name="Normalny 12 40" xfId="20404"/>
    <cellStyle name="Normalny 12 41" xfId="20405"/>
    <cellStyle name="Normalny 12 42" xfId="20406"/>
    <cellStyle name="Normalny 12 43" xfId="20407"/>
    <cellStyle name="Normalny 12 44" xfId="20408"/>
    <cellStyle name="Normalny 12 45" xfId="20409"/>
    <cellStyle name="Normalny 12 46" xfId="20410"/>
    <cellStyle name="Normalny 12 47" xfId="20411"/>
    <cellStyle name="Normalny 12 48" xfId="20412"/>
    <cellStyle name="Normalny 12 49" xfId="20413"/>
    <cellStyle name="Normalny 12 5" xfId="20414"/>
    <cellStyle name="Normalny 12 5 2" xfId="20415"/>
    <cellStyle name="Normalny 12 5 3" xfId="20416"/>
    <cellStyle name="Normalny 12 50" xfId="20417"/>
    <cellStyle name="Normalny 12 51" xfId="20418"/>
    <cellStyle name="Normalny 12 52" xfId="20419"/>
    <cellStyle name="Normalny 12 53" xfId="20420"/>
    <cellStyle name="Normalny 12 54" xfId="20421"/>
    <cellStyle name="Normalny 12 55" xfId="20422"/>
    <cellStyle name="Normalny 12 56" xfId="20423"/>
    <cellStyle name="Normalny 12 57" xfId="20424"/>
    <cellStyle name="Normalny 12 58" xfId="20425"/>
    <cellStyle name="Normalny 12 59" xfId="20426"/>
    <cellStyle name="Normalny 12 6" xfId="20427"/>
    <cellStyle name="Normalny 12 6 2" xfId="20428"/>
    <cellStyle name="Normalny 12 60" xfId="20429"/>
    <cellStyle name="Normalny 12 61" xfId="20430"/>
    <cellStyle name="Normalny 12 62" xfId="20431"/>
    <cellStyle name="Normalny 12 63" xfId="20432"/>
    <cellStyle name="Normalny 12 64" xfId="20433"/>
    <cellStyle name="Normalny 12 65" xfId="20434"/>
    <cellStyle name="Normalny 12 66" xfId="20435"/>
    <cellStyle name="Normalny 12 67" xfId="20436"/>
    <cellStyle name="Normalny 12 68" xfId="20437"/>
    <cellStyle name="Normalny 12 69" xfId="20438"/>
    <cellStyle name="Normalny 12 7" xfId="20439"/>
    <cellStyle name="Normalny 12 7 2" xfId="20440"/>
    <cellStyle name="Normalny 12 70" xfId="20441"/>
    <cellStyle name="Normalny 12 71" xfId="20442"/>
    <cellStyle name="Normalny 12 72" xfId="20443"/>
    <cellStyle name="Normalny 12 73" xfId="20444"/>
    <cellStyle name="Normalny 12 74" xfId="20445"/>
    <cellStyle name="Normalny 12 75" xfId="20446"/>
    <cellStyle name="Normalny 12 8" xfId="20447"/>
    <cellStyle name="Normalny 12 8 2" xfId="20448"/>
    <cellStyle name="Normalny 12 9" xfId="20449"/>
    <cellStyle name="Normalny 12 9 2" xfId="20450"/>
    <cellStyle name="Normalny 120" xfId="20451"/>
    <cellStyle name="Normalny 120 2" xfId="20452"/>
    <cellStyle name="Normalny 121" xfId="20453"/>
    <cellStyle name="Normalny 121 2" xfId="20454"/>
    <cellStyle name="Normalny 121 2 2" xfId="20455"/>
    <cellStyle name="Normalny 122" xfId="20456"/>
    <cellStyle name="Normalny 122 2" xfId="20457"/>
    <cellStyle name="Normalny 123" xfId="16"/>
    <cellStyle name="Normalny 123 2" xfId="20458"/>
    <cellStyle name="Normalny 123 3" xfId="42849"/>
    <cellStyle name="Normalny 124" xfId="11"/>
    <cellStyle name="Normalny 125" xfId="20459"/>
    <cellStyle name="Normalny 126" xfId="12"/>
    <cellStyle name="Normalny 127" xfId="14"/>
    <cellStyle name="Normalny 128" xfId="20460"/>
    <cellStyle name="Normalny 129" xfId="20461"/>
    <cellStyle name="Normalny 13" xfId="20462"/>
    <cellStyle name="Normalny 13 2" xfId="20463"/>
    <cellStyle name="Normalny 13 2 2" xfId="20464"/>
    <cellStyle name="Normalny 13 2 3" xfId="20465"/>
    <cellStyle name="Normalny 13 3" xfId="20466"/>
    <cellStyle name="Normalny 13 3 2" xfId="20467"/>
    <cellStyle name="Normalny 13 4" xfId="20468"/>
    <cellStyle name="Normalny 130" xfId="20469"/>
    <cellStyle name="Normalny 131" xfId="20470"/>
    <cellStyle name="Normalny 132" xfId="20471"/>
    <cellStyle name="Normalny 133" xfId="20472"/>
    <cellStyle name="Normalny 134" xfId="42845"/>
    <cellStyle name="Normalny 135" xfId="42848"/>
    <cellStyle name="Normalny 136" xfId="9"/>
    <cellStyle name="Normalny 14" xfId="20473"/>
    <cellStyle name="Normalny 14 2" xfId="20474"/>
    <cellStyle name="Normalny 14 2 2" xfId="20475"/>
    <cellStyle name="Normalny 14 3" xfId="20476"/>
    <cellStyle name="Normalny 14 4" xfId="20477"/>
    <cellStyle name="Normalny 14 5" xfId="20478"/>
    <cellStyle name="Normalny 15" xfId="20479"/>
    <cellStyle name="Normalny 15 2" xfId="20480"/>
    <cellStyle name="Normalny 15 2 2" xfId="20481"/>
    <cellStyle name="Normalny 15 2 3" xfId="20482"/>
    <cellStyle name="Normalny 15 3" xfId="20483"/>
    <cellStyle name="Normalny 15 4" xfId="20484"/>
    <cellStyle name="Normalny 15 5" xfId="20485"/>
    <cellStyle name="Normalny 15 6" xfId="20486"/>
    <cellStyle name="Normalny 16" xfId="20487"/>
    <cellStyle name="Normalny 16 2" xfId="20488"/>
    <cellStyle name="Normalny 16 2 2" xfId="20489"/>
    <cellStyle name="Normalny 16 3" xfId="20490"/>
    <cellStyle name="Normalny 16 4" xfId="20491"/>
    <cellStyle name="Normalny 16 5" xfId="20492"/>
    <cellStyle name="Normalny 17" xfId="15"/>
    <cellStyle name="Normalny 17 2" xfId="20493"/>
    <cellStyle name="Normalny 17 3" xfId="20494"/>
    <cellStyle name="Normalny 17 4" xfId="20495"/>
    <cellStyle name="Normalny 17 5" xfId="20496"/>
    <cellStyle name="Normalny 18" xfId="20497"/>
    <cellStyle name="Normalny 18 2" xfId="20498"/>
    <cellStyle name="Normalny 18 3" xfId="20499"/>
    <cellStyle name="Normalny 18 4" xfId="20500"/>
    <cellStyle name="Normalny 19" xfId="20501"/>
    <cellStyle name="Normalny 19 2" xfId="20502"/>
    <cellStyle name="Normalny 19 2 2" xfId="20503"/>
    <cellStyle name="Normalny 19 2 3" xfId="20504"/>
    <cellStyle name="Normalny 19 3" xfId="20505"/>
    <cellStyle name="Normalny 19 4" xfId="20506"/>
    <cellStyle name="Normalny 19 5" xfId="20507"/>
    <cellStyle name="Normalny 2" xfId="3"/>
    <cellStyle name="Normalny 2 10" xfId="20509"/>
    <cellStyle name="Normalny 2 10 2" xfId="20510"/>
    <cellStyle name="Normalny 2 10 3" xfId="20511"/>
    <cellStyle name="Normalny 2 10 4" xfId="20512"/>
    <cellStyle name="Normalny 2 10 5" xfId="20513"/>
    <cellStyle name="Normalny 2 11" xfId="20514"/>
    <cellStyle name="Normalny 2 11 2" xfId="20515"/>
    <cellStyle name="Normalny 2 11 3" xfId="20516"/>
    <cellStyle name="Normalny 2 11 4" xfId="20517"/>
    <cellStyle name="Normalny 2 12" xfId="20518"/>
    <cellStyle name="Normalny 2 12 2" xfId="20519"/>
    <cellStyle name="Normalny 2 12 3" xfId="20520"/>
    <cellStyle name="Normalny 2 12 4" xfId="20521"/>
    <cellStyle name="Normalny 2 13" xfId="20522"/>
    <cellStyle name="Normalny 2 13 2" xfId="20523"/>
    <cellStyle name="Normalny 2 13 3" xfId="20524"/>
    <cellStyle name="Normalny 2 14" xfId="20525"/>
    <cellStyle name="Normalny 2 14 2" xfId="20526"/>
    <cellStyle name="Normalny 2 14 3" xfId="20527"/>
    <cellStyle name="Normalny 2 15" xfId="20528"/>
    <cellStyle name="Normalny 2 15 2" xfId="20529"/>
    <cellStyle name="Normalny 2 15 3" xfId="20530"/>
    <cellStyle name="Normalny 2 16" xfId="20531"/>
    <cellStyle name="Normalny 2 16 2" xfId="20532"/>
    <cellStyle name="Normalny 2 16 3" xfId="20533"/>
    <cellStyle name="Normalny 2 17" xfId="20534"/>
    <cellStyle name="Normalny 2 17 2" xfId="20535"/>
    <cellStyle name="Normalny 2 17 3" xfId="20536"/>
    <cellStyle name="Normalny 2 18" xfId="20537"/>
    <cellStyle name="Normalny 2 18 2" xfId="20538"/>
    <cellStyle name="Normalny 2 18 3" xfId="20539"/>
    <cellStyle name="Normalny 2 19" xfId="20540"/>
    <cellStyle name="Normalny 2 19 2" xfId="20541"/>
    <cellStyle name="Normalny 2 19 3" xfId="20542"/>
    <cellStyle name="Normalny 2 2" xfId="20543"/>
    <cellStyle name="Normalny 2 2 10" xfId="20544"/>
    <cellStyle name="Normalny 2 2 10 2" xfId="20545"/>
    <cellStyle name="Normalny 2 2 11" xfId="20546"/>
    <cellStyle name="Normalny 2 2 11 2" xfId="20547"/>
    <cellStyle name="Normalny 2 2 12" xfId="20548"/>
    <cellStyle name="Normalny 2 2 13" xfId="20549"/>
    <cellStyle name="Normalny 2 2 14" xfId="20550"/>
    <cellStyle name="Normalny 2 2 15" xfId="20551"/>
    <cellStyle name="Normalny 2 2 16" xfId="20552"/>
    <cellStyle name="Normalny 2 2 17" xfId="20553"/>
    <cellStyle name="Normalny 2 2 18" xfId="20554"/>
    <cellStyle name="Normalny 2 2 19" xfId="20555"/>
    <cellStyle name="Normalny 2 2 2" xfId="20556"/>
    <cellStyle name="Normalny 2 2 2 2" xfId="20557"/>
    <cellStyle name="Normalny 2 2 2 2 2" xfId="20558"/>
    <cellStyle name="Normalny 2 2 2 3" xfId="20559"/>
    <cellStyle name="Normalny 2 2 2 3 2" xfId="20560"/>
    <cellStyle name="Normalny 2 2 2 3 3" xfId="20561"/>
    <cellStyle name="Normalny 2 2 2 4" xfId="20562"/>
    <cellStyle name="Normalny 2 2 3" xfId="4"/>
    <cellStyle name="Normalny 2 2 3 2" xfId="20564"/>
    <cellStyle name="Normalny 2 2 3 2 2" xfId="20565"/>
    <cellStyle name="Normalny 2 2 3 3" xfId="20566"/>
    <cellStyle name="Normalny 2 2 3 4" xfId="20563"/>
    <cellStyle name="Normalny 2 2 4" xfId="20567"/>
    <cellStyle name="Normalny 2 2 4 2" xfId="20568"/>
    <cellStyle name="Normalny 2 2 5" xfId="20569"/>
    <cellStyle name="Normalny 2 2 5 2" xfId="20570"/>
    <cellStyle name="Normalny 2 2 6" xfId="20571"/>
    <cellStyle name="Normalny 2 2 6 2" xfId="20572"/>
    <cellStyle name="Normalny 2 2 7" xfId="20573"/>
    <cellStyle name="Normalny 2 2 7 2" xfId="20574"/>
    <cellStyle name="Normalny 2 2 8" xfId="20575"/>
    <cellStyle name="Normalny 2 2 8 2" xfId="20576"/>
    <cellStyle name="Normalny 2 2 9" xfId="20577"/>
    <cellStyle name="Normalny 2 2 9 2" xfId="20578"/>
    <cellStyle name="Normalny 2 20" xfId="20579"/>
    <cellStyle name="Normalny 2 20 2" xfId="20580"/>
    <cellStyle name="Normalny 2 20 3" xfId="20581"/>
    <cellStyle name="Normalny 2 21" xfId="20582"/>
    <cellStyle name="Normalny 2 21 2" xfId="20583"/>
    <cellStyle name="Normalny 2 21 3" xfId="20584"/>
    <cellStyle name="Normalny 2 22" xfId="20585"/>
    <cellStyle name="Normalny 2 22 2" xfId="20586"/>
    <cellStyle name="Normalny 2 22 3" xfId="20587"/>
    <cellStyle name="Normalny 2 23" xfId="20588"/>
    <cellStyle name="Normalny 2 23 2" xfId="20589"/>
    <cellStyle name="Normalny 2 23 3" xfId="20590"/>
    <cellStyle name="Normalny 2 24" xfId="20591"/>
    <cellStyle name="Normalny 2 24 2" xfId="20592"/>
    <cellStyle name="Normalny 2 24 3" xfId="20593"/>
    <cellStyle name="Normalny 2 25" xfId="20594"/>
    <cellStyle name="Normalny 2 25 2" xfId="20595"/>
    <cellStyle name="Normalny 2 25 3" xfId="20596"/>
    <cellStyle name="Normalny 2 26" xfId="20597"/>
    <cellStyle name="Normalny 2 26 2" xfId="20598"/>
    <cellStyle name="Normalny 2 26 3" xfId="20599"/>
    <cellStyle name="Normalny 2 27" xfId="20600"/>
    <cellStyle name="Normalny 2 27 2" xfId="20601"/>
    <cellStyle name="Normalny 2 28" xfId="20602"/>
    <cellStyle name="Normalny 2 29" xfId="20603"/>
    <cellStyle name="Normalny 2 3" xfId="20604"/>
    <cellStyle name="Normalny 2 3 2" xfId="20605"/>
    <cellStyle name="Normalny 2 3 2 2" xfId="20606"/>
    <cellStyle name="Normalny 2 3 2 3" xfId="20607"/>
    <cellStyle name="Normalny 2 3 3" xfId="20608"/>
    <cellStyle name="Normalny 2 3 3 2" xfId="20609"/>
    <cellStyle name="Normalny 2 3 4" xfId="20610"/>
    <cellStyle name="Normalny 2 3 5" xfId="20611"/>
    <cellStyle name="Normalny 2 3 6" xfId="20"/>
    <cellStyle name="Normalny 2 3 7" xfId="20612"/>
    <cellStyle name="Normalny 2 3 8" xfId="20613"/>
    <cellStyle name="Normalny 2 30" xfId="20614"/>
    <cellStyle name="Normalny 2 30 2" xfId="20615"/>
    <cellStyle name="Normalny 2 31" xfId="20616"/>
    <cellStyle name="Normalny 2 32" xfId="20617"/>
    <cellStyle name="Normalny 2 33" xfId="20618"/>
    <cellStyle name="Normalny 2 34" xfId="20508"/>
    <cellStyle name="Normalny 2 4" xfId="20619"/>
    <cellStyle name="Normalny 2 4 10" xfId="20620"/>
    <cellStyle name="Normalny 2 4 11" xfId="20621"/>
    <cellStyle name="Normalny 2 4 12" xfId="20622"/>
    <cellStyle name="Normalny 2 4 13" xfId="20623"/>
    <cellStyle name="Normalny 2 4 14" xfId="20624"/>
    <cellStyle name="Normalny 2 4 15" xfId="20625"/>
    <cellStyle name="Normalny 2 4 16" xfId="20626"/>
    <cellStyle name="Normalny 2 4 17" xfId="20627"/>
    <cellStyle name="Normalny 2 4 18" xfId="20628"/>
    <cellStyle name="Normalny 2 4 19" xfId="20629"/>
    <cellStyle name="Normalny 2 4 2" xfId="20630"/>
    <cellStyle name="Normalny 2 4 2 2" xfId="20631"/>
    <cellStyle name="Normalny 2 4 2 3" xfId="20632"/>
    <cellStyle name="Normalny 2 4 20" xfId="20633"/>
    <cellStyle name="Normalny 2 4 21" xfId="20634"/>
    <cellStyle name="Normalny 2 4 22" xfId="20635"/>
    <cellStyle name="Normalny 2 4 23" xfId="20636"/>
    <cellStyle name="Normalny 2 4 3" xfId="20637"/>
    <cellStyle name="Normalny 2 4 4" xfId="20638"/>
    <cellStyle name="Normalny 2 4 5" xfId="20639"/>
    <cellStyle name="Normalny 2 4 6" xfId="20640"/>
    <cellStyle name="Normalny 2 4 7" xfId="20641"/>
    <cellStyle name="Normalny 2 4 8" xfId="20642"/>
    <cellStyle name="Normalny 2 4 9" xfId="20643"/>
    <cellStyle name="Normalny 2 5" xfId="20644"/>
    <cellStyle name="Normalny 2 5 2" xfId="20645"/>
    <cellStyle name="Normalny 2 5 2 2" xfId="20646"/>
    <cellStyle name="Normalny 2 5 3" xfId="20647"/>
    <cellStyle name="Normalny 2 5 3 2" xfId="20648"/>
    <cellStyle name="Normalny 2 5 4" xfId="20649"/>
    <cellStyle name="Normalny 2 6" xfId="20650"/>
    <cellStyle name="Normalny 2 6 2" xfId="20651"/>
    <cellStyle name="Normalny 2 6 3" xfId="20652"/>
    <cellStyle name="Normalny 2 6 4" xfId="20653"/>
    <cellStyle name="Normalny 2 7" xfId="20654"/>
    <cellStyle name="Normalny 2 7 2" xfId="20655"/>
    <cellStyle name="Normalny 2 7 3" xfId="20656"/>
    <cellStyle name="Normalny 2 7 4" xfId="20657"/>
    <cellStyle name="Normalny 2 8" xfId="20658"/>
    <cellStyle name="Normalny 2 8 2" xfId="20659"/>
    <cellStyle name="Normalny 2 8 3" xfId="20660"/>
    <cellStyle name="Normalny 2 8 4" xfId="20661"/>
    <cellStyle name="Normalny 2 9" xfId="20662"/>
    <cellStyle name="Normalny 2 9 2" xfId="20663"/>
    <cellStyle name="Normalny 2 9 3" xfId="20664"/>
    <cellStyle name="Normalny 2 9 4" xfId="20665"/>
    <cellStyle name="Normalny 2_CHURN " xfId="20666"/>
    <cellStyle name="Normalny 20" xfId="20667"/>
    <cellStyle name="Normalny 20 2" xfId="20668"/>
    <cellStyle name="Normalny 20 2 2" xfId="20669"/>
    <cellStyle name="Normalny 20 2 3" xfId="20670"/>
    <cellStyle name="Normalny 20 3" xfId="20671"/>
    <cellStyle name="Normalny 20 4" xfId="20672"/>
    <cellStyle name="Normalny 20 5" xfId="20673"/>
    <cellStyle name="Normalny 20 6" xfId="20674"/>
    <cellStyle name="Normalny 21" xfId="20675"/>
    <cellStyle name="Normalny 21 2" xfId="20676"/>
    <cellStyle name="Normalny 21 2 2" xfId="20677"/>
    <cellStyle name="Normalny 21 2 3" xfId="20678"/>
    <cellStyle name="Normalny 21 3" xfId="20679"/>
    <cellStyle name="Normalny 21 4" xfId="20680"/>
    <cellStyle name="Normalny 21 5" xfId="20681"/>
    <cellStyle name="Normalny 21 6" xfId="20682"/>
    <cellStyle name="Normalny 22" xfId="20683"/>
    <cellStyle name="Normalny 22 2" xfId="20684"/>
    <cellStyle name="Normalny 22 2 2" xfId="20685"/>
    <cellStyle name="Normalny 22 2 3" xfId="20686"/>
    <cellStyle name="Normalny 22 3" xfId="20687"/>
    <cellStyle name="Normalny 22 4" xfId="20688"/>
    <cellStyle name="Normalny 22 5" xfId="20689"/>
    <cellStyle name="Normalny 22 6" xfId="20690"/>
    <cellStyle name="Normalny 23" xfId="20691"/>
    <cellStyle name="Normalny 23 2" xfId="20692"/>
    <cellStyle name="Normalny 23 2 2" xfId="20693"/>
    <cellStyle name="Normalny 23 2 3" xfId="20694"/>
    <cellStyle name="Normalny 23 3" xfId="20695"/>
    <cellStyle name="Normalny 23 4" xfId="20696"/>
    <cellStyle name="Normalny 23 5" xfId="20697"/>
    <cellStyle name="Normalny 23 6" xfId="20698"/>
    <cellStyle name="Normalny 24" xfId="20699"/>
    <cellStyle name="Normalny 24 2" xfId="20700"/>
    <cellStyle name="Normalny 24 2 2" xfId="20701"/>
    <cellStyle name="Normalny 24 2 3" xfId="20702"/>
    <cellStyle name="Normalny 24 3" xfId="20703"/>
    <cellStyle name="Normalny 24 4" xfId="20704"/>
    <cellStyle name="Normalny 24 5" xfId="20705"/>
    <cellStyle name="Normalny 24 6" xfId="20706"/>
    <cellStyle name="Normalny 25" xfId="20707"/>
    <cellStyle name="Normalny 25 2" xfId="20708"/>
    <cellStyle name="Normalny 25 3" xfId="20709"/>
    <cellStyle name="Normalny 25 4" xfId="20710"/>
    <cellStyle name="Normalny 26" xfId="20711"/>
    <cellStyle name="Normalny 26 2" xfId="20712"/>
    <cellStyle name="Normalny 26 3" xfId="20713"/>
    <cellStyle name="Normalny 26 4" xfId="20714"/>
    <cellStyle name="Normalny 27" xfId="20715"/>
    <cellStyle name="Normalny 27 2" xfId="20716"/>
    <cellStyle name="Normalny 27 3" xfId="20717"/>
    <cellStyle name="Normalny 27 4" xfId="20718"/>
    <cellStyle name="Normalny 28" xfId="20719"/>
    <cellStyle name="Normalny 28 2" xfId="20720"/>
    <cellStyle name="Normalny 28 3" xfId="20721"/>
    <cellStyle name="Normalny 28 4" xfId="20722"/>
    <cellStyle name="Normalny 29" xfId="20723"/>
    <cellStyle name="Normalny 29 2" xfId="20724"/>
    <cellStyle name="Normalny 29 2 2" xfId="20725"/>
    <cellStyle name="Normalny 29 2 3" xfId="20726"/>
    <cellStyle name="Normalny 29 3" xfId="20727"/>
    <cellStyle name="Normalny 29 4" xfId="20728"/>
    <cellStyle name="Normalny 3" xfId="20729"/>
    <cellStyle name="Normalny 3 10" xfId="20730"/>
    <cellStyle name="Normalny 3 10 2" xfId="20731"/>
    <cellStyle name="Normalny 3 11" xfId="20732"/>
    <cellStyle name="Normalny 3 2" xfId="20733"/>
    <cellStyle name="Normalny 3 2 10" xfId="20734"/>
    <cellStyle name="Normalny 3 2 11" xfId="20735"/>
    <cellStyle name="Normalny 3 2 12" xfId="20736"/>
    <cellStyle name="Normalny 3 2 13" xfId="20737"/>
    <cellStyle name="Normalny 3 2 14" xfId="20738"/>
    <cellStyle name="Normalny 3 2 15" xfId="20739"/>
    <cellStyle name="Normalny 3 2 16" xfId="20740"/>
    <cellStyle name="Normalny 3 2 17" xfId="20741"/>
    <cellStyle name="Normalny 3 2 18" xfId="20742"/>
    <cellStyle name="Normalny 3 2 19" xfId="20743"/>
    <cellStyle name="Normalny 3 2 2" xfId="20744"/>
    <cellStyle name="Normalny 3 2 2 2" xfId="20745"/>
    <cellStyle name="Normalny 3 2 20" xfId="20746"/>
    <cellStyle name="Normalny 3 2 21" xfId="20747"/>
    <cellStyle name="Normalny 3 2 22" xfId="20748"/>
    <cellStyle name="Normalny 3 2 23" xfId="20749"/>
    <cellStyle name="Normalny 3 2 24" xfId="20750"/>
    <cellStyle name="Normalny 3 2 3" xfId="20751"/>
    <cellStyle name="Normalny 3 2 4" xfId="20752"/>
    <cellStyle name="Normalny 3 2 5" xfId="20753"/>
    <cellStyle name="Normalny 3 2 6" xfId="20754"/>
    <cellStyle name="Normalny 3 2 7" xfId="20755"/>
    <cellStyle name="Normalny 3 2 8" xfId="20756"/>
    <cellStyle name="Normalny 3 2 9" xfId="20757"/>
    <cellStyle name="Normalny 3 3" xfId="20758"/>
    <cellStyle name="Normalny 3 3 10" xfId="20759"/>
    <cellStyle name="Normalny 3 3 11" xfId="20760"/>
    <cellStyle name="Normalny 3 3 12" xfId="20761"/>
    <cellStyle name="Normalny 3 3 13" xfId="20762"/>
    <cellStyle name="Normalny 3 3 14" xfId="20763"/>
    <cellStyle name="Normalny 3 3 15" xfId="20764"/>
    <cellStyle name="Normalny 3 3 16" xfId="20765"/>
    <cellStyle name="Normalny 3 3 17" xfId="20766"/>
    <cellStyle name="Normalny 3 3 18" xfId="20767"/>
    <cellStyle name="Normalny 3 3 19" xfId="20768"/>
    <cellStyle name="Normalny 3 3 2" xfId="20769"/>
    <cellStyle name="Normalny 3 3 2 2" xfId="20770"/>
    <cellStyle name="Normalny 3 3 20" xfId="20771"/>
    <cellStyle name="Normalny 3 3 21" xfId="20772"/>
    <cellStyle name="Normalny 3 3 3" xfId="20773"/>
    <cellStyle name="Normalny 3 3 4" xfId="20774"/>
    <cellStyle name="Normalny 3 3 5" xfId="20775"/>
    <cellStyle name="Normalny 3 3 6" xfId="20776"/>
    <cellStyle name="Normalny 3 3 7" xfId="20777"/>
    <cellStyle name="Normalny 3 3 8" xfId="20778"/>
    <cellStyle name="Normalny 3 3 9" xfId="20779"/>
    <cellStyle name="Normalny 3 4" xfId="20780"/>
    <cellStyle name="Normalny 3 4 2" xfId="20781"/>
    <cellStyle name="Normalny 3 4 2 2" xfId="20782"/>
    <cellStyle name="Normalny 3 4 3" xfId="20783"/>
    <cellStyle name="Normalny 3 4 4" xfId="20784"/>
    <cellStyle name="Normalny 3 4 5" xfId="20785"/>
    <cellStyle name="Normalny 3 4 6" xfId="20786"/>
    <cellStyle name="Normalny 3 5" xfId="20787"/>
    <cellStyle name="Normalny 3 5 2" xfId="20788"/>
    <cellStyle name="Normalny 3 5 3" xfId="20789"/>
    <cellStyle name="Normalny 3 6" xfId="20790"/>
    <cellStyle name="Normalny 3 6 2" xfId="20791"/>
    <cellStyle name="Normalny 3 6 3" xfId="20792"/>
    <cellStyle name="Normalny 3 7" xfId="20793"/>
    <cellStyle name="Normalny 3 7 2" xfId="20794"/>
    <cellStyle name="Normalny 3 7 3" xfId="20795"/>
    <cellStyle name="Normalny 3 8" xfId="20796"/>
    <cellStyle name="Normalny 3 8 2" xfId="20797"/>
    <cellStyle name="Normalny 3 8 3" xfId="20798"/>
    <cellStyle name="Normalny 3 9" xfId="20799"/>
    <cellStyle name="Normalny 3_CHURN " xfId="20800"/>
    <cellStyle name="Normalny 30" xfId="20801"/>
    <cellStyle name="Normalny 30 2" xfId="20802"/>
    <cellStyle name="Normalny 30 3" xfId="20803"/>
    <cellStyle name="Normalny 30 4" xfId="20804"/>
    <cellStyle name="Normalny 31" xfId="20805"/>
    <cellStyle name="Normalny 31 2" xfId="20806"/>
    <cellStyle name="Normalny 31 2 2" xfId="20807"/>
    <cellStyle name="Normalny 31 2 3" xfId="20808"/>
    <cellStyle name="Normalny 31 3" xfId="20809"/>
    <cellStyle name="Normalny 32" xfId="20810"/>
    <cellStyle name="Normalny 32 2" xfId="20811"/>
    <cellStyle name="Normalny 32 3" xfId="20812"/>
    <cellStyle name="Normalny 32 4" xfId="20813"/>
    <cellStyle name="Normalny 33" xfId="20814"/>
    <cellStyle name="Normalny 33 2" xfId="20815"/>
    <cellStyle name="Normalny 33 3" xfId="20816"/>
    <cellStyle name="Normalny 33 4" xfId="20817"/>
    <cellStyle name="Normalny 34" xfId="20818"/>
    <cellStyle name="Normalny 34 2" xfId="20819"/>
    <cellStyle name="Normalny 34 3" xfId="20820"/>
    <cellStyle name="Normalny 34 4" xfId="20821"/>
    <cellStyle name="Normalny 35" xfId="20822"/>
    <cellStyle name="Normalny 35 2" xfId="20823"/>
    <cellStyle name="Normalny 35 3" xfId="20824"/>
    <cellStyle name="Normalny 35 4" xfId="20825"/>
    <cellStyle name="Normalny 36" xfId="20826"/>
    <cellStyle name="Normalny 36 2" xfId="20827"/>
    <cellStyle name="Normalny 36 3" xfId="20828"/>
    <cellStyle name="Normalny 36 4" xfId="20829"/>
    <cellStyle name="Normalny 37" xfId="20830"/>
    <cellStyle name="Normalny 37 2" xfId="20831"/>
    <cellStyle name="Normalny 37 3" xfId="20832"/>
    <cellStyle name="Normalny 37 4" xfId="20833"/>
    <cellStyle name="Normalny 38" xfId="20834"/>
    <cellStyle name="Normalny 38 2" xfId="20835"/>
    <cellStyle name="Normalny 38 3" xfId="20836"/>
    <cellStyle name="Normalny 38 4" xfId="20837"/>
    <cellStyle name="Normalny 39" xfId="20838"/>
    <cellStyle name="Normalny 39 2" xfId="20839"/>
    <cellStyle name="Normalny 39 2 2" xfId="20840"/>
    <cellStyle name="Normalny 39 2 3" xfId="20841"/>
    <cellStyle name="Normalny 39 3" xfId="20842"/>
    <cellStyle name="Normalny 4" xfId="20843"/>
    <cellStyle name="Normalny 4 10" xfId="20844"/>
    <cellStyle name="Normalny 4 11" xfId="20845"/>
    <cellStyle name="Normalny 4 2" xfId="20846"/>
    <cellStyle name="Normalny 4 2 10" xfId="20847"/>
    <cellStyle name="Normalny 4 2 2" xfId="20848"/>
    <cellStyle name="Normalny 4 2 2 2" xfId="20849"/>
    <cellStyle name="Normalny 4 2 2 3" xfId="20850"/>
    <cellStyle name="Normalny 4 2 2 4" xfId="20851"/>
    <cellStyle name="Normalny 4 2 2 5" xfId="20852"/>
    <cellStyle name="Normalny 4 2 3" xfId="20853"/>
    <cellStyle name="Normalny 4 2 4" xfId="20854"/>
    <cellStyle name="Normalny 4 2 5" xfId="20855"/>
    <cellStyle name="Normalny 4 2 6" xfId="20856"/>
    <cellStyle name="Normalny 4 2 7" xfId="20857"/>
    <cellStyle name="Normalny 4 2 8" xfId="20858"/>
    <cellStyle name="Normalny 4 2 9" xfId="20859"/>
    <cellStyle name="Normalny 4 3" xfId="20860"/>
    <cellStyle name="Normalny 4 3 2" xfId="20861"/>
    <cellStyle name="Normalny 4 3 2 2" xfId="20862"/>
    <cellStyle name="Normalny 4 3 3" xfId="20863"/>
    <cellStyle name="Normalny 4 3 4" xfId="20864"/>
    <cellStyle name="Normalny 4 4" xfId="20865"/>
    <cellStyle name="Normalny 4 4 2" xfId="20866"/>
    <cellStyle name="Normalny 4 4 3" xfId="20867"/>
    <cellStyle name="Normalny 4 4 4" xfId="20868"/>
    <cellStyle name="Normalny 4 5" xfId="20869"/>
    <cellStyle name="Normalny 4 5 2" xfId="20870"/>
    <cellStyle name="Normalny 4 5 3" xfId="20871"/>
    <cellStyle name="Normalny 4 5 4" xfId="20872"/>
    <cellStyle name="Normalny 4 6" xfId="20873"/>
    <cellStyle name="Normalny 4 6 2" xfId="20874"/>
    <cellStyle name="Normalny 4 6 3" xfId="20875"/>
    <cellStyle name="Normalny 4 6 4" xfId="20876"/>
    <cellStyle name="Normalny 4 6 5" xfId="20877"/>
    <cellStyle name="Normalny 4 7" xfId="20878"/>
    <cellStyle name="Normalny 4 7 2" xfId="20879"/>
    <cellStyle name="Normalny 4 8" xfId="20880"/>
    <cellStyle name="Normalny 4 9" xfId="20881"/>
    <cellStyle name="Normalny 4_CHURN " xfId="20882"/>
    <cellStyle name="Normalny 40" xfId="20883"/>
    <cellStyle name="Normalny 40 2" xfId="20884"/>
    <cellStyle name="Normalny 40 2 2" xfId="20885"/>
    <cellStyle name="Normalny 40 2 3" xfId="20886"/>
    <cellStyle name="Normalny 40 3" xfId="20887"/>
    <cellStyle name="Normalny 40 4" xfId="20888"/>
    <cellStyle name="Normalny 41" xfId="20889"/>
    <cellStyle name="Normalny 41 2" xfId="20890"/>
    <cellStyle name="Normalny 41 2 2" xfId="20891"/>
    <cellStyle name="Normalny 41 3" xfId="20892"/>
    <cellStyle name="Normalny 42" xfId="20893"/>
    <cellStyle name="Normalny 42 2" xfId="20894"/>
    <cellStyle name="Normalny 42 2 2" xfId="20895"/>
    <cellStyle name="Normalny 42 3" xfId="20896"/>
    <cellStyle name="Normalny 43" xfId="20897"/>
    <cellStyle name="Normalny 43 2" xfId="20898"/>
    <cellStyle name="Normalny 43 2 2" xfId="20899"/>
    <cellStyle name="Normalny 43 3" xfId="20900"/>
    <cellStyle name="Normalny 44" xfId="20901"/>
    <cellStyle name="Normalny 44 2" xfId="20902"/>
    <cellStyle name="Normalny 44 2 2" xfId="20903"/>
    <cellStyle name="Normalny 44 3" xfId="20904"/>
    <cellStyle name="Normalny 44 4" xfId="20905"/>
    <cellStyle name="Normalny 45" xfId="20906"/>
    <cellStyle name="Normalny 45 2" xfId="20907"/>
    <cellStyle name="Normalny 45 2 2" xfId="20908"/>
    <cellStyle name="Normalny 45 3" xfId="20909"/>
    <cellStyle name="Normalny 45 4" xfId="20910"/>
    <cellStyle name="Normalny 46" xfId="20911"/>
    <cellStyle name="Normalny 46 2" xfId="20912"/>
    <cellStyle name="Normalny 46 2 2" xfId="20913"/>
    <cellStyle name="Normalny 46 3" xfId="20914"/>
    <cellStyle name="Normalny 46 4" xfId="20915"/>
    <cellStyle name="Normalny 47" xfId="13"/>
    <cellStyle name="Normalny 47 2" xfId="20916"/>
    <cellStyle name="Normalny 47 2 2" xfId="20917"/>
    <cellStyle name="Normalny 47 3" xfId="20918"/>
    <cellStyle name="Normalny 47 4" xfId="20919"/>
    <cellStyle name="Normalny 48" xfId="20920"/>
    <cellStyle name="Normalny 48 2" xfId="20921"/>
    <cellStyle name="Normalny 48 3" xfId="20922"/>
    <cellStyle name="Normalny 48 4" xfId="20923"/>
    <cellStyle name="Normalny 49" xfId="20924"/>
    <cellStyle name="Normalny 49 2" xfId="20925"/>
    <cellStyle name="Normalny 49 3" xfId="20926"/>
    <cellStyle name="Normalny 49 4" xfId="20927"/>
    <cellStyle name="Normalny 5" xfId="20928"/>
    <cellStyle name="Normalny 5 10" xfId="20929"/>
    <cellStyle name="Normalny 5 10 2" xfId="20930"/>
    <cellStyle name="Normalny 5 10 3" xfId="20931"/>
    <cellStyle name="Normalny 5 11" xfId="20932"/>
    <cellStyle name="Normalny 5 11 2" xfId="20933"/>
    <cellStyle name="Normalny 5 12" xfId="20934"/>
    <cellStyle name="Normalny 5 13" xfId="20935"/>
    <cellStyle name="Normalny 5 14" xfId="20936"/>
    <cellStyle name="Normalny 5 15" xfId="20937"/>
    <cellStyle name="Normalny 5 16" xfId="20938"/>
    <cellStyle name="Normalny 5 17" xfId="20939"/>
    <cellStyle name="Normalny 5 18" xfId="20940"/>
    <cellStyle name="Normalny 5 19" xfId="20941"/>
    <cellStyle name="Normalny 5 2" xfId="20942"/>
    <cellStyle name="Normalny 5 2 10" xfId="20943"/>
    <cellStyle name="Normalny 5 2 11" xfId="20944"/>
    <cellStyle name="Normalny 5 2 12" xfId="20945"/>
    <cellStyle name="Normalny 5 2 13" xfId="20946"/>
    <cellStyle name="Normalny 5 2 14" xfId="20947"/>
    <cellStyle name="Normalny 5 2 15" xfId="20948"/>
    <cellStyle name="Normalny 5 2 16" xfId="20949"/>
    <cellStyle name="Normalny 5 2 17" xfId="20950"/>
    <cellStyle name="Normalny 5 2 18" xfId="20951"/>
    <cellStyle name="Normalny 5 2 19" xfId="20952"/>
    <cellStyle name="Normalny 5 2 2" xfId="20953"/>
    <cellStyle name="Normalny 5 2 2 2" xfId="20954"/>
    <cellStyle name="Normalny 5 2 2 3" xfId="20955"/>
    <cellStyle name="Normalny 5 2 20" xfId="20956"/>
    <cellStyle name="Normalny 5 2 21" xfId="20957"/>
    <cellStyle name="Normalny 5 2 22" xfId="20958"/>
    <cellStyle name="Normalny 5 2 3" xfId="20959"/>
    <cellStyle name="Normalny 5 2 4" xfId="20960"/>
    <cellStyle name="Normalny 5 2 5" xfId="20961"/>
    <cellStyle name="Normalny 5 2 6" xfId="20962"/>
    <cellStyle name="Normalny 5 2 7" xfId="20963"/>
    <cellStyle name="Normalny 5 2 8" xfId="20964"/>
    <cellStyle name="Normalny 5 2 9" xfId="20965"/>
    <cellStyle name="Normalny 5 20" xfId="20966"/>
    <cellStyle name="Normalny 5 21" xfId="20967"/>
    <cellStyle name="Normalny 5 22" xfId="20968"/>
    <cellStyle name="Normalny 5 23" xfId="20969"/>
    <cellStyle name="Normalny 5 3" xfId="20970"/>
    <cellStyle name="Normalny 5 3 2" xfId="20971"/>
    <cellStyle name="Normalny 5 3 2 2" xfId="20972"/>
    <cellStyle name="Normalny 5 3 3" xfId="20973"/>
    <cellStyle name="Normalny 5 4" xfId="20974"/>
    <cellStyle name="Normalny 5 4 2" xfId="20975"/>
    <cellStyle name="Normalny 5 4 3" xfId="20976"/>
    <cellStyle name="Normalny 5 5" xfId="20977"/>
    <cellStyle name="Normalny 5 5 2" xfId="20978"/>
    <cellStyle name="Normalny 5 6" xfId="20979"/>
    <cellStyle name="Normalny 5 6 2" xfId="20980"/>
    <cellStyle name="Normalny 5 7" xfId="20981"/>
    <cellStyle name="Normalny 5 7 2" xfId="20982"/>
    <cellStyle name="Normalny 5 8" xfId="20983"/>
    <cellStyle name="Normalny 5 8 2" xfId="20984"/>
    <cellStyle name="Normalny 5 9" xfId="20985"/>
    <cellStyle name="Normalny 5 9 2" xfId="20986"/>
    <cellStyle name="Normalny 5_CHURN " xfId="20987"/>
    <cellStyle name="Normalny 50" xfId="20988"/>
    <cellStyle name="Normalny 50 2" xfId="20989"/>
    <cellStyle name="Normalny 50 3" xfId="20990"/>
    <cellStyle name="Normalny 50 4" xfId="20991"/>
    <cellStyle name="Normalny 51" xfId="20992"/>
    <cellStyle name="Normalny 51 2" xfId="20993"/>
    <cellStyle name="Normalny 51 3" xfId="20994"/>
    <cellStyle name="Normalny 51 4" xfId="20995"/>
    <cellStyle name="Normalny 52" xfId="20996"/>
    <cellStyle name="Normalny 52 2" xfId="20997"/>
    <cellStyle name="Normalny 52 3" xfId="20998"/>
    <cellStyle name="Normalny 52 4" xfId="20999"/>
    <cellStyle name="Normalny 53" xfId="21000"/>
    <cellStyle name="Normalny 53 2" xfId="21001"/>
    <cellStyle name="Normalny 53 3" xfId="21002"/>
    <cellStyle name="Normalny 53 4" xfId="21003"/>
    <cellStyle name="Normalny 54" xfId="21004"/>
    <cellStyle name="Normalny 54 2" xfId="21005"/>
    <cellStyle name="Normalny 54 3" xfId="21006"/>
    <cellStyle name="Normalny 54 4" xfId="21007"/>
    <cellStyle name="Normalny 55" xfId="21008"/>
    <cellStyle name="Normalny 55 2" xfId="21009"/>
    <cellStyle name="Normalny 55 3" xfId="21010"/>
    <cellStyle name="Normalny 55 4" xfId="21011"/>
    <cellStyle name="Normalny 56" xfId="21012"/>
    <cellStyle name="Normalny 56 2" xfId="21013"/>
    <cellStyle name="Normalny 56 3" xfId="21014"/>
    <cellStyle name="Normalny 56 4" xfId="21015"/>
    <cellStyle name="Normalny 57" xfId="21016"/>
    <cellStyle name="Normalny 57 2" xfId="21017"/>
    <cellStyle name="Normalny 57 3" xfId="21018"/>
    <cellStyle name="Normalny 57 4" xfId="21019"/>
    <cellStyle name="Normalny 58" xfId="21020"/>
    <cellStyle name="Normalny 58 2" xfId="21021"/>
    <cellStyle name="Normalny 58 3" xfId="21022"/>
    <cellStyle name="Normalny 58 4" xfId="21023"/>
    <cellStyle name="Normalny 59" xfId="21024"/>
    <cellStyle name="Normalny 59 2" xfId="21025"/>
    <cellStyle name="Normalny 6" xfId="21026"/>
    <cellStyle name="Normalny 6 10" xfId="21027"/>
    <cellStyle name="Normalny 6 10 2" xfId="21028"/>
    <cellStyle name="Normalny 6 10 3" xfId="21029"/>
    <cellStyle name="Normalny 6 11" xfId="21030"/>
    <cellStyle name="Normalny 6 11 2" xfId="21031"/>
    <cellStyle name="Normalny 6 12" xfId="21032"/>
    <cellStyle name="Normalny 6 12 2" xfId="21033"/>
    <cellStyle name="Normalny 6 12 3" xfId="21034"/>
    <cellStyle name="Normalny 6 13" xfId="21035"/>
    <cellStyle name="Normalny 6 13 2" xfId="21036"/>
    <cellStyle name="Normalny 6 14" xfId="21037"/>
    <cellStyle name="Normalny 6 15" xfId="21038"/>
    <cellStyle name="Normalny 6 16" xfId="21039"/>
    <cellStyle name="Normalny 6 17" xfId="21040"/>
    <cellStyle name="Normalny 6 18" xfId="21041"/>
    <cellStyle name="Normalny 6 19" xfId="21042"/>
    <cellStyle name="Normalny 6 2" xfId="21043"/>
    <cellStyle name="Normalny 6 2 10" xfId="21044"/>
    <cellStyle name="Normalny 6 2 10 2" xfId="21045"/>
    <cellStyle name="Normalny 6 2 11" xfId="21046"/>
    <cellStyle name="Normalny 6 2 11 2" xfId="21047"/>
    <cellStyle name="Normalny 6 2 12" xfId="21048"/>
    <cellStyle name="Normalny 6 2 12 2" xfId="21049"/>
    <cellStyle name="Normalny 6 2 13" xfId="21050"/>
    <cellStyle name="Normalny 6 2 14" xfId="21051"/>
    <cellStyle name="Normalny 6 2 15" xfId="21052"/>
    <cellStyle name="Normalny 6 2 16" xfId="21053"/>
    <cellStyle name="Normalny 6 2 17" xfId="21054"/>
    <cellStyle name="Normalny 6 2 18" xfId="21055"/>
    <cellStyle name="Normalny 6 2 19" xfId="21056"/>
    <cellStyle name="Normalny 6 2 2" xfId="21057"/>
    <cellStyle name="Normalny 6 2 2 2" xfId="21058"/>
    <cellStyle name="Normalny 6 2 2 2 2" xfId="21059"/>
    <cellStyle name="Normalny 6 2 2 3" xfId="21060"/>
    <cellStyle name="Normalny 6 2 20" xfId="21061"/>
    <cellStyle name="Normalny 6 2 21" xfId="21062"/>
    <cellStyle name="Normalny 6 2 22" xfId="21063"/>
    <cellStyle name="Normalny 6 2 23" xfId="21064"/>
    <cellStyle name="Normalny 6 2 24" xfId="21065"/>
    <cellStyle name="Normalny 6 2 3" xfId="21066"/>
    <cellStyle name="Normalny 6 2 3 2" xfId="21067"/>
    <cellStyle name="Normalny 6 2 3 3" xfId="21068"/>
    <cellStyle name="Normalny 6 2 4" xfId="21069"/>
    <cellStyle name="Normalny 6 2 4 2" xfId="21070"/>
    <cellStyle name="Normalny 6 2 5" xfId="21071"/>
    <cellStyle name="Normalny 6 2 5 2" xfId="21072"/>
    <cellStyle name="Normalny 6 2 6" xfId="21073"/>
    <cellStyle name="Normalny 6 2 6 2" xfId="21074"/>
    <cellStyle name="Normalny 6 2 7" xfId="21075"/>
    <cellStyle name="Normalny 6 2 7 2" xfId="21076"/>
    <cellStyle name="Normalny 6 2 8" xfId="21077"/>
    <cellStyle name="Normalny 6 2 8 2" xfId="21078"/>
    <cellStyle name="Normalny 6 2 9" xfId="21079"/>
    <cellStyle name="Normalny 6 2 9 2" xfId="21080"/>
    <cellStyle name="Normalny 6 3" xfId="21081"/>
    <cellStyle name="Normalny 6 3 10" xfId="21082"/>
    <cellStyle name="Normalny 6 3 11" xfId="21083"/>
    <cellStyle name="Normalny 6 3 12" xfId="21084"/>
    <cellStyle name="Normalny 6 3 13" xfId="21085"/>
    <cellStyle name="Normalny 6 3 14" xfId="21086"/>
    <cellStyle name="Normalny 6 3 15" xfId="21087"/>
    <cellStyle name="Normalny 6 3 16" xfId="21088"/>
    <cellStyle name="Normalny 6 3 17" xfId="21089"/>
    <cellStyle name="Normalny 6 3 18" xfId="21090"/>
    <cellStyle name="Normalny 6 3 19" xfId="21091"/>
    <cellStyle name="Normalny 6 3 2" xfId="21092"/>
    <cellStyle name="Normalny 6 3 2 2" xfId="21093"/>
    <cellStyle name="Normalny 6 3 20" xfId="21094"/>
    <cellStyle name="Normalny 6 3 21" xfId="21095"/>
    <cellStyle name="Normalny 6 3 22" xfId="21096"/>
    <cellStyle name="Normalny 6 3 23" xfId="21097"/>
    <cellStyle name="Normalny 6 3 24" xfId="21098"/>
    <cellStyle name="Normalny 6 3 3" xfId="21099"/>
    <cellStyle name="Normalny 6 3 4" xfId="21100"/>
    <cellStyle name="Normalny 6 3 5" xfId="21101"/>
    <cellStyle name="Normalny 6 3 6" xfId="21102"/>
    <cellStyle name="Normalny 6 3 7" xfId="21103"/>
    <cellStyle name="Normalny 6 3 8" xfId="21104"/>
    <cellStyle name="Normalny 6 3 9" xfId="21105"/>
    <cellStyle name="Normalny 6 4" xfId="21106"/>
    <cellStyle name="Normalny 6 4 2" xfId="21107"/>
    <cellStyle name="Normalny 6 4 2 2" xfId="21108"/>
    <cellStyle name="Normalny 6 4 3" xfId="21109"/>
    <cellStyle name="Normalny 6 4 4" xfId="21110"/>
    <cellStyle name="Normalny 6 4 5" xfId="21111"/>
    <cellStyle name="Normalny 6 5" xfId="21112"/>
    <cellStyle name="Normalny 6 5 2" xfId="21113"/>
    <cellStyle name="Normalny 6 5 2 2" xfId="21114"/>
    <cellStyle name="Normalny 6 5 3" xfId="21115"/>
    <cellStyle name="Normalny 6 5 4" xfId="21116"/>
    <cellStyle name="Normalny 6 5 5" xfId="21117"/>
    <cellStyle name="Normalny 6 6" xfId="21118"/>
    <cellStyle name="Normalny 6 6 2" xfId="21119"/>
    <cellStyle name="Normalny 6 6 2 2" xfId="21120"/>
    <cellStyle name="Normalny 6 6 3" xfId="21121"/>
    <cellStyle name="Normalny 6 6 4" xfId="21122"/>
    <cellStyle name="Normalny 6 6 5" xfId="21123"/>
    <cellStyle name="Normalny 6 7" xfId="21124"/>
    <cellStyle name="Normalny 6 7 2" xfId="21125"/>
    <cellStyle name="Normalny 6 7 3" xfId="21126"/>
    <cellStyle name="Normalny 6 8" xfId="21127"/>
    <cellStyle name="Normalny 6 8 2" xfId="21128"/>
    <cellStyle name="Normalny 6 8 3" xfId="21129"/>
    <cellStyle name="Normalny 6 9" xfId="21130"/>
    <cellStyle name="Normalny 6 9 2" xfId="21131"/>
    <cellStyle name="Normalny 6 9 3" xfId="21132"/>
    <cellStyle name="Normalny 6_CHURN " xfId="21133"/>
    <cellStyle name="Normalny 60" xfId="21134"/>
    <cellStyle name="Normalny 60 2" xfId="21135"/>
    <cellStyle name="Normalny 60 3" xfId="21136"/>
    <cellStyle name="Normalny 61" xfId="21137"/>
    <cellStyle name="Normalny 61 2" xfId="21138"/>
    <cellStyle name="Normalny 61 3" xfId="21139"/>
    <cellStyle name="Normalny 62" xfId="21140"/>
    <cellStyle name="Normalny 62 2" xfId="21141"/>
    <cellStyle name="Normalny 62 3" xfId="21142"/>
    <cellStyle name="Normalny 63" xfId="21143"/>
    <cellStyle name="Normalny 63 2" xfId="21144"/>
    <cellStyle name="Normalny 63 2 2" xfId="21145"/>
    <cellStyle name="Normalny 63 3" xfId="21146"/>
    <cellStyle name="Normalny 63 4" xfId="21147"/>
    <cellStyle name="Normalny 64" xfId="21148"/>
    <cellStyle name="Normalny 64 2" xfId="21149"/>
    <cellStyle name="Normalny 64 3" xfId="21150"/>
    <cellStyle name="Normalny 65" xfId="21151"/>
    <cellStyle name="Normalny 65 2" xfId="21152"/>
    <cellStyle name="Normalny 65 3" xfId="21153"/>
    <cellStyle name="Normalny 66" xfId="5"/>
    <cellStyle name="Normalny 66 2" xfId="21155"/>
    <cellStyle name="Normalny 66 3" xfId="21154"/>
    <cellStyle name="Normalny 67" xfId="21156"/>
    <cellStyle name="Normalny 67 2" xfId="21157"/>
    <cellStyle name="Normalny 68" xfId="21158"/>
    <cellStyle name="Normalny 68 2" xfId="21159"/>
    <cellStyle name="Normalny 69" xfId="21160"/>
    <cellStyle name="Normalny 69 2" xfId="21161"/>
    <cellStyle name="Normalny 7" xfId="21162"/>
    <cellStyle name="Normalny 7 10" xfId="21163"/>
    <cellStyle name="Normalny 7 11" xfId="21164"/>
    <cellStyle name="Normalny 7 12" xfId="21165"/>
    <cellStyle name="Normalny 7 13" xfId="21166"/>
    <cellStyle name="Normalny 7 14" xfId="21167"/>
    <cellStyle name="Normalny 7 2" xfId="21168"/>
    <cellStyle name="Normalny 7 2 2" xfId="21169"/>
    <cellStyle name="Normalny 7 2 2 2" xfId="21170"/>
    <cellStyle name="Normalny 7 2 3" xfId="21171"/>
    <cellStyle name="Normalny 7 2 4" xfId="21172"/>
    <cellStyle name="Normalny 7 2 5" xfId="21173"/>
    <cellStyle name="Normalny 7 2 6" xfId="21174"/>
    <cellStyle name="Normalny 7 3" xfId="21175"/>
    <cellStyle name="Normalny 7 3 2" xfId="21176"/>
    <cellStyle name="Normalny 7 3 2 2" xfId="21177"/>
    <cellStyle name="Normalny 7 3 3" xfId="21178"/>
    <cellStyle name="Normalny 7 3 4" xfId="21179"/>
    <cellStyle name="Normalny 7 3 5" xfId="21180"/>
    <cellStyle name="Normalny 7 4" xfId="21181"/>
    <cellStyle name="Normalny 7 4 2" xfId="21182"/>
    <cellStyle name="Normalny 7 5" xfId="21183"/>
    <cellStyle name="Normalny 7 5 2" xfId="21184"/>
    <cellStyle name="Normalny 7 6" xfId="21185"/>
    <cellStyle name="Normalny 7 7" xfId="21186"/>
    <cellStyle name="Normalny 7 8" xfId="21187"/>
    <cellStyle name="Normalny 7 9" xfId="21188"/>
    <cellStyle name="Normalny 7_CHURN " xfId="21189"/>
    <cellStyle name="Normalny 70" xfId="21190"/>
    <cellStyle name="Normalny 70 2" xfId="21191"/>
    <cellStyle name="Normalny 71" xfId="21192"/>
    <cellStyle name="Normalny 71 2" xfId="21193"/>
    <cellStyle name="Normalny 72" xfId="21194"/>
    <cellStyle name="Normalny 72 2" xfId="21195"/>
    <cellStyle name="Normalny 73" xfId="21196"/>
    <cellStyle name="Normalny 73 2" xfId="21197"/>
    <cellStyle name="Normalny 74" xfId="21198"/>
    <cellStyle name="Normalny 74 2" xfId="21199"/>
    <cellStyle name="Normalny 75" xfId="21200"/>
    <cellStyle name="Normalny 75 2" xfId="21201"/>
    <cellStyle name="Normalny 76" xfId="21202"/>
    <cellStyle name="Normalny 76 2" xfId="21203"/>
    <cellStyle name="Normalny 77" xfId="21204"/>
    <cellStyle name="Normalny 77 2" xfId="21205"/>
    <cellStyle name="Normalny 78" xfId="21206"/>
    <cellStyle name="Normalny 78 2" xfId="21207"/>
    <cellStyle name="Normalny 79" xfId="21208"/>
    <cellStyle name="Normalny 79 2" xfId="21209"/>
    <cellStyle name="Normalny 8" xfId="21210"/>
    <cellStyle name="Normalny 8 10" xfId="21211"/>
    <cellStyle name="Normalny 8 11" xfId="21212"/>
    <cellStyle name="Normalny 8 12" xfId="21213"/>
    <cellStyle name="Normalny 8 13" xfId="21214"/>
    <cellStyle name="Normalny 8 13 2" xfId="21215"/>
    <cellStyle name="Normalny 8 14" xfId="21216"/>
    <cellStyle name="Normalny 8 2" xfId="21217"/>
    <cellStyle name="Normalny 8 2 10" xfId="21218"/>
    <cellStyle name="Normalny 8 2 11" xfId="21219"/>
    <cellStyle name="Normalny 8 2 12" xfId="21220"/>
    <cellStyle name="Normalny 8 2 13" xfId="21221"/>
    <cellStyle name="Normalny 8 2 14" xfId="21222"/>
    <cellStyle name="Normalny 8 2 15" xfId="21223"/>
    <cellStyle name="Normalny 8 2 16" xfId="21224"/>
    <cellStyle name="Normalny 8 2 17" xfId="21225"/>
    <cellStyle name="Normalny 8 2 18" xfId="21226"/>
    <cellStyle name="Normalny 8 2 19" xfId="21227"/>
    <cellStyle name="Normalny 8 2 2" xfId="21228"/>
    <cellStyle name="Normalny 8 2 2 2" xfId="21229"/>
    <cellStyle name="Normalny 8 2 20" xfId="21230"/>
    <cellStyle name="Normalny 8 2 21" xfId="21231"/>
    <cellStyle name="Normalny 8 2 22" xfId="21232"/>
    <cellStyle name="Normalny 8 2 23" xfId="21233"/>
    <cellStyle name="Normalny 8 2 24" xfId="21234"/>
    <cellStyle name="Normalny 8 2 3" xfId="21235"/>
    <cellStyle name="Normalny 8 2 4" xfId="21236"/>
    <cellStyle name="Normalny 8 2 5" xfId="21237"/>
    <cellStyle name="Normalny 8 2 6" xfId="21238"/>
    <cellStyle name="Normalny 8 2 7" xfId="21239"/>
    <cellStyle name="Normalny 8 2 8" xfId="21240"/>
    <cellStyle name="Normalny 8 2 9" xfId="21241"/>
    <cellStyle name="Normalny 8 3" xfId="21242"/>
    <cellStyle name="Normalny 8 3 2" xfId="21243"/>
    <cellStyle name="Normalny 8 3 2 2" xfId="21244"/>
    <cellStyle name="Normalny 8 3 3" xfId="21245"/>
    <cellStyle name="Normalny 8 3 4" xfId="21246"/>
    <cellStyle name="Normalny 8 3 5" xfId="21247"/>
    <cellStyle name="Normalny 8 4" xfId="21248"/>
    <cellStyle name="Normalny 8 4 2" xfId="21249"/>
    <cellStyle name="Normalny 8 5" xfId="21250"/>
    <cellStyle name="Normalny 8 5 2" xfId="21251"/>
    <cellStyle name="Normalny 8 6" xfId="21252"/>
    <cellStyle name="Normalny 8 7" xfId="21253"/>
    <cellStyle name="Normalny 8 8" xfId="21254"/>
    <cellStyle name="Normalny 8 9" xfId="21255"/>
    <cellStyle name="Normalny 8_CHURN " xfId="21256"/>
    <cellStyle name="Normalny 80" xfId="21257"/>
    <cellStyle name="Normalny 80 2" xfId="21258"/>
    <cellStyle name="Normalny 81" xfId="21259"/>
    <cellStyle name="Normalny 81 2" xfId="21260"/>
    <cellStyle name="Normalny 82" xfId="19"/>
    <cellStyle name="Normalny 82 2" xfId="21261"/>
    <cellStyle name="Normalny 83" xfId="21262"/>
    <cellStyle name="Normalny 83 2" xfId="21263"/>
    <cellStyle name="Normalny 84" xfId="21264"/>
    <cellStyle name="Normalny 84 2" xfId="21265"/>
    <cellStyle name="Normalny 85" xfId="21266"/>
    <cellStyle name="Normalny 85 2" xfId="21267"/>
    <cellStyle name="Normalny 86" xfId="21268"/>
    <cellStyle name="Normalny 86 2" xfId="21269"/>
    <cellStyle name="Normalny 87" xfId="21270"/>
    <cellStyle name="Normalny 87 2" xfId="21271"/>
    <cellStyle name="Normalny 88" xfId="21272"/>
    <cellStyle name="Normalny 88 2" xfId="21273"/>
    <cellStyle name="Normalny 89" xfId="21274"/>
    <cellStyle name="Normalny 89 2" xfId="21275"/>
    <cellStyle name="Normalny 9" xfId="21276"/>
    <cellStyle name="Normalny 9 2" xfId="21277"/>
    <cellStyle name="Normalny 9 2 2" xfId="21278"/>
    <cellStyle name="Normalny 9 3" xfId="21279"/>
    <cellStyle name="Normalny 9 3 2" xfId="21280"/>
    <cellStyle name="Normalny 9 4" xfId="21281"/>
    <cellStyle name="Normalny 9 5" xfId="21282"/>
    <cellStyle name="Normalny 9 5 2" xfId="21283"/>
    <cellStyle name="Normalny 9 6" xfId="21284"/>
    <cellStyle name="Normalny 90" xfId="21285"/>
    <cellStyle name="Normalny 90 2" xfId="21286"/>
    <cellStyle name="Normalny 91" xfId="21287"/>
    <cellStyle name="Normalny 91 2" xfId="21288"/>
    <cellStyle name="Normalny 92" xfId="21289"/>
    <cellStyle name="Normalny 92 2" xfId="21290"/>
    <cellStyle name="Normalny 93" xfId="21291"/>
    <cellStyle name="Normalny 93 2" xfId="21292"/>
    <cellStyle name="Normalny 94" xfId="21293"/>
    <cellStyle name="Normalny 94 2" xfId="21294"/>
    <cellStyle name="Normalny 95" xfId="21295"/>
    <cellStyle name="Normalny 95 2" xfId="21296"/>
    <cellStyle name="Normalny 96" xfId="21297"/>
    <cellStyle name="Normalny 96 2" xfId="21298"/>
    <cellStyle name="Normalny 97" xfId="21299"/>
    <cellStyle name="Normalny 97 2" xfId="21300"/>
    <cellStyle name="Normalny 98" xfId="21301"/>
    <cellStyle name="Normalny 98 2" xfId="21302"/>
    <cellStyle name="Normalny 99" xfId="21303"/>
    <cellStyle name="Normalny 99 2" xfId="21304"/>
    <cellStyle name="Note 2" xfId="21305"/>
    <cellStyle name="Note 3" xfId="21306"/>
    <cellStyle name="NoteMark" xfId="21307"/>
    <cellStyle name="Obliczenia 2" xfId="21308"/>
    <cellStyle name="Obliczenia 2 10" xfId="21309"/>
    <cellStyle name="Obliczenia 2 10 10" xfId="21310"/>
    <cellStyle name="Obliczenia 2 10 10 2" xfId="21311"/>
    <cellStyle name="Obliczenia 2 10 10 3" xfId="21312"/>
    <cellStyle name="Obliczenia 2 10 10 4" xfId="21313"/>
    <cellStyle name="Obliczenia 2 10 11" xfId="21314"/>
    <cellStyle name="Obliczenia 2 10 11 2" xfId="21315"/>
    <cellStyle name="Obliczenia 2 10 11 3" xfId="21316"/>
    <cellStyle name="Obliczenia 2 10 11 4" xfId="21317"/>
    <cellStyle name="Obliczenia 2 10 12" xfId="21318"/>
    <cellStyle name="Obliczenia 2 10 12 2" xfId="21319"/>
    <cellStyle name="Obliczenia 2 10 12 3" xfId="21320"/>
    <cellStyle name="Obliczenia 2 10 12 4" xfId="21321"/>
    <cellStyle name="Obliczenia 2 10 13" xfId="21322"/>
    <cellStyle name="Obliczenia 2 10 13 2" xfId="21323"/>
    <cellStyle name="Obliczenia 2 10 13 3" xfId="21324"/>
    <cellStyle name="Obliczenia 2 10 13 4" xfId="21325"/>
    <cellStyle name="Obliczenia 2 10 14" xfId="21326"/>
    <cellStyle name="Obliczenia 2 10 14 2" xfId="21327"/>
    <cellStyle name="Obliczenia 2 10 14 3" xfId="21328"/>
    <cellStyle name="Obliczenia 2 10 14 4" xfId="21329"/>
    <cellStyle name="Obliczenia 2 10 15" xfId="21330"/>
    <cellStyle name="Obliczenia 2 10 15 2" xfId="21331"/>
    <cellStyle name="Obliczenia 2 10 15 3" xfId="21332"/>
    <cellStyle name="Obliczenia 2 10 15 4" xfId="21333"/>
    <cellStyle name="Obliczenia 2 10 16" xfId="21334"/>
    <cellStyle name="Obliczenia 2 10 16 2" xfId="21335"/>
    <cellStyle name="Obliczenia 2 10 16 3" xfId="21336"/>
    <cellStyle name="Obliczenia 2 10 16 4" xfId="21337"/>
    <cellStyle name="Obliczenia 2 10 17" xfId="21338"/>
    <cellStyle name="Obliczenia 2 10 17 2" xfId="21339"/>
    <cellStyle name="Obliczenia 2 10 17 3" xfId="21340"/>
    <cellStyle name="Obliczenia 2 10 17 4" xfId="21341"/>
    <cellStyle name="Obliczenia 2 10 18" xfId="21342"/>
    <cellStyle name="Obliczenia 2 10 18 2" xfId="21343"/>
    <cellStyle name="Obliczenia 2 10 18 3" xfId="21344"/>
    <cellStyle name="Obliczenia 2 10 18 4" xfId="21345"/>
    <cellStyle name="Obliczenia 2 10 19" xfId="21346"/>
    <cellStyle name="Obliczenia 2 10 19 2" xfId="21347"/>
    <cellStyle name="Obliczenia 2 10 19 3" xfId="21348"/>
    <cellStyle name="Obliczenia 2 10 19 4" xfId="21349"/>
    <cellStyle name="Obliczenia 2 10 2" xfId="21350"/>
    <cellStyle name="Obliczenia 2 10 2 2" xfId="21351"/>
    <cellStyle name="Obliczenia 2 10 2 3" xfId="21352"/>
    <cellStyle name="Obliczenia 2 10 2 4" xfId="21353"/>
    <cellStyle name="Obliczenia 2 10 20" xfId="21354"/>
    <cellStyle name="Obliczenia 2 10 20 2" xfId="21355"/>
    <cellStyle name="Obliczenia 2 10 20 3" xfId="21356"/>
    <cellStyle name="Obliczenia 2 10 20 4" xfId="21357"/>
    <cellStyle name="Obliczenia 2 10 21" xfId="21358"/>
    <cellStyle name="Obliczenia 2 10 21 2" xfId="21359"/>
    <cellStyle name="Obliczenia 2 10 21 3" xfId="21360"/>
    <cellStyle name="Obliczenia 2 10 22" xfId="21361"/>
    <cellStyle name="Obliczenia 2 10 22 2" xfId="21362"/>
    <cellStyle name="Obliczenia 2 10 22 3" xfId="21363"/>
    <cellStyle name="Obliczenia 2 10 23" xfId="21364"/>
    <cellStyle name="Obliczenia 2 10 23 2" xfId="21365"/>
    <cellStyle name="Obliczenia 2 10 23 3" xfId="21366"/>
    <cellStyle name="Obliczenia 2 10 24" xfId="21367"/>
    <cellStyle name="Obliczenia 2 10 24 2" xfId="21368"/>
    <cellStyle name="Obliczenia 2 10 24 3" xfId="21369"/>
    <cellStyle name="Obliczenia 2 10 25" xfId="21370"/>
    <cellStyle name="Obliczenia 2 10 25 2" xfId="21371"/>
    <cellStyle name="Obliczenia 2 10 25 3" xfId="21372"/>
    <cellStyle name="Obliczenia 2 10 26" xfId="21373"/>
    <cellStyle name="Obliczenia 2 10 26 2" xfId="21374"/>
    <cellStyle name="Obliczenia 2 10 26 3" xfId="21375"/>
    <cellStyle name="Obliczenia 2 10 27" xfId="21376"/>
    <cellStyle name="Obliczenia 2 10 27 2" xfId="21377"/>
    <cellStyle name="Obliczenia 2 10 27 3" xfId="21378"/>
    <cellStyle name="Obliczenia 2 10 28" xfId="21379"/>
    <cellStyle name="Obliczenia 2 10 28 2" xfId="21380"/>
    <cellStyle name="Obliczenia 2 10 28 3" xfId="21381"/>
    <cellStyle name="Obliczenia 2 10 29" xfId="21382"/>
    <cellStyle name="Obliczenia 2 10 29 2" xfId="21383"/>
    <cellStyle name="Obliczenia 2 10 29 3" xfId="21384"/>
    <cellStyle name="Obliczenia 2 10 3" xfId="21385"/>
    <cellStyle name="Obliczenia 2 10 3 2" xfId="21386"/>
    <cellStyle name="Obliczenia 2 10 3 3" xfId="21387"/>
    <cellStyle name="Obliczenia 2 10 3 4" xfId="21388"/>
    <cellStyle name="Obliczenia 2 10 30" xfId="21389"/>
    <cellStyle name="Obliczenia 2 10 30 2" xfId="21390"/>
    <cellStyle name="Obliczenia 2 10 30 3" xfId="21391"/>
    <cellStyle name="Obliczenia 2 10 31" xfId="21392"/>
    <cellStyle name="Obliczenia 2 10 31 2" xfId="21393"/>
    <cellStyle name="Obliczenia 2 10 31 3" xfId="21394"/>
    <cellStyle name="Obliczenia 2 10 32" xfId="21395"/>
    <cellStyle name="Obliczenia 2 10 32 2" xfId="21396"/>
    <cellStyle name="Obliczenia 2 10 32 3" xfId="21397"/>
    <cellStyle name="Obliczenia 2 10 33" xfId="21398"/>
    <cellStyle name="Obliczenia 2 10 33 2" xfId="21399"/>
    <cellStyle name="Obliczenia 2 10 33 3" xfId="21400"/>
    <cellStyle name="Obliczenia 2 10 34" xfId="21401"/>
    <cellStyle name="Obliczenia 2 10 34 2" xfId="21402"/>
    <cellStyle name="Obliczenia 2 10 34 3" xfId="21403"/>
    <cellStyle name="Obliczenia 2 10 35" xfId="21404"/>
    <cellStyle name="Obliczenia 2 10 35 2" xfId="21405"/>
    <cellStyle name="Obliczenia 2 10 35 3" xfId="21406"/>
    <cellStyle name="Obliczenia 2 10 36" xfId="21407"/>
    <cellStyle name="Obliczenia 2 10 36 2" xfId="21408"/>
    <cellStyle name="Obliczenia 2 10 36 3" xfId="21409"/>
    <cellStyle name="Obliczenia 2 10 37" xfId="21410"/>
    <cellStyle name="Obliczenia 2 10 37 2" xfId="21411"/>
    <cellStyle name="Obliczenia 2 10 37 3" xfId="21412"/>
    <cellStyle name="Obliczenia 2 10 38" xfId="21413"/>
    <cellStyle name="Obliczenia 2 10 38 2" xfId="21414"/>
    <cellStyle name="Obliczenia 2 10 38 3" xfId="21415"/>
    <cellStyle name="Obliczenia 2 10 39" xfId="21416"/>
    <cellStyle name="Obliczenia 2 10 39 2" xfId="21417"/>
    <cellStyle name="Obliczenia 2 10 39 3" xfId="21418"/>
    <cellStyle name="Obliczenia 2 10 4" xfId="21419"/>
    <cellStyle name="Obliczenia 2 10 4 2" xfId="21420"/>
    <cellStyle name="Obliczenia 2 10 4 3" xfId="21421"/>
    <cellStyle name="Obliczenia 2 10 4 4" xfId="21422"/>
    <cellStyle name="Obliczenia 2 10 40" xfId="21423"/>
    <cellStyle name="Obliczenia 2 10 40 2" xfId="21424"/>
    <cellStyle name="Obliczenia 2 10 40 3" xfId="21425"/>
    <cellStyle name="Obliczenia 2 10 41" xfId="21426"/>
    <cellStyle name="Obliczenia 2 10 41 2" xfId="21427"/>
    <cellStyle name="Obliczenia 2 10 41 3" xfId="21428"/>
    <cellStyle name="Obliczenia 2 10 42" xfId="21429"/>
    <cellStyle name="Obliczenia 2 10 42 2" xfId="21430"/>
    <cellStyle name="Obliczenia 2 10 42 3" xfId="21431"/>
    <cellStyle name="Obliczenia 2 10 43" xfId="21432"/>
    <cellStyle name="Obliczenia 2 10 43 2" xfId="21433"/>
    <cellStyle name="Obliczenia 2 10 43 3" xfId="21434"/>
    <cellStyle name="Obliczenia 2 10 44" xfId="21435"/>
    <cellStyle name="Obliczenia 2 10 44 2" xfId="21436"/>
    <cellStyle name="Obliczenia 2 10 44 3" xfId="21437"/>
    <cellStyle name="Obliczenia 2 10 45" xfId="21438"/>
    <cellStyle name="Obliczenia 2 10 45 2" xfId="21439"/>
    <cellStyle name="Obliczenia 2 10 45 3" xfId="21440"/>
    <cellStyle name="Obliczenia 2 10 46" xfId="21441"/>
    <cellStyle name="Obliczenia 2 10 46 2" xfId="21442"/>
    <cellStyle name="Obliczenia 2 10 46 3" xfId="21443"/>
    <cellStyle name="Obliczenia 2 10 47" xfId="21444"/>
    <cellStyle name="Obliczenia 2 10 47 2" xfId="21445"/>
    <cellStyle name="Obliczenia 2 10 47 3" xfId="21446"/>
    <cellStyle name="Obliczenia 2 10 48" xfId="21447"/>
    <cellStyle name="Obliczenia 2 10 48 2" xfId="21448"/>
    <cellStyle name="Obliczenia 2 10 48 3" xfId="21449"/>
    <cellStyle name="Obliczenia 2 10 49" xfId="21450"/>
    <cellStyle name="Obliczenia 2 10 49 2" xfId="21451"/>
    <cellStyle name="Obliczenia 2 10 49 3" xfId="21452"/>
    <cellStyle name="Obliczenia 2 10 5" xfId="21453"/>
    <cellStyle name="Obliczenia 2 10 5 2" xfId="21454"/>
    <cellStyle name="Obliczenia 2 10 5 3" xfId="21455"/>
    <cellStyle name="Obliczenia 2 10 5 4" xfId="21456"/>
    <cellStyle name="Obliczenia 2 10 50" xfId="21457"/>
    <cellStyle name="Obliczenia 2 10 50 2" xfId="21458"/>
    <cellStyle name="Obliczenia 2 10 50 3" xfId="21459"/>
    <cellStyle name="Obliczenia 2 10 51" xfId="21460"/>
    <cellStyle name="Obliczenia 2 10 51 2" xfId="21461"/>
    <cellStyle name="Obliczenia 2 10 51 3" xfId="21462"/>
    <cellStyle name="Obliczenia 2 10 52" xfId="21463"/>
    <cellStyle name="Obliczenia 2 10 52 2" xfId="21464"/>
    <cellStyle name="Obliczenia 2 10 52 3" xfId="21465"/>
    <cellStyle name="Obliczenia 2 10 53" xfId="21466"/>
    <cellStyle name="Obliczenia 2 10 53 2" xfId="21467"/>
    <cellStyle name="Obliczenia 2 10 53 3" xfId="21468"/>
    <cellStyle name="Obliczenia 2 10 54" xfId="21469"/>
    <cellStyle name="Obliczenia 2 10 54 2" xfId="21470"/>
    <cellStyle name="Obliczenia 2 10 54 3" xfId="21471"/>
    <cellStyle name="Obliczenia 2 10 55" xfId="21472"/>
    <cellStyle name="Obliczenia 2 10 55 2" xfId="21473"/>
    <cellStyle name="Obliczenia 2 10 55 3" xfId="21474"/>
    <cellStyle name="Obliczenia 2 10 56" xfId="21475"/>
    <cellStyle name="Obliczenia 2 10 56 2" xfId="21476"/>
    <cellStyle name="Obliczenia 2 10 56 3" xfId="21477"/>
    <cellStyle name="Obliczenia 2 10 57" xfId="21478"/>
    <cellStyle name="Obliczenia 2 10 58" xfId="21479"/>
    <cellStyle name="Obliczenia 2 10 6" xfId="21480"/>
    <cellStyle name="Obliczenia 2 10 6 2" xfId="21481"/>
    <cellStyle name="Obliczenia 2 10 6 3" xfId="21482"/>
    <cellStyle name="Obliczenia 2 10 6 4" xfId="21483"/>
    <cellStyle name="Obliczenia 2 10 7" xfId="21484"/>
    <cellStyle name="Obliczenia 2 10 7 2" xfId="21485"/>
    <cellStyle name="Obliczenia 2 10 7 3" xfId="21486"/>
    <cellStyle name="Obliczenia 2 10 7 4" xfId="21487"/>
    <cellStyle name="Obliczenia 2 10 8" xfId="21488"/>
    <cellStyle name="Obliczenia 2 10 8 2" xfId="21489"/>
    <cellStyle name="Obliczenia 2 10 8 3" xfId="21490"/>
    <cellStyle name="Obliczenia 2 10 8 4" xfId="21491"/>
    <cellStyle name="Obliczenia 2 10 9" xfId="21492"/>
    <cellStyle name="Obliczenia 2 10 9 2" xfId="21493"/>
    <cellStyle name="Obliczenia 2 10 9 3" xfId="21494"/>
    <cellStyle name="Obliczenia 2 10 9 4" xfId="21495"/>
    <cellStyle name="Obliczenia 2 11" xfId="21496"/>
    <cellStyle name="Obliczenia 2 11 10" xfId="21497"/>
    <cellStyle name="Obliczenia 2 11 10 2" xfId="21498"/>
    <cellStyle name="Obliczenia 2 11 10 3" xfId="21499"/>
    <cellStyle name="Obliczenia 2 11 10 4" xfId="21500"/>
    <cellStyle name="Obliczenia 2 11 11" xfId="21501"/>
    <cellStyle name="Obliczenia 2 11 11 2" xfId="21502"/>
    <cellStyle name="Obliczenia 2 11 11 3" xfId="21503"/>
    <cellStyle name="Obliczenia 2 11 11 4" xfId="21504"/>
    <cellStyle name="Obliczenia 2 11 12" xfId="21505"/>
    <cellStyle name="Obliczenia 2 11 12 2" xfId="21506"/>
    <cellStyle name="Obliczenia 2 11 12 3" xfId="21507"/>
    <cellStyle name="Obliczenia 2 11 12 4" xfId="21508"/>
    <cellStyle name="Obliczenia 2 11 13" xfId="21509"/>
    <cellStyle name="Obliczenia 2 11 13 2" xfId="21510"/>
    <cellStyle name="Obliczenia 2 11 13 3" xfId="21511"/>
    <cellStyle name="Obliczenia 2 11 13 4" xfId="21512"/>
    <cellStyle name="Obliczenia 2 11 14" xfId="21513"/>
    <cellStyle name="Obliczenia 2 11 14 2" xfId="21514"/>
    <cellStyle name="Obliczenia 2 11 14 3" xfId="21515"/>
    <cellStyle name="Obliczenia 2 11 14 4" xfId="21516"/>
    <cellStyle name="Obliczenia 2 11 15" xfId="21517"/>
    <cellStyle name="Obliczenia 2 11 15 2" xfId="21518"/>
    <cellStyle name="Obliczenia 2 11 15 3" xfId="21519"/>
    <cellStyle name="Obliczenia 2 11 15 4" xfId="21520"/>
    <cellStyle name="Obliczenia 2 11 16" xfId="21521"/>
    <cellStyle name="Obliczenia 2 11 16 2" xfId="21522"/>
    <cellStyle name="Obliczenia 2 11 16 3" xfId="21523"/>
    <cellStyle name="Obliczenia 2 11 16 4" xfId="21524"/>
    <cellStyle name="Obliczenia 2 11 17" xfId="21525"/>
    <cellStyle name="Obliczenia 2 11 17 2" xfId="21526"/>
    <cellStyle name="Obliczenia 2 11 17 3" xfId="21527"/>
    <cellStyle name="Obliczenia 2 11 17 4" xfId="21528"/>
    <cellStyle name="Obliczenia 2 11 18" xfId="21529"/>
    <cellStyle name="Obliczenia 2 11 18 2" xfId="21530"/>
    <cellStyle name="Obliczenia 2 11 18 3" xfId="21531"/>
    <cellStyle name="Obliczenia 2 11 18 4" xfId="21532"/>
    <cellStyle name="Obliczenia 2 11 19" xfId="21533"/>
    <cellStyle name="Obliczenia 2 11 19 2" xfId="21534"/>
    <cellStyle name="Obliczenia 2 11 19 3" xfId="21535"/>
    <cellStyle name="Obliczenia 2 11 19 4" xfId="21536"/>
    <cellStyle name="Obliczenia 2 11 2" xfId="21537"/>
    <cellStyle name="Obliczenia 2 11 2 2" xfId="21538"/>
    <cellStyle name="Obliczenia 2 11 2 3" xfId="21539"/>
    <cellStyle name="Obliczenia 2 11 2 4" xfId="21540"/>
    <cellStyle name="Obliczenia 2 11 20" xfId="21541"/>
    <cellStyle name="Obliczenia 2 11 20 2" xfId="21542"/>
    <cellStyle name="Obliczenia 2 11 20 3" xfId="21543"/>
    <cellStyle name="Obliczenia 2 11 20 4" xfId="21544"/>
    <cellStyle name="Obliczenia 2 11 21" xfId="21545"/>
    <cellStyle name="Obliczenia 2 11 21 2" xfId="21546"/>
    <cellStyle name="Obliczenia 2 11 21 3" xfId="21547"/>
    <cellStyle name="Obliczenia 2 11 22" xfId="21548"/>
    <cellStyle name="Obliczenia 2 11 22 2" xfId="21549"/>
    <cellStyle name="Obliczenia 2 11 22 3" xfId="21550"/>
    <cellStyle name="Obliczenia 2 11 23" xfId="21551"/>
    <cellStyle name="Obliczenia 2 11 23 2" xfId="21552"/>
    <cellStyle name="Obliczenia 2 11 23 3" xfId="21553"/>
    <cellStyle name="Obliczenia 2 11 24" xfId="21554"/>
    <cellStyle name="Obliczenia 2 11 24 2" xfId="21555"/>
    <cellStyle name="Obliczenia 2 11 24 3" xfId="21556"/>
    <cellStyle name="Obliczenia 2 11 25" xfId="21557"/>
    <cellStyle name="Obliczenia 2 11 25 2" xfId="21558"/>
    <cellStyle name="Obliczenia 2 11 25 3" xfId="21559"/>
    <cellStyle name="Obliczenia 2 11 26" xfId="21560"/>
    <cellStyle name="Obliczenia 2 11 26 2" xfId="21561"/>
    <cellStyle name="Obliczenia 2 11 26 3" xfId="21562"/>
    <cellStyle name="Obliczenia 2 11 27" xfId="21563"/>
    <cellStyle name="Obliczenia 2 11 27 2" xfId="21564"/>
    <cellStyle name="Obliczenia 2 11 27 3" xfId="21565"/>
    <cellStyle name="Obliczenia 2 11 28" xfId="21566"/>
    <cellStyle name="Obliczenia 2 11 28 2" xfId="21567"/>
    <cellStyle name="Obliczenia 2 11 28 3" xfId="21568"/>
    <cellStyle name="Obliczenia 2 11 29" xfId="21569"/>
    <cellStyle name="Obliczenia 2 11 29 2" xfId="21570"/>
    <cellStyle name="Obliczenia 2 11 29 3" xfId="21571"/>
    <cellStyle name="Obliczenia 2 11 3" xfId="21572"/>
    <cellStyle name="Obliczenia 2 11 3 2" xfId="21573"/>
    <cellStyle name="Obliczenia 2 11 3 3" xfId="21574"/>
    <cellStyle name="Obliczenia 2 11 3 4" xfId="21575"/>
    <cellStyle name="Obliczenia 2 11 30" xfId="21576"/>
    <cellStyle name="Obliczenia 2 11 30 2" xfId="21577"/>
    <cellStyle name="Obliczenia 2 11 30 3" xfId="21578"/>
    <cellStyle name="Obliczenia 2 11 31" xfId="21579"/>
    <cellStyle name="Obliczenia 2 11 31 2" xfId="21580"/>
    <cellStyle name="Obliczenia 2 11 31 3" xfId="21581"/>
    <cellStyle name="Obliczenia 2 11 32" xfId="21582"/>
    <cellStyle name="Obliczenia 2 11 32 2" xfId="21583"/>
    <cellStyle name="Obliczenia 2 11 32 3" xfId="21584"/>
    <cellStyle name="Obliczenia 2 11 33" xfId="21585"/>
    <cellStyle name="Obliczenia 2 11 33 2" xfId="21586"/>
    <cellStyle name="Obliczenia 2 11 33 3" xfId="21587"/>
    <cellStyle name="Obliczenia 2 11 34" xfId="21588"/>
    <cellStyle name="Obliczenia 2 11 34 2" xfId="21589"/>
    <cellStyle name="Obliczenia 2 11 34 3" xfId="21590"/>
    <cellStyle name="Obliczenia 2 11 35" xfId="21591"/>
    <cellStyle name="Obliczenia 2 11 35 2" xfId="21592"/>
    <cellStyle name="Obliczenia 2 11 35 3" xfId="21593"/>
    <cellStyle name="Obliczenia 2 11 36" xfId="21594"/>
    <cellStyle name="Obliczenia 2 11 36 2" xfId="21595"/>
    <cellStyle name="Obliczenia 2 11 36 3" xfId="21596"/>
    <cellStyle name="Obliczenia 2 11 37" xfId="21597"/>
    <cellStyle name="Obliczenia 2 11 37 2" xfId="21598"/>
    <cellStyle name="Obliczenia 2 11 37 3" xfId="21599"/>
    <cellStyle name="Obliczenia 2 11 38" xfId="21600"/>
    <cellStyle name="Obliczenia 2 11 38 2" xfId="21601"/>
    <cellStyle name="Obliczenia 2 11 38 3" xfId="21602"/>
    <cellStyle name="Obliczenia 2 11 39" xfId="21603"/>
    <cellStyle name="Obliczenia 2 11 39 2" xfId="21604"/>
    <cellStyle name="Obliczenia 2 11 39 3" xfId="21605"/>
    <cellStyle name="Obliczenia 2 11 4" xfId="21606"/>
    <cellStyle name="Obliczenia 2 11 4 2" xfId="21607"/>
    <cellStyle name="Obliczenia 2 11 4 3" xfId="21608"/>
    <cellStyle name="Obliczenia 2 11 4 4" xfId="21609"/>
    <cellStyle name="Obliczenia 2 11 40" xfId="21610"/>
    <cellStyle name="Obliczenia 2 11 40 2" xfId="21611"/>
    <cellStyle name="Obliczenia 2 11 40 3" xfId="21612"/>
    <cellStyle name="Obliczenia 2 11 41" xfId="21613"/>
    <cellStyle name="Obliczenia 2 11 41 2" xfId="21614"/>
    <cellStyle name="Obliczenia 2 11 41 3" xfId="21615"/>
    <cellStyle name="Obliczenia 2 11 42" xfId="21616"/>
    <cellStyle name="Obliczenia 2 11 42 2" xfId="21617"/>
    <cellStyle name="Obliczenia 2 11 42 3" xfId="21618"/>
    <cellStyle name="Obliczenia 2 11 43" xfId="21619"/>
    <cellStyle name="Obliczenia 2 11 43 2" xfId="21620"/>
    <cellStyle name="Obliczenia 2 11 43 3" xfId="21621"/>
    <cellStyle name="Obliczenia 2 11 44" xfId="21622"/>
    <cellStyle name="Obliczenia 2 11 44 2" xfId="21623"/>
    <cellStyle name="Obliczenia 2 11 44 3" xfId="21624"/>
    <cellStyle name="Obliczenia 2 11 45" xfId="21625"/>
    <cellStyle name="Obliczenia 2 11 45 2" xfId="21626"/>
    <cellStyle name="Obliczenia 2 11 45 3" xfId="21627"/>
    <cellStyle name="Obliczenia 2 11 46" xfId="21628"/>
    <cellStyle name="Obliczenia 2 11 46 2" xfId="21629"/>
    <cellStyle name="Obliczenia 2 11 46 3" xfId="21630"/>
    <cellStyle name="Obliczenia 2 11 47" xfId="21631"/>
    <cellStyle name="Obliczenia 2 11 47 2" xfId="21632"/>
    <cellStyle name="Obliczenia 2 11 47 3" xfId="21633"/>
    <cellStyle name="Obliczenia 2 11 48" xfId="21634"/>
    <cellStyle name="Obliczenia 2 11 48 2" xfId="21635"/>
    <cellStyle name="Obliczenia 2 11 48 3" xfId="21636"/>
    <cellStyle name="Obliczenia 2 11 49" xfId="21637"/>
    <cellStyle name="Obliczenia 2 11 49 2" xfId="21638"/>
    <cellStyle name="Obliczenia 2 11 49 3" xfId="21639"/>
    <cellStyle name="Obliczenia 2 11 5" xfId="21640"/>
    <cellStyle name="Obliczenia 2 11 5 2" xfId="21641"/>
    <cellStyle name="Obliczenia 2 11 5 3" xfId="21642"/>
    <cellStyle name="Obliczenia 2 11 5 4" xfId="21643"/>
    <cellStyle name="Obliczenia 2 11 50" xfId="21644"/>
    <cellStyle name="Obliczenia 2 11 50 2" xfId="21645"/>
    <cellStyle name="Obliczenia 2 11 50 3" xfId="21646"/>
    <cellStyle name="Obliczenia 2 11 51" xfId="21647"/>
    <cellStyle name="Obliczenia 2 11 51 2" xfId="21648"/>
    <cellStyle name="Obliczenia 2 11 51 3" xfId="21649"/>
    <cellStyle name="Obliczenia 2 11 52" xfId="21650"/>
    <cellStyle name="Obliczenia 2 11 52 2" xfId="21651"/>
    <cellStyle name="Obliczenia 2 11 52 3" xfId="21652"/>
    <cellStyle name="Obliczenia 2 11 53" xfId="21653"/>
    <cellStyle name="Obliczenia 2 11 53 2" xfId="21654"/>
    <cellStyle name="Obliczenia 2 11 53 3" xfId="21655"/>
    <cellStyle name="Obliczenia 2 11 54" xfId="21656"/>
    <cellStyle name="Obliczenia 2 11 54 2" xfId="21657"/>
    <cellStyle name="Obliczenia 2 11 54 3" xfId="21658"/>
    <cellStyle name="Obliczenia 2 11 55" xfId="21659"/>
    <cellStyle name="Obliczenia 2 11 55 2" xfId="21660"/>
    <cellStyle name="Obliczenia 2 11 55 3" xfId="21661"/>
    <cellStyle name="Obliczenia 2 11 56" xfId="21662"/>
    <cellStyle name="Obliczenia 2 11 56 2" xfId="21663"/>
    <cellStyle name="Obliczenia 2 11 56 3" xfId="21664"/>
    <cellStyle name="Obliczenia 2 11 57" xfId="21665"/>
    <cellStyle name="Obliczenia 2 11 58" xfId="21666"/>
    <cellStyle name="Obliczenia 2 11 6" xfId="21667"/>
    <cellStyle name="Obliczenia 2 11 6 2" xfId="21668"/>
    <cellStyle name="Obliczenia 2 11 6 3" xfId="21669"/>
    <cellStyle name="Obliczenia 2 11 6 4" xfId="21670"/>
    <cellStyle name="Obliczenia 2 11 7" xfId="21671"/>
    <cellStyle name="Obliczenia 2 11 7 2" xfId="21672"/>
    <cellStyle name="Obliczenia 2 11 7 3" xfId="21673"/>
    <cellStyle name="Obliczenia 2 11 7 4" xfId="21674"/>
    <cellStyle name="Obliczenia 2 11 8" xfId="21675"/>
    <cellStyle name="Obliczenia 2 11 8 2" xfId="21676"/>
    <cellStyle name="Obliczenia 2 11 8 3" xfId="21677"/>
    <cellStyle name="Obliczenia 2 11 8 4" xfId="21678"/>
    <cellStyle name="Obliczenia 2 11 9" xfId="21679"/>
    <cellStyle name="Obliczenia 2 11 9 2" xfId="21680"/>
    <cellStyle name="Obliczenia 2 11 9 3" xfId="21681"/>
    <cellStyle name="Obliczenia 2 11 9 4" xfId="21682"/>
    <cellStyle name="Obliczenia 2 12" xfId="21683"/>
    <cellStyle name="Obliczenia 2 12 10" xfId="21684"/>
    <cellStyle name="Obliczenia 2 12 10 2" xfId="21685"/>
    <cellStyle name="Obliczenia 2 12 10 3" xfId="21686"/>
    <cellStyle name="Obliczenia 2 12 10 4" xfId="21687"/>
    <cellStyle name="Obliczenia 2 12 11" xfId="21688"/>
    <cellStyle name="Obliczenia 2 12 11 2" xfId="21689"/>
    <cellStyle name="Obliczenia 2 12 11 3" xfId="21690"/>
    <cellStyle name="Obliczenia 2 12 11 4" xfId="21691"/>
    <cellStyle name="Obliczenia 2 12 12" xfId="21692"/>
    <cellStyle name="Obliczenia 2 12 12 2" xfId="21693"/>
    <cellStyle name="Obliczenia 2 12 12 3" xfId="21694"/>
    <cellStyle name="Obliczenia 2 12 12 4" xfId="21695"/>
    <cellStyle name="Obliczenia 2 12 13" xfId="21696"/>
    <cellStyle name="Obliczenia 2 12 13 2" xfId="21697"/>
    <cellStyle name="Obliczenia 2 12 13 3" xfId="21698"/>
    <cellStyle name="Obliczenia 2 12 13 4" xfId="21699"/>
    <cellStyle name="Obliczenia 2 12 14" xfId="21700"/>
    <cellStyle name="Obliczenia 2 12 14 2" xfId="21701"/>
    <cellStyle name="Obliczenia 2 12 14 3" xfId="21702"/>
    <cellStyle name="Obliczenia 2 12 14 4" xfId="21703"/>
    <cellStyle name="Obliczenia 2 12 15" xfId="21704"/>
    <cellStyle name="Obliczenia 2 12 15 2" xfId="21705"/>
    <cellStyle name="Obliczenia 2 12 15 3" xfId="21706"/>
    <cellStyle name="Obliczenia 2 12 15 4" xfId="21707"/>
    <cellStyle name="Obliczenia 2 12 16" xfId="21708"/>
    <cellStyle name="Obliczenia 2 12 16 2" xfId="21709"/>
    <cellStyle name="Obliczenia 2 12 16 3" xfId="21710"/>
    <cellStyle name="Obliczenia 2 12 16 4" xfId="21711"/>
    <cellStyle name="Obliczenia 2 12 17" xfId="21712"/>
    <cellStyle name="Obliczenia 2 12 17 2" xfId="21713"/>
    <cellStyle name="Obliczenia 2 12 17 3" xfId="21714"/>
    <cellStyle name="Obliczenia 2 12 17 4" xfId="21715"/>
    <cellStyle name="Obliczenia 2 12 18" xfId="21716"/>
    <cellStyle name="Obliczenia 2 12 18 2" xfId="21717"/>
    <cellStyle name="Obliczenia 2 12 18 3" xfId="21718"/>
    <cellStyle name="Obliczenia 2 12 18 4" xfId="21719"/>
    <cellStyle name="Obliczenia 2 12 19" xfId="21720"/>
    <cellStyle name="Obliczenia 2 12 19 2" xfId="21721"/>
    <cellStyle name="Obliczenia 2 12 19 3" xfId="21722"/>
    <cellStyle name="Obliczenia 2 12 19 4" xfId="21723"/>
    <cellStyle name="Obliczenia 2 12 2" xfId="21724"/>
    <cellStyle name="Obliczenia 2 12 2 2" xfId="21725"/>
    <cellStyle name="Obliczenia 2 12 2 3" xfId="21726"/>
    <cellStyle name="Obliczenia 2 12 2 4" xfId="21727"/>
    <cellStyle name="Obliczenia 2 12 20" xfId="21728"/>
    <cellStyle name="Obliczenia 2 12 20 2" xfId="21729"/>
    <cellStyle name="Obliczenia 2 12 20 3" xfId="21730"/>
    <cellStyle name="Obliczenia 2 12 20 4" xfId="21731"/>
    <cellStyle name="Obliczenia 2 12 21" xfId="21732"/>
    <cellStyle name="Obliczenia 2 12 21 2" xfId="21733"/>
    <cellStyle name="Obliczenia 2 12 21 3" xfId="21734"/>
    <cellStyle name="Obliczenia 2 12 22" xfId="21735"/>
    <cellStyle name="Obliczenia 2 12 22 2" xfId="21736"/>
    <cellStyle name="Obliczenia 2 12 22 3" xfId="21737"/>
    <cellStyle name="Obliczenia 2 12 23" xfId="21738"/>
    <cellStyle name="Obliczenia 2 12 23 2" xfId="21739"/>
    <cellStyle name="Obliczenia 2 12 23 3" xfId="21740"/>
    <cellStyle name="Obliczenia 2 12 24" xfId="21741"/>
    <cellStyle name="Obliczenia 2 12 24 2" xfId="21742"/>
    <cellStyle name="Obliczenia 2 12 24 3" xfId="21743"/>
    <cellStyle name="Obliczenia 2 12 25" xfId="21744"/>
    <cellStyle name="Obliczenia 2 12 25 2" xfId="21745"/>
    <cellStyle name="Obliczenia 2 12 25 3" xfId="21746"/>
    <cellStyle name="Obliczenia 2 12 26" xfId="21747"/>
    <cellStyle name="Obliczenia 2 12 26 2" xfId="21748"/>
    <cellStyle name="Obliczenia 2 12 26 3" xfId="21749"/>
    <cellStyle name="Obliczenia 2 12 27" xfId="21750"/>
    <cellStyle name="Obliczenia 2 12 27 2" xfId="21751"/>
    <cellStyle name="Obliczenia 2 12 27 3" xfId="21752"/>
    <cellStyle name="Obliczenia 2 12 28" xfId="21753"/>
    <cellStyle name="Obliczenia 2 12 28 2" xfId="21754"/>
    <cellStyle name="Obliczenia 2 12 28 3" xfId="21755"/>
    <cellStyle name="Obliczenia 2 12 29" xfId="21756"/>
    <cellStyle name="Obliczenia 2 12 29 2" xfId="21757"/>
    <cellStyle name="Obliczenia 2 12 29 3" xfId="21758"/>
    <cellStyle name="Obliczenia 2 12 3" xfId="21759"/>
    <cellStyle name="Obliczenia 2 12 3 2" xfId="21760"/>
    <cellStyle name="Obliczenia 2 12 3 3" xfId="21761"/>
    <cellStyle name="Obliczenia 2 12 3 4" xfId="21762"/>
    <cellStyle name="Obliczenia 2 12 30" xfId="21763"/>
    <cellStyle name="Obliczenia 2 12 30 2" xfId="21764"/>
    <cellStyle name="Obliczenia 2 12 30 3" xfId="21765"/>
    <cellStyle name="Obliczenia 2 12 31" xfId="21766"/>
    <cellStyle name="Obliczenia 2 12 31 2" xfId="21767"/>
    <cellStyle name="Obliczenia 2 12 31 3" xfId="21768"/>
    <cellStyle name="Obliczenia 2 12 32" xfId="21769"/>
    <cellStyle name="Obliczenia 2 12 32 2" xfId="21770"/>
    <cellStyle name="Obliczenia 2 12 32 3" xfId="21771"/>
    <cellStyle name="Obliczenia 2 12 33" xfId="21772"/>
    <cellStyle name="Obliczenia 2 12 33 2" xfId="21773"/>
    <cellStyle name="Obliczenia 2 12 33 3" xfId="21774"/>
    <cellStyle name="Obliczenia 2 12 34" xfId="21775"/>
    <cellStyle name="Obliczenia 2 12 34 2" xfId="21776"/>
    <cellStyle name="Obliczenia 2 12 34 3" xfId="21777"/>
    <cellStyle name="Obliczenia 2 12 35" xfId="21778"/>
    <cellStyle name="Obliczenia 2 12 35 2" xfId="21779"/>
    <cellStyle name="Obliczenia 2 12 35 3" xfId="21780"/>
    <cellStyle name="Obliczenia 2 12 36" xfId="21781"/>
    <cellStyle name="Obliczenia 2 12 36 2" xfId="21782"/>
    <cellStyle name="Obliczenia 2 12 36 3" xfId="21783"/>
    <cellStyle name="Obliczenia 2 12 37" xfId="21784"/>
    <cellStyle name="Obliczenia 2 12 37 2" xfId="21785"/>
    <cellStyle name="Obliczenia 2 12 37 3" xfId="21786"/>
    <cellStyle name="Obliczenia 2 12 38" xfId="21787"/>
    <cellStyle name="Obliczenia 2 12 38 2" xfId="21788"/>
    <cellStyle name="Obliczenia 2 12 38 3" xfId="21789"/>
    <cellStyle name="Obliczenia 2 12 39" xfId="21790"/>
    <cellStyle name="Obliczenia 2 12 39 2" xfId="21791"/>
    <cellStyle name="Obliczenia 2 12 39 3" xfId="21792"/>
    <cellStyle name="Obliczenia 2 12 4" xfId="21793"/>
    <cellStyle name="Obliczenia 2 12 4 2" xfId="21794"/>
    <cellStyle name="Obliczenia 2 12 4 3" xfId="21795"/>
    <cellStyle name="Obliczenia 2 12 4 4" xfId="21796"/>
    <cellStyle name="Obliczenia 2 12 40" xfId="21797"/>
    <cellStyle name="Obliczenia 2 12 40 2" xfId="21798"/>
    <cellStyle name="Obliczenia 2 12 40 3" xfId="21799"/>
    <cellStyle name="Obliczenia 2 12 41" xfId="21800"/>
    <cellStyle name="Obliczenia 2 12 41 2" xfId="21801"/>
    <cellStyle name="Obliczenia 2 12 41 3" xfId="21802"/>
    <cellStyle name="Obliczenia 2 12 42" xfId="21803"/>
    <cellStyle name="Obliczenia 2 12 42 2" xfId="21804"/>
    <cellStyle name="Obliczenia 2 12 42 3" xfId="21805"/>
    <cellStyle name="Obliczenia 2 12 43" xfId="21806"/>
    <cellStyle name="Obliczenia 2 12 43 2" xfId="21807"/>
    <cellStyle name="Obliczenia 2 12 43 3" xfId="21808"/>
    <cellStyle name="Obliczenia 2 12 44" xfId="21809"/>
    <cellStyle name="Obliczenia 2 12 44 2" xfId="21810"/>
    <cellStyle name="Obliczenia 2 12 44 3" xfId="21811"/>
    <cellStyle name="Obliczenia 2 12 45" xfId="21812"/>
    <cellStyle name="Obliczenia 2 12 45 2" xfId="21813"/>
    <cellStyle name="Obliczenia 2 12 45 3" xfId="21814"/>
    <cellStyle name="Obliczenia 2 12 46" xfId="21815"/>
    <cellStyle name="Obliczenia 2 12 46 2" xfId="21816"/>
    <cellStyle name="Obliczenia 2 12 46 3" xfId="21817"/>
    <cellStyle name="Obliczenia 2 12 47" xfId="21818"/>
    <cellStyle name="Obliczenia 2 12 47 2" xfId="21819"/>
    <cellStyle name="Obliczenia 2 12 47 3" xfId="21820"/>
    <cellStyle name="Obliczenia 2 12 48" xfId="21821"/>
    <cellStyle name="Obliczenia 2 12 48 2" xfId="21822"/>
    <cellStyle name="Obliczenia 2 12 48 3" xfId="21823"/>
    <cellStyle name="Obliczenia 2 12 49" xfId="21824"/>
    <cellStyle name="Obliczenia 2 12 49 2" xfId="21825"/>
    <cellStyle name="Obliczenia 2 12 49 3" xfId="21826"/>
    <cellStyle name="Obliczenia 2 12 5" xfId="21827"/>
    <cellStyle name="Obliczenia 2 12 5 2" xfId="21828"/>
    <cellStyle name="Obliczenia 2 12 5 3" xfId="21829"/>
    <cellStyle name="Obliczenia 2 12 5 4" xfId="21830"/>
    <cellStyle name="Obliczenia 2 12 50" xfId="21831"/>
    <cellStyle name="Obliczenia 2 12 50 2" xfId="21832"/>
    <cellStyle name="Obliczenia 2 12 50 3" xfId="21833"/>
    <cellStyle name="Obliczenia 2 12 51" xfId="21834"/>
    <cellStyle name="Obliczenia 2 12 51 2" xfId="21835"/>
    <cellStyle name="Obliczenia 2 12 51 3" xfId="21836"/>
    <cellStyle name="Obliczenia 2 12 52" xfId="21837"/>
    <cellStyle name="Obliczenia 2 12 52 2" xfId="21838"/>
    <cellStyle name="Obliczenia 2 12 52 3" xfId="21839"/>
    <cellStyle name="Obliczenia 2 12 53" xfId="21840"/>
    <cellStyle name="Obliczenia 2 12 53 2" xfId="21841"/>
    <cellStyle name="Obliczenia 2 12 53 3" xfId="21842"/>
    <cellStyle name="Obliczenia 2 12 54" xfId="21843"/>
    <cellStyle name="Obliczenia 2 12 54 2" xfId="21844"/>
    <cellStyle name="Obliczenia 2 12 54 3" xfId="21845"/>
    <cellStyle name="Obliczenia 2 12 55" xfId="21846"/>
    <cellStyle name="Obliczenia 2 12 55 2" xfId="21847"/>
    <cellStyle name="Obliczenia 2 12 55 3" xfId="21848"/>
    <cellStyle name="Obliczenia 2 12 56" xfId="21849"/>
    <cellStyle name="Obliczenia 2 12 56 2" xfId="21850"/>
    <cellStyle name="Obliczenia 2 12 56 3" xfId="21851"/>
    <cellStyle name="Obliczenia 2 12 57" xfId="21852"/>
    <cellStyle name="Obliczenia 2 12 58" xfId="21853"/>
    <cellStyle name="Obliczenia 2 12 6" xfId="21854"/>
    <cellStyle name="Obliczenia 2 12 6 2" xfId="21855"/>
    <cellStyle name="Obliczenia 2 12 6 3" xfId="21856"/>
    <cellStyle name="Obliczenia 2 12 6 4" xfId="21857"/>
    <cellStyle name="Obliczenia 2 12 7" xfId="21858"/>
    <cellStyle name="Obliczenia 2 12 7 2" xfId="21859"/>
    <cellStyle name="Obliczenia 2 12 7 3" xfId="21860"/>
    <cellStyle name="Obliczenia 2 12 7 4" xfId="21861"/>
    <cellStyle name="Obliczenia 2 12 8" xfId="21862"/>
    <cellStyle name="Obliczenia 2 12 8 2" xfId="21863"/>
    <cellStyle name="Obliczenia 2 12 8 3" xfId="21864"/>
    <cellStyle name="Obliczenia 2 12 8 4" xfId="21865"/>
    <cellStyle name="Obliczenia 2 12 9" xfId="21866"/>
    <cellStyle name="Obliczenia 2 12 9 2" xfId="21867"/>
    <cellStyle name="Obliczenia 2 12 9 3" xfId="21868"/>
    <cellStyle name="Obliczenia 2 12 9 4" xfId="21869"/>
    <cellStyle name="Obliczenia 2 13" xfId="21870"/>
    <cellStyle name="Obliczenia 2 13 10" xfId="21871"/>
    <cellStyle name="Obliczenia 2 13 10 2" xfId="21872"/>
    <cellStyle name="Obliczenia 2 13 10 3" xfId="21873"/>
    <cellStyle name="Obliczenia 2 13 10 4" xfId="21874"/>
    <cellStyle name="Obliczenia 2 13 11" xfId="21875"/>
    <cellStyle name="Obliczenia 2 13 11 2" xfId="21876"/>
    <cellStyle name="Obliczenia 2 13 11 3" xfId="21877"/>
    <cellStyle name="Obliczenia 2 13 11 4" xfId="21878"/>
    <cellStyle name="Obliczenia 2 13 12" xfId="21879"/>
    <cellStyle name="Obliczenia 2 13 12 2" xfId="21880"/>
    <cellStyle name="Obliczenia 2 13 12 3" xfId="21881"/>
    <cellStyle name="Obliczenia 2 13 12 4" xfId="21882"/>
    <cellStyle name="Obliczenia 2 13 13" xfId="21883"/>
    <cellStyle name="Obliczenia 2 13 13 2" xfId="21884"/>
    <cellStyle name="Obliczenia 2 13 13 3" xfId="21885"/>
    <cellStyle name="Obliczenia 2 13 13 4" xfId="21886"/>
    <cellStyle name="Obliczenia 2 13 14" xfId="21887"/>
    <cellStyle name="Obliczenia 2 13 14 2" xfId="21888"/>
    <cellStyle name="Obliczenia 2 13 14 3" xfId="21889"/>
    <cellStyle name="Obliczenia 2 13 14 4" xfId="21890"/>
    <cellStyle name="Obliczenia 2 13 15" xfId="21891"/>
    <cellStyle name="Obliczenia 2 13 15 2" xfId="21892"/>
    <cellStyle name="Obliczenia 2 13 15 3" xfId="21893"/>
    <cellStyle name="Obliczenia 2 13 15 4" xfId="21894"/>
    <cellStyle name="Obliczenia 2 13 16" xfId="21895"/>
    <cellStyle name="Obliczenia 2 13 16 2" xfId="21896"/>
    <cellStyle name="Obliczenia 2 13 16 3" xfId="21897"/>
    <cellStyle name="Obliczenia 2 13 16 4" xfId="21898"/>
    <cellStyle name="Obliczenia 2 13 17" xfId="21899"/>
    <cellStyle name="Obliczenia 2 13 17 2" xfId="21900"/>
    <cellStyle name="Obliczenia 2 13 17 3" xfId="21901"/>
    <cellStyle name="Obliczenia 2 13 17 4" xfId="21902"/>
    <cellStyle name="Obliczenia 2 13 18" xfId="21903"/>
    <cellStyle name="Obliczenia 2 13 18 2" xfId="21904"/>
    <cellStyle name="Obliczenia 2 13 18 3" xfId="21905"/>
    <cellStyle name="Obliczenia 2 13 18 4" xfId="21906"/>
    <cellStyle name="Obliczenia 2 13 19" xfId="21907"/>
    <cellStyle name="Obliczenia 2 13 19 2" xfId="21908"/>
    <cellStyle name="Obliczenia 2 13 19 3" xfId="21909"/>
    <cellStyle name="Obliczenia 2 13 19 4" xfId="21910"/>
    <cellStyle name="Obliczenia 2 13 2" xfId="21911"/>
    <cellStyle name="Obliczenia 2 13 2 2" xfId="21912"/>
    <cellStyle name="Obliczenia 2 13 2 3" xfId="21913"/>
    <cellStyle name="Obliczenia 2 13 2 4" xfId="21914"/>
    <cellStyle name="Obliczenia 2 13 20" xfId="21915"/>
    <cellStyle name="Obliczenia 2 13 20 2" xfId="21916"/>
    <cellStyle name="Obliczenia 2 13 20 3" xfId="21917"/>
    <cellStyle name="Obliczenia 2 13 20 4" xfId="21918"/>
    <cellStyle name="Obliczenia 2 13 21" xfId="21919"/>
    <cellStyle name="Obliczenia 2 13 21 2" xfId="21920"/>
    <cellStyle name="Obliczenia 2 13 21 3" xfId="21921"/>
    <cellStyle name="Obliczenia 2 13 22" xfId="21922"/>
    <cellStyle name="Obliczenia 2 13 22 2" xfId="21923"/>
    <cellStyle name="Obliczenia 2 13 22 3" xfId="21924"/>
    <cellStyle name="Obliczenia 2 13 23" xfId="21925"/>
    <cellStyle name="Obliczenia 2 13 23 2" xfId="21926"/>
    <cellStyle name="Obliczenia 2 13 23 3" xfId="21927"/>
    <cellStyle name="Obliczenia 2 13 24" xfId="21928"/>
    <cellStyle name="Obliczenia 2 13 24 2" xfId="21929"/>
    <cellStyle name="Obliczenia 2 13 24 3" xfId="21930"/>
    <cellStyle name="Obliczenia 2 13 25" xfId="21931"/>
    <cellStyle name="Obliczenia 2 13 25 2" xfId="21932"/>
    <cellStyle name="Obliczenia 2 13 25 3" xfId="21933"/>
    <cellStyle name="Obliczenia 2 13 26" xfId="21934"/>
    <cellStyle name="Obliczenia 2 13 26 2" xfId="21935"/>
    <cellStyle name="Obliczenia 2 13 26 3" xfId="21936"/>
    <cellStyle name="Obliczenia 2 13 27" xfId="21937"/>
    <cellStyle name="Obliczenia 2 13 27 2" xfId="21938"/>
    <cellStyle name="Obliczenia 2 13 27 3" xfId="21939"/>
    <cellStyle name="Obliczenia 2 13 28" xfId="21940"/>
    <cellStyle name="Obliczenia 2 13 28 2" xfId="21941"/>
    <cellStyle name="Obliczenia 2 13 28 3" xfId="21942"/>
    <cellStyle name="Obliczenia 2 13 29" xfId="21943"/>
    <cellStyle name="Obliczenia 2 13 29 2" xfId="21944"/>
    <cellStyle name="Obliczenia 2 13 29 3" xfId="21945"/>
    <cellStyle name="Obliczenia 2 13 3" xfId="21946"/>
    <cellStyle name="Obliczenia 2 13 3 2" xfId="21947"/>
    <cellStyle name="Obliczenia 2 13 3 3" xfId="21948"/>
    <cellStyle name="Obliczenia 2 13 3 4" xfId="21949"/>
    <cellStyle name="Obliczenia 2 13 30" xfId="21950"/>
    <cellStyle name="Obliczenia 2 13 30 2" xfId="21951"/>
    <cellStyle name="Obliczenia 2 13 30 3" xfId="21952"/>
    <cellStyle name="Obliczenia 2 13 31" xfId="21953"/>
    <cellStyle name="Obliczenia 2 13 31 2" xfId="21954"/>
    <cellStyle name="Obliczenia 2 13 31 3" xfId="21955"/>
    <cellStyle name="Obliczenia 2 13 32" xfId="21956"/>
    <cellStyle name="Obliczenia 2 13 32 2" xfId="21957"/>
    <cellStyle name="Obliczenia 2 13 32 3" xfId="21958"/>
    <cellStyle name="Obliczenia 2 13 33" xfId="21959"/>
    <cellStyle name="Obliczenia 2 13 33 2" xfId="21960"/>
    <cellStyle name="Obliczenia 2 13 33 3" xfId="21961"/>
    <cellStyle name="Obliczenia 2 13 34" xfId="21962"/>
    <cellStyle name="Obliczenia 2 13 34 2" xfId="21963"/>
    <cellStyle name="Obliczenia 2 13 34 3" xfId="21964"/>
    <cellStyle name="Obliczenia 2 13 35" xfId="21965"/>
    <cellStyle name="Obliczenia 2 13 35 2" xfId="21966"/>
    <cellStyle name="Obliczenia 2 13 35 3" xfId="21967"/>
    <cellStyle name="Obliczenia 2 13 36" xfId="21968"/>
    <cellStyle name="Obliczenia 2 13 36 2" xfId="21969"/>
    <cellStyle name="Obliczenia 2 13 36 3" xfId="21970"/>
    <cellStyle name="Obliczenia 2 13 37" xfId="21971"/>
    <cellStyle name="Obliczenia 2 13 37 2" xfId="21972"/>
    <cellStyle name="Obliczenia 2 13 37 3" xfId="21973"/>
    <cellStyle name="Obliczenia 2 13 38" xfId="21974"/>
    <cellStyle name="Obliczenia 2 13 38 2" xfId="21975"/>
    <cellStyle name="Obliczenia 2 13 38 3" xfId="21976"/>
    <cellStyle name="Obliczenia 2 13 39" xfId="21977"/>
    <cellStyle name="Obliczenia 2 13 39 2" xfId="21978"/>
    <cellStyle name="Obliczenia 2 13 39 3" xfId="21979"/>
    <cellStyle name="Obliczenia 2 13 4" xfId="21980"/>
    <cellStyle name="Obliczenia 2 13 4 2" xfId="21981"/>
    <cellStyle name="Obliczenia 2 13 4 3" xfId="21982"/>
    <cellStyle name="Obliczenia 2 13 4 4" xfId="21983"/>
    <cellStyle name="Obliczenia 2 13 40" xfId="21984"/>
    <cellStyle name="Obliczenia 2 13 40 2" xfId="21985"/>
    <cellStyle name="Obliczenia 2 13 40 3" xfId="21986"/>
    <cellStyle name="Obliczenia 2 13 41" xfId="21987"/>
    <cellStyle name="Obliczenia 2 13 41 2" xfId="21988"/>
    <cellStyle name="Obliczenia 2 13 41 3" xfId="21989"/>
    <cellStyle name="Obliczenia 2 13 42" xfId="21990"/>
    <cellStyle name="Obliczenia 2 13 42 2" xfId="21991"/>
    <cellStyle name="Obliczenia 2 13 42 3" xfId="21992"/>
    <cellStyle name="Obliczenia 2 13 43" xfId="21993"/>
    <cellStyle name="Obliczenia 2 13 43 2" xfId="21994"/>
    <cellStyle name="Obliczenia 2 13 43 3" xfId="21995"/>
    <cellStyle name="Obliczenia 2 13 44" xfId="21996"/>
    <cellStyle name="Obliczenia 2 13 44 2" xfId="21997"/>
    <cellStyle name="Obliczenia 2 13 44 3" xfId="21998"/>
    <cellStyle name="Obliczenia 2 13 45" xfId="21999"/>
    <cellStyle name="Obliczenia 2 13 45 2" xfId="22000"/>
    <cellStyle name="Obliczenia 2 13 45 3" xfId="22001"/>
    <cellStyle name="Obliczenia 2 13 46" xfId="22002"/>
    <cellStyle name="Obliczenia 2 13 46 2" xfId="22003"/>
    <cellStyle name="Obliczenia 2 13 46 3" xfId="22004"/>
    <cellStyle name="Obliczenia 2 13 47" xfId="22005"/>
    <cellStyle name="Obliczenia 2 13 47 2" xfId="22006"/>
    <cellStyle name="Obliczenia 2 13 47 3" xfId="22007"/>
    <cellStyle name="Obliczenia 2 13 48" xfId="22008"/>
    <cellStyle name="Obliczenia 2 13 48 2" xfId="22009"/>
    <cellStyle name="Obliczenia 2 13 48 3" xfId="22010"/>
    <cellStyle name="Obliczenia 2 13 49" xfId="22011"/>
    <cellStyle name="Obliczenia 2 13 49 2" xfId="22012"/>
    <cellStyle name="Obliczenia 2 13 49 3" xfId="22013"/>
    <cellStyle name="Obliczenia 2 13 5" xfId="22014"/>
    <cellStyle name="Obliczenia 2 13 5 2" xfId="22015"/>
    <cellStyle name="Obliczenia 2 13 5 3" xfId="22016"/>
    <cellStyle name="Obliczenia 2 13 5 4" xfId="22017"/>
    <cellStyle name="Obliczenia 2 13 50" xfId="22018"/>
    <cellStyle name="Obliczenia 2 13 50 2" xfId="22019"/>
    <cellStyle name="Obliczenia 2 13 50 3" xfId="22020"/>
    <cellStyle name="Obliczenia 2 13 51" xfId="22021"/>
    <cellStyle name="Obliczenia 2 13 51 2" xfId="22022"/>
    <cellStyle name="Obliczenia 2 13 51 3" xfId="22023"/>
    <cellStyle name="Obliczenia 2 13 52" xfId="22024"/>
    <cellStyle name="Obliczenia 2 13 52 2" xfId="22025"/>
    <cellStyle name="Obliczenia 2 13 52 3" xfId="22026"/>
    <cellStyle name="Obliczenia 2 13 53" xfId="22027"/>
    <cellStyle name="Obliczenia 2 13 53 2" xfId="22028"/>
    <cellStyle name="Obliczenia 2 13 53 3" xfId="22029"/>
    <cellStyle name="Obliczenia 2 13 54" xfId="22030"/>
    <cellStyle name="Obliczenia 2 13 54 2" xfId="22031"/>
    <cellStyle name="Obliczenia 2 13 54 3" xfId="22032"/>
    <cellStyle name="Obliczenia 2 13 55" xfId="22033"/>
    <cellStyle name="Obliczenia 2 13 55 2" xfId="22034"/>
    <cellStyle name="Obliczenia 2 13 55 3" xfId="22035"/>
    <cellStyle name="Obliczenia 2 13 56" xfId="22036"/>
    <cellStyle name="Obliczenia 2 13 56 2" xfId="22037"/>
    <cellStyle name="Obliczenia 2 13 56 3" xfId="22038"/>
    <cellStyle name="Obliczenia 2 13 57" xfId="22039"/>
    <cellStyle name="Obliczenia 2 13 58" xfId="22040"/>
    <cellStyle name="Obliczenia 2 13 6" xfId="22041"/>
    <cellStyle name="Obliczenia 2 13 6 2" xfId="22042"/>
    <cellStyle name="Obliczenia 2 13 6 3" xfId="22043"/>
    <cellStyle name="Obliczenia 2 13 6 4" xfId="22044"/>
    <cellStyle name="Obliczenia 2 13 7" xfId="22045"/>
    <cellStyle name="Obliczenia 2 13 7 2" xfId="22046"/>
    <cellStyle name="Obliczenia 2 13 7 3" xfId="22047"/>
    <cellStyle name="Obliczenia 2 13 7 4" xfId="22048"/>
    <cellStyle name="Obliczenia 2 13 8" xfId="22049"/>
    <cellStyle name="Obliczenia 2 13 8 2" xfId="22050"/>
    <cellStyle name="Obliczenia 2 13 8 3" xfId="22051"/>
    <cellStyle name="Obliczenia 2 13 8 4" xfId="22052"/>
    <cellStyle name="Obliczenia 2 13 9" xfId="22053"/>
    <cellStyle name="Obliczenia 2 13 9 2" xfId="22054"/>
    <cellStyle name="Obliczenia 2 13 9 3" xfId="22055"/>
    <cellStyle name="Obliczenia 2 13 9 4" xfId="22056"/>
    <cellStyle name="Obliczenia 2 14" xfId="22057"/>
    <cellStyle name="Obliczenia 2 14 10" xfId="22058"/>
    <cellStyle name="Obliczenia 2 14 10 2" xfId="22059"/>
    <cellStyle name="Obliczenia 2 14 10 3" xfId="22060"/>
    <cellStyle name="Obliczenia 2 14 10 4" xfId="22061"/>
    <cellStyle name="Obliczenia 2 14 11" xfId="22062"/>
    <cellStyle name="Obliczenia 2 14 11 2" xfId="22063"/>
    <cellStyle name="Obliczenia 2 14 11 3" xfId="22064"/>
    <cellStyle name="Obliczenia 2 14 11 4" xfId="22065"/>
    <cellStyle name="Obliczenia 2 14 12" xfId="22066"/>
    <cellStyle name="Obliczenia 2 14 12 2" xfId="22067"/>
    <cellStyle name="Obliczenia 2 14 12 3" xfId="22068"/>
    <cellStyle name="Obliczenia 2 14 12 4" xfId="22069"/>
    <cellStyle name="Obliczenia 2 14 13" xfId="22070"/>
    <cellStyle name="Obliczenia 2 14 13 2" xfId="22071"/>
    <cellStyle name="Obliczenia 2 14 13 3" xfId="22072"/>
    <cellStyle name="Obliczenia 2 14 13 4" xfId="22073"/>
    <cellStyle name="Obliczenia 2 14 14" xfId="22074"/>
    <cellStyle name="Obliczenia 2 14 14 2" xfId="22075"/>
    <cellStyle name="Obliczenia 2 14 14 3" xfId="22076"/>
    <cellStyle name="Obliczenia 2 14 14 4" xfId="22077"/>
    <cellStyle name="Obliczenia 2 14 15" xfId="22078"/>
    <cellStyle name="Obliczenia 2 14 15 2" xfId="22079"/>
    <cellStyle name="Obliczenia 2 14 15 3" xfId="22080"/>
    <cellStyle name="Obliczenia 2 14 15 4" xfId="22081"/>
    <cellStyle name="Obliczenia 2 14 16" xfId="22082"/>
    <cellStyle name="Obliczenia 2 14 16 2" xfId="22083"/>
    <cellStyle name="Obliczenia 2 14 16 3" xfId="22084"/>
    <cellStyle name="Obliczenia 2 14 16 4" xfId="22085"/>
    <cellStyle name="Obliczenia 2 14 17" xfId="22086"/>
    <cellStyle name="Obliczenia 2 14 17 2" xfId="22087"/>
    <cellStyle name="Obliczenia 2 14 17 3" xfId="22088"/>
    <cellStyle name="Obliczenia 2 14 17 4" xfId="22089"/>
    <cellStyle name="Obliczenia 2 14 18" xfId="22090"/>
    <cellStyle name="Obliczenia 2 14 18 2" xfId="22091"/>
    <cellStyle name="Obliczenia 2 14 18 3" xfId="22092"/>
    <cellStyle name="Obliczenia 2 14 18 4" xfId="22093"/>
    <cellStyle name="Obliczenia 2 14 19" xfId="22094"/>
    <cellStyle name="Obliczenia 2 14 19 2" xfId="22095"/>
    <cellStyle name="Obliczenia 2 14 19 3" xfId="22096"/>
    <cellStyle name="Obliczenia 2 14 19 4" xfId="22097"/>
    <cellStyle name="Obliczenia 2 14 2" xfId="22098"/>
    <cellStyle name="Obliczenia 2 14 2 2" xfId="22099"/>
    <cellStyle name="Obliczenia 2 14 2 3" xfId="22100"/>
    <cellStyle name="Obliczenia 2 14 2 4" xfId="22101"/>
    <cellStyle name="Obliczenia 2 14 20" xfId="22102"/>
    <cellStyle name="Obliczenia 2 14 20 2" xfId="22103"/>
    <cellStyle name="Obliczenia 2 14 20 3" xfId="22104"/>
    <cellStyle name="Obliczenia 2 14 20 4" xfId="22105"/>
    <cellStyle name="Obliczenia 2 14 21" xfId="22106"/>
    <cellStyle name="Obliczenia 2 14 21 2" xfId="22107"/>
    <cellStyle name="Obliczenia 2 14 21 3" xfId="22108"/>
    <cellStyle name="Obliczenia 2 14 22" xfId="22109"/>
    <cellStyle name="Obliczenia 2 14 22 2" xfId="22110"/>
    <cellStyle name="Obliczenia 2 14 22 3" xfId="22111"/>
    <cellStyle name="Obliczenia 2 14 23" xfId="22112"/>
    <cellStyle name="Obliczenia 2 14 23 2" xfId="22113"/>
    <cellStyle name="Obliczenia 2 14 23 3" xfId="22114"/>
    <cellStyle name="Obliczenia 2 14 24" xfId="22115"/>
    <cellStyle name="Obliczenia 2 14 24 2" xfId="22116"/>
    <cellStyle name="Obliczenia 2 14 24 3" xfId="22117"/>
    <cellStyle name="Obliczenia 2 14 25" xfId="22118"/>
    <cellStyle name="Obliczenia 2 14 25 2" xfId="22119"/>
    <cellStyle name="Obliczenia 2 14 25 3" xfId="22120"/>
    <cellStyle name="Obliczenia 2 14 26" xfId="22121"/>
    <cellStyle name="Obliczenia 2 14 26 2" xfId="22122"/>
    <cellStyle name="Obliczenia 2 14 26 3" xfId="22123"/>
    <cellStyle name="Obliczenia 2 14 27" xfId="22124"/>
    <cellStyle name="Obliczenia 2 14 27 2" xfId="22125"/>
    <cellStyle name="Obliczenia 2 14 27 3" xfId="22126"/>
    <cellStyle name="Obliczenia 2 14 28" xfId="22127"/>
    <cellStyle name="Obliczenia 2 14 28 2" xfId="22128"/>
    <cellStyle name="Obliczenia 2 14 28 3" xfId="22129"/>
    <cellStyle name="Obliczenia 2 14 29" xfId="22130"/>
    <cellStyle name="Obliczenia 2 14 29 2" xfId="22131"/>
    <cellStyle name="Obliczenia 2 14 29 3" xfId="22132"/>
    <cellStyle name="Obliczenia 2 14 3" xfId="22133"/>
    <cellStyle name="Obliczenia 2 14 3 2" xfId="22134"/>
    <cellStyle name="Obliczenia 2 14 3 3" xfId="22135"/>
    <cellStyle name="Obliczenia 2 14 3 4" xfId="22136"/>
    <cellStyle name="Obliczenia 2 14 30" xfId="22137"/>
    <cellStyle name="Obliczenia 2 14 30 2" xfId="22138"/>
    <cellStyle name="Obliczenia 2 14 30 3" xfId="22139"/>
    <cellStyle name="Obliczenia 2 14 31" xfId="22140"/>
    <cellStyle name="Obliczenia 2 14 31 2" xfId="22141"/>
    <cellStyle name="Obliczenia 2 14 31 3" xfId="22142"/>
    <cellStyle name="Obliczenia 2 14 32" xfId="22143"/>
    <cellStyle name="Obliczenia 2 14 32 2" xfId="22144"/>
    <cellStyle name="Obliczenia 2 14 32 3" xfId="22145"/>
    <cellStyle name="Obliczenia 2 14 33" xfId="22146"/>
    <cellStyle name="Obliczenia 2 14 33 2" xfId="22147"/>
    <cellStyle name="Obliczenia 2 14 33 3" xfId="22148"/>
    <cellStyle name="Obliczenia 2 14 34" xfId="22149"/>
    <cellStyle name="Obliczenia 2 14 34 2" xfId="22150"/>
    <cellStyle name="Obliczenia 2 14 34 3" xfId="22151"/>
    <cellStyle name="Obliczenia 2 14 35" xfId="22152"/>
    <cellStyle name="Obliczenia 2 14 35 2" xfId="22153"/>
    <cellStyle name="Obliczenia 2 14 35 3" xfId="22154"/>
    <cellStyle name="Obliczenia 2 14 36" xfId="22155"/>
    <cellStyle name="Obliczenia 2 14 36 2" xfId="22156"/>
    <cellStyle name="Obliczenia 2 14 36 3" xfId="22157"/>
    <cellStyle name="Obliczenia 2 14 37" xfId="22158"/>
    <cellStyle name="Obliczenia 2 14 37 2" xfId="22159"/>
    <cellStyle name="Obliczenia 2 14 37 3" xfId="22160"/>
    <cellStyle name="Obliczenia 2 14 38" xfId="22161"/>
    <cellStyle name="Obliczenia 2 14 38 2" xfId="22162"/>
    <cellStyle name="Obliczenia 2 14 38 3" xfId="22163"/>
    <cellStyle name="Obliczenia 2 14 39" xfId="22164"/>
    <cellStyle name="Obliczenia 2 14 39 2" xfId="22165"/>
    <cellStyle name="Obliczenia 2 14 39 3" xfId="22166"/>
    <cellStyle name="Obliczenia 2 14 4" xfId="22167"/>
    <cellStyle name="Obliczenia 2 14 4 2" xfId="22168"/>
    <cellStyle name="Obliczenia 2 14 4 3" xfId="22169"/>
    <cellStyle name="Obliczenia 2 14 4 4" xfId="22170"/>
    <cellStyle name="Obliczenia 2 14 40" xfId="22171"/>
    <cellStyle name="Obliczenia 2 14 40 2" xfId="22172"/>
    <cellStyle name="Obliczenia 2 14 40 3" xfId="22173"/>
    <cellStyle name="Obliczenia 2 14 41" xfId="22174"/>
    <cellStyle name="Obliczenia 2 14 41 2" xfId="22175"/>
    <cellStyle name="Obliczenia 2 14 41 3" xfId="22176"/>
    <cellStyle name="Obliczenia 2 14 42" xfId="22177"/>
    <cellStyle name="Obliczenia 2 14 42 2" xfId="22178"/>
    <cellStyle name="Obliczenia 2 14 42 3" xfId="22179"/>
    <cellStyle name="Obliczenia 2 14 43" xfId="22180"/>
    <cellStyle name="Obliczenia 2 14 43 2" xfId="22181"/>
    <cellStyle name="Obliczenia 2 14 43 3" xfId="22182"/>
    <cellStyle name="Obliczenia 2 14 44" xfId="22183"/>
    <cellStyle name="Obliczenia 2 14 44 2" xfId="22184"/>
    <cellStyle name="Obliczenia 2 14 44 3" xfId="22185"/>
    <cellStyle name="Obliczenia 2 14 45" xfId="22186"/>
    <cellStyle name="Obliczenia 2 14 45 2" xfId="22187"/>
    <cellStyle name="Obliczenia 2 14 45 3" xfId="22188"/>
    <cellStyle name="Obliczenia 2 14 46" xfId="22189"/>
    <cellStyle name="Obliczenia 2 14 46 2" xfId="22190"/>
    <cellStyle name="Obliczenia 2 14 46 3" xfId="22191"/>
    <cellStyle name="Obliczenia 2 14 47" xfId="22192"/>
    <cellStyle name="Obliczenia 2 14 47 2" xfId="22193"/>
    <cellStyle name="Obliczenia 2 14 47 3" xfId="22194"/>
    <cellStyle name="Obliczenia 2 14 48" xfId="22195"/>
    <cellStyle name="Obliczenia 2 14 48 2" xfId="22196"/>
    <cellStyle name="Obliczenia 2 14 48 3" xfId="22197"/>
    <cellStyle name="Obliczenia 2 14 49" xfId="22198"/>
    <cellStyle name="Obliczenia 2 14 49 2" xfId="22199"/>
    <cellStyle name="Obliczenia 2 14 49 3" xfId="22200"/>
    <cellStyle name="Obliczenia 2 14 5" xfId="22201"/>
    <cellStyle name="Obliczenia 2 14 5 2" xfId="22202"/>
    <cellStyle name="Obliczenia 2 14 5 3" xfId="22203"/>
    <cellStyle name="Obliczenia 2 14 5 4" xfId="22204"/>
    <cellStyle name="Obliczenia 2 14 50" xfId="22205"/>
    <cellStyle name="Obliczenia 2 14 50 2" xfId="22206"/>
    <cellStyle name="Obliczenia 2 14 50 3" xfId="22207"/>
    <cellStyle name="Obliczenia 2 14 51" xfId="22208"/>
    <cellStyle name="Obliczenia 2 14 51 2" xfId="22209"/>
    <cellStyle name="Obliczenia 2 14 51 3" xfId="22210"/>
    <cellStyle name="Obliczenia 2 14 52" xfId="22211"/>
    <cellStyle name="Obliczenia 2 14 52 2" xfId="22212"/>
    <cellStyle name="Obliczenia 2 14 52 3" xfId="22213"/>
    <cellStyle name="Obliczenia 2 14 53" xfId="22214"/>
    <cellStyle name="Obliczenia 2 14 53 2" xfId="22215"/>
    <cellStyle name="Obliczenia 2 14 53 3" xfId="22216"/>
    <cellStyle name="Obliczenia 2 14 54" xfId="22217"/>
    <cellStyle name="Obliczenia 2 14 54 2" xfId="22218"/>
    <cellStyle name="Obliczenia 2 14 54 3" xfId="22219"/>
    <cellStyle name="Obliczenia 2 14 55" xfId="22220"/>
    <cellStyle name="Obliczenia 2 14 55 2" xfId="22221"/>
    <cellStyle name="Obliczenia 2 14 55 3" xfId="22222"/>
    <cellStyle name="Obliczenia 2 14 56" xfId="22223"/>
    <cellStyle name="Obliczenia 2 14 56 2" xfId="22224"/>
    <cellStyle name="Obliczenia 2 14 56 3" xfId="22225"/>
    <cellStyle name="Obliczenia 2 14 57" xfId="22226"/>
    <cellStyle name="Obliczenia 2 14 58" xfId="22227"/>
    <cellStyle name="Obliczenia 2 14 6" xfId="22228"/>
    <cellStyle name="Obliczenia 2 14 6 2" xfId="22229"/>
    <cellStyle name="Obliczenia 2 14 6 3" xfId="22230"/>
    <cellStyle name="Obliczenia 2 14 6 4" xfId="22231"/>
    <cellStyle name="Obliczenia 2 14 7" xfId="22232"/>
    <cellStyle name="Obliczenia 2 14 7 2" xfId="22233"/>
    <cellStyle name="Obliczenia 2 14 7 3" xfId="22234"/>
    <cellStyle name="Obliczenia 2 14 7 4" xfId="22235"/>
    <cellStyle name="Obliczenia 2 14 8" xfId="22236"/>
    <cellStyle name="Obliczenia 2 14 8 2" xfId="22237"/>
    <cellStyle name="Obliczenia 2 14 8 3" xfId="22238"/>
    <cellStyle name="Obliczenia 2 14 8 4" xfId="22239"/>
    <cellStyle name="Obliczenia 2 14 9" xfId="22240"/>
    <cellStyle name="Obliczenia 2 14 9 2" xfId="22241"/>
    <cellStyle name="Obliczenia 2 14 9 3" xfId="22242"/>
    <cellStyle name="Obliczenia 2 14 9 4" xfId="22243"/>
    <cellStyle name="Obliczenia 2 15" xfId="22244"/>
    <cellStyle name="Obliczenia 2 15 10" xfId="22245"/>
    <cellStyle name="Obliczenia 2 15 10 2" xfId="22246"/>
    <cellStyle name="Obliczenia 2 15 10 3" xfId="22247"/>
    <cellStyle name="Obliczenia 2 15 10 4" xfId="22248"/>
    <cellStyle name="Obliczenia 2 15 11" xfId="22249"/>
    <cellStyle name="Obliczenia 2 15 11 2" xfId="22250"/>
    <cellStyle name="Obliczenia 2 15 11 3" xfId="22251"/>
    <cellStyle name="Obliczenia 2 15 11 4" xfId="22252"/>
    <cellStyle name="Obliczenia 2 15 12" xfId="22253"/>
    <cellStyle name="Obliczenia 2 15 12 2" xfId="22254"/>
    <cellStyle name="Obliczenia 2 15 12 3" xfId="22255"/>
    <cellStyle name="Obliczenia 2 15 12 4" xfId="22256"/>
    <cellStyle name="Obliczenia 2 15 13" xfId="22257"/>
    <cellStyle name="Obliczenia 2 15 13 2" xfId="22258"/>
    <cellStyle name="Obliczenia 2 15 13 3" xfId="22259"/>
    <cellStyle name="Obliczenia 2 15 13 4" xfId="22260"/>
    <cellStyle name="Obliczenia 2 15 14" xfId="22261"/>
    <cellStyle name="Obliczenia 2 15 14 2" xfId="22262"/>
    <cellStyle name="Obliczenia 2 15 14 3" xfId="22263"/>
    <cellStyle name="Obliczenia 2 15 14 4" xfId="22264"/>
    <cellStyle name="Obliczenia 2 15 15" xfId="22265"/>
    <cellStyle name="Obliczenia 2 15 15 2" xfId="22266"/>
    <cellStyle name="Obliczenia 2 15 15 3" xfId="22267"/>
    <cellStyle name="Obliczenia 2 15 15 4" xfId="22268"/>
    <cellStyle name="Obliczenia 2 15 16" xfId="22269"/>
    <cellStyle name="Obliczenia 2 15 16 2" xfId="22270"/>
    <cellStyle name="Obliczenia 2 15 16 3" xfId="22271"/>
    <cellStyle name="Obliczenia 2 15 16 4" xfId="22272"/>
    <cellStyle name="Obliczenia 2 15 17" xfId="22273"/>
    <cellStyle name="Obliczenia 2 15 17 2" xfId="22274"/>
    <cellStyle name="Obliczenia 2 15 17 3" xfId="22275"/>
    <cellStyle name="Obliczenia 2 15 17 4" xfId="22276"/>
    <cellStyle name="Obliczenia 2 15 18" xfId="22277"/>
    <cellStyle name="Obliczenia 2 15 18 2" xfId="22278"/>
    <cellStyle name="Obliczenia 2 15 18 3" xfId="22279"/>
    <cellStyle name="Obliczenia 2 15 18 4" xfId="22280"/>
    <cellStyle name="Obliczenia 2 15 19" xfId="22281"/>
    <cellStyle name="Obliczenia 2 15 19 2" xfId="22282"/>
    <cellStyle name="Obliczenia 2 15 19 3" xfId="22283"/>
    <cellStyle name="Obliczenia 2 15 19 4" xfId="22284"/>
    <cellStyle name="Obliczenia 2 15 2" xfId="22285"/>
    <cellStyle name="Obliczenia 2 15 2 2" xfId="22286"/>
    <cellStyle name="Obliczenia 2 15 2 3" xfId="22287"/>
    <cellStyle name="Obliczenia 2 15 2 4" xfId="22288"/>
    <cellStyle name="Obliczenia 2 15 20" xfId="22289"/>
    <cellStyle name="Obliczenia 2 15 20 2" xfId="22290"/>
    <cellStyle name="Obliczenia 2 15 20 3" xfId="22291"/>
    <cellStyle name="Obliczenia 2 15 20 4" xfId="22292"/>
    <cellStyle name="Obliczenia 2 15 21" xfId="22293"/>
    <cellStyle name="Obliczenia 2 15 21 2" xfId="22294"/>
    <cellStyle name="Obliczenia 2 15 21 3" xfId="22295"/>
    <cellStyle name="Obliczenia 2 15 22" xfId="22296"/>
    <cellStyle name="Obliczenia 2 15 22 2" xfId="22297"/>
    <cellStyle name="Obliczenia 2 15 22 3" xfId="22298"/>
    <cellStyle name="Obliczenia 2 15 23" xfId="22299"/>
    <cellStyle name="Obliczenia 2 15 23 2" xfId="22300"/>
    <cellStyle name="Obliczenia 2 15 23 3" xfId="22301"/>
    <cellStyle name="Obliczenia 2 15 24" xfId="22302"/>
    <cellStyle name="Obliczenia 2 15 24 2" xfId="22303"/>
    <cellStyle name="Obliczenia 2 15 24 3" xfId="22304"/>
    <cellStyle name="Obliczenia 2 15 25" xfId="22305"/>
    <cellStyle name="Obliczenia 2 15 25 2" xfId="22306"/>
    <cellStyle name="Obliczenia 2 15 25 3" xfId="22307"/>
    <cellStyle name="Obliczenia 2 15 26" xfId="22308"/>
    <cellStyle name="Obliczenia 2 15 26 2" xfId="22309"/>
    <cellStyle name="Obliczenia 2 15 26 3" xfId="22310"/>
    <cellStyle name="Obliczenia 2 15 27" xfId="22311"/>
    <cellStyle name="Obliczenia 2 15 27 2" xfId="22312"/>
    <cellStyle name="Obliczenia 2 15 27 3" xfId="22313"/>
    <cellStyle name="Obliczenia 2 15 28" xfId="22314"/>
    <cellStyle name="Obliczenia 2 15 28 2" xfId="22315"/>
    <cellStyle name="Obliczenia 2 15 28 3" xfId="22316"/>
    <cellStyle name="Obliczenia 2 15 29" xfId="22317"/>
    <cellStyle name="Obliczenia 2 15 29 2" xfId="22318"/>
    <cellStyle name="Obliczenia 2 15 29 3" xfId="22319"/>
    <cellStyle name="Obliczenia 2 15 3" xfId="22320"/>
    <cellStyle name="Obliczenia 2 15 3 2" xfId="22321"/>
    <cellStyle name="Obliczenia 2 15 3 3" xfId="22322"/>
    <cellStyle name="Obliczenia 2 15 3 4" xfId="22323"/>
    <cellStyle name="Obliczenia 2 15 30" xfId="22324"/>
    <cellStyle name="Obliczenia 2 15 30 2" xfId="22325"/>
    <cellStyle name="Obliczenia 2 15 30 3" xfId="22326"/>
    <cellStyle name="Obliczenia 2 15 31" xfId="22327"/>
    <cellStyle name="Obliczenia 2 15 31 2" xfId="22328"/>
    <cellStyle name="Obliczenia 2 15 31 3" xfId="22329"/>
    <cellStyle name="Obliczenia 2 15 32" xfId="22330"/>
    <cellStyle name="Obliczenia 2 15 32 2" xfId="22331"/>
    <cellStyle name="Obliczenia 2 15 32 3" xfId="22332"/>
    <cellStyle name="Obliczenia 2 15 33" xfId="22333"/>
    <cellStyle name="Obliczenia 2 15 33 2" xfId="22334"/>
    <cellStyle name="Obliczenia 2 15 33 3" xfId="22335"/>
    <cellStyle name="Obliczenia 2 15 34" xfId="22336"/>
    <cellStyle name="Obliczenia 2 15 34 2" xfId="22337"/>
    <cellStyle name="Obliczenia 2 15 34 3" xfId="22338"/>
    <cellStyle name="Obliczenia 2 15 35" xfId="22339"/>
    <cellStyle name="Obliczenia 2 15 35 2" xfId="22340"/>
    <cellStyle name="Obliczenia 2 15 35 3" xfId="22341"/>
    <cellStyle name="Obliczenia 2 15 36" xfId="22342"/>
    <cellStyle name="Obliczenia 2 15 36 2" xfId="22343"/>
    <cellStyle name="Obliczenia 2 15 36 3" xfId="22344"/>
    <cellStyle name="Obliczenia 2 15 37" xfId="22345"/>
    <cellStyle name="Obliczenia 2 15 37 2" xfId="22346"/>
    <cellStyle name="Obliczenia 2 15 37 3" xfId="22347"/>
    <cellStyle name="Obliczenia 2 15 38" xfId="22348"/>
    <cellStyle name="Obliczenia 2 15 38 2" xfId="22349"/>
    <cellStyle name="Obliczenia 2 15 38 3" xfId="22350"/>
    <cellStyle name="Obliczenia 2 15 39" xfId="22351"/>
    <cellStyle name="Obliczenia 2 15 39 2" xfId="22352"/>
    <cellStyle name="Obliczenia 2 15 39 3" xfId="22353"/>
    <cellStyle name="Obliczenia 2 15 4" xfId="22354"/>
    <cellStyle name="Obliczenia 2 15 4 2" xfId="22355"/>
    <cellStyle name="Obliczenia 2 15 4 3" xfId="22356"/>
    <cellStyle name="Obliczenia 2 15 4 4" xfId="22357"/>
    <cellStyle name="Obliczenia 2 15 40" xfId="22358"/>
    <cellStyle name="Obliczenia 2 15 40 2" xfId="22359"/>
    <cellStyle name="Obliczenia 2 15 40 3" xfId="22360"/>
    <cellStyle name="Obliczenia 2 15 41" xfId="22361"/>
    <cellStyle name="Obliczenia 2 15 41 2" xfId="22362"/>
    <cellStyle name="Obliczenia 2 15 41 3" xfId="22363"/>
    <cellStyle name="Obliczenia 2 15 42" xfId="22364"/>
    <cellStyle name="Obliczenia 2 15 42 2" xfId="22365"/>
    <cellStyle name="Obliczenia 2 15 42 3" xfId="22366"/>
    <cellStyle name="Obliczenia 2 15 43" xfId="22367"/>
    <cellStyle name="Obliczenia 2 15 43 2" xfId="22368"/>
    <cellStyle name="Obliczenia 2 15 43 3" xfId="22369"/>
    <cellStyle name="Obliczenia 2 15 44" xfId="22370"/>
    <cellStyle name="Obliczenia 2 15 44 2" xfId="22371"/>
    <cellStyle name="Obliczenia 2 15 44 3" xfId="22372"/>
    <cellStyle name="Obliczenia 2 15 45" xfId="22373"/>
    <cellStyle name="Obliczenia 2 15 45 2" xfId="22374"/>
    <cellStyle name="Obliczenia 2 15 45 3" xfId="22375"/>
    <cellStyle name="Obliczenia 2 15 46" xfId="22376"/>
    <cellStyle name="Obliczenia 2 15 46 2" xfId="22377"/>
    <cellStyle name="Obliczenia 2 15 46 3" xfId="22378"/>
    <cellStyle name="Obliczenia 2 15 47" xfId="22379"/>
    <cellStyle name="Obliczenia 2 15 47 2" xfId="22380"/>
    <cellStyle name="Obliczenia 2 15 47 3" xfId="22381"/>
    <cellStyle name="Obliczenia 2 15 48" xfId="22382"/>
    <cellStyle name="Obliczenia 2 15 48 2" xfId="22383"/>
    <cellStyle name="Obliczenia 2 15 48 3" xfId="22384"/>
    <cellStyle name="Obliczenia 2 15 49" xfId="22385"/>
    <cellStyle name="Obliczenia 2 15 49 2" xfId="22386"/>
    <cellStyle name="Obliczenia 2 15 49 3" xfId="22387"/>
    <cellStyle name="Obliczenia 2 15 5" xfId="22388"/>
    <cellStyle name="Obliczenia 2 15 5 2" xfId="22389"/>
    <cellStyle name="Obliczenia 2 15 5 3" xfId="22390"/>
    <cellStyle name="Obliczenia 2 15 5 4" xfId="22391"/>
    <cellStyle name="Obliczenia 2 15 50" xfId="22392"/>
    <cellStyle name="Obliczenia 2 15 50 2" xfId="22393"/>
    <cellStyle name="Obliczenia 2 15 50 3" xfId="22394"/>
    <cellStyle name="Obliczenia 2 15 51" xfId="22395"/>
    <cellStyle name="Obliczenia 2 15 51 2" xfId="22396"/>
    <cellStyle name="Obliczenia 2 15 51 3" xfId="22397"/>
    <cellStyle name="Obliczenia 2 15 52" xfId="22398"/>
    <cellStyle name="Obliczenia 2 15 52 2" xfId="22399"/>
    <cellStyle name="Obliczenia 2 15 52 3" xfId="22400"/>
    <cellStyle name="Obliczenia 2 15 53" xfId="22401"/>
    <cellStyle name="Obliczenia 2 15 53 2" xfId="22402"/>
    <cellStyle name="Obliczenia 2 15 53 3" xfId="22403"/>
    <cellStyle name="Obliczenia 2 15 54" xfId="22404"/>
    <cellStyle name="Obliczenia 2 15 54 2" xfId="22405"/>
    <cellStyle name="Obliczenia 2 15 54 3" xfId="22406"/>
    <cellStyle name="Obliczenia 2 15 55" xfId="22407"/>
    <cellStyle name="Obliczenia 2 15 55 2" xfId="22408"/>
    <cellStyle name="Obliczenia 2 15 55 3" xfId="22409"/>
    <cellStyle name="Obliczenia 2 15 56" xfId="22410"/>
    <cellStyle name="Obliczenia 2 15 56 2" xfId="22411"/>
    <cellStyle name="Obliczenia 2 15 56 3" xfId="22412"/>
    <cellStyle name="Obliczenia 2 15 57" xfId="22413"/>
    <cellStyle name="Obliczenia 2 15 58" xfId="22414"/>
    <cellStyle name="Obliczenia 2 15 6" xfId="22415"/>
    <cellStyle name="Obliczenia 2 15 6 2" xfId="22416"/>
    <cellStyle name="Obliczenia 2 15 6 3" xfId="22417"/>
    <cellStyle name="Obliczenia 2 15 6 4" xfId="22418"/>
    <cellStyle name="Obliczenia 2 15 7" xfId="22419"/>
    <cellStyle name="Obliczenia 2 15 7 2" xfId="22420"/>
    <cellStyle name="Obliczenia 2 15 7 3" xfId="22421"/>
    <cellStyle name="Obliczenia 2 15 7 4" xfId="22422"/>
    <cellStyle name="Obliczenia 2 15 8" xfId="22423"/>
    <cellStyle name="Obliczenia 2 15 8 2" xfId="22424"/>
    <cellStyle name="Obliczenia 2 15 8 3" xfId="22425"/>
    <cellStyle name="Obliczenia 2 15 8 4" xfId="22426"/>
    <cellStyle name="Obliczenia 2 15 9" xfId="22427"/>
    <cellStyle name="Obliczenia 2 15 9 2" xfId="22428"/>
    <cellStyle name="Obliczenia 2 15 9 3" xfId="22429"/>
    <cellStyle name="Obliczenia 2 15 9 4" xfId="22430"/>
    <cellStyle name="Obliczenia 2 16" xfId="22431"/>
    <cellStyle name="Obliczenia 2 16 10" xfId="22432"/>
    <cellStyle name="Obliczenia 2 16 10 2" xfId="22433"/>
    <cellStyle name="Obliczenia 2 16 10 3" xfId="22434"/>
    <cellStyle name="Obliczenia 2 16 10 4" xfId="22435"/>
    <cellStyle name="Obliczenia 2 16 11" xfId="22436"/>
    <cellStyle name="Obliczenia 2 16 11 2" xfId="22437"/>
    <cellStyle name="Obliczenia 2 16 11 3" xfId="22438"/>
    <cellStyle name="Obliczenia 2 16 11 4" xfId="22439"/>
    <cellStyle name="Obliczenia 2 16 12" xfId="22440"/>
    <cellStyle name="Obliczenia 2 16 12 2" xfId="22441"/>
    <cellStyle name="Obliczenia 2 16 12 3" xfId="22442"/>
    <cellStyle name="Obliczenia 2 16 12 4" xfId="22443"/>
    <cellStyle name="Obliczenia 2 16 13" xfId="22444"/>
    <cellStyle name="Obliczenia 2 16 13 2" xfId="22445"/>
    <cellStyle name="Obliczenia 2 16 13 3" xfId="22446"/>
    <cellStyle name="Obliczenia 2 16 13 4" xfId="22447"/>
    <cellStyle name="Obliczenia 2 16 14" xfId="22448"/>
    <cellStyle name="Obliczenia 2 16 14 2" xfId="22449"/>
    <cellStyle name="Obliczenia 2 16 14 3" xfId="22450"/>
    <cellStyle name="Obliczenia 2 16 14 4" xfId="22451"/>
    <cellStyle name="Obliczenia 2 16 15" xfId="22452"/>
    <cellStyle name="Obliczenia 2 16 15 2" xfId="22453"/>
    <cellStyle name="Obliczenia 2 16 15 3" xfId="22454"/>
    <cellStyle name="Obliczenia 2 16 15 4" xfId="22455"/>
    <cellStyle name="Obliczenia 2 16 16" xfId="22456"/>
    <cellStyle name="Obliczenia 2 16 16 2" xfId="22457"/>
    <cellStyle name="Obliczenia 2 16 16 3" xfId="22458"/>
    <cellStyle name="Obliczenia 2 16 16 4" xfId="22459"/>
    <cellStyle name="Obliczenia 2 16 17" xfId="22460"/>
    <cellStyle name="Obliczenia 2 16 17 2" xfId="22461"/>
    <cellStyle name="Obliczenia 2 16 17 3" xfId="22462"/>
    <cellStyle name="Obliczenia 2 16 17 4" xfId="22463"/>
    <cellStyle name="Obliczenia 2 16 18" xfId="22464"/>
    <cellStyle name="Obliczenia 2 16 18 2" xfId="22465"/>
    <cellStyle name="Obliczenia 2 16 18 3" xfId="22466"/>
    <cellStyle name="Obliczenia 2 16 18 4" xfId="22467"/>
    <cellStyle name="Obliczenia 2 16 19" xfId="22468"/>
    <cellStyle name="Obliczenia 2 16 19 2" xfId="22469"/>
    <cellStyle name="Obliczenia 2 16 19 3" xfId="22470"/>
    <cellStyle name="Obliczenia 2 16 19 4" xfId="22471"/>
    <cellStyle name="Obliczenia 2 16 2" xfId="22472"/>
    <cellStyle name="Obliczenia 2 16 2 2" xfId="22473"/>
    <cellStyle name="Obliczenia 2 16 2 3" xfId="22474"/>
    <cellStyle name="Obliczenia 2 16 2 4" xfId="22475"/>
    <cellStyle name="Obliczenia 2 16 20" xfId="22476"/>
    <cellStyle name="Obliczenia 2 16 20 2" xfId="22477"/>
    <cellStyle name="Obliczenia 2 16 20 3" xfId="22478"/>
    <cellStyle name="Obliczenia 2 16 20 4" xfId="22479"/>
    <cellStyle name="Obliczenia 2 16 21" xfId="22480"/>
    <cellStyle name="Obliczenia 2 16 21 2" xfId="22481"/>
    <cellStyle name="Obliczenia 2 16 21 3" xfId="22482"/>
    <cellStyle name="Obliczenia 2 16 22" xfId="22483"/>
    <cellStyle name="Obliczenia 2 16 22 2" xfId="22484"/>
    <cellStyle name="Obliczenia 2 16 22 3" xfId="22485"/>
    <cellStyle name="Obliczenia 2 16 23" xfId="22486"/>
    <cellStyle name="Obliczenia 2 16 23 2" xfId="22487"/>
    <cellStyle name="Obliczenia 2 16 23 3" xfId="22488"/>
    <cellStyle name="Obliczenia 2 16 24" xfId="22489"/>
    <cellStyle name="Obliczenia 2 16 24 2" xfId="22490"/>
    <cellStyle name="Obliczenia 2 16 24 3" xfId="22491"/>
    <cellStyle name="Obliczenia 2 16 25" xfId="22492"/>
    <cellStyle name="Obliczenia 2 16 25 2" xfId="22493"/>
    <cellStyle name="Obliczenia 2 16 25 3" xfId="22494"/>
    <cellStyle name="Obliczenia 2 16 26" xfId="22495"/>
    <cellStyle name="Obliczenia 2 16 26 2" xfId="22496"/>
    <cellStyle name="Obliczenia 2 16 26 3" xfId="22497"/>
    <cellStyle name="Obliczenia 2 16 27" xfId="22498"/>
    <cellStyle name="Obliczenia 2 16 27 2" xfId="22499"/>
    <cellStyle name="Obliczenia 2 16 27 3" xfId="22500"/>
    <cellStyle name="Obliczenia 2 16 28" xfId="22501"/>
    <cellStyle name="Obliczenia 2 16 28 2" xfId="22502"/>
    <cellStyle name="Obliczenia 2 16 28 3" xfId="22503"/>
    <cellStyle name="Obliczenia 2 16 29" xfId="22504"/>
    <cellStyle name="Obliczenia 2 16 29 2" xfId="22505"/>
    <cellStyle name="Obliczenia 2 16 29 3" xfId="22506"/>
    <cellStyle name="Obliczenia 2 16 3" xfId="22507"/>
    <cellStyle name="Obliczenia 2 16 3 2" xfId="22508"/>
    <cellStyle name="Obliczenia 2 16 3 3" xfId="22509"/>
    <cellStyle name="Obliczenia 2 16 3 4" xfId="22510"/>
    <cellStyle name="Obliczenia 2 16 30" xfId="22511"/>
    <cellStyle name="Obliczenia 2 16 30 2" xfId="22512"/>
    <cellStyle name="Obliczenia 2 16 30 3" xfId="22513"/>
    <cellStyle name="Obliczenia 2 16 31" xfId="22514"/>
    <cellStyle name="Obliczenia 2 16 31 2" xfId="22515"/>
    <cellStyle name="Obliczenia 2 16 31 3" xfId="22516"/>
    <cellStyle name="Obliczenia 2 16 32" xfId="22517"/>
    <cellStyle name="Obliczenia 2 16 32 2" xfId="22518"/>
    <cellStyle name="Obliczenia 2 16 32 3" xfId="22519"/>
    <cellStyle name="Obliczenia 2 16 33" xfId="22520"/>
    <cellStyle name="Obliczenia 2 16 33 2" xfId="22521"/>
    <cellStyle name="Obliczenia 2 16 33 3" xfId="22522"/>
    <cellStyle name="Obliczenia 2 16 34" xfId="22523"/>
    <cellStyle name="Obliczenia 2 16 34 2" xfId="22524"/>
    <cellStyle name="Obliczenia 2 16 34 3" xfId="22525"/>
    <cellStyle name="Obliczenia 2 16 35" xfId="22526"/>
    <cellStyle name="Obliczenia 2 16 35 2" xfId="22527"/>
    <cellStyle name="Obliczenia 2 16 35 3" xfId="22528"/>
    <cellStyle name="Obliczenia 2 16 36" xfId="22529"/>
    <cellStyle name="Obliczenia 2 16 36 2" xfId="22530"/>
    <cellStyle name="Obliczenia 2 16 36 3" xfId="22531"/>
    <cellStyle name="Obliczenia 2 16 37" xfId="22532"/>
    <cellStyle name="Obliczenia 2 16 37 2" xfId="22533"/>
    <cellStyle name="Obliczenia 2 16 37 3" xfId="22534"/>
    <cellStyle name="Obliczenia 2 16 38" xfId="22535"/>
    <cellStyle name="Obliczenia 2 16 38 2" xfId="22536"/>
    <cellStyle name="Obliczenia 2 16 38 3" xfId="22537"/>
    <cellStyle name="Obliczenia 2 16 39" xfId="22538"/>
    <cellStyle name="Obliczenia 2 16 39 2" xfId="22539"/>
    <cellStyle name="Obliczenia 2 16 39 3" xfId="22540"/>
    <cellStyle name="Obliczenia 2 16 4" xfId="22541"/>
    <cellStyle name="Obliczenia 2 16 4 2" xfId="22542"/>
    <cellStyle name="Obliczenia 2 16 4 3" xfId="22543"/>
    <cellStyle name="Obliczenia 2 16 4 4" xfId="22544"/>
    <cellStyle name="Obliczenia 2 16 40" xfId="22545"/>
    <cellStyle name="Obliczenia 2 16 40 2" xfId="22546"/>
    <cellStyle name="Obliczenia 2 16 40 3" xfId="22547"/>
    <cellStyle name="Obliczenia 2 16 41" xfId="22548"/>
    <cellStyle name="Obliczenia 2 16 41 2" xfId="22549"/>
    <cellStyle name="Obliczenia 2 16 41 3" xfId="22550"/>
    <cellStyle name="Obliczenia 2 16 42" xfId="22551"/>
    <cellStyle name="Obliczenia 2 16 42 2" xfId="22552"/>
    <cellStyle name="Obliczenia 2 16 42 3" xfId="22553"/>
    <cellStyle name="Obliczenia 2 16 43" xfId="22554"/>
    <cellStyle name="Obliczenia 2 16 43 2" xfId="22555"/>
    <cellStyle name="Obliczenia 2 16 43 3" xfId="22556"/>
    <cellStyle name="Obliczenia 2 16 44" xfId="22557"/>
    <cellStyle name="Obliczenia 2 16 44 2" xfId="22558"/>
    <cellStyle name="Obliczenia 2 16 44 3" xfId="22559"/>
    <cellStyle name="Obliczenia 2 16 45" xfId="22560"/>
    <cellStyle name="Obliczenia 2 16 45 2" xfId="22561"/>
    <cellStyle name="Obliczenia 2 16 45 3" xfId="22562"/>
    <cellStyle name="Obliczenia 2 16 46" xfId="22563"/>
    <cellStyle name="Obliczenia 2 16 46 2" xfId="22564"/>
    <cellStyle name="Obliczenia 2 16 46 3" xfId="22565"/>
    <cellStyle name="Obliczenia 2 16 47" xfId="22566"/>
    <cellStyle name="Obliczenia 2 16 47 2" xfId="22567"/>
    <cellStyle name="Obliczenia 2 16 47 3" xfId="22568"/>
    <cellStyle name="Obliczenia 2 16 48" xfId="22569"/>
    <cellStyle name="Obliczenia 2 16 48 2" xfId="22570"/>
    <cellStyle name="Obliczenia 2 16 48 3" xfId="22571"/>
    <cellStyle name="Obliczenia 2 16 49" xfId="22572"/>
    <cellStyle name="Obliczenia 2 16 49 2" xfId="22573"/>
    <cellStyle name="Obliczenia 2 16 49 3" xfId="22574"/>
    <cellStyle name="Obliczenia 2 16 5" xfId="22575"/>
    <cellStyle name="Obliczenia 2 16 5 2" xfId="22576"/>
    <cellStyle name="Obliczenia 2 16 5 3" xfId="22577"/>
    <cellStyle name="Obliczenia 2 16 5 4" xfId="22578"/>
    <cellStyle name="Obliczenia 2 16 50" xfId="22579"/>
    <cellStyle name="Obliczenia 2 16 50 2" xfId="22580"/>
    <cellStyle name="Obliczenia 2 16 50 3" xfId="22581"/>
    <cellStyle name="Obliczenia 2 16 51" xfId="22582"/>
    <cellStyle name="Obliczenia 2 16 51 2" xfId="22583"/>
    <cellStyle name="Obliczenia 2 16 51 3" xfId="22584"/>
    <cellStyle name="Obliczenia 2 16 52" xfId="22585"/>
    <cellStyle name="Obliczenia 2 16 52 2" xfId="22586"/>
    <cellStyle name="Obliczenia 2 16 52 3" xfId="22587"/>
    <cellStyle name="Obliczenia 2 16 53" xfId="22588"/>
    <cellStyle name="Obliczenia 2 16 53 2" xfId="22589"/>
    <cellStyle name="Obliczenia 2 16 53 3" xfId="22590"/>
    <cellStyle name="Obliczenia 2 16 54" xfId="22591"/>
    <cellStyle name="Obliczenia 2 16 54 2" xfId="22592"/>
    <cellStyle name="Obliczenia 2 16 54 3" xfId="22593"/>
    <cellStyle name="Obliczenia 2 16 55" xfId="22594"/>
    <cellStyle name="Obliczenia 2 16 55 2" xfId="22595"/>
    <cellStyle name="Obliczenia 2 16 55 3" xfId="22596"/>
    <cellStyle name="Obliczenia 2 16 56" xfId="22597"/>
    <cellStyle name="Obliczenia 2 16 56 2" xfId="22598"/>
    <cellStyle name="Obliczenia 2 16 56 3" xfId="22599"/>
    <cellStyle name="Obliczenia 2 16 57" xfId="22600"/>
    <cellStyle name="Obliczenia 2 16 58" xfId="22601"/>
    <cellStyle name="Obliczenia 2 16 6" xfId="22602"/>
    <cellStyle name="Obliczenia 2 16 6 2" xfId="22603"/>
    <cellStyle name="Obliczenia 2 16 6 3" xfId="22604"/>
    <cellStyle name="Obliczenia 2 16 6 4" xfId="22605"/>
    <cellStyle name="Obliczenia 2 16 7" xfId="22606"/>
    <cellStyle name="Obliczenia 2 16 7 2" xfId="22607"/>
    <cellStyle name="Obliczenia 2 16 7 3" xfId="22608"/>
    <cellStyle name="Obliczenia 2 16 7 4" xfId="22609"/>
    <cellStyle name="Obliczenia 2 16 8" xfId="22610"/>
    <cellStyle name="Obliczenia 2 16 8 2" xfId="22611"/>
    <cellStyle name="Obliczenia 2 16 8 3" xfId="22612"/>
    <cellStyle name="Obliczenia 2 16 8 4" xfId="22613"/>
    <cellStyle name="Obliczenia 2 16 9" xfId="22614"/>
    <cellStyle name="Obliczenia 2 16 9 2" xfId="22615"/>
    <cellStyle name="Obliczenia 2 16 9 3" xfId="22616"/>
    <cellStyle name="Obliczenia 2 16 9 4" xfId="22617"/>
    <cellStyle name="Obliczenia 2 17" xfId="22618"/>
    <cellStyle name="Obliczenia 2 17 10" xfId="22619"/>
    <cellStyle name="Obliczenia 2 17 10 2" xfId="22620"/>
    <cellStyle name="Obliczenia 2 17 10 3" xfId="22621"/>
    <cellStyle name="Obliczenia 2 17 10 4" xfId="22622"/>
    <cellStyle name="Obliczenia 2 17 11" xfId="22623"/>
    <cellStyle name="Obliczenia 2 17 11 2" xfId="22624"/>
    <cellStyle name="Obliczenia 2 17 11 3" xfId="22625"/>
    <cellStyle name="Obliczenia 2 17 11 4" xfId="22626"/>
    <cellStyle name="Obliczenia 2 17 12" xfId="22627"/>
    <cellStyle name="Obliczenia 2 17 12 2" xfId="22628"/>
    <cellStyle name="Obliczenia 2 17 12 3" xfId="22629"/>
    <cellStyle name="Obliczenia 2 17 12 4" xfId="22630"/>
    <cellStyle name="Obliczenia 2 17 13" xfId="22631"/>
    <cellStyle name="Obliczenia 2 17 13 2" xfId="22632"/>
    <cellStyle name="Obliczenia 2 17 13 3" xfId="22633"/>
    <cellStyle name="Obliczenia 2 17 13 4" xfId="22634"/>
    <cellStyle name="Obliczenia 2 17 14" xfId="22635"/>
    <cellStyle name="Obliczenia 2 17 14 2" xfId="22636"/>
    <cellStyle name="Obliczenia 2 17 14 3" xfId="22637"/>
    <cellStyle name="Obliczenia 2 17 14 4" xfId="22638"/>
    <cellStyle name="Obliczenia 2 17 15" xfId="22639"/>
    <cellStyle name="Obliczenia 2 17 15 2" xfId="22640"/>
    <cellStyle name="Obliczenia 2 17 15 3" xfId="22641"/>
    <cellStyle name="Obliczenia 2 17 15 4" xfId="22642"/>
    <cellStyle name="Obliczenia 2 17 16" xfId="22643"/>
    <cellStyle name="Obliczenia 2 17 16 2" xfId="22644"/>
    <cellStyle name="Obliczenia 2 17 16 3" xfId="22645"/>
    <cellStyle name="Obliczenia 2 17 16 4" xfId="22646"/>
    <cellStyle name="Obliczenia 2 17 17" xfId="22647"/>
    <cellStyle name="Obliczenia 2 17 17 2" xfId="22648"/>
    <cellStyle name="Obliczenia 2 17 17 3" xfId="22649"/>
    <cellStyle name="Obliczenia 2 17 17 4" xfId="22650"/>
    <cellStyle name="Obliczenia 2 17 18" xfId="22651"/>
    <cellStyle name="Obliczenia 2 17 18 2" xfId="22652"/>
    <cellStyle name="Obliczenia 2 17 18 3" xfId="22653"/>
    <cellStyle name="Obliczenia 2 17 18 4" xfId="22654"/>
    <cellStyle name="Obliczenia 2 17 19" xfId="22655"/>
    <cellStyle name="Obliczenia 2 17 19 2" xfId="22656"/>
    <cellStyle name="Obliczenia 2 17 19 3" xfId="22657"/>
    <cellStyle name="Obliczenia 2 17 19 4" xfId="22658"/>
    <cellStyle name="Obliczenia 2 17 2" xfId="22659"/>
    <cellStyle name="Obliczenia 2 17 2 2" xfId="22660"/>
    <cellStyle name="Obliczenia 2 17 2 3" xfId="22661"/>
    <cellStyle name="Obliczenia 2 17 2 4" xfId="22662"/>
    <cellStyle name="Obliczenia 2 17 20" xfId="22663"/>
    <cellStyle name="Obliczenia 2 17 20 2" xfId="22664"/>
    <cellStyle name="Obliczenia 2 17 20 3" xfId="22665"/>
    <cellStyle name="Obliczenia 2 17 20 4" xfId="22666"/>
    <cellStyle name="Obliczenia 2 17 21" xfId="22667"/>
    <cellStyle name="Obliczenia 2 17 21 2" xfId="22668"/>
    <cellStyle name="Obliczenia 2 17 21 3" xfId="22669"/>
    <cellStyle name="Obliczenia 2 17 22" xfId="22670"/>
    <cellStyle name="Obliczenia 2 17 22 2" xfId="22671"/>
    <cellStyle name="Obliczenia 2 17 22 3" xfId="22672"/>
    <cellStyle name="Obliczenia 2 17 23" xfId="22673"/>
    <cellStyle name="Obliczenia 2 17 23 2" xfId="22674"/>
    <cellStyle name="Obliczenia 2 17 23 3" xfId="22675"/>
    <cellStyle name="Obliczenia 2 17 24" xfId="22676"/>
    <cellStyle name="Obliczenia 2 17 24 2" xfId="22677"/>
    <cellStyle name="Obliczenia 2 17 24 3" xfId="22678"/>
    <cellStyle name="Obliczenia 2 17 25" xfId="22679"/>
    <cellStyle name="Obliczenia 2 17 25 2" xfId="22680"/>
    <cellStyle name="Obliczenia 2 17 25 3" xfId="22681"/>
    <cellStyle name="Obliczenia 2 17 26" xfId="22682"/>
    <cellStyle name="Obliczenia 2 17 26 2" xfId="22683"/>
    <cellStyle name="Obliczenia 2 17 26 3" xfId="22684"/>
    <cellStyle name="Obliczenia 2 17 27" xfId="22685"/>
    <cellStyle name="Obliczenia 2 17 27 2" xfId="22686"/>
    <cellStyle name="Obliczenia 2 17 27 3" xfId="22687"/>
    <cellStyle name="Obliczenia 2 17 28" xfId="22688"/>
    <cellStyle name="Obliczenia 2 17 28 2" xfId="22689"/>
    <cellStyle name="Obliczenia 2 17 28 3" xfId="22690"/>
    <cellStyle name="Obliczenia 2 17 29" xfId="22691"/>
    <cellStyle name="Obliczenia 2 17 29 2" xfId="22692"/>
    <cellStyle name="Obliczenia 2 17 29 3" xfId="22693"/>
    <cellStyle name="Obliczenia 2 17 3" xfId="22694"/>
    <cellStyle name="Obliczenia 2 17 3 2" xfId="22695"/>
    <cellStyle name="Obliczenia 2 17 3 3" xfId="22696"/>
    <cellStyle name="Obliczenia 2 17 3 4" xfId="22697"/>
    <cellStyle name="Obliczenia 2 17 30" xfId="22698"/>
    <cellStyle name="Obliczenia 2 17 30 2" xfId="22699"/>
    <cellStyle name="Obliczenia 2 17 30 3" xfId="22700"/>
    <cellStyle name="Obliczenia 2 17 31" xfId="22701"/>
    <cellStyle name="Obliczenia 2 17 31 2" xfId="22702"/>
    <cellStyle name="Obliczenia 2 17 31 3" xfId="22703"/>
    <cellStyle name="Obliczenia 2 17 32" xfId="22704"/>
    <cellStyle name="Obliczenia 2 17 32 2" xfId="22705"/>
    <cellStyle name="Obliczenia 2 17 32 3" xfId="22706"/>
    <cellStyle name="Obliczenia 2 17 33" xfId="22707"/>
    <cellStyle name="Obliczenia 2 17 33 2" xfId="22708"/>
    <cellStyle name="Obliczenia 2 17 33 3" xfId="22709"/>
    <cellStyle name="Obliczenia 2 17 34" xfId="22710"/>
    <cellStyle name="Obliczenia 2 17 34 2" xfId="22711"/>
    <cellStyle name="Obliczenia 2 17 34 3" xfId="22712"/>
    <cellStyle name="Obliczenia 2 17 35" xfId="22713"/>
    <cellStyle name="Obliczenia 2 17 35 2" xfId="22714"/>
    <cellStyle name="Obliczenia 2 17 35 3" xfId="22715"/>
    <cellStyle name="Obliczenia 2 17 36" xfId="22716"/>
    <cellStyle name="Obliczenia 2 17 36 2" xfId="22717"/>
    <cellStyle name="Obliczenia 2 17 36 3" xfId="22718"/>
    <cellStyle name="Obliczenia 2 17 37" xfId="22719"/>
    <cellStyle name="Obliczenia 2 17 37 2" xfId="22720"/>
    <cellStyle name="Obliczenia 2 17 37 3" xfId="22721"/>
    <cellStyle name="Obliczenia 2 17 38" xfId="22722"/>
    <cellStyle name="Obliczenia 2 17 38 2" xfId="22723"/>
    <cellStyle name="Obliczenia 2 17 38 3" xfId="22724"/>
    <cellStyle name="Obliczenia 2 17 39" xfId="22725"/>
    <cellStyle name="Obliczenia 2 17 39 2" xfId="22726"/>
    <cellStyle name="Obliczenia 2 17 39 3" xfId="22727"/>
    <cellStyle name="Obliczenia 2 17 4" xfId="22728"/>
    <cellStyle name="Obliczenia 2 17 4 2" xfId="22729"/>
    <cellStyle name="Obliczenia 2 17 4 3" xfId="22730"/>
    <cellStyle name="Obliczenia 2 17 4 4" xfId="22731"/>
    <cellStyle name="Obliczenia 2 17 40" xfId="22732"/>
    <cellStyle name="Obliczenia 2 17 40 2" xfId="22733"/>
    <cellStyle name="Obliczenia 2 17 40 3" xfId="22734"/>
    <cellStyle name="Obliczenia 2 17 41" xfId="22735"/>
    <cellStyle name="Obliczenia 2 17 41 2" xfId="22736"/>
    <cellStyle name="Obliczenia 2 17 41 3" xfId="22737"/>
    <cellStyle name="Obliczenia 2 17 42" xfId="22738"/>
    <cellStyle name="Obliczenia 2 17 42 2" xfId="22739"/>
    <cellStyle name="Obliczenia 2 17 42 3" xfId="22740"/>
    <cellStyle name="Obliczenia 2 17 43" xfId="22741"/>
    <cellStyle name="Obliczenia 2 17 43 2" xfId="22742"/>
    <cellStyle name="Obliczenia 2 17 43 3" xfId="22743"/>
    <cellStyle name="Obliczenia 2 17 44" xfId="22744"/>
    <cellStyle name="Obliczenia 2 17 44 2" xfId="22745"/>
    <cellStyle name="Obliczenia 2 17 44 3" xfId="22746"/>
    <cellStyle name="Obliczenia 2 17 45" xfId="22747"/>
    <cellStyle name="Obliczenia 2 17 45 2" xfId="22748"/>
    <cellStyle name="Obliczenia 2 17 45 3" xfId="22749"/>
    <cellStyle name="Obliczenia 2 17 46" xfId="22750"/>
    <cellStyle name="Obliczenia 2 17 46 2" xfId="22751"/>
    <cellStyle name="Obliczenia 2 17 46 3" xfId="22752"/>
    <cellStyle name="Obliczenia 2 17 47" xfId="22753"/>
    <cellStyle name="Obliczenia 2 17 47 2" xfId="22754"/>
    <cellStyle name="Obliczenia 2 17 47 3" xfId="22755"/>
    <cellStyle name="Obliczenia 2 17 48" xfId="22756"/>
    <cellStyle name="Obliczenia 2 17 48 2" xfId="22757"/>
    <cellStyle name="Obliczenia 2 17 48 3" xfId="22758"/>
    <cellStyle name="Obliczenia 2 17 49" xfId="22759"/>
    <cellStyle name="Obliczenia 2 17 49 2" xfId="22760"/>
    <cellStyle name="Obliczenia 2 17 49 3" xfId="22761"/>
    <cellStyle name="Obliczenia 2 17 5" xfId="22762"/>
    <cellStyle name="Obliczenia 2 17 5 2" xfId="22763"/>
    <cellStyle name="Obliczenia 2 17 5 3" xfId="22764"/>
    <cellStyle name="Obliczenia 2 17 5 4" xfId="22765"/>
    <cellStyle name="Obliczenia 2 17 50" xfId="22766"/>
    <cellStyle name="Obliczenia 2 17 50 2" xfId="22767"/>
    <cellStyle name="Obliczenia 2 17 50 3" xfId="22768"/>
    <cellStyle name="Obliczenia 2 17 51" xfId="22769"/>
    <cellStyle name="Obliczenia 2 17 51 2" xfId="22770"/>
    <cellStyle name="Obliczenia 2 17 51 3" xfId="22771"/>
    <cellStyle name="Obliczenia 2 17 52" xfId="22772"/>
    <cellStyle name="Obliczenia 2 17 52 2" xfId="22773"/>
    <cellStyle name="Obliczenia 2 17 52 3" xfId="22774"/>
    <cellStyle name="Obliczenia 2 17 53" xfId="22775"/>
    <cellStyle name="Obliczenia 2 17 53 2" xfId="22776"/>
    <cellStyle name="Obliczenia 2 17 53 3" xfId="22777"/>
    <cellStyle name="Obliczenia 2 17 54" xfId="22778"/>
    <cellStyle name="Obliczenia 2 17 54 2" xfId="22779"/>
    <cellStyle name="Obliczenia 2 17 54 3" xfId="22780"/>
    <cellStyle name="Obliczenia 2 17 55" xfId="22781"/>
    <cellStyle name="Obliczenia 2 17 55 2" xfId="22782"/>
    <cellStyle name="Obliczenia 2 17 55 3" xfId="22783"/>
    <cellStyle name="Obliczenia 2 17 56" xfId="22784"/>
    <cellStyle name="Obliczenia 2 17 56 2" xfId="22785"/>
    <cellStyle name="Obliczenia 2 17 56 3" xfId="22786"/>
    <cellStyle name="Obliczenia 2 17 57" xfId="22787"/>
    <cellStyle name="Obliczenia 2 17 58" xfId="22788"/>
    <cellStyle name="Obliczenia 2 17 6" xfId="22789"/>
    <cellStyle name="Obliczenia 2 17 6 2" xfId="22790"/>
    <cellStyle name="Obliczenia 2 17 6 3" xfId="22791"/>
    <cellStyle name="Obliczenia 2 17 6 4" xfId="22792"/>
    <cellStyle name="Obliczenia 2 17 7" xfId="22793"/>
    <cellStyle name="Obliczenia 2 17 7 2" xfId="22794"/>
    <cellStyle name="Obliczenia 2 17 7 3" xfId="22795"/>
    <cellStyle name="Obliczenia 2 17 7 4" xfId="22796"/>
    <cellStyle name="Obliczenia 2 17 8" xfId="22797"/>
    <cellStyle name="Obliczenia 2 17 8 2" xfId="22798"/>
    <cellStyle name="Obliczenia 2 17 8 3" xfId="22799"/>
    <cellStyle name="Obliczenia 2 17 8 4" xfId="22800"/>
    <cellStyle name="Obliczenia 2 17 9" xfId="22801"/>
    <cellStyle name="Obliczenia 2 17 9 2" xfId="22802"/>
    <cellStyle name="Obliczenia 2 17 9 3" xfId="22803"/>
    <cellStyle name="Obliczenia 2 17 9 4" xfId="22804"/>
    <cellStyle name="Obliczenia 2 18" xfId="22805"/>
    <cellStyle name="Obliczenia 2 18 10" xfId="22806"/>
    <cellStyle name="Obliczenia 2 18 10 2" xfId="22807"/>
    <cellStyle name="Obliczenia 2 18 10 3" xfId="22808"/>
    <cellStyle name="Obliczenia 2 18 10 4" xfId="22809"/>
    <cellStyle name="Obliczenia 2 18 11" xfId="22810"/>
    <cellStyle name="Obliczenia 2 18 11 2" xfId="22811"/>
    <cellStyle name="Obliczenia 2 18 11 3" xfId="22812"/>
    <cellStyle name="Obliczenia 2 18 11 4" xfId="22813"/>
    <cellStyle name="Obliczenia 2 18 12" xfId="22814"/>
    <cellStyle name="Obliczenia 2 18 12 2" xfId="22815"/>
    <cellStyle name="Obliczenia 2 18 12 3" xfId="22816"/>
    <cellStyle name="Obliczenia 2 18 12 4" xfId="22817"/>
    <cellStyle name="Obliczenia 2 18 13" xfId="22818"/>
    <cellStyle name="Obliczenia 2 18 13 2" xfId="22819"/>
    <cellStyle name="Obliczenia 2 18 13 3" xfId="22820"/>
    <cellStyle name="Obliczenia 2 18 13 4" xfId="22821"/>
    <cellStyle name="Obliczenia 2 18 14" xfId="22822"/>
    <cellStyle name="Obliczenia 2 18 14 2" xfId="22823"/>
    <cellStyle name="Obliczenia 2 18 14 3" xfId="22824"/>
    <cellStyle name="Obliczenia 2 18 14 4" xfId="22825"/>
    <cellStyle name="Obliczenia 2 18 15" xfId="22826"/>
    <cellStyle name="Obliczenia 2 18 15 2" xfId="22827"/>
    <cellStyle name="Obliczenia 2 18 15 3" xfId="22828"/>
    <cellStyle name="Obliczenia 2 18 15 4" xfId="22829"/>
    <cellStyle name="Obliczenia 2 18 16" xfId="22830"/>
    <cellStyle name="Obliczenia 2 18 16 2" xfId="22831"/>
    <cellStyle name="Obliczenia 2 18 16 3" xfId="22832"/>
    <cellStyle name="Obliczenia 2 18 16 4" xfId="22833"/>
    <cellStyle name="Obliczenia 2 18 17" xfId="22834"/>
    <cellStyle name="Obliczenia 2 18 17 2" xfId="22835"/>
    <cellStyle name="Obliczenia 2 18 17 3" xfId="22836"/>
    <cellStyle name="Obliczenia 2 18 17 4" xfId="22837"/>
    <cellStyle name="Obliczenia 2 18 18" xfId="22838"/>
    <cellStyle name="Obliczenia 2 18 18 2" xfId="22839"/>
    <cellStyle name="Obliczenia 2 18 18 3" xfId="22840"/>
    <cellStyle name="Obliczenia 2 18 18 4" xfId="22841"/>
    <cellStyle name="Obliczenia 2 18 19" xfId="22842"/>
    <cellStyle name="Obliczenia 2 18 19 2" xfId="22843"/>
    <cellStyle name="Obliczenia 2 18 19 3" xfId="22844"/>
    <cellStyle name="Obliczenia 2 18 19 4" xfId="22845"/>
    <cellStyle name="Obliczenia 2 18 2" xfId="22846"/>
    <cellStyle name="Obliczenia 2 18 2 2" xfId="22847"/>
    <cellStyle name="Obliczenia 2 18 2 3" xfId="22848"/>
    <cellStyle name="Obliczenia 2 18 2 4" xfId="22849"/>
    <cellStyle name="Obliczenia 2 18 20" xfId="22850"/>
    <cellStyle name="Obliczenia 2 18 20 2" xfId="22851"/>
    <cellStyle name="Obliczenia 2 18 20 3" xfId="22852"/>
    <cellStyle name="Obliczenia 2 18 20 4" xfId="22853"/>
    <cellStyle name="Obliczenia 2 18 21" xfId="22854"/>
    <cellStyle name="Obliczenia 2 18 21 2" xfId="22855"/>
    <cellStyle name="Obliczenia 2 18 21 3" xfId="22856"/>
    <cellStyle name="Obliczenia 2 18 22" xfId="22857"/>
    <cellStyle name="Obliczenia 2 18 22 2" xfId="22858"/>
    <cellStyle name="Obliczenia 2 18 22 3" xfId="22859"/>
    <cellStyle name="Obliczenia 2 18 23" xfId="22860"/>
    <cellStyle name="Obliczenia 2 18 23 2" xfId="22861"/>
    <cellStyle name="Obliczenia 2 18 23 3" xfId="22862"/>
    <cellStyle name="Obliczenia 2 18 24" xfId="22863"/>
    <cellStyle name="Obliczenia 2 18 24 2" xfId="22864"/>
    <cellStyle name="Obliczenia 2 18 24 3" xfId="22865"/>
    <cellStyle name="Obliczenia 2 18 25" xfId="22866"/>
    <cellStyle name="Obliczenia 2 18 25 2" xfId="22867"/>
    <cellStyle name="Obliczenia 2 18 25 3" xfId="22868"/>
    <cellStyle name="Obliczenia 2 18 26" xfId="22869"/>
    <cellStyle name="Obliczenia 2 18 26 2" xfId="22870"/>
    <cellStyle name="Obliczenia 2 18 26 3" xfId="22871"/>
    <cellStyle name="Obliczenia 2 18 27" xfId="22872"/>
    <cellStyle name="Obliczenia 2 18 27 2" xfId="22873"/>
    <cellStyle name="Obliczenia 2 18 27 3" xfId="22874"/>
    <cellStyle name="Obliczenia 2 18 28" xfId="22875"/>
    <cellStyle name="Obliczenia 2 18 28 2" xfId="22876"/>
    <cellStyle name="Obliczenia 2 18 28 3" xfId="22877"/>
    <cellStyle name="Obliczenia 2 18 29" xfId="22878"/>
    <cellStyle name="Obliczenia 2 18 29 2" xfId="22879"/>
    <cellStyle name="Obliczenia 2 18 29 3" xfId="22880"/>
    <cellStyle name="Obliczenia 2 18 3" xfId="22881"/>
    <cellStyle name="Obliczenia 2 18 3 2" xfId="22882"/>
    <cellStyle name="Obliczenia 2 18 3 3" xfId="22883"/>
    <cellStyle name="Obliczenia 2 18 3 4" xfId="22884"/>
    <cellStyle name="Obliczenia 2 18 30" xfId="22885"/>
    <cellStyle name="Obliczenia 2 18 30 2" xfId="22886"/>
    <cellStyle name="Obliczenia 2 18 30 3" xfId="22887"/>
    <cellStyle name="Obliczenia 2 18 31" xfId="22888"/>
    <cellStyle name="Obliczenia 2 18 31 2" xfId="22889"/>
    <cellStyle name="Obliczenia 2 18 31 3" xfId="22890"/>
    <cellStyle name="Obliczenia 2 18 32" xfId="22891"/>
    <cellStyle name="Obliczenia 2 18 32 2" xfId="22892"/>
    <cellStyle name="Obliczenia 2 18 32 3" xfId="22893"/>
    <cellStyle name="Obliczenia 2 18 33" xfId="22894"/>
    <cellStyle name="Obliczenia 2 18 33 2" xfId="22895"/>
    <cellStyle name="Obliczenia 2 18 33 3" xfId="22896"/>
    <cellStyle name="Obliczenia 2 18 34" xfId="22897"/>
    <cellStyle name="Obliczenia 2 18 34 2" xfId="22898"/>
    <cellStyle name="Obliczenia 2 18 34 3" xfId="22899"/>
    <cellStyle name="Obliczenia 2 18 35" xfId="22900"/>
    <cellStyle name="Obliczenia 2 18 35 2" xfId="22901"/>
    <cellStyle name="Obliczenia 2 18 35 3" xfId="22902"/>
    <cellStyle name="Obliczenia 2 18 36" xfId="22903"/>
    <cellStyle name="Obliczenia 2 18 36 2" xfId="22904"/>
    <cellStyle name="Obliczenia 2 18 36 3" xfId="22905"/>
    <cellStyle name="Obliczenia 2 18 37" xfId="22906"/>
    <cellStyle name="Obliczenia 2 18 37 2" xfId="22907"/>
    <cellStyle name="Obliczenia 2 18 37 3" xfId="22908"/>
    <cellStyle name="Obliczenia 2 18 38" xfId="22909"/>
    <cellStyle name="Obliczenia 2 18 38 2" xfId="22910"/>
    <cellStyle name="Obliczenia 2 18 38 3" xfId="22911"/>
    <cellStyle name="Obliczenia 2 18 39" xfId="22912"/>
    <cellStyle name="Obliczenia 2 18 39 2" xfId="22913"/>
    <cellStyle name="Obliczenia 2 18 39 3" xfId="22914"/>
    <cellStyle name="Obliczenia 2 18 4" xfId="22915"/>
    <cellStyle name="Obliczenia 2 18 4 2" xfId="22916"/>
    <cellStyle name="Obliczenia 2 18 4 3" xfId="22917"/>
    <cellStyle name="Obliczenia 2 18 4 4" xfId="22918"/>
    <cellStyle name="Obliczenia 2 18 40" xfId="22919"/>
    <cellStyle name="Obliczenia 2 18 40 2" xfId="22920"/>
    <cellStyle name="Obliczenia 2 18 40 3" xfId="22921"/>
    <cellStyle name="Obliczenia 2 18 41" xfId="22922"/>
    <cellStyle name="Obliczenia 2 18 41 2" xfId="22923"/>
    <cellStyle name="Obliczenia 2 18 41 3" xfId="22924"/>
    <cellStyle name="Obliczenia 2 18 42" xfId="22925"/>
    <cellStyle name="Obliczenia 2 18 42 2" xfId="22926"/>
    <cellStyle name="Obliczenia 2 18 42 3" xfId="22927"/>
    <cellStyle name="Obliczenia 2 18 43" xfId="22928"/>
    <cellStyle name="Obliczenia 2 18 43 2" xfId="22929"/>
    <cellStyle name="Obliczenia 2 18 43 3" xfId="22930"/>
    <cellStyle name="Obliczenia 2 18 44" xfId="22931"/>
    <cellStyle name="Obliczenia 2 18 44 2" xfId="22932"/>
    <cellStyle name="Obliczenia 2 18 44 3" xfId="22933"/>
    <cellStyle name="Obliczenia 2 18 45" xfId="22934"/>
    <cellStyle name="Obliczenia 2 18 45 2" xfId="22935"/>
    <cellStyle name="Obliczenia 2 18 45 3" xfId="22936"/>
    <cellStyle name="Obliczenia 2 18 46" xfId="22937"/>
    <cellStyle name="Obliczenia 2 18 46 2" xfId="22938"/>
    <cellStyle name="Obliczenia 2 18 46 3" xfId="22939"/>
    <cellStyle name="Obliczenia 2 18 47" xfId="22940"/>
    <cellStyle name="Obliczenia 2 18 47 2" xfId="22941"/>
    <cellStyle name="Obliczenia 2 18 47 3" xfId="22942"/>
    <cellStyle name="Obliczenia 2 18 48" xfId="22943"/>
    <cellStyle name="Obliczenia 2 18 48 2" xfId="22944"/>
    <cellStyle name="Obliczenia 2 18 48 3" xfId="22945"/>
    <cellStyle name="Obliczenia 2 18 49" xfId="22946"/>
    <cellStyle name="Obliczenia 2 18 49 2" xfId="22947"/>
    <cellStyle name="Obliczenia 2 18 49 3" xfId="22948"/>
    <cellStyle name="Obliczenia 2 18 5" xfId="22949"/>
    <cellStyle name="Obliczenia 2 18 5 2" xfId="22950"/>
    <cellStyle name="Obliczenia 2 18 5 3" xfId="22951"/>
    <cellStyle name="Obliczenia 2 18 5 4" xfId="22952"/>
    <cellStyle name="Obliczenia 2 18 50" xfId="22953"/>
    <cellStyle name="Obliczenia 2 18 50 2" xfId="22954"/>
    <cellStyle name="Obliczenia 2 18 50 3" xfId="22955"/>
    <cellStyle name="Obliczenia 2 18 51" xfId="22956"/>
    <cellStyle name="Obliczenia 2 18 51 2" xfId="22957"/>
    <cellStyle name="Obliczenia 2 18 51 3" xfId="22958"/>
    <cellStyle name="Obliczenia 2 18 52" xfId="22959"/>
    <cellStyle name="Obliczenia 2 18 52 2" xfId="22960"/>
    <cellStyle name="Obliczenia 2 18 52 3" xfId="22961"/>
    <cellStyle name="Obliczenia 2 18 53" xfId="22962"/>
    <cellStyle name="Obliczenia 2 18 53 2" xfId="22963"/>
    <cellStyle name="Obliczenia 2 18 53 3" xfId="22964"/>
    <cellStyle name="Obliczenia 2 18 54" xfId="22965"/>
    <cellStyle name="Obliczenia 2 18 54 2" xfId="22966"/>
    <cellStyle name="Obliczenia 2 18 54 3" xfId="22967"/>
    <cellStyle name="Obliczenia 2 18 55" xfId="22968"/>
    <cellStyle name="Obliczenia 2 18 55 2" xfId="22969"/>
    <cellStyle name="Obliczenia 2 18 55 3" xfId="22970"/>
    <cellStyle name="Obliczenia 2 18 56" xfId="22971"/>
    <cellStyle name="Obliczenia 2 18 56 2" xfId="22972"/>
    <cellStyle name="Obliczenia 2 18 56 3" xfId="22973"/>
    <cellStyle name="Obliczenia 2 18 57" xfId="22974"/>
    <cellStyle name="Obliczenia 2 18 58" xfId="22975"/>
    <cellStyle name="Obliczenia 2 18 6" xfId="22976"/>
    <cellStyle name="Obliczenia 2 18 6 2" xfId="22977"/>
    <cellStyle name="Obliczenia 2 18 6 3" xfId="22978"/>
    <cellStyle name="Obliczenia 2 18 6 4" xfId="22979"/>
    <cellStyle name="Obliczenia 2 18 7" xfId="22980"/>
    <cellStyle name="Obliczenia 2 18 7 2" xfId="22981"/>
    <cellStyle name="Obliczenia 2 18 7 3" xfId="22982"/>
    <cellStyle name="Obliczenia 2 18 7 4" xfId="22983"/>
    <cellStyle name="Obliczenia 2 18 8" xfId="22984"/>
    <cellStyle name="Obliczenia 2 18 8 2" xfId="22985"/>
    <cellStyle name="Obliczenia 2 18 8 3" xfId="22986"/>
    <cellStyle name="Obliczenia 2 18 8 4" xfId="22987"/>
    <cellStyle name="Obliczenia 2 18 9" xfId="22988"/>
    <cellStyle name="Obliczenia 2 18 9 2" xfId="22989"/>
    <cellStyle name="Obliczenia 2 18 9 3" xfId="22990"/>
    <cellStyle name="Obliczenia 2 18 9 4" xfId="22991"/>
    <cellStyle name="Obliczenia 2 19" xfId="22992"/>
    <cellStyle name="Obliczenia 2 19 10" xfId="22993"/>
    <cellStyle name="Obliczenia 2 19 10 2" xfId="22994"/>
    <cellStyle name="Obliczenia 2 19 10 3" xfId="22995"/>
    <cellStyle name="Obliczenia 2 19 10 4" xfId="22996"/>
    <cellStyle name="Obliczenia 2 19 11" xfId="22997"/>
    <cellStyle name="Obliczenia 2 19 11 2" xfId="22998"/>
    <cellStyle name="Obliczenia 2 19 11 3" xfId="22999"/>
    <cellStyle name="Obliczenia 2 19 11 4" xfId="23000"/>
    <cellStyle name="Obliczenia 2 19 12" xfId="23001"/>
    <cellStyle name="Obliczenia 2 19 12 2" xfId="23002"/>
    <cellStyle name="Obliczenia 2 19 12 3" xfId="23003"/>
    <cellStyle name="Obliczenia 2 19 12 4" xfId="23004"/>
    <cellStyle name="Obliczenia 2 19 13" xfId="23005"/>
    <cellStyle name="Obliczenia 2 19 13 2" xfId="23006"/>
    <cellStyle name="Obliczenia 2 19 13 3" xfId="23007"/>
    <cellStyle name="Obliczenia 2 19 13 4" xfId="23008"/>
    <cellStyle name="Obliczenia 2 19 14" xfId="23009"/>
    <cellStyle name="Obliczenia 2 19 14 2" xfId="23010"/>
    <cellStyle name="Obliczenia 2 19 14 3" xfId="23011"/>
    <cellStyle name="Obliczenia 2 19 14 4" xfId="23012"/>
    <cellStyle name="Obliczenia 2 19 15" xfId="23013"/>
    <cellStyle name="Obliczenia 2 19 15 2" xfId="23014"/>
    <cellStyle name="Obliczenia 2 19 15 3" xfId="23015"/>
    <cellStyle name="Obliczenia 2 19 15 4" xfId="23016"/>
    <cellStyle name="Obliczenia 2 19 16" xfId="23017"/>
    <cellStyle name="Obliczenia 2 19 16 2" xfId="23018"/>
    <cellStyle name="Obliczenia 2 19 16 3" xfId="23019"/>
    <cellStyle name="Obliczenia 2 19 16 4" xfId="23020"/>
    <cellStyle name="Obliczenia 2 19 17" xfId="23021"/>
    <cellStyle name="Obliczenia 2 19 17 2" xfId="23022"/>
    <cellStyle name="Obliczenia 2 19 17 3" xfId="23023"/>
    <cellStyle name="Obliczenia 2 19 17 4" xfId="23024"/>
    <cellStyle name="Obliczenia 2 19 18" xfId="23025"/>
    <cellStyle name="Obliczenia 2 19 18 2" xfId="23026"/>
    <cellStyle name="Obliczenia 2 19 18 3" xfId="23027"/>
    <cellStyle name="Obliczenia 2 19 18 4" xfId="23028"/>
    <cellStyle name="Obliczenia 2 19 19" xfId="23029"/>
    <cellStyle name="Obliczenia 2 19 19 2" xfId="23030"/>
    <cellStyle name="Obliczenia 2 19 19 3" xfId="23031"/>
    <cellStyle name="Obliczenia 2 19 19 4" xfId="23032"/>
    <cellStyle name="Obliczenia 2 19 2" xfId="23033"/>
    <cellStyle name="Obliczenia 2 19 2 2" xfId="23034"/>
    <cellStyle name="Obliczenia 2 19 2 3" xfId="23035"/>
    <cellStyle name="Obliczenia 2 19 2 4" xfId="23036"/>
    <cellStyle name="Obliczenia 2 19 20" xfId="23037"/>
    <cellStyle name="Obliczenia 2 19 20 2" xfId="23038"/>
    <cellStyle name="Obliczenia 2 19 20 3" xfId="23039"/>
    <cellStyle name="Obliczenia 2 19 20 4" xfId="23040"/>
    <cellStyle name="Obliczenia 2 19 21" xfId="23041"/>
    <cellStyle name="Obliczenia 2 19 21 2" xfId="23042"/>
    <cellStyle name="Obliczenia 2 19 21 3" xfId="23043"/>
    <cellStyle name="Obliczenia 2 19 22" xfId="23044"/>
    <cellStyle name="Obliczenia 2 19 22 2" xfId="23045"/>
    <cellStyle name="Obliczenia 2 19 22 3" xfId="23046"/>
    <cellStyle name="Obliczenia 2 19 23" xfId="23047"/>
    <cellStyle name="Obliczenia 2 19 23 2" xfId="23048"/>
    <cellStyle name="Obliczenia 2 19 23 3" xfId="23049"/>
    <cellStyle name="Obliczenia 2 19 24" xfId="23050"/>
    <cellStyle name="Obliczenia 2 19 24 2" xfId="23051"/>
    <cellStyle name="Obliczenia 2 19 24 3" xfId="23052"/>
    <cellStyle name="Obliczenia 2 19 25" xfId="23053"/>
    <cellStyle name="Obliczenia 2 19 25 2" xfId="23054"/>
    <cellStyle name="Obliczenia 2 19 25 3" xfId="23055"/>
    <cellStyle name="Obliczenia 2 19 26" xfId="23056"/>
    <cellStyle name="Obliczenia 2 19 26 2" xfId="23057"/>
    <cellStyle name="Obliczenia 2 19 26 3" xfId="23058"/>
    <cellStyle name="Obliczenia 2 19 27" xfId="23059"/>
    <cellStyle name="Obliczenia 2 19 27 2" xfId="23060"/>
    <cellStyle name="Obliczenia 2 19 27 3" xfId="23061"/>
    <cellStyle name="Obliczenia 2 19 28" xfId="23062"/>
    <cellStyle name="Obliczenia 2 19 28 2" xfId="23063"/>
    <cellStyle name="Obliczenia 2 19 28 3" xfId="23064"/>
    <cellStyle name="Obliczenia 2 19 29" xfId="23065"/>
    <cellStyle name="Obliczenia 2 19 29 2" xfId="23066"/>
    <cellStyle name="Obliczenia 2 19 29 3" xfId="23067"/>
    <cellStyle name="Obliczenia 2 19 3" xfId="23068"/>
    <cellStyle name="Obliczenia 2 19 3 2" xfId="23069"/>
    <cellStyle name="Obliczenia 2 19 3 3" xfId="23070"/>
    <cellStyle name="Obliczenia 2 19 3 4" xfId="23071"/>
    <cellStyle name="Obliczenia 2 19 30" xfId="23072"/>
    <cellStyle name="Obliczenia 2 19 30 2" xfId="23073"/>
    <cellStyle name="Obliczenia 2 19 30 3" xfId="23074"/>
    <cellStyle name="Obliczenia 2 19 31" xfId="23075"/>
    <cellStyle name="Obliczenia 2 19 31 2" xfId="23076"/>
    <cellStyle name="Obliczenia 2 19 31 3" xfId="23077"/>
    <cellStyle name="Obliczenia 2 19 32" xfId="23078"/>
    <cellStyle name="Obliczenia 2 19 32 2" xfId="23079"/>
    <cellStyle name="Obliczenia 2 19 32 3" xfId="23080"/>
    <cellStyle name="Obliczenia 2 19 33" xfId="23081"/>
    <cellStyle name="Obliczenia 2 19 33 2" xfId="23082"/>
    <cellStyle name="Obliczenia 2 19 33 3" xfId="23083"/>
    <cellStyle name="Obliczenia 2 19 34" xfId="23084"/>
    <cellStyle name="Obliczenia 2 19 34 2" xfId="23085"/>
    <cellStyle name="Obliczenia 2 19 34 3" xfId="23086"/>
    <cellStyle name="Obliczenia 2 19 35" xfId="23087"/>
    <cellStyle name="Obliczenia 2 19 35 2" xfId="23088"/>
    <cellStyle name="Obliczenia 2 19 35 3" xfId="23089"/>
    <cellStyle name="Obliczenia 2 19 36" xfId="23090"/>
    <cellStyle name="Obliczenia 2 19 36 2" xfId="23091"/>
    <cellStyle name="Obliczenia 2 19 36 3" xfId="23092"/>
    <cellStyle name="Obliczenia 2 19 37" xfId="23093"/>
    <cellStyle name="Obliczenia 2 19 37 2" xfId="23094"/>
    <cellStyle name="Obliczenia 2 19 37 3" xfId="23095"/>
    <cellStyle name="Obliczenia 2 19 38" xfId="23096"/>
    <cellStyle name="Obliczenia 2 19 38 2" xfId="23097"/>
    <cellStyle name="Obliczenia 2 19 38 3" xfId="23098"/>
    <cellStyle name="Obliczenia 2 19 39" xfId="23099"/>
    <cellStyle name="Obliczenia 2 19 39 2" xfId="23100"/>
    <cellStyle name="Obliczenia 2 19 39 3" xfId="23101"/>
    <cellStyle name="Obliczenia 2 19 4" xfId="23102"/>
    <cellStyle name="Obliczenia 2 19 4 2" xfId="23103"/>
    <cellStyle name="Obliczenia 2 19 4 3" xfId="23104"/>
    <cellStyle name="Obliczenia 2 19 4 4" xfId="23105"/>
    <cellStyle name="Obliczenia 2 19 40" xfId="23106"/>
    <cellStyle name="Obliczenia 2 19 40 2" xfId="23107"/>
    <cellStyle name="Obliczenia 2 19 40 3" xfId="23108"/>
    <cellStyle name="Obliczenia 2 19 41" xfId="23109"/>
    <cellStyle name="Obliczenia 2 19 41 2" xfId="23110"/>
    <cellStyle name="Obliczenia 2 19 41 3" xfId="23111"/>
    <cellStyle name="Obliczenia 2 19 42" xfId="23112"/>
    <cellStyle name="Obliczenia 2 19 42 2" xfId="23113"/>
    <cellStyle name="Obliczenia 2 19 42 3" xfId="23114"/>
    <cellStyle name="Obliczenia 2 19 43" xfId="23115"/>
    <cellStyle name="Obliczenia 2 19 43 2" xfId="23116"/>
    <cellStyle name="Obliczenia 2 19 43 3" xfId="23117"/>
    <cellStyle name="Obliczenia 2 19 44" xfId="23118"/>
    <cellStyle name="Obliczenia 2 19 44 2" xfId="23119"/>
    <cellStyle name="Obliczenia 2 19 44 3" xfId="23120"/>
    <cellStyle name="Obliczenia 2 19 45" xfId="23121"/>
    <cellStyle name="Obliczenia 2 19 45 2" xfId="23122"/>
    <cellStyle name="Obliczenia 2 19 45 3" xfId="23123"/>
    <cellStyle name="Obliczenia 2 19 46" xfId="23124"/>
    <cellStyle name="Obliczenia 2 19 46 2" xfId="23125"/>
    <cellStyle name="Obliczenia 2 19 46 3" xfId="23126"/>
    <cellStyle name="Obliczenia 2 19 47" xfId="23127"/>
    <cellStyle name="Obliczenia 2 19 47 2" xfId="23128"/>
    <cellStyle name="Obliczenia 2 19 47 3" xfId="23129"/>
    <cellStyle name="Obliczenia 2 19 48" xfId="23130"/>
    <cellStyle name="Obliczenia 2 19 48 2" xfId="23131"/>
    <cellStyle name="Obliczenia 2 19 48 3" xfId="23132"/>
    <cellStyle name="Obliczenia 2 19 49" xfId="23133"/>
    <cellStyle name="Obliczenia 2 19 49 2" xfId="23134"/>
    <cellStyle name="Obliczenia 2 19 49 3" xfId="23135"/>
    <cellStyle name="Obliczenia 2 19 5" xfId="23136"/>
    <cellStyle name="Obliczenia 2 19 5 2" xfId="23137"/>
    <cellStyle name="Obliczenia 2 19 5 3" xfId="23138"/>
    <cellStyle name="Obliczenia 2 19 5 4" xfId="23139"/>
    <cellStyle name="Obliczenia 2 19 50" xfId="23140"/>
    <cellStyle name="Obliczenia 2 19 50 2" xfId="23141"/>
    <cellStyle name="Obliczenia 2 19 50 3" xfId="23142"/>
    <cellStyle name="Obliczenia 2 19 51" xfId="23143"/>
    <cellStyle name="Obliczenia 2 19 51 2" xfId="23144"/>
    <cellStyle name="Obliczenia 2 19 51 3" xfId="23145"/>
    <cellStyle name="Obliczenia 2 19 52" xfId="23146"/>
    <cellStyle name="Obliczenia 2 19 52 2" xfId="23147"/>
    <cellStyle name="Obliczenia 2 19 52 3" xfId="23148"/>
    <cellStyle name="Obliczenia 2 19 53" xfId="23149"/>
    <cellStyle name="Obliczenia 2 19 53 2" xfId="23150"/>
    <cellStyle name="Obliczenia 2 19 53 3" xfId="23151"/>
    <cellStyle name="Obliczenia 2 19 54" xfId="23152"/>
    <cellStyle name="Obliczenia 2 19 54 2" xfId="23153"/>
    <cellStyle name="Obliczenia 2 19 54 3" xfId="23154"/>
    <cellStyle name="Obliczenia 2 19 55" xfId="23155"/>
    <cellStyle name="Obliczenia 2 19 55 2" xfId="23156"/>
    <cellStyle name="Obliczenia 2 19 55 3" xfId="23157"/>
    <cellStyle name="Obliczenia 2 19 56" xfId="23158"/>
    <cellStyle name="Obliczenia 2 19 56 2" xfId="23159"/>
    <cellStyle name="Obliczenia 2 19 56 3" xfId="23160"/>
    <cellStyle name="Obliczenia 2 19 57" xfId="23161"/>
    <cellStyle name="Obliczenia 2 19 58" xfId="23162"/>
    <cellStyle name="Obliczenia 2 19 6" xfId="23163"/>
    <cellStyle name="Obliczenia 2 19 6 2" xfId="23164"/>
    <cellStyle name="Obliczenia 2 19 6 3" xfId="23165"/>
    <cellStyle name="Obliczenia 2 19 6 4" xfId="23166"/>
    <cellStyle name="Obliczenia 2 19 7" xfId="23167"/>
    <cellStyle name="Obliczenia 2 19 7 2" xfId="23168"/>
    <cellStyle name="Obliczenia 2 19 7 3" xfId="23169"/>
    <cellStyle name="Obliczenia 2 19 7 4" xfId="23170"/>
    <cellStyle name="Obliczenia 2 19 8" xfId="23171"/>
    <cellStyle name="Obliczenia 2 19 8 2" xfId="23172"/>
    <cellStyle name="Obliczenia 2 19 8 3" xfId="23173"/>
    <cellStyle name="Obliczenia 2 19 8 4" xfId="23174"/>
    <cellStyle name="Obliczenia 2 19 9" xfId="23175"/>
    <cellStyle name="Obliczenia 2 19 9 2" xfId="23176"/>
    <cellStyle name="Obliczenia 2 19 9 3" xfId="23177"/>
    <cellStyle name="Obliczenia 2 19 9 4" xfId="23178"/>
    <cellStyle name="Obliczenia 2 2" xfId="23179"/>
    <cellStyle name="Obliczenia 2 2 10" xfId="23180"/>
    <cellStyle name="Obliczenia 2 2 10 2" xfId="23181"/>
    <cellStyle name="Obliczenia 2 2 10 3" xfId="23182"/>
    <cellStyle name="Obliczenia 2 2 10 4" xfId="23183"/>
    <cellStyle name="Obliczenia 2 2 11" xfId="23184"/>
    <cellStyle name="Obliczenia 2 2 11 2" xfId="23185"/>
    <cellStyle name="Obliczenia 2 2 11 3" xfId="23186"/>
    <cellStyle name="Obliczenia 2 2 11 4" xfId="23187"/>
    <cellStyle name="Obliczenia 2 2 12" xfId="23188"/>
    <cellStyle name="Obliczenia 2 2 12 2" xfId="23189"/>
    <cellStyle name="Obliczenia 2 2 12 3" xfId="23190"/>
    <cellStyle name="Obliczenia 2 2 12 4" xfId="23191"/>
    <cellStyle name="Obliczenia 2 2 13" xfId="23192"/>
    <cellStyle name="Obliczenia 2 2 13 2" xfId="23193"/>
    <cellStyle name="Obliczenia 2 2 13 3" xfId="23194"/>
    <cellStyle name="Obliczenia 2 2 13 4" xfId="23195"/>
    <cellStyle name="Obliczenia 2 2 14" xfId="23196"/>
    <cellStyle name="Obliczenia 2 2 14 2" xfId="23197"/>
    <cellStyle name="Obliczenia 2 2 14 3" xfId="23198"/>
    <cellStyle name="Obliczenia 2 2 14 4" xfId="23199"/>
    <cellStyle name="Obliczenia 2 2 15" xfId="23200"/>
    <cellStyle name="Obliczenia 2 2 15 2" xfId="23201"/>
    <cellStyle name="Obliczenia 2 2 15 3" xfId="23202"/>
    <cellStyle name="Obliczenia 2 2 15 4" xfId="23203"/>
    <cellStyle name="Obliczenia 2 2 16" xfId="23204"/>
    <cellStyle name="Obliczenia 2 2 16 2" xfId="23205"/>
    <cellStyle name="Obliczenia 2 2 16 3" xfId="23206"/>
    <cellStyle name="Obliczenia 2 2 16 4" xfId="23207"/>
    <cellStyle name="Obliczenia 2 2 17" xfId="23208"/>
    <cellStyle name="Obliczenia 2 2 17 2" xfId="23209"/>
    <cellStyle name="Obliczenia 2 2 17 3" xfId="23210"/>
    <cellStyle name="Obliczenia 2 2 17 4" xfId="23211"/>
    <cellStyle name="Obliczenia 2 2 18" xfId="23212"/>
    <cellStyle name="Obliczenia 2 2 18 2" xfId="23213"/>
    <cellStyle name="Obliczenia 2 2 18 3" xfId="23214"/>
    <cellStyle name="Obliczenia 2 2 18 4" xfId="23215"/>
    <cellStyle name="Obliczenia 2 2 19" xfId="23216"/>
    <cellStyle name="Obliczenia 2 2 19 2" xfId="23217"/>
    <cellStyle name="Obliczenia 2 2 19 3" xfId="23218"/>
    <cellStyle name="Obliczenia 2 2 19 4" xfId="23219"/>
    <cellStyle name="Obliczenia 2 2 2" xfId="23220"/>
    <cellStyle name="Obliczenia 2 2 2 2" xfId="23221"/>
    <cellStyle name="Obliczenia 2 2 2 3" xfId="23222"/>
    <cellStyle name="Obliczenia 2 2 2 4" xfId="23223"/>
    <cellStyle name="Obliczenia 2 2 20" xfId="23224"/>
    <cellStyle name="Obliczenia 2 2 20 2" xfId="23225"/>
    <cellStyle name="Obliczenia 2 2 20 3" xfId="23226"/>
    <cellStyle name="Obliczenia 2 2 20 4" xfId="23227"/>
    <cellStyle name="Obliczenia 2 2 21" xfId="23228"/>
    <cellStyle name="Obliczenia 2 2 21 2" xfId="23229"/>
    <cellStyle name="Obliczenia 2 2 21 3" xfId="23230"/>
    <cellStyle name="Obliczenia 2 2 22" xfId="23231"/>
    <cellStyle name="Obliczenia 2 2 22 2" xfId="23232"/>
    <cellStyle name="Obliczenia 2 2 22 3" xfId="23233"/>
    <cellStyle name="Obliczenia 2 2 23" xfId="23234"/>
    <cellStyle name="Obliczenia 2 2 23 2" xfId="23235"/>
    <cellStyle name="Obliczenia 2 2 23 3" xfId="23236"/>
    <cellStyle name="Obliczenia 2 2 24" xfId="23237"/>
    <cellStyle name="Obliczenia 2 2 24 2" xfId="23238"/>
    <cellStyle name="Obliczenia 2 2 24 3" xfId="23239"/>
    <cellStyle name="Obliczenia 2 2 25" xfId="23240"/>
    <cellStyle name="Obliczenia 2 2 25 2" xfId="23241"/>
    <cellStyle name="Obliczenia 2 2 25 3" xfId="23242"/>
    <cellStyle name="Obliczenia 2 2 26" xfId="23243"/>
    <cellStyle name="Obliczenia 2 2 26 2" xfId="23244"/>
    <cellStyle name="Obliczenia 2 2 26 3" xfId="23245"/>
    <cellStyle name="Obliczenia 2 2 27" xfId="23246"/>
    <cellStyle name="Obliczenia 2 2 27 2" xfId="23247"/>
    <cellStyle name="Obliczenia 2 2 27 3" xfId="23248"/>
    <cellStyle name="Obliczenia 2 2 28" xfId="23249"/>
    <cellStyle name="Obliczenia 2 2 28 2" xfId="23250"/>
    <cellStyle name="Obliczenia 2 2 28 3" xfId="23251"/>
    <cellStyle name="Obliczenia 2 2 29" xfId="23252"/>
    <cellStyle name="Obliczenia 2 2 29 2" xfId="23253"/>
    <cellStyle name="Obliczenia 2 2 29 3" xfId="23254"/>
    <cellStyle name="Obliczenia 2 2 3" xfId="23255"/>
    <cellStyle name="Obliczenia 2 2 3 2" xfId="23256"/>
    <cellStyle name="Obliczenia 2 2 3 3" xfId="23257"/>
    <cellStyle name="Obliczenia 2 2 3 4" xfId="23258"/>
    <cellStyle name="Obliczenia 2 2 30" xfId="23259"/>
    <cellStyle name="Obliczenia 2 2 30 2" xfId="23260"/>
    <cellStyle name="Obliczenia 2 2 30 3" xfId="23261"/>
    <cellStyle name="Obliczenia 2 2 31" xfId="23262"/>
    <cellStyle name="Obliczenia 2 2 31 2" xfId="23263"/>
    <cellStyle name="Obliczenia 2 2 31 3" xfId="23264"/>
    <cellStyle name="Obliczenia 2 2 32" xfId="23265"/>
    <cellStyle name="Obliczenia 2 2 32 2" xfId="23266"/>
    <cellStyle name="Obliczenia 2 2 32 3" xfId="23267"/>
    <cellStyle name="Obliczenia 2 2 33" xfId="23268"/>
    <cellStyle name="Obliczenia 2 2 33 2" xfId="23269"/>
    <cellStyle name="Obliczenia 2 2 33 3" xfId="23270"/>
    <cellStyle name="Obliczenia 2 2 34" xfId="23271"/>
    <cellStyle name="Obliczenia 2 2 34 2" xfId="23272"/>
    <cellStyle name="Obliczenia 2 2 34 3" xfId="23273"/>
    <cellStyle name="Obliczenia 2 2 35" xfId="23274"/>
    <cellStyle name="Obliczenia 2 2 35 2" xfId="23275"/>
    <cellStyle name="Obliczenia 2 2 35 3" xfId="23276"/>
    <cellStyle name="Obliczenia 2 2 36" xfId="23277"/>
    <cellStyle name="Obliczenia 2 2 36 2" xfId="23278"/>
    <cellStyle name="Obliczenia 2 2 36 3" xfId="23279"/>
    <cellStyle name="Obliczenia 2 2 37" xfId="23280"/>
    <cellStyle name="Obliczenia 2 2 37 2" xfId="23281"/>
    <cellStyle name="Obliczenia 2 2 37 3" xfId="23282"/>
    <cellStyle name="Obliczenia 2 2 38" xfId="23283"/>
    <cellStyle name="Obliczenia 2 2 38 2" xfId="23284"/>
    <cellStyle name="Obliczenia 2 2 38 3" xfId="23285"/>
    <cellStyle name="Obliczenia 2 2 39" xfId="23286"/>
    <cellStyle name="Obliczenia 2 2 39 2" xfId="23287"/>
    <cellStyle name="Obliczenia 2 2 39 3" xfId="23288"/>
    <cellStyle name="Obliczenia 2 2 4" xfId="23289"/>
    <cellStyle name="Obliczenia 2 2 4 2" xfId="23290"/>
    <cellStyle name="Obliczenia 2 2 4 3" xfId="23291"/>
    <cellStyle name="Obliczenia 2 2 4 4" xfId="23292"/>
    <cellStyle name="Obliczenia 2 2 40" xfId="23293"/>
    <cellStyle name="Obliczenia 2 2 40 2" xfId="23294"/>
    <cellStyle name="Obliczenia 2 2 40 3" xfId="23295"/>
    <cellStyle name="Obliczenia 2 2 41" xfId="23296"/>
    <cellStyle name="Obliczenia 2 2 41 2" xfId="23297"/>
    <cellStyle name="Obliczenia 2 2 41 3" xfId="23298"/>
    <cellStyle name="Obliczenia 2 2 42" xfId="23299"/>
    <cellStyle name="Obliczenia 2 2 42 2" xfId="23300"/>
    <cellStyle name="Obliczenia 2 2 42 3" xfId="23301"/>
    <cellStyle name="Obliczenia 2 2 43" xfId="23302"/>
    <cellStyle name="Obliczenia 2 2 43 2" xfId="23303"/>
    <cellStyle name="Obliczenia 2 2 43 3" xfId="23304"/>
    <cellStyle name="Obliczenia 2 2 44" xfId="23305"/>
    <cellStyle name="Obliczenia 2 2 44 2" xfId="23306"/>
    <cellStyle name="Obliczenia 2 2 44 3" xfId="23307"/>
    <cellStyle name="Obliczenia 2 2 45" xfId="23308"/>
    <cellStyle name="Obliczenia 2 2 45 2" xfId="23309"/>
    <cellStyle name="Obliczenia 2 2 45 3" xfId="23310"/>
    <cellStyle name="Obliczenia 2 2 46" xfId="23311"/>
    <cellStyle name="Obliczenia 2 2 46 2" xfId="23312"/>
    <cellStyle name="Obliczenia 2 2 46 3" xfId="23313"/>
    <cellStyle name="Obliczenia 2 2 47" xfId="23314"/>
    <cellStyle name="Obliczenia 2 2 47 2" xfId="23315"/>
    <cellStyle name="Obliczenia 2 2 47 3" xfId="23316"/>
    <cellStyle name="Obliczenia 2 2 48" xfId="23317"/>
    <cellStyle name="Obliczenia 2 2 48 2" xfId="23318"/>
    <cellStyle name="Obliczenia 2 2 48 3" xfId="23319"/>
    <cellStyle name="Obliczenia 2 2 49" xfId="23320"/>
    <cellStyle name="Obliczenia 2 2 49 2" xfId="23321"/>
    <cellStyle name="Obliczenia 2 2 49 3" xfId="23322"/>
    <cellStyle name="Obliczenia 2 2 5" xfId="23323"/>
    <cellStyle name="Obliczenia 2 2 5 2" xfId="23324"/>
    <cellStyle name="Obliczenia 2 2 5 3" xfId="23325"/>
    <cellStyle name="Obliczenia 2 2 5 4" xfId="23326"/>
    <cellStyle name="Obliczenia 2 2 50" xfId="23327"/>
    <cellStyle name="Obliczenia 2 2 50 2" xfId="23328"/>
    <cellStyle name="Obliczenia 2 2 50 3" xfId="23329"/>
    <cellStyle name="Obliczenia 2 2 51" xfId="23330"/>
    <cellStyle name="Obliczenia 2 2 51 2" xfId="23331"/>
    <cellStyle name="Obliczenia 2 2 51 3" xfId="23332"/>
    <cellStyle name="Obliczenia 2 2 52" xfId="23333"/>
    <cellStyle name="Obliczenia 2 2 52 2" xfId="23334"/>
    <cellStyle name="Obliczenia 2 2 52 3" xfId="23335"/>
    <cellStyle name="Obliczenia 2 2 53" xfId="23336"/>
    <cellStyle name="Obliczenia 2 2 53 2" xfId="23337"/>
    <cellStyle name="Obliczenia 2 2 53 3" xfId="23338"/>
    <cellStyle name="Obliczenia 2 2 54" xfId="23339"/>
    <cellStyle name="Obliczenia 2 2 54 2" xfId="23340"/>
    <cellStyle name="Obliczenia 2 2 54 3" xfId="23341"/>
    <cellStyle name="Obliczenia 2 2 55" xfId="23342"/>
    <cellStyle name="Obliczenia 2 2 55 2" xfId="23343"/>
    <cellStyle name="Obliczenia 2 2 55 3" xfId="23344"/>
    <cellStyle name="Obliczenia 2 2 56" xfId="23345"/>
    <cellStyle name="Obliczenia 2 2 56 2" xfId="23346"/>
    <cellStyle name="Obliczenia 2 2 56 3" xfId="23347"/>
    <cellStyle name="Obliczenia 2 2 57" xfId="23348"/>
    <cellStyle name="Obliczenia 2 2 58" xfId="23349"/>
    <cellStyle name="Obliczenia 2 2 59" xfId="23350"/>
    <cellStyle name="Obliczenia 2 2 6" xfId="23351"/>
    <cellStyle name="Obliczenia 2 2 6 2" xfId="23352"/>
    <cellStyle name="Obliczenia 2 2 6 3" xfId="23353"/>
    <cellStyle name="Obliczenia 2 2 6 4" xfId="23354"/>
    <cellStyle name="Obliczenia 2 2 7" xfId="23355"/>
    <cellStyle name="Obliczenia 2 2 7 2" xfId="23356"/>
    <cellStyle name="Obliczenia 2 2 7 3" xfId="23357"/>
    <cellStyle name="Obliczenia 2 2 7 4" xfId="23358"/>
    <cellStyle name="Obliczenia 2 2 8" xfId="23359"/>
    <cellStyle name="Obliczenia 2 2 8 2" xfId="23360"/>
    <cellStyle name="Obliczenia 2 2 8 3" xfId="23361"/>
    <cellStyle name="Obliczenia 2 2 8 4" xfId="23362"/>
    <cellStyle name="Obliczenia 2 2 9" xfId="23363"/>
    <cellStyle name="Obliczenia 2 2 9 2" xfId="23364"/>
    <cellStyle name="Obliczenia 2 2 9 3" xfId="23365"/>
    <cellStyle name="Obliczenia 2 2 9 4" xfId="23366"/>
    <cellStyle name="Obliczenia 2 20" xfId="23367"/>
    <cellStyle name="Obliczenia 2 20 10" xfId="23368"/>
    <cellStyle name="Obliczenia 2 20 10 2" xfId="23369"/>
    <cellStyle name="Obliczenia 2 20 10 3" xfId="23370"/>
    <cellStyle name="Obliczenia 2 20 10 4" xfId="23371"/>
    <cellStyle name="Obliczenia 2 20 11" xfId="23372"/>
    <cellStyle name="Obliczenia 2 20 11 2" xfId="23373"/>
    <cellStyle name="Obliczenia 2 20 11 3" xfId="23374"/>
    <cellStyle name="Obliczenia 2 20 11 4" xfId="23375"/>
    <cellStyle name="Obliczenia 2 20 12" xfId="23376"/>
    <cellStyle name="Obliczenia 2 20 12 2" xfId="23377"/>
    <cellStyle name="Obliczenia 2 20 12 3" xfId="23378"/>
    <cellStyle name="Obliczenia 2 20 12 4" xfId="23379"/>
    <cellStyle name="Obliczenia 2 20 13" xfId="23380"/>
    <cellStyle name="Obliczenia 2 20 13 2" xfId="23381"/>
    <cellStyle name="Obliczenia 2 20 13 3" xfId="23382"/>
    <cellStyle name="Obliczenia 2 20 13 4" xfId="23383"/>
    <cellStyle name="Obliczenia 2 20 14" xfId="23384"/>
    <cellStyle name="Obliczenia 2 20 14 2" xfId="23385"/>
    <cellStyle name="Obliczenia 2 20 14 3" xfId="23386"/>
    <cellStyle name="Obliczenia 2 20 14 4" xfId="23387"/>
    <cellStyle name="Obliczenia 2 20 15" xfId="23388"/>
    <cellStyle name="Obliczenia 2 20 15 2" xfId="23389"/>
    <cellStyle name="Obliczenia 2 20 15 3" xfId="23390"/>
    <cellStyle name="Obliczenia 2 20 15 4" xfId="23391"/>
    <cellStyle name="Obliczenia 2 20 16" xfId="23392"/>
    <cellStyle name="Obliczenia 2 20 16 2" xfId="23393"/>
    <cellStyle name="Obliczenia 2 20 16 3" xfId="23394"/>
    <cellStyle name="Obliczenia 2 20 16 4" xfId="23395"/>
    <cellStyle name="Obliczenia 2 20 17" xfId="23396"/>
    <cellStyle name="Obliczenia 2 20 17 2" xfId="23397"/>
    <cellStyle name="Obliczenia 2 20 17 3" xfId="23398"/>
    <cellStyle name="Obliczenia 2 20 17 4" xfId="23399"/>
    <cellStyle name="Obliczenia 2 20 18" xfId="23400"/>
    <cellStyle name="Obliczenia 2 20 18 2" xfId="23401"/>
    <cellStyle name="Obliczenia 2 20 18 3" xfId="23402"/>
    <cellStyle name="Obliczenia 2 20 18 4" xfId="23403"/>
    <cellStyle name="Obliczenia 2 20 19" xfId="23404"/>
    <cellStyle name="Obliczenia 2 20 19 2" xfId="23405"/>
    <cellStyle name="Obliczenia 2 20 19 3" xfId="23406"/>
    <cellStyle name="Obliczenia 2 20 19 4" xfId="23407"/>
    <cellStyle name="Obliczenia 2 20 2" xfId="23408"/>
    <cellStyle name="Obliczenia 2 20 2 2" xfId="23409"/>
    <cellStyle name="Obliczenia 2 20 2 3" xfId="23410"/>
    <cellStyle name="Obliczenia 2 20 2 4" xfId="23411"/>
    <cellStyle name="Obliczenia 2 20 20" xfId="23412"/>
    <cellStyle name="Obliczenia 2 20 20 2" xfId="23413"/>
    <cellStyle name="Obliczenia 2 20 20 3" xfId="23414"/>
    <cellStyle name="Obliczenia 2 20 20 4" xfId="23415"/>
    <cellStyle name="Obliczenia 2 20 21" xfId="23416"/>
    <cellStyle name="Obliczenia 2 20 21 2" xfId="23417"/>
    <cellStyle name="Obliczenia 2 20 21 3" xfId="23418"/>
    <cellStyle name="Obliczenia 2 20 22" xfId="23419"/>
    <cellStyle name="Obliczenia 2 20 22 2" xfId="23420"/>
    <cellStyle name="Obliczenia 2 20 22 3" xfId="23421"/>
    <cellStyle name="Obliczenia 2 20 23" xfId="23422"/>
    <cellStyle name="Obliczenia 2 20 23 2" xfId="23423"/>
    <cellStyle name="Obliczenia 2 20 23 3" xfId="23424"/>
    <cellStyle name="Obliczenia 2 20 24" xfId="23425"/>
    <cellStyle name="Obliczenia 2 20 24 2" xfId="23426"/>
    <cellStyle name="Obliczenia 2 20 24 3" xfId="23427"/>
    <cellStyle name="Obliczenia 2 20 25" xfId="23428"/>
    <cellStyle name="Obliczenia 2 20 25 2" xfId="23429"/>
    <cellStyle name="Obliczenia 2 20 25 3" xfId="23430"/>
    <cellStyle name="Obliczenia 2 20 26" xfId="23431"/>
    <cellStyle name="Obliczenia 2 20 26 2" xfId="23432"/>
    <cellStyle name="Obliczenia 2 20 26 3" xfId="23433"/>
    <cellStyle name="Obliczenia 2 20 27" xfId="23434"/>
    <cellStyle name="Obliczenia 2 20 27 2" xfId="23435"/>
    <cellStyle name="Obliczenia 2 20 27 3" xfId="23436"/>
    <cellStyle name="Obliczenia 2 20 28" xfId="23437"/>
    <cellStyle name="Obliczenia 2 20 28 2" xfId="23438"/>
    <cellStyle name="Obliczenia 2 20 28 3" xfId="23439"/>
    <cellStyle name="Obliczenia 2 20 29" xfId="23440"/>
    <cellStyle name="Obliczenia 2 20 29 2" xfId="23441"/>
    <cellStyle name="Obliczenia 2 20 29 3" xfId="23442"/>
    <cellStyle name="Obliczenia 2 20 3" xfId="23443"/>
    <cellStyle name="Obliczenia 2 20 3 2" xfId="23444"/>
    <cellStyle name="Obliczenia 2 20 3 3" xfId="23445"/>
    <cellStyle name="Obliczenia 2 20 3 4" xfId="23446"/>
    <cellStyle name="Obliczenia 2 20 30" xfId="23447"/>
    <cellStyle name="Obliczenia 2 20 30 2" xfId="23448"/>
    <cellStyle name="Obliczenia 2 20 30 3" xfId="23449"/>
    <cellStyle name="Obliczenia 2 20 31" xfId="23450"/>
    <cellStyle name="Obliczenia 2 20 31 2" xfId="23451"/>
    <cellStyle name="Obliczenia 2 20 31 3" xfId="23452"/>
    <cellStyle name="Obliczenia 2 20 32" xfId="23453"/>
    <cellStyle name="Obliczenia 2 20 32 2" xfId="23454"/>
    <cellStyle name="Obliczenia 2 20 32 3" xfId="23455"/>
    <cellStyle name="Obliczenia 2 20 33" xfId="23456"/>
    <cellStyle name="Obliczenia 2 20 33 2" xfId="23457"/>
    <cellStyle name="Obliczenia 2 20 33 3" xfId="23458"/>
    <cellStyle name="Obliczenia 2 20 34" xfId="23459"/>
    <cellStyle name="Obliczenia 2 20 34 2" xfId="23460"/>
    <cellStyle name="Obliczenia 2 20 34 3" xfId="23461"/>
    <cellStyle name="Obliczenia 2 20 35" xfId="23462"/>
    <cellStyle name="Obliczenia 2 20 35 2" xfId="23463"/>
    <cellStyle name="Obliczenia 2 20 35 3" xfId="23464"/>
    <cellStyle name="Obliczenia 2 20 36" xfId="23465"/>
    <cellStyle name="Obliczenia 2 20 36 2" xfId="23466"/>
    <cellStyle name="Obliczenia 2 20 36 3" xfId="23467"/>
    <cellStyle name="Obliczenia 2 20 37" xfId="23468"/>
    <cellStyle name="Obliczenia 2 20 37 2" xfId="23469"/>
    <cellStyle name="Obliczenia 2 20 37 3" xfId="23470"/>
    <cellStyle name="Obliczenia 2 20 38" xfId="23471"/>
    <cellStyle name="Obliczenia 2 20 38 2" xfId="23472"/>
    <cellStyle name="Obliczenia 2 20 38 3" xfId="23473"/>
    <cellStyle name="Obliczenia 2 20 39" xfId="23474"/>
    <cellStyle name="Obliczenia 2 20 39 2" xfId="23475"/>
    <cellStyle name="Obliczenia 2 20 39 3" xfId="23476"/>
    <cellStyle name="Obliczenia 2 20 4" xfId="23477"/>
    <cellStyle name="Obliczenia 2 20 4 2" xfId="23478"/>
    <cellStyle name="Obliczenia 2 20 4 3" xfId="23479"/>
    <cellStyle name="Obliczenia 2 20 4 4" xfId="23480"/>
    <cellStyle name="Obliczenia 2 20 40" xfId="23481"/>
    <cellStyle name="Obliczenia 2 20 40 2" xfId="23482"/>
    <cellStyle name="Obliczenia 2 20 40 3" xfId="23483"/>
    <cellStyle name="Obliczenia 2 20 41" xfId="23484"/>
    <cellStyle name="Obliczenia 2 20 41 2" xfId="23485"/>
    <cellStyle name="Obliczenia 2 20 41 3" xfId="23486"/>
    <cellStyle name="Obliczenia 2 20 42" xfId="23487"/>
    <cellStyle name="Obliczenia 2 20 42 2" xfId="23488"/>
    <cellStyle name="Obliczenia 2 20 42 3" xfId="23489"/>
    <cellStyle name="Obliczenia 2 20 43" xfId="23490"/>
    <cellStyle name="Obliczenia 2 20 43 2" xfId="23491"/>
    <cellStyle name="Obliczenia 2 20 43 3" xfId="23492"/>
    <cellStyle name="Obliczenia 2 20 44" xfId="23493"/>
    <cellStyle name="Obliczenia 2 20 44 2" xfId="23494"/>
    <cellStyle name="Obliczenia 2 20 44 3" xfId="23495"/>
    <cellStyle name="Obliczenia 2 20 45" xfId="23496"/>
    <cellStyle name="Obliczenia 2 20 45 2" xfId="23497"/>
    <cellStyle name="Obliczenia 2 20 45 3" xfId="23498"/>
    <cellStyle name="Obliczenia 2 20 46" xfId="23499"/>
    <cellStyle name="Obliczenia 2 20 46 2" xfId="23500"/>
    <cellStyle name="Obliczenia 2 20 46 3" xfId="23501"/>
    <cellStyle name="Obliczenia 2 20 47" xfId="23502"/>
    <cellStyle name="Obliczenia 2 20 47 2" xfId="23503"/>
    <cellStyle name="Obliczenia 2 20 47 3" xfId="23504"/>
    <cellStyle name="Obliczenia 2 20 48" xfId="23505"/>
    <cellStyle name="Obliczenia 2 20 48 2" xfId="23506"/>
    <cellStyle name="Obliczenia 2 20 48 3" xfId="23507"/>
    <cellStyle name="Obliczenia 2 20 49" xfId="23508"/>
    <cellStyle name="Obliczenia 2 20 49 2" xfId="23509"/>
    <cellStyle name="Obliczenia 2 20 49 3" xfId="23510"/>
    <cellStyle name="Obliczenia 2 20 5" xfId="23511"/>
    <cellStyle name="Obliczenia 2 20 5 2" xfId="23512"/>
    <cellStyle name="Obliczenia 2 20 5 3" xfId="23513"/>
    <cellStyle name="Obliczenia 2 20 5 4" xfId="23514"/>
    <cellStyle name="Obliczenia 2 20 50" xfId="23515"/>
    <cellStyle name="Obliczenia 2 20 50 2" xfId="23516"/>
    <cellStyle name="Obliczenia 2 20 50 3" xfId="23517"/>
    <cellStyle name="Obliczenia 2 20 51" xfId="23518"/>
    <cellStyle name="Obliczenia 2 20 51 2" xfId="23519"/>
    <cellStyle name="Obliczenia 2 20 51 3" xfId="23520"/>
    <cellStyle name="Obliczenia 2 20 52" xfId="23521"/>
    <cellStyle name="Obliczenia 2 20 52 2" xfId="23522"/>
    <cellStyle name="Obliczenia 2 20 52 3" xfId="23523"/>
    <cellStyle name="Obliczenia 2 20 53" xfId="23524"/>
    <cellStyle name="Obliczenia 2 20 53 2" xfId="23525"/>
    <cellStyle name="Obliczenia 2 20 53 3" xfId="23526"/>
    <cellStyle name="Obliczenia 2 20 54" xfId="23527"/>
    <cellStyle name="Obliczenia 2 20 54 2" xfId="23528"/>
    <cellStyle name="Obliczenia 2 20 54 3" xfId="23529"/>
    <cellStyle name="Obliczenia 2 20 55" xfId="23530"/>
    <cellStyle name="Obliczenia 2 20 55 2" xfId="23531"/>
    <cellStyle name="Obliczenia 2 20 55 3" xfId="23532"/>
    <cellStyle name="Obliczenia 2 20 56" xfId="23533"/>
    <cellStyle name="Obliczenia 2 20 56 2" xfId="23534"/>
    <cellStyle name="Obliczenia 2 20 56 3" xfId="23535"/>
    <cellStyle name="Obliczenia 2 20 57" xfId="23536"/>
    <cellStyle name="Obliczenia 2 20 58" xfId="23537"/>
    <cellStyle name="Obliczenia 2 20 6" xfId="23538"/>
    <cellStyle name="Obliczenia 2 20 6 2" xfId="23539"/>
    <cellStyle name="Obliczenia 2 20 6 3" xfId="23540"/>
    <cellStyle name="Obliczenia 2 20 6 4" xfId="23541"/>
    <cellStyle name="Obliczenia 2 20 7" xfId="23542"/>
    <cellStyle name="Obliczenia 2 20 7 2" xfId="23543"/>
    <cellStyle name="Obliczenia 2 20 7 3" xfId="23544"/>
    <cellStyle name="Obliczenia 2 20 7 4" xfId="23545"/>
    <cellStyle name="Obliczenia 2 20 8" xfId="23546"/>
    <cellStyle name="Obliczenia 2 20 8 2" xfId="23547"/>
    <cellStyle name="Obliczenia 2 20 8 3" xfId="23548"/>
    <cellStyle name="Obliczenia 2 20 8 4" xfId="23549"/>
    <cellStyle name="Obliczenia 2 20 9" xfId="23550"/>
    <cellStyle name="Obliczenia 2 20 9 2" xfId="23551"/>
    <cellStyle name="Obliczenia 2 20 9 3" xfId="23552"/>
    <cellStyle name="Obliczenia 2 20 9 4" xfId="23553"/>
    <cellStyle name="Obliczenia 2 21" xfId="23554"/>
    <cellStyle name="Obliczenia 2 21 10" xfId="23555"/>
    <cellStyle name="Obliczenia 2 21 10 2" xfId="23556"/>
    <cellStyle name="Obliczenia 2 21 10 3" xfId="23557"/>
    <cellStyle name="Obliczenia 2 21 10 4" xfId="23558"/>
    <cellStyle name="Obliczenia 2 21 11" xfId="23559"/>
    <cellStyle name="Obliczenia 2 21 11 2" xfId="23560"/>
    <cellStyle name="Obliczenia 2 21 11 3" xfId="23561"/>
    <cellStyle name="Obliczenia 2 21 11 4" xfId="23562"/>
    <cellStyle name="Obliczenia 2 21 12" xfId="23563"/>
    <cellStyle name="Obliczenia 2 21 12 2" xfId="23564"/>
    <cellStyle name="Obliczenia 2 21 12 3" xfId="23565"/>
    <cellStyle name="Obliczenia 2 21 12 4" xfId="23566"/>
    <cellStyle name="Obliczenia 2 21 13" xfId="23567"/>
    <cellStyle name="Obliczenia 2 21 13 2" xfId="23568"/>
    <cellStyle name="Obliczenia 2 21 13 3" xfId="23569"/>
    <cellStyle name="Obliczenia 2 21 13 4" xfId="23570"/>
    <cellStyle name="Obliczenia 2 21 14" xfId="23571"/>
    <cellStyle name="Obliczenia 2 21 14 2" xfId="23572"/>
    <cellStyle name="Obliczenia 2 21 14 3" xfId="23573"/>
    <cellStyle name="Obliczenia 2 21 14 4" xfId="23574"/>
    <cellStyle name="Obliczenia 2 21 15" xfId="23575"/>
    <cellStyle name="Obliczenia 2 21 15 2" xfId="23576"/>
    <cellStyle name="Obliczenia 2 21 15 3" xfId="23577"/>
    <cellStyle name="Obliczenia 2 21 15 4" xfId="23578"/>
    <cellStyle name="Obliczenia 2 21 16" xfId="23579"/>
    <cellStyle name="Obliczenia 2 21 16 2" xfId="23580"/>
    <cellStyle name="Obliczenia 2 21 16 3" xfId="23581"/>
    <cellStyle name="Obliczenia 2 21 16 4" xfId="23582"/>
    <cellStyle name="Obliczenia 2 21 17" xfId="23583"/>
    <cellStyle name="Obliczenia 2 21 17 2" xfId="23584"/>
    <cellStyle name="Obliczenia 2 21 17 3" xfId="23585"/>
    <cellStyle name="Obliczenia 2 21 17 4" xfId="23586"/>
    <cellStyle name="Obliczenia 2 21 18" xfId="23587"/>
    <cellStyle name="Obliczenia 2 21 18 2" xfId="23588"/>
    <cellStyle name="Obliczenia 2 21 18 3" xfId="23589"/>
    <cellStyle name="Obliczenia 2 21 18 4" xfId="23590"/>
    <cellStyle name="Obliczenia 2 21 19" xfId="23591"/>
    <cellStyle name="Obliczenia 2 21 19 2" xfId="23592"/>
    <cellStyle name="Obliczenia 2 21 19 3" xfId="23593"/>
    <cellStyle name="Obliczenia 2 21 19 4" xfId="23594"/>
    <cellStyle name="Obliczenia 2 21 2" xfId="23595"/>
    <cellStyle name="Obliczenia 2 21 2 2" xfId="23596"/>
    <cellStyle name="Obliczenia 2 21 2 3" xfId="23597"/>
    <cellStyle name="Obliczenia 2 21 2 4" xfId="23598"/>
    <cellStyle name="Obliczenia 2 21 20" xfId="23599"/>
    <cellStyle name="Obliczenia 2 21 20 2" xfId="23600"/>
    <cellStyle name="Obliczenia 2 21 20 3" xfId="23601"/>
    <cellStyle name="Obliczenia 2 21 20 4" xfId="23602"/>
    <cellStyle name="Obliczenia 2 21 21" xfId="23603"/>
    <cellStyle name="Obliczenia 2 21 21 2" xfId="23604"/>
    <cellStyle name="Obliczenia 2 21 21 3" xfId="23605"/>
    <cellStyle name="Obliczenia 2 21 22" xfId="23606"/>
    <cellStyle name="Obliczenia 2 21 22 2" xfId="23607"/>
    <cellStyle name="Obliczenia 2 21 22 3" xfId="23608"/>
    <cellStyle name="Obliczenia 2 21 23" xfId="23609"/>
    <cellStyle name="Obliczenia 2 21 23 2" xfId="23610"/>
    <cellStyle name="Obliczenia 2 21 23 3" xfId="23611"/>
    <cellStyle name="Obliczenia 2 21 24" xfId="23612"/>
    <cellStyle name="Obliczenia 2 21 24 2" xfId="23613"/>
    <cellStyle name="Obliczenia 2 21 24 3" xfId="23614"/>
    <cellStyle name="Obliczenia 2 21 25" xfId="23615"/>
    <cellStyle name="Obliczenia 2 21 25 2" xfId="23616"/>
    <cellStyle name="Obliczenia 2 21 25 3" xfId="23617"/>
    <cellStyle name="Obliczenia 2 21 26" xfId="23618"/>
    <cellStyle name="Obliczenia 2 21 26 2" xfId="23619"/>
    <cellStyle name="Obliczenia 2 21 26 3" xfId="23620"/>
    <cellStyle name="Obliczenia 2 21 27" xfId="23621"/>
    <cellStyle name="Obliczenia 2 21 27 2" xfId="23622"/>
    <cellStyle name="Obliczenia 2 21 27 3" xfId="23623"/>
    <cellStyle name="Obliczenia 2 21 28" xfId="23624"/>
    <cellStyle name="Obliczenia 2 21 28 2" xfId="23625"/>
    <cellStyle name="Obliczenia 2 21 28 3" xfId="23626"/>
    <cellStyle name="Obliczenia 2 21 29" xfId="23627"/>
    <cellStyle name="Obliczenia 2 21 29 2" xfId="23628"/>
    <cellStyle name="Obliczenia 2 21 29 3" xfId="23629"/>
    <cellStyle name="Obliczenia 2 21 3" xfId="23630"/>
    <cellStyle name="Obliczenia 2 21 3 2" xfId="23631"/>
    <cellStyle name="Obliczenia 2 21 3 3" xfId="23632"/>
    <cellStyle name="Obliczenia 2 21 3 4" xfId="23633"/>
    <cellStyle name="Obliczenia 2 21 30" xfId="23634"/>
    <cellStyle name="Obliczenia 2 21 30 2" xfId="23635"/>
    <cellStyle name="Obliczenia 2 21 30 3" xfId="23636"/>
    <cellStyle name="Obliczenia 2 21 31" xfId="23637"/>
    <cellStyle name="Obliczenia 2 21 31 2" xfId="23638"/>
    <cellStyle name="Obliczenia 2 21 31 3" xfId="23639"/>
    <cellStyle name="Obliczenia 2 21 32" xfId="23640"/>
    <cellStyle name="Obliczenia 2 21 32 2" xfId="23641"/>
    <cellStyle name="Obliczenia 2 21 32 3" xfId="23642"/>
    <cellStyle name="Obliczenia 2 21 33" xfId="23643"/>
    <cellStyle name="Obliczenia 2 21 33 2" xfId="23644"/>
    <cellStyle name="Obliczenia 2 21 33 3" xfId="23645"/>
    <cellStyle name="Obliczenia 2 21 34" xfId="23646"/>
    <cellStyle name="Obliczenia 2 21 34 2" xfId="23647"/>
    <cellStyle name="Obliczenia 2 21 34 3" xfId="23648"/>
    <cellStyle name="Obliczenia 2 21 35" xfId="23649"/>
    <cellStyle name="Obliczenia 2 21 35 2" xfId="23650"/>
    <cellStyle name="Obliczenia 2 21 35 3" xfId="23651"/>
    <cellStyle name="Obliczenia 2 21 36" xfId="23652"/>
    <cellStyle name="Obliczenia 2 21 36 2" xfId="23653"/>
    <cellStyle name="Obliczenia 2 21 36 3" xfId="23654"/>
    <cellStyle name="Obliczenia 2 21 37" xfId="23655"/>
    <cellStyle name="Obliczenia 2 21 37 2" xfId="23656"/>
    <cellStyle name="Obliczenia 2 21 37 3" xfId="23657"/>
    <cellStyle name="Obliczenia 2 21 38" xfId="23658"/>
    <cellStyle name="Obliczenia 2 21 38 2" xfId="23659"/>
    <cellStyle name="Obliczenia 2 21 38 3" xfId="23660"/>
    <cellStyle name="Obliczenia 2 21 39" xfId="23661"/>
    <cellStyle name="Obliczenia 2 21 39 2" xfId="23662"/>
    <cellStyle name="Obliczenia 2 21 39 3" xfId="23663"/>
    <cellStyle name="Obliczenia 2 21 4" xfId="23664"/>
    <cellStyle name="Obliczenia 2 21 4 2" xfId="23665"/>
    <cellStyle name="Obliczenia 2 21 4 3" xfId="23666"/>
    <cellStyle name="Obliczenia 2 21 4 4" xfId="23667"/>
    <cellStyle name="Obliczenia 2 21 40" xfId="23668"/>
    <cellStyle name="Obliczenia 2 21 40 2" xfId="23669"/>
    <cellStyle name="Obliczenia 2 21 40 3" xfId="23670"/>
    <cellStyle name="Obliczenia 2 21 41" xfId="23671"/>
    <cellStyle name="Obliczenia 2 21 41 2" xfId="23672"/>
    <cellStyle name="Obliczenia 2 21 41 3" xfId="23673"/>
    <cellStyle name="Obliczenia 2 21 42" xfId="23674"/>
    <cellStyle name="Obliczenia 2 21 42 2" xfId="23675"/>
    <cellStyle name="Obliczenia 2 21 42 3" xfId="23676"/>
    <cellStyle name="Obliczenia 2 21 43" xfId="23677"/>
    <cellStyle name="Obliczenia 2 21 43 2" xfId="23678"/>
    <cellStyle name="Obliczenia 2 21 43 3" xfId="23679"/>
    <cellStyle name="Obliczenia 2 21 44" xfId="23680"/>
    <cellStyle name="Obliczenia 2 21 44 2" xfId="23681"/>
    <cellStyle name="Obliczenia 2 21 44 3" xfId="23682"/>
    <cellStyle name="Obliczenia 2 21 45" xfId="23683"/>
    <cellStyle name="Obliczenia 2 21 45 2" xfId="23684"/>
    <cellStyle name="Obliczenia 2 21 45 3" xfId="23685"/>
    <cellStyle name="Obliczenia 2 21 46" xfId="23686"/>
    <cellStyle name="Obliczenia 2 21 46 2" xfId="23687"/>
    <cellStyle name="Obliczenia 2 21 46 3" xfId="23688"/>
    <cellStyle name="Obliczenia 2 21 47" xfId="23689"/>
    <cellStyle name="Obliczenia 2 21 47 2" xfId="23690"/>
    <cellStyle name="Obliczenia 2 21 47 3" xfId="23691"/>
    <cellStyle name="Obliczenia 2 21 48" xfId="23692"/>
    <cellStyle name="Obliczenia 2 21 48 2" xfId="23693"/>
    <cellStyle name="Obliczenia 2 21 48 3" xfId="23694"/>
    <cellStyle name="Obliczenia 2 21 49" xfId="23695"/>
    <cellStyle name="Obliczenia 2 21 49 2" xfId="23696"/>
    <cellStyle name="Obliczenia 2 21 49 3" xfId="23697"/>
    <cellStyle name="Obliczenia 2 21 5" xfId="23698"/>
    <cellStyle name="Obliczenia 2 21 5 2" xfId="23699"/>
    <cellStyle name="Obliczenia 2 21 5 3" xfId="23700"/>
    <cellStyle name="Obliczenia 2 21 5 4" xfId="23701"/>
    <cellStyle name="Obliczenia 2 21 50" xfId="23702"/>
    <cellStyle name="Obliczenia 2 21 50 2" xfId="23703"/>
    <cellStyle name="Obliczenia 2 21 50 3" xfId="23704"/>
    <cellStyle name="Obliczenia 2 21 51" xfId="23705"/>
    <cellStyle name="Obliczenia 2 21 51 2" xfId="23706"/>
    <cellStyle name="Obliczenia 2 21 51 3" xfId="23707"/>
    <cellStyle name="Obliczenia 2 21 52" xfId="23708"/>
    <cellStyle name="Obliczenia 2 21 52 2" xfId="23709"/>
    <cellStyle name="Obliczenia 2 21 52 3" xfId="23710"/>
    <cellStyle name="Obliczenia 2 21 53" xfId="23711"/>
    <cellStyle name="Obliczenia 2 21 53 2" xfId="23712"/>
    <cellStyle name="Obliczenia 2 21 53 3" xfId="23713"/>
    <cellStyle name="Obliczenia 2 21 54" xfId="23714"/>
    <cellStyle name="Obliczenia 2 21 54 2" xfId="23715"/>
    <cellStyle name="Obliczenia 2 21 54 3" xfId="23716"/>
    <cellStyle name="Obliczenia 2 21 55" xfId="23717"/>
    <cellStyle name="Obliczenia 2 21 55 2" xfId="23718"/>
    <cellStyle name="Obliczenia 2 21 55 3" xfId="23719"/>
    <cellStyle name="Obliczenia 2 21 56" xfId="23720"/>
    <cellStyle name="Obliczenia 2 21 56 2" xfId="23721"/>
    <cellStyle name="Obliczenia 2 21 56 3" xfId="23722"/>
    <cellStyle name="Obliczenia 2 21 57" xfId="23723"/>
    <cellStyle name="Obliczenia 2 21 58" xfId="23724"/>
    <cellStyle name="Obliczenia 2 21 6" xfId="23725"/>
    <cellStyle name="Obliczenia 2 21 6 2" xfId="23726"/>
    <cellStyle name="Obliczenia 2 21 6 3" xfId="23727"/>
    <cellStyle name="Obliczenia 2 21 6 4" xfId="23728"/>
    <cellStyle name="Obliczenia 2 21 7" xfId="23729"/>
    <cellStyle name="Obliczenia 2 21 7 2" xfId="23730"/>
    <cellStyle name="Obliczenia 2 21 7 3" xfId="23731"/>
    <cellStyle name="Obliczenia 2 21 7 4" xfId="23732"/>
    <cellStyle name="Obliczenia 2 21 8" xfId="23733"/>
    <cellStyle name="Obliczenia 2 21 8 2" xfId="23734"/>
    <cellStyle name="Obliczenia 2 21 8 3" xfId="23735"/>
    <cellStyle name="Obliczenia 2 21 8 4" xfId="23736"/>
    <cellStyle name="Obliczenia 2 21 9" xfId="23737"/>
    <cellStyle name="Obliczenia 2 21 9 2" xfId="23738"/>
    <cellStyle name="Obliczenia 2 21 9 3" xfId="23739"/>
    <cellStyle name="Obliczenia 2 21 9 4" xfId="23740"/>
    <cellStyle name="Obliczenia 2 22" xfId="23741"/>
    <cellStyle name="Obliczenia 2 22 10" xfId="23742"/>
    <cellStyle name="Obliczenia 2 22 10 2" xfId="23743"/>
    <cellStyle name="Obliczenia 2 22 10 3" xfId="23744"/>
    <cellStyle name="Obliczenia 2 22 10 4" xfId="23745"/>
    <cellStyle name="Obliczenia 2 22 11" xfId="23746"/>
    <cellStyle name="Obliczenia 2 22 11 2" xfId="23747"/>
    <cellStyle name="Obliczenia 2 22 11 3" xfId="23748"/>
    <cellStyle name="Obliczenia 2 22 11 4" xfId="23749"/>
    <cellStyle name="Obliczenia 2 22 12" xfId="23750"/>
    <cellStyle name="Obliczenia 2 22 12 2" xfId="23751"/>
    <cellStyle name="Obliczenia 2 22 12 3" xfId="23752"/>
    <cellStyle name="Obliczenia 2 22 12 4" xfId="23753"/>
    <cellStyle name="Obliczenia 2 22 13" xfId="23754"/>
    <cellStyle name="Obliczenia 2 22 13 2" xfId="23755"/>
    <cellStyle name="Obliczenia 2 22 13 3" xfId="23756"/>
    <cellStyle name="Obliczenia 2 22 13 4" xfId="23757"/>
    <cellStyle name="Obliczenia 2 22 14" xfId="23758"/>
    <cellStyle name="Obliczenia 2 22 14 2" xfId="23759"/>
    <cellStyle name="Obliczenia 2 22 14 3" xfId="23760"/>
    <cellStyle name="Obliczenia 2 22 14 4" xfId="23761"/>
    <cellStyle name="Obliczenia 2 22 15" xfId="23762"/>
    <cellStyle name="Obliczenia 2 22 15 2" xfId="23763"/>
    <cellStyle name="Obliczenia 2 22 15 3" xfId="23764"/>
    <cellStyle name="Obliczenia 2 22 15 4" xfId="23765"/>
    <cellStyle name="Obliczenia 2 22 16" xfId="23766"/>
    <cellStyle name="Obliczenia 2 22 16 2" xfId="23767"/>
    <cellStyle name="Obliczenia 2 22 16 3" xfId="23768"/>
    <cellStyle name="Obliczenia 2 22 16 4" xfId="23769"/>
    <cellStyle name="Obliczenia 2 22 17" xfId="23770"/>
    <cellStyle name="Obliczenia 2 22 17 2" xfId="23771"/>
    <cellStyle name="Obliczenia 2 22 17 3" xfId="23772"/>
    <cellStyle name="Obliczenia 2 22 17 4" xfId="23773"/>
    <cellStyle name="Obliczenia 2 22 18" xfId="23774"/>
    <cellStyle name="Obliczenia 2 22 18 2" xfId="23775"/>
    <cellStyle name="Obliczenia 2 22 18 3" xfId="23776"/>
    <cellStyle name="Obliczenia 2 22 18 4" xfId="23777"/>
    <cellStyle name="Obliczenia 2 22 19" xfId="23778"/>
    <cellStyle name="Obliczenia 2 22 19 2" xfId="23779"/>
    <cellStyle name="Obliczenia 2 22 19 3" xfId="23780"/>
    <cellStyle name="Obliczenia 2 22 19 4" xfId="23781"/>
    <cellStyle name="Obliczenia 2 22 2" xfId="23782"/>
    <cellStyle name="Obliczenia 2 22 2 2" xfId="23783"/>
    <cellStyle name="Obliczenia 2 22 2 3" xfId="23784"/>
    <cellStyle name="Obliczenia 2 22 2 4" xfId="23785"/>
    <cellStyle name="Obliczenia 2 22 20" xfId="23786"/>
    <cellStyle name="Obliczenia 2 22 20 2" xfId="23787"/>
    <cellStyle name="Obliczenia 2 22 20 3" xfId="23788"/>
    <cellStyle name="Obliczenia 2 22 20 4" xfId="23789"/>
    <cellStyle name="Obliczenia 2 22 21" xfId="23790"/>
    <cellStyle name="Obliczenia 2 22 21 2" xfId="23791"/>
    <cellStyle name="Obliczenia 2 22 21 3" xfId="23792"/>
    <cellStyle name="Obliczenia 2 22 22" xfId="23793"/>
    <cellStyle name="Obliczenia 2 22 22 2" xfId="23794"/>
    <cellStyle name="Obliczenia 2 22 22 3" xfId="23795"/>
    <cellStyle name="Obliczenia 2 22 23" xfId="23796"/>
    <cellStyle name="Obliczenia 2 22 23 2" xfId="23797"/>
    <cellStyle name="Obliczenia 2 22 23 3" xfId="23798"/>
    <cellStyle name="Obliczenia 2 22 24" xfId="23799"/>
    <cellStyle name="Obliczenia 2 22 24 2" xfId="23800"/>
    <cellStyle name="Obliczenia 2 22 24 3" xfId="23801"/>
    <cellStyle name="Obliczenia 2 22 25" xfId="23802"/>
    <cellStyle name="Obliczenia 2 22 25 2" xfId="23803"/>
    <cellStyle name="Obliczenia 2 22 25 3" xfId="23804"/>
    <cellStyle name="Obliczenia 2 22 26" xfId="23805"/>
    <cellStyle name="Obliczenia 2 22 26 2" xfId="23806"/>
    <cellStyle name="Obliczenia 2 22 26 3" xfId="23807"/>
    <cellStyle name="Obliczenia 2 22 27" xfId="23808"/>
    <cellStyle name="Obliczenia 2 22 27 2" xfId="23809"/>
    <cellStyle name="Obliczenia 2 22 27 3" xfId="23810"/>
    <cellStyle name="Obliczenia 2 22 28" xfId="23811"/>
    <cellStyle name="Obliczenia 2 22 28 2" xfId="23812"/>
    <cellStyle name="Obliczenia 2 22 28 3" xfId="23813"/>
    <cellStyle name="Obliczenia 2 22 29" xfId="23814"/>
    <cellStyle name="Obliczenia 2 22 29 2" xfId="23815"/>
    <cellStyle name="Obliczenia 2 22 29 3" xfId="23816"/>
    <cellStyle name="Obliczenia 2 22 3" xfId="23817"/>
    <cellStyle name="Obliczenia 2 22 3 2" xfId="23818"/>
    <cellStyle name="Obliczenia 2 22 3 3" xfId="23819"/>
    <cellStyle name="Obliczenia 2 22 3 4" xfId="23820"/>
    <cellStyle name="Obliczenia 2 22 30" xfId="23821"/>
    <cellStyle name="Obliczenia 2 22 30 2" xfId="23822"/>
    <cellStyle name="Obliczenia 2 22 30 3" xfId="23823"/>
    <cellStyle name="Obliczenia 2 22 31" xfId="23824"/>
    <cellStyle name="Obliczenia 2 22 31 2" xfId="23825"/>
    <cellStyle name="Obliczenia 2 22 31 3" xfId="23826"/>
    <cellStyle name="Obliczenia 2 22 32" xfId="23827"/>
    <cellStyle name="Obliczenia 2 22 32 2" xfId="23828"/>
    <cellStyle name="Obliczenia 2 22 32 3" xfId="23829"/>
    <cellStyle name="Obliczenia 2 22 33" xfId="23830"/>
    <cellStyle name="Obliczenia 2 22 33 2" xfId="23831"/>
    <cellStyle name="Obliczenia 2 22 33 3" xfId="23832"/>
    <cellStyle name="Obliczenia 2 22 34" xfId="23833"/>
    <cellStyle name="Obliczenia 2 22 34 2" xfId="23834"/>
    <cellStyle name="Obliczenia 2 22 34 3" xfId="23835"/>
    <cellStyle name="Obliczenia 2 22 35" xfId="23836"/>
    <cellStyle name="Obliczenia 2 22 35 2" xfId="23837"/>
    <cellStyle name="Obliczenia 2 22 35 3" xfId="23838"/>
    <cellStyle name="Obliczenia 2 22 36" xfId="23839"/>
    <cellStyle name="Obliczenia 2 22 36 2" xfId="23840"/>
    <cellStyle name="Obliczenia 2 22 36 3" xfId="23841"/>
    <cellStyle name="Obliczenia 2 22 37" xfId="23842"/>
    <cellStyle name="Obliczenia 2 22 37 2" xfId="23843"/>
    <cellStyle name="Obliczenia 2 22 37 3" xfId="23844"/>
    <cellStyle name="Obliczenia 2 22 38" xfId="23845"/>
    <cellStyle name="Obliczenia 2 22 38 2" xfId="23846"/>
    <cellStyle name="Obliczenia 2 22 38 3" xfId="23847"/>
    <cellStyle name="Obliczenia 2 22 39" xfId="23848"/>
    <cellStyle name="Obliczenia 2 22 39 2" xfId="23849"/>
    <cellStyle name="Obliczenia 2 22 39 3" xfId="23850"/>
    <cellStyle name="Obliczenia 2 22 4" xfId="23851"/>
    <cellStyle name="Obliczenia 2 22 4 2" xfId="23852"/>
    <cellStyle name="Obliczenia 2 22 4 3" xfId="23853"/>
    <cellStyle name="Obliczenia 2 22 4 4" xfId="23854"/>
    <cellStyle name="Obliczenia 2 22 40" xfId="23855"/>
    <cellStyle name="Obliczenia 2 22 40 2" xfId="23856"/>
    <cellStyle name="Obliczenia 2 22 40 3" xfId="23857"/>
    <cellStyle name="Obliczenia 2 22 41" xfId="23858"/>
    <cellStyle name="Obliczenia 2 22 41 2" xfId="23859"/>
    <cellStyle name="Obliczenia 2 22 41 3" xfId="23860"/>
    <cellStyle name="Obliczenia 2 22 42" xfId="23861"/>
    <cellStyle name="Obliczenia 2 22 42 2" xfId="23862"/>
    <cellStyle name="Obliczenia 2 22 42 3" xfId="23863"/>
    <cellStyle name="Obliczenia 2 22 43" xfId="23864"/>
    <cellStyle name="Obliczenia 2 22 43 2" xfId="23865"/>
    <cellStyle name="Obliczenia 2 22 43 3" xfId="23866"/>
    <cellStyle name="Obliczenia 2 22 44" xfId="23867"/>
    <cellStyle name="Obliczenia 2 22 44 2" xfId="23868"/>
    <cellStyle name="Obliczenia 2 22 44 3" xfId="23869"/>
    <cellStyle name="Obliczenia 2 22 45" xfId="23870"/>
    <cellStyle name="Obliczenia 2 22 45 2" xfId="23871"/>
    <cellStyle name="Obliczenia 2 22 45 3" xfId="23872"/>
    <cellStyle name="Obliczenia 2 22 46" xfId="23873"/>
    <cellStyle name="Obliczenia 2 22 46 2" xfId="23874"/>
    <cellStyle name="Obliczenia 2 22 46 3" xfId="23875"/>
    <cellStyle name="Obliczenia 2 22 47" xfId="23876"/>
    <cellStyle name="Obliczenia 2 22 47 2" xfId="23877"/>
    <cellStyle name="Obliczenia 2 22 47 3" xfId="23878"/>
    <cellStyle name="Obliczenia 2 22 48" xfId="23879"/>
    <cellStyle name="Obliczenia 2 22 48 2" xfId="23880"/>
    <cellStyle name="Obliczenia 2 22 48 3" xfId="23881"/>
    <cellStyle name="Obliczenia 2 22 49" xfId="23882"/>
    <cellStyle name="Obliczenia 2 22 49 2" xfId="23883"/>
    <cellStyle name="Obliczenia 2 22 49 3" xfId="23884"/>
    <cellStyle name="Obliczenia 2 22 5" xfId="23885"/>
    <cellStyle name="Obliczenia 2 22 5 2" xfId="23886"/>
    <cellStyle name="Obliczenia 2 22 5 3" xfId="23887"/>
    <cellStyle name="Obliczenia 2 22 5 4" xfId="23888"/>
    <cellStyle name="Obliczenia 2 22 50" xfId="23889"/>
    <cellStyle name="Obliczenia 2 22 50 2" xfId="23890"/>
    <cellStyle name="Obliczenia 2 22 50 3" xfId="23891"/>
    <cellStyle name="Obliczenia 2 22 51" xfId="23892"/>
    <cellStyle name="Obliczenia 2 22 51 2" xfId="23893"/>
    <cellStyle name="Obliczenia 2 22 51 3" xfId="23894"/>
    <cellStyle name="Obliczenia 2 22 52" xfId="23895"/>
    <cellStyle name="Obliczenia 2 22 52 2" xfId="23896"/>
    <cellStyle name="Obliczenia 2 22 52 3" xfId="23897"/>
    <cellStyle name="Obliczenia 2 22 53" xfId="23898"/>
    <cellStyle name="Obliczenia 2 22 53 2" xfId="23899"/>
    <cellStyle name="Obliczenia 2 22 53 3" xfId="23900"/>
    <cellStyle name="Obliczenia 2 22 54" xfId="23901"/>
    <cellStyle name="Obliczenia 2 22 54 2" xfId="23902"/>
    <cellStyle name="Obliczenia 2 22 54 3" xfId="23903"/>
    <cellStyle name="Obliczenia 2 22 55" xfId="23904"/>
    <cellStyle name="Obliczenia 2 22 55 2" xfId="23905"/>
    <cellStyle name="Obliczenia 2 22 55 3" xfId="23906"/>
    <cellStyle name="Obliczenia 2 22 56" xfId="23907"/>
    <cellStyle name="Obliczenia 2 22 56 2" xfId="23908"/>
    <cellStyle name="Obliczenia 2 22 56 3" xfId="23909"/>
    <cellStyle name="Obliczenia 2 22 57" xfId="23910"/>
    <cellStyle name="Obliczenia 2 22 58" xfId="23911"/>
    <cellStyle name="Obliczenia 2 22 6" xfId="23912"/>
    <cellStyle name="Obliczenia 2 22 6 2" xfId="23913"/>
    <cellStyle name="Obliczenia 2 22 6 3" xfId="23914"/>
    <cellStyle name="Obliczenia 2 22 6 4" xfId="23915"/>
    <cellStyle name="Obliczenia 2 22 7" xfId="23916"/>
    <cellStyle name="Obliczenia 2 22 7 2" xfId="23917"/>
    <cellStyle name="Obliczenia 2 22 7 3" xfId="23918"/>
    <cellStyle name="Obliczenia 2 22 7 4" xfId="23919"/>
    <cellStyle name="Obliczenia 2 22 8" xfId="23920"/>
    <cellStyle name="Obliczenia 2 22 8 2" xfId="23921"/>
    <cellStyle name="Obliczenia 2 22 8 3" xfId="23922"/>
    <cellStyle name="Obliczenia 2 22 8 4" xfId="23923"/>
    <cellStyle name="Obliczenia 2 22 9" xfId="23924"/>
    <cellStyle name="Obliczenia 2 22 9 2" xfId="23925"/>
    <cellStyle name="Obliczenia 2 22 9 3" xfId="23926"/>
    <cellStyle name="Obliczenia 2 22 9 4" xfId="23927"/>
    <cellStyle name="Obliczenia 2 23" xfId="23928"/>
    <cellStyle name="Obliczenia 2 23 10" xfId="23929"/>
    <cellStyle name="Obliczenia 2 23 10 2" xfId="23930"/>
    <cellStyle name="Obliczenia 2 23 10 3" xfId="23931"/>
    <cellStyle name="Obliczenia 2 23 10 4" xfId="23932"/>
    <cellStyle name="Obliczenia 2 23 11" xfId="23933"/>
    <cellStyle name="Obliczenia 2 23 11 2" xfId="23934"/>
    <cellStyle name="Obliczenia 2 23 11 3" xfId="23935"/>
    <cellStyle name="Obliczenia 2 23 11 4" xfId="23936"/>
    <cellStyle name="Obliczenia 2 23 12" xfId="23937"/>
    <cellStyle name="Obliczenia 2 23 12 2" xfId="23938"/>
    <cellStyle name="Obliczenia 2 23 12 3" xfId="23939"/>
    <cellStyle name="Obliczenia 2 23 12 4" xfId="23940"/>
    <cellStyle name="Obliczenia 2 23 13" xfId="23941"/>
    <cellStyle name="Obliczenia 2 23 13 2" xfId="23942"/>
    <cellStyle name="Obliczenia 2 23 13 3" xfId="23943"/>
    <cellStyle name="Obliczenia 2 23 13 4" xfId="23944"/>
    <cellStyle name="Obliczenia 2 23 14" xfId="23945"/>
    <cellStyle name="Obliczenia 2 23 14 2" xfId="23946"/>
    <cellStyle name="Obliczenia 2 23 14 3" xfId="23947"/>
    <cellStyle name="Obliczenia 2 23 14 4" xfId="23948"/>
    <cellStyle name="Obliczenia 2 23 15" xfId="23949"/>
    <cellStyle name="Obliczenia 2 23 15 2" xfId="23950"/>
    <cellStyle name="Obliczenia 2 23 15 3" xfId="23951"/>
    <cellStyle name="Obliczenia 2 23 15 4" xfId="23952"/>
    <cellStyle name="Obliczenia 2 23 16" xfId="23953"/>
    <cellStyle name="Obliczenia 2 23 16 2" xfId="23954"/>
    <cellStyle name="Obliczenia 2 23 16 3" xfId="23955"/>
    <cellStyle name="Obliczenia 2 23 16 4" xfId="23956"/>
    <cellStyle name="Obliczenia 2 23 17" xfId="23957"/>
    <cellStyle name="Obliczenia 2 23 17 2" xfId="23958"/>
    <cellStyle name="Obliczenia 2 23 17 3" xfId="23959"/>
    <cellStyle name="Obliczenia 2 23 17 4" xfId="23960"/>
    <cellStyle name="Obliczenia 2 23 18" xfId="23961"/>
    <cellStyle name="Obliczenia 2 23 18 2" xfId="23962"/>
    <cellStyle name="Obliczenia 2 23 18 3" xfId="23963"/>
    <cellStyle name="Obliczenia 2 23 18 4" xfId="23964"/>
    <cellStyle name="Obliczenia 2 23 19" xfId="23965"/>
    <cellStyle name="Obliczenia 2 23 19 2" xfId="23966"/>
    <cellStyle name="Obliczenia 2 23 19 3" xfId="23967"/>
    <cellStyle name="Obliczenia 2 23 19 4" xfId="23968"/>
    <cellStyle name="Obliczenia 2 23 2" xfId="23969"/>
    <cellStyle name="Obliczenia 2 23 2 2" xfId="23970"/>
    <cellStyle name="Obliczenia 2 23 2 3" xfId="23971"/>
    <cellStyle name="Obliczenia 2 23 2 4" xfId="23972"/>
    <cellStyle name="Obliczenia 2 23 20" xfId="23973"/>
    <cellStyle name="Obliczenia 2 23 20 2" xfId="23974"/>
    <cellStyle name="Obliczenia 2 23 20 3" xfId="23975"/>
    <cellStyle name="Obliczenia 2 23 20 4" xfId="23976"/>
    <cellStyle name="Obliczenia 2 23 21" xfId="23977"/>
    <cellStyle name="Obliczenia 2 23 21 2" xfId="23978"/>
    <cellStyle name="Obliczenia 2 23 21 3" xfId="23979"/>
    <cellStyle name="Obliczenia 2 23 22" xfId="23980"/>
    <cellStyle name="Obliczenia 2 23 22 2" xfId="23981"/>
    <cellStyle name="Obliczenia 2 23 22 3" xfId="23982"/>
    <cellStyle name="Obliczenia 2 23 23" xfId="23983"/>
    <cellStyle name="Obliczenia 2 23 23 2" xfId="23984"/>
    <cellStyle name="Obliczenia 2 23 23 3" xfId="23985"/>
    <cellStyle name="Obliczenia 2 23 24" xfId="23986"/>
    <cellStyle name="Obliczenia 2 23 24 2" xfId="23987"/>
    <cellStyle name="Obliczenia 2 23 24 3" xfId="23988"/>
    <cellStyle name="Obliczenia 2 23 25" xfId="23989"/>
    <cellStyle name="Obliczenia 2 23 25 2" xfId="23990"/>
    <cellStyle name="Obliczenia 2 23 25 3" xfId="23991"/>
    <cellStyle name="Obliczenia 2 23 26" xfId="23992"/>
    <cellStyle name="Obliczenia 2 23 26 2" xfId="23993"/>
    <cellStyle name="Obliczenia 2 23 26 3" xfId="23994"/>
    <cellStyle name="Obliczenia 2 23 27" xfId="23995"/>
    <cellStyle name="Obliczenia 2 23 27 2" xfId="23996"/>
    <cellStyle name="Obliczenia 2 23 27 3" xfId="23997"/>
    <cellStyle name="Obliczenia 2 23 28" xfId="23998"/>
    <cellStyle name="Obliczenia 2 23 28 2" xfId="23999"/>
    <cellStyle name="Obliczenia 2 23 28 3" xfId="24000"/>
    <cellStyle name="Obliczenia 2 23 29" xfId="24001"/>
    <cellStyle name="Obliczenia 2 23 29 2" xfId="24002"/>
    <cellStyle name="Obliczenia 2 23 29 3" xfId="24003"/>
    <cellStyle name="Obliczenia 2 23 3" xfId="24004"/>
    <cellStyle name="Obliczenia 2 23 3 2" xfId="24005"/>
    <cellStyle name="Obliczenia 2 23 3 3" xfId="24006"/>
    <cellStyle name="Obliczenia 2 23 3 4" xfId="24007"/>
    <cellStyle name="Obliczenia 2 23 30" xfId="24008"/>
    <cellStyle name="Obliczenia 2 23 30 2" xfId="24009"/>
    <cellStyle name="Obliczenia 2 23 30 3" xfId="24010"/>
    <cellStyle name="Obliczenia 2 23 31" xfId="24011"/>
    <cellStyle name="Obliczenia 2 23 31 2" xfId="24012"/>
    <cellStyle name="Obliczenia 2 23 31 3" xfId="24013"/>
    <cellStyle name="Obliczenia 2 23 32" xfId="24014"/>
    <cellStyle name="Obliczenia 2 23 32 2" xfId="24015"/>
    <cellStyle name="Obliczenia 2 23 32 3" xfId="24016"/>
    <cellStyle name="Obliczenia 2 23 33" xfId="24017"/>
    <cellStyle name="Obliczenia 2 23 33 2" xfId="24018"/>
    <cellStyle name="Obliczenia 2 23 33 3" xfId="24019"/>
    <cellStyle name="Obliczenia 2 23 34" xfId="24020"/>
    <cellStyle name="Obliczenia 2 23 34 2" xfId="24021"/>
    <cellStyle name="Obliczenia 2 23 34 3" xfId="24022"/>
    <cellStyle name="Obliczenia 2 23 35" xfId="24023"/>
    <cellStyle name="Obliczenia 2 23 35 2" xfId="24024"/>
    <cellStyle name="Obliczenia 2 23 35 3" xfId="24025"/>
    <cellStyle name="Obliczenia 2 23 36" xfId="24026"/>
    <cellStyle name="Obliczenia 2 23 36 2" xfId="24027"/>
    <cellStyle name="Obliczenia 2 23 36 3" xfId="24028"/>
    <cellStyle name="Obliczenia 2 23 37" xfId="24029"/>
    <cellStyle name="Obliczenia 2 23 37 2" xfId="24030"/>
    <cellStyle name="Obliczenia 2 23 37 3" xfId="24031"/>
    <cellStyle name="Obliczenia 2 23 38" xfId="24032"/>
    <cellStyle name="Obliczenia 2 23 38 2" xfId="24033"/>
    <cellStyle name="Obliczenia 2 23 38 3" xfId="24034"/>
    <cellStyle name="Obliczenia 2 23 39" xfId="24035"/>
    <cellStyle name="Obliczenia 2 23 39 2" xfId="24036"/>
    <cellStyle name="Obliczenia 2 23 39 3" xfId="24037"/>
    <cellStyle name="Obliczenia 2 23 4" xfId="24038"/>
    <cellStyle name="Obliczenia 2 23 4 2" xfId="24039"/>
    <cellStyle name="Obliczenia 2 23 4 3" xfId="24040"/>
    <cellStyle name="Obliczenia 2 23 4 4" xfId="24041"/>
    <cellStyle name="Obliczenia 2 23 40" xfId="24042"/>
    <cellStyle name="Obliczenia 2 23 40 2" xfId="24043"/>
    <cellStyle name="Obliczenia 2 23 40 3" xfId="24044"/>
    <cellStyle name="Obliczenia 2 23 41" xfId="24045"/>
    <cellStyle name="Obliczenia 2 23 41 2" xfId="24046"/>
    <cellStyle name="Obliczenia 2 23 41 3" xfId="24047"/>
    <cellStyle name="Obliczenia 2 23 42" xfId="24048"/>
    <cellStyle name="Obliczenia 2 23 42 2" xfId="24049"/>
    <cellStyle name="Obliczenia 2 23 42 3" xfId="24050"/>
    <cellStyle name="Obliczenia 2 23 43" xfId="24051"/>
    <cellStyle name="Obliczenia 2 23 43 2" xfId="24052"/>
    <cellStyle name="Obliczenia 2 23 43 3" xfId="24053"/>
    <cellStyle name="Obliczenia 2 23 44" xfId="24054"/>
    <cellStyle name="Obliczenia 2 23 44 2" xfId="24055"/>
    <cellStyle name="Obliczenia 2 23 44 3" xfId="24056"/>
    <cellStyle name="Obliczenia 2 23 45" xfId="24057"/>
    <cellStyle name="Obliczenia 2 23 45 2" xfId="24058"/>
    <cellStyle name="Obliczenia 2 23 45 3" xfId="24059"/>
    <cellStyle name="Obliczenia 2 23 46" xfId="24060"/>
    <cellStyle name="Obliczenia 2 23 46 2" xfId="24061"/>
    <cellStyle name="Obliczenia 2 23 46 3" xfId="24062"/>
    <cellStyle name="Obliczenia 2 23 47" xfId="24063"/>
    <cellStyle name="Obliczenia 2 23 47 2" xfId="24064"/>
    <cellStyle name="Obliczenia 2 23 47 3" xfId="24065"/>
    <cellStyle name="Obliczenia 2 23 48" xfId="24066"/>
    <cellStyle name="Obliczenia 2 23 48 2" xfId="24067"/>
    <cellStyle name="Obliczenia 2 23 48 3" xfId="24068"/>
    <cellStyle name="Obliczenia 2 23 49" xfId="24069"/>
    <cellStyle name="Obliczenia 2 23 49 2" xfId="24070"/>
    <cellStyle name="Obliczenia 2 23 49 3" xfId="24071"/>
    <cellStyle name="Obliczenia 2 23 5" xfId="24072"/>
    <cellStyle name="Obliczenia 2 23 5 2" xfId="24073"/>
    <cellStyle name="Obliczenia 2 23 5 3" xfId="24074"/>
    <cellStyle name="Obliczenia 2 23 5 4" xfId="24075"/>
    <cellStyle name="Obliczenia 2 23 50" xfId="24076"/>
    <cellStyle name="Obliczenia 2 23 50 2" xfId="24077"/>
    <cellStyle name="Obliczenia 2 23 50 3" xfId="24078"/>
    <cellStyle name="Obliczenia 2 23 51" xfId="24079"/>
    <cellStyle name="Obliczenia 2 23 51 2" xfId="24080"/>
    <cellStyle name="Obliczenia 2 23 51 3" xfId="24081"/>
    <cellStyle name="Obliczenia 2 23 52" xfId="24082"/>
    <cellStyle name="Obliczenia 2 23 52 2" xfId="24083"/>
    <cellStyle name="Obliczenia 2 23 52 3" xfId="24084"/>
    <cellStyle name="Obliczenia 2 23 53" xfId="24085"/>
    <cellStyle name="Obliczenia 2 23 53 2" xfId="24086"/>
    <cellStyle name="Obliczenia 2 23 53 3" xfId="24087"/>
    <cellStyle name="Obliczenia 2 23 54" xfId="24088"/>
    <cellStyle name="Obliczenia 2 23 54 2" xfId="24089"/>
    <cellStyle name="Obliczenia 2 23 54 3" xfId="24090"/>
    <cellStyle name="Obliczenia 2 23 55" xfId="24091"/>
    <cellStyle name="Obliczenia 2 23 55 2" xfId="24092"/>
    <cellStyle name="Obliczenia 2 23 55 3" xfId="24093"/>
    <cellStyle name="Obliczenia 2 23 56" xfId="24094"/>
    <cellStyle name="Obliczenia 2 23 56 2" xfId="24095"/>
    <cellStyle name="Obliczenia 2 23 56 3" xfId="24096"/>
    <cellStyle name="Obliczenia 2 23 57" xfId="24097"/>
    <cellStyle name="Obliczenia 2 23 58" xfId="24098"/>
    <cellStyle name="Obliczenia 2 23 6" xfId="24099"/>
    <cellStyle name="Obliczenia 2 23 6 2" xfId="24100"/>
    <cellStyle name="Obliczenia 2 23 6 3" xfId="24101"/>
    <cellStyle name="Obliczenia 2 23 6 4" xfId="24102"/>
    <cellStyle name="Obliczenia 2 23 7" xfId="24103"/>
    <cellStyle name="Obliczenia 2 23 7 2" xfId="24104"/>
    <cellStyle name="Obliczenia 2 23 7 3" xfId="24105"/>
    <cellStyle name="Obliczenia 2 23 7 4" xfId="24106"/>
    <cellStyle name="Obliczenia 2 23 8" xfId="24107"/>
    <cellStyle name="Obliczenia 2 23 8 2" xfId="24108"/>
    <cellStyle name="Obliczenia 2 23 8 3" xfId="24109"/>
    <cellStyle name="Obliczenia 2 23 8 4" xfId="24110"/>
    <cellStyle name="Obliczenia 2 23 9" xfId="24111"/>
    <cellStyle name="Obliczenia 2 23 9 2" xfId="24112"/>
    <cellStyle name="Obliczenia 2 23 9 3" xfId="24113"/>
    <cellStyle name="Obliczenia 2 23 9 4" xfId="24114"/>
    <cellStyle name="Obliczenia 2 24" xfId="24115"/>
    <cellStyle name="Obliczenia 2 24 10" xfId="24116"/>
    <cellStyle name="Obliczenia 2 24 10 2" xfId="24117"/>
    <cellStyle name="Obliczenia 2 24 10 3" xfId="24118"/>
    <cellStyle name="Obliczenia 2 24 10 4" xfId="24119"/>
    <cellStyle name="Obliczenia 2 24 11" xfId="24120"/>
    <cellStyle name="Obliczenia 2 24 11 2" xfId="24121"/>
    <cellStyle name="Obliczenia 2 24 11 3" xfId="24122"/>
    <cellStyle name="Obliczenia 2 24 11 4" xfId="24123"/>
    <cellStyle name="Obliczenia 2 24 12" xfId="24124"/>
    <cellStyle name="Obliczenia 2 24 12 2" xfId="24125"/>
    <cellStyle name="Obliczenia 2 24 12 3" xfId="24126"/>
    <cellStyle name="Obliczenia 2 24 12 4" xfId="24127"/>
    <cellStyle name="Obliczenia 2 24 13" xfId="24128"/>
    <cellStyle name="Obliczenia 2 24 13 2" xfId="24129"/>
    <cellStyle name="Obliczenia 2 24 13 3" xfId="24130"/>
    <cellStyle name="Obliczenia 2 24 13 4" xfId="24131"/>
    <cellStyle name="Obliczenia 2 24 14" xfId="24132"/>
    <cellStyle name="Obliczenia 2 24 14 2" xfId="24133"/>
    <cellStyle name="Obliczenia 2 24 14 3" xfId="24134"/>
    <cellStyle name="Obliczenia 2 24 14 4" xfId="24135"/>
    <cellStyle name="Obliczenia 2 24 15" xfId="24136"/>
    <cellStyle name="Obliczenia 2 24 15 2" xfId="24137"/>
    <cellStyle name="Obliczenia 2 24 15 3" xfId="24138"/>
    <cellStyle name="Obliczenia 2 24 15 4" xfId="24139"/>
    <cellStyle name="Obliczenia 2 24 16" xfId="24140"/>
    <cellStyle name="Obliczenia 2 24 16 2" xfId="24141"/>
    <cellStyle name="Obliczenia 2 24 16 3" xfId="24142"/>
    <cellStyle name="Obliczenia 2 24 16 4" xfId="24143"/>
    <cellStyle name="Obliczenia 2 24 17" xfId="24144"/>
    <cellStyle name="Obliczenia 2 24 17 2" xfId="24145"/>
    <cellStyle name="Obliczenia 2 24 17 3" xfId="24146"/>
    <cellStyle name="Obliczenia 2 24 17 4" xfId="24147"/>
    <cellStyle name="Obliczenia 2 24 18" xfId="24148"/>
    <cellStyle name="Obliczenia 2 24 18 2" xfId="24149"/>
    <cellStyle name="Obliczenia 2 24 18 3" xfId="24150"/>
    <cellStyle name="Obliczenia 2 24 18 4" xfId="24151"/>
    <cellStyle name="Obliczenia 2 24 19" xfId="24152"/>
    <cellStyle name="Obliczenia 2 24 19 2" xfId="24153"/>
    <cellStyle name="Obliczenia 2 24 19 3" xfId="24154"/>
    <cellStyle name="Obliczenia 2 24 19 4" xfId="24155"/>
    <cellStyle name="Obliczenia 2 24 2" xfId="24156"/>
    <cellStyle name="Obliczenia 2 24 2 2" xfId="24157"/>
    <cellStyle name="Obliczenia 2 24 2 3" xfId="24158"/>
    <cellStyle name="Obliczenia 2 24 2 4" xfId="24159"/>
    <cellStyle name="Obliczenia 2 24 20" xfId="24160"/>
    <cellStyle name="Obliczenia 2 24 20 2" xfId="24161"/>
    <cellStyle name="Obliczenia 2 24 20 3" xfId="24162"/>
    <cellStyle name="Obliczenia 2 24 20 4" xfId="24163"/>
    <cellStyle name="Obliczenia 2 24 21" xfId="24164"/>
    <cellStyle name="Obliczenia 2 24 21 2" xfId="24165"/>
    <cellStyle name="Obliczenia 2 24 21 3" xfId="24166"/>
    <cellStyle name="Obliczenia 2 24 22" xfId="24167"/>
    <cellStyle name="Obliczenia 2 24 22 2" xfId="24168"/>
    <cellStyle name="Obliczenia 2 24 22 3" xfId="24169"/>
    <cellStyle name="Obliczenia 2 24 23" xfId="24170"/>
    <cellStyle name="Obliczenia 2 24 23 2" xfId="24171"/>
    <cellStyle name="Obliczenia 2 24 23 3" xfId="24172"/>
    <cellStyle name="Obliczenia 2 24 24" xfId="24173"/>
    <cellStyle name="Obliczenia 2 24 24 2" xfId="24174"/>
    <cellStyle name="Obliczenia 2 24 24 3" xfId="24175"/>
    <cellStyle name="Obliczenia 2 24 25" xfId="24176"/>
    <cellStyle name="Obliczenia 2 24 25 2" xfId="24177"/>
    <cellStyle name="Obliczenia 2 24 25 3" xfId="24178"/>
    <cellStyle name="Obliczenia 2 24 26" xfId="24179"/>
    <cellStyle name="Obliczenia 2 24 26 2" xfId="24180"/>
    <cellStyle name="Obliczenia 2 24 26 3" xfId="24181"/>
    <cellStyle name="Obliczenia 2 24 27" xfId="24182"/>
    <cellStyle name="Obliczenia 2 24 27 2" xfId="24183"/>
    <cellStyle name="Obliczenia 2 24 27 3" xfId="24184"/>
    <cellStyle name="Obliczenia 2 24 28" xfId="24185"/>
    <cellStyle name="Obliczenia 2 24 28 2" xfId="24186"/>
    <cellStyle name="Obliczenia 2 24 28 3" xfId="24187"/>
    <cellStyle name="Obliczenia 2 24 29" xfId="24188"/>
    <cellStyle name="Obliczenia 2 24 29 2" xfId="24189"/>
    <cellStyle name="Obliczenia 2 24 29 3" xfId="24190"/>
    <cellStyle name="Obliczenia 2 24 3" xfId="24191"/>
    <cellStyle name="Obliczenia 2 24 3 2" xfId="24192"/>
    <cellStyle name="Obliczenia 2 24 3 3" xfId="24193"/>
    <cellStyle name="Obliczenia 2 24 3 4" xfId="24194"/>
    <cellStyle name="Obliczenia 2 24 30" xfId="24195"/>
    <cellStyle name="Obliczenia 2 24 30 2" xfId="24196"/>
    <cellStyle name="Obliczenia 2 24 30 3" xfId="24197"/>
    <cellStyle name="Obliczenia 2 24 31" xfId="24198"/>
    <cellStyle name="Obliczenia 2 24 31 2" xfId="24199"/>
    <cellStyle name="Obliczenia 2 24 31 3" xfId="24200"/>
    <cellStyle name="Obliczenia 2 24 32" xfId="24201"/>
    <cellStyle name="Obliczenia 2 24 32 2" xfId="24202"/>
    <cellStyle name="Obliczenia 2 24 32 3" xfId="24203"/>
    <cellStyle name="Obliczenia 2 24 33" xfId="24204"/>
    <cellStyle name="Obliczenia 2 24 33 2" xfId="24205"/>
    <cellStyle name="Obliczenia 2 24 33 3" xfId="24206"/>
    <cellStyle name="Obliczenia 2 24 34" xfId="24207"/>
    <cellStyle name="Obliczenia 2 24 34 2" xfId="24208"/>
    <cellStyle name="Obliczenia 2 24 34 3" xfId="24209"/>
    <cellStyle name="Obliczenia 2 24 35" xfId="24210"/>
    <cellStyle name="Obliczenia 2 24 35 2" xfId="24211"/>
    <cellStyle name="Obliczenia 2 24 35 3" xfId="24212"/>
    <cellStyle name="Obliczenia 2 24 36" xfId="24213"/>
    <cellStyle name="Obliczenia 2 24 36 2" xfId="24214"/>
    <cellStyle name="Obliczenia 2 24 36 3" xfId="24215"/>
    <cellStyle name="Obliczenia 2 24 37" xfId="24216"/>
    <cellStyle name="Obliczenia 2 24 37 2" xfId="24217"/>
    <cellStyle name="Obliczenia 2 24 37 3" xfId="24218"/>
    <cellStyle name="Obliczenia 2 24 38" xfId="24219"/>
    <cellStyle name="Obliczenia 2 24 38 2" xfId="24220"/>
    <cellStyle name="Obliczenia 2 24 38 3" xfId="24221"/>
    <cellStyle name="Obliczenia 2 24 39" xfId="24222"/>
    <cellStyle name="Obliczenia 2 24 39 2" xfId="24223"/>
    <cellStyle name="Obliczenia 2 24 39 3" xfId="24224"/>
    <cellStyle name="Obliczenia 2 24 4" xfId="24225"/>
    <cellStyle name="Obliczenia 2 24 4 2" xfId="24226"/>
    <cellStyle name="Obliczenia 2 24 4 3" xfId="24227"/>
    <cellStyle name="Obliczenia 2 24 4 4" xfId="24228"/>
    <cellStyle name="Obliczenia 2 24 40" xfId="24229"/>
    <cellStyle name="Obliczenia 2 24 40 2" xfId="24230"/>
    <cellStyle name="Obliczenia 2 24 40 3" xfId="24231"/>
    <cellStyle name="Obliczenia 2 24 41" xfId="24232"/>
    <cellStyle name="Obliczenia 2 24 41 2" xfId="24233"/>
    <cellStyle name="Obliczenia 2 24 41 3" xfId="24234"/>
    <cellStyle name="Obliczenia 2 24 42" xfId="24235"/>
    <cellStyle name="Obliczenia 2 24 42 2" xfId="24236"/>
    <cellStyle name="Obliczenia 2 24 42 3" xfId="24237"/>
    <cellStyle name="Obliczenia 2 24 43" xfId="24238"/>
    <cellStyle name="Obliczenia 2 24 43 2" xfId="24239"/>
    <cellStyle name="Obliczenia 2 24 43 3" xfId="24240"/>
    <cellStyle name="Obliczenia 2 24 44" xfId="24241"/>
    <cellStyle name="Obliczenia 2 24 44 2" xfId="24242"/>
    <cellStyle name="Obliczenia 2 24 44 3" xfId="24243"/>
    <cellStyle name="Obliczenia 2 24 45" xfId="24244"/>
    <cellStyle name="Obliczenia 2 24 45 2" xfId="24245"/>
    <cellStyle name="Obliczenia 2 24 45 3" xfId="24246"/>
    <cellStyle name="Obliczenia 2 24 46" xfId="24247"/>
    <cellStyle name="Obliczenia 2 24 46 2" xfId="24248"/>
    <cellStyle name="Obliczenia 2 24 46 3" xfId="24249"/>
    <cellStyle name="Obliczenia 2 24 47" xfId="24250"/>
    <cellStyle name="Obliczenia 2 24 47 2" xfId="24251"/>
    <cellStyle name="Obliczenia 2 24 47 3" xfId="24252"/>
    <cellStyle name="Obliczenia 2 24 48" xfId="24253"/>
    <cellStyle name="Obliczenia 2 24 48 2" xfId="24254"/>
    <cellStyle name="Obliczenia 2 24 48 3" xfId="24255"/>
    <cellStyle name="Obliczenia 2 24 49" xfId="24256"/>
    <cellStyle name="Obliczenia 2 24 49 2" xfId="24257"/>
    <cellStyle name="Obliczenia 2 24 49 3" xfId="24258"/>
    <cellStyle name="Obliczenia 2 24 5" xfId="24259"/>
    <cellStyle name="Obliczenia 2 24 5 2" xfId="24260"/>
    <cellStyle name="Obliczenia 2 24 5 3" xfId="24261"/>
    <cellStyle name="Obliczenia 2 24 5 4" xfId="24262"/>
    <cellStyle name="Obliczenia 2 24 50" xfId="24263"/>
    <cellStyle name="Obliczenia 2 24 50 2" xfId="24264"/>
    <cellStyle name="Obliczenia 2 24 50 3" xfId="24265"/>
    <cellStyle name="Obliczenia 2 24 51" xfId="24266"/>
    <cellStyle name="Obliczenia 2 24 51 2" xfId="24267"/>
    <cellStyle name="Obliczenia 2 24 51 3" xfId="24268"/>
    <cellStyle name="Obliczenia 2 24 52" xfId="24269"/>
    <cellStyle name="Obliczenia 2 24 52 2" xfId="24270"/>
    <cellStyle name="Obliczenia 2 24 52 3" xfId="24271"/>
    <cellStyle name="Obliczenia 2 24 53" xfId="24272"/>
    <cellStyle name="Obliczenia 2 24 53 2" xfId="24273"/>
    <cellStyle name="Obliczenia 2 24 53 3" xfId="24274"/>
    <cellStyle name="Obliczenia 2 24 54" xfId="24275"/>
    <cellStyle name="Obliczenia 2 24 54 2" xfId="24276"/>
    <cellStyle name="Obliczenia 2 24 54 3" xfId="24277"/>
    <cellStyle name="Obliczenia 2 24 55" xfId="24278"/>
    <cellStyle name="Obliczenia 2 24 55 2" xfId="24279"/>
    <cellStyle name="Obliczenia 2 24 55 3" xfId="24280"/>
    <cellStyle name="Obliczenia 2 24 56" xfId="24281"/>
    <cellStyle name="Obliczenia 2 24 56 2" xfId="24282"/>
    <cellStyle name="Obliczenia 2 24 56 3" xfId="24283"/>
    <cellStyle name="Obliczenia 2 24 57" xfId="24284"/>
    <cellStyle name="Obliczenia 2 24 58" xfId="24285"/>
    <cellStyle name="Obliczenia 2 24 6" xfId="24286"/>
    <cellStyle name="Obliczenia 2 24 6 2" xfId="24287"/>
    <cellStyle name="Obliczenia 2 24 6 3" xfId="24288"/>
    <cellStyle name="Obliczenia 2 24 6 4" xfId="24289"/>
    <cellStyle name="Obliczenia 2 24 7" xfId="24290"/>
    <cellStyle name="Obliczenia 2 24 7 2" xfId="24291"/>
    <cellStyle name="Obliczenia 2 24 7 3" xfId="24292"/>
    <cellStyle name="Obliczenia 2 24 7 4" xfId="24293"/>
    <cellStyle name="Obliczenia 2 24 8" xfId="24294"/>
    <cellStyle name="Obliczenia 2 24 8 2" xfId="24295"/>
    <cellStyle name="Obliczenia 2 24 8 3" xfId="24296"/>
    <cellStyle name="Obliczenia 2 24 8 4" xfId="24297"/>
    <cellStyle name="Obliczenia 2 24 9" xfId="24298"/>
    <cellStyle name="Obliczenia 2 24 9 2" xfId="24299"/>
    <cellStyle name="Obliczenia 2 24 9 3" xfId="24300"/>
    <cellStyle name="Obliczenia 2 24 9 4" xfId="24301"/>
    <cellStyle name="Obliczenia 2 25" xfId="24302"/>
    <cellStyle name="Obliczenia 2 25 10" xfId="24303"/>
    <cellStyle name="Obliczenia 2 25 10 2" xfId="24304"/>
    <cellStyle name="Obliczenia 2 25 10 3" xfId="24305"/>
    <cellStyle name="Obliczenia 2 25 10 4" xfId="24306"/>
    <cellStyle name="Obliczenia 2 25 11" xfId="24307"/>
    <cellStyle name="Obliczenia 2 25 11 2" xfId="24308"/>
    <cellStyle name="Obliczenia 2 25 11 3" xfId="24309"/>
    <cellStyle name="Obliczenia 2 25 11 4" xfId="24310"/>
    <cellStyle name="Obliczenia 2 25 12" xfId="24311"/>
    <cellStyle name="Obliczenia 2 25 12 2" xfId="24312"/>
    <cellStyle name="Obliczenia 2 25 12 3" xfId="24313"/>
    <cellStyle name="Obliczenia 2 25 12 4" xfId="24314"/>
    <cellStyle name="Obliczenia 2 25 13" xfId="24315"/>
    <cellStyle name="Obliczenia 2 25 13 2" xfId="24316"/>
    <cellStyle name="Obliczenia 2 25 13 3" xfId="24317"/>
    <cellStyle name="Obliczenia 2 25 13 4" xfId="24318"/>
    <cellStyle name="Obliczenia 2 25 14" xfId="24319"/>
    <cellStyle name="Obliczenia 2 25 14 2" xfId="24320"/>
    <cellStyle name="Obliczenia 2 25 14 3" xfId="24321"/>
    <cellStyle name="Obliczenia 2 25 14 4" xfId="24322"/>
    <cellStyle name="Obliczenia 2 25 15" xfId="24323"/>
    <cellStyle name="Obliczenia 2 25 15 2" xfId="24324"/>
    <cellStyle name="Obliczenia 2 25 15 3" xfId="24325"/>
    <cellStyle name="Obliczenia 2 25 15 4" xfId="24326"/>
    <cellStyle name="Obliczenia 2 25 16" xfId="24327"/>
    <cellStyle name="Obliczenia 2 25 16 2" xfId="24328"/>
    <cellStyle name="Obliczenia 2 25 16 3" xfId="24329"/>
    <cellStyle name="Obliczenia 2 25 16 4" xfId="24330"/>
    <cellStyle name="Obliczenia 2 25 17" xfId="24331"/>
    <cellStyle name="Obliczenia 2 25 17 2" xfId="24332"/>
    <cellStyle name="Obliczenia 2 25 17 3" xfId="24333"/>
    <cellStyle name="Obliczenia 2 25 17 4" xfId="24334"/>
    <cellStyle name="Obliczenia 2 25 18" xfId="24335"/>
    <cellStyle name="Obliczenia 2 25 18 2" xfId="24336"/>
    <cellStyle name="Obliczenia 2 25 18 3" xfId="24337"/>
    <cellStyle name="Obliczenia 2 25 18 4" xfId="24338"/>
    <cellStyle name="Obliczenia 2 25 19" xfId="24339"/>
    <cellStyle name="Obliczenia 2 25 19 2" xfId="24340"/>
    <cellStyle name="Obliczenia 2 25 19 3" xfId="24341"/>
    <cellStyle name="Obliczenia 2 25 19 4" xfId="24342"/>
    <cellStyle name="Obliczenia 2 25 2" xfId="24343"/>
    <cellStyle name="Obliczenia 2 25 2 2" xfId="24344"/>
    <cellStyle name="Obliczenia 2 25 2 3" xfId="24345"/>
    <cellStyle name="Obliczenia 2 25 2 4" xfId="24346"/>
    <cellStyle name="Obliczenia 2 25 20" xfId="24347"/>
    <cellStyle name="Obliczenia 2 25 20 2" xfId="24348"/>
    <cellStyle name="Obliczenia 2 25 20 3" xfId="24349"/>
    <cellStyle name="Obliczenia 2 25 20 4" xfId="24350"/>
    <cellStyle name="Obliczenia 2 25 21" xfId="24351"/>
    <cellStyle name="Obliczenia 2 25 21 2" xfId="24352"/>
    <cellStyle name="Obliczenia 2 25 21 3" xfId="24353"/>
    <cellStyle name="Obliczenia 2 25 22" xfId="24354"/>
    <cellStyle name="Obliczenia 2 25 22 2" xfId="24355"/>
    <cellStyle name="Obliczenia 2 25 22 3" xfId="24356"/>
    <cellStyle name="Obliczenia 2 25 23" xfId="24357"/>
    <cellStyle name="Obliczenia 2 25 23 2" xfId="24358"/>
    <cellStyle name="Obliczenia 2 25 23 3" xfId="24359"/>
    <cellStyle name="Obliczenia 2 25 24" xfId="24360"/>
    <cellStyle name="Obliczenia 2 25 24 2" xfId="24361"/>
    <cellStyle name="Obliczenia 2 25 24 3" xfId="24362"/>
    <cellStyle name="Obliczenia 2 25 25" xfId="24363"/>
    <cellStyle name="Obliczenia 2 25 25 2" xfId="24364"/>
    <cellStyle name="Obliczenia 2 25 25 3" xfId="24365"/>
    <cellStyle name="Obliczenia 2 25 26" xfId="24366"/>
    <cellStyle name="Obliczenia 2 25 26 2" xfId="24367"/>
    <cellStyle name="Obliczenia 2 25 26 3" xfId="24368"/>
    <cellStyle name="Obliczenia 2 25 27" xfId="24369"/>
    <cellStyle name="Obliczenia 2 25 27 2" xfId="24370"/>
    <cellStyle name="Obliczenia 2 25 27 3" xfId="24371"/>
    <cellStyle name="Obliczenia 2 25 28" xfId="24372"/>
    <cellStyle name="Obliczenia 2 25 28 2" xfId="24373"/>
    <cellStyle name="Obliczenia 2 25 28 3" xfId="24374"/>
    <cellStyle name="Obliczenia 2 25 29" xfId="24375"/>
    <cellStyle name="Obliczenia 2 25 29 2" xfId="24376"/>
    <cellStyle name="Obliczenia 2 25 29 3" xfId="24377"/>
    <cellStyle name="Obliczenia 2 25 3" xfId="24378"/>
    <cellStyle name="Obliczenia 2 25 3 2" xfId="24379"/>
    <cellStyle name="Obliczenia 2 25 3 3" xfId="24380"/>
    <cellStyle name="Obliczenia 2 25 3 4" xfId="24381"/>
    <cellStyle name="Obliczenia 2 25 30" xfId="24382"/>
    <cellStyle name="Obliczenia 2 25 30 2" xfId="24383"/>
    <cellStyle name="Obliczenia 2 25 30 3" xfId="24384"/>
    <cellStyle name="Obliczenia 2 25 31" xfId="24385"/>
    <cellStyle name="Obliczenia 2 25 31 2" xfId="24386"/>
    <cellStyle name="Obliczenia 2 25 31 3" xfId="24387"/>
    <cellStyle name="Obliczenia 2 25 32" xfId="24388"/>
    <cellStyle name="Obliczenia 2 25 32 2" xfId="24389"/>
    <cellStyle name="Obliczenia 2 25 32 3" xfId="24390"/>
    <cellStyle name="Obliczenia 2 25 33" xfId="24391"/>
    <cellStyle name="Obliczenia 2 25 33 2" xfId="24392"/>
    <cellStyle name="Obliczenia 2 25 33 3" xfId="24393"/>
    <cellStyle name="Obliczenia 2 25 34" xfId="24394"/>
    <cellStyle name="Obliczenia 2 25 34 2" xfId="24395"/>
    <cellStyle name="Obliczenia 2 25 34 3" xfId="24396"/>
    <cellStyle name="Obliczenia 2 25 35" xfId="24397"/>
    <cellStyle name="Obliczenia 2 25 35 2" xfId="24398"/>
    <cellStyle name="Obliczenia 2 25 35 3" xfId="24399"/>
    <cellStyle name="Obliczenia 2 25 36" xfId="24400"/>
    <cellStyle name="Obliczenia 2 25 36 2" xfId="24401"/>
    <cellStyle name="Obliczenia 2 25 36 3" xfId="24402"/>
    <cellStyle name="Obliczenia 2 25 37" xfId="24403"/>
    <cellStyle name="Obliczenia 2 25 37 2" xfId="24404"/>
    <cellStyle name="Obliczenia 2 25 37 3" xfId="24405"/>
    <cellStyle name="Obliczenia 2 25 38" xfId="24406"/>
    <cellStyle name="Obliczenia 2 25 38 2" xfId="24407"/>
    <cellStyle name="Obliczenia 2 25 38 3" xfId="24408"/>
    <cellStyle name="Obliczenia 2 25 39" xfId="24409"/>
    <cellStyle name="Obliczenia 2 25 39 2" xfId="24410"/>
    <cellStyle name="Obliczenia 2 25 39 3" xfId="24411"/>
    <cellStyle name="Obliczenia 2 25 4" xfId="24412"/>
    <cellStyle name="Obliczenia 2 25 4 2" xfId="24413"/>
    <cellStyle name="Obliczenia 2 25 4 3" xfId="24414"/>
    <cellStyle name="Obliczenia 2 25 4 4" xfId="24415"/>
    <cellStyle name="Obliczenia 2 25 40" xfId="24416"/>
    <cellStyle name="Obliczenia 2 25 40 2" xfId="24417"/>
    <cellStyle name="Obliczenia 2 25 40 3" xfId="24418"/>
    <cellStyle name="Obliczenia 2 25 41" xfId="24419"/>
    <cellStyle name="Obliczenia 2 25 41 2" xfId="24420"/>
    <cellStyle name="Obliczenia 2 25 41 3" xfId="24421"/>
    <cellStyle name="Obliczenia 2 25 42" xfId="24422"/>
    <cellStyle name="Obliczenia 2 25 42 2" xfId="24423"/>
    <cellStyle name="Obliczenia 2 25 42 3" xfId="24424"/>
    <cellStyle name="Obliczenia 2 25 43" xfId="24425"/>
    <cellStyle name="Obliczenia 2 25 43 2" xfId="24426"/>
    <cellStyle name="Obliczenia 2 25 43 3" xfId="24427"/>
    <cellStyle name="Obliczenia 2 25 44" xfId="24428"/>
    <cellStyle name="Obliczenia 2 25 44 2" xfId="24429"/>
    <cellStyle name="Obliczenia 2 25 44 3" xfId="24430"/>
    <cellStyle name="Obliczenia 2 25 45" xfId="24431"/>
    <cellStyle name="Obliczenia 2 25 45 2" xfId="24432"/>
    <cellStyle name="Obliczenia 2 25 45 3" xfId="24433"/>
    <cellStyle name="Obliczenia 2 25 46" xfId="24434"/>
    <cellStyle name="Obliczenia 2 25 46 2" xfId="24435"/>
    <cellStyle name="Obliczenia 2 25 46 3" xfId="24436"/>
    <cellStyle name="Obliczenia 2 25 47" xfId="24437"/>
    <cellStyle name="Obliczenia 2 25 47 2" xfId="24438"/>
    <cellStyle name="Obliczenia 2 25 47 3" xfId="24439"/>
    <cellStyle name="Obliczenia 2 25 48" xfId="24440"/>
    <cellStyle name="Obliczenia 2 25 48 2" xfId="24441"/>
    <cellStyle name="Obliczenia 2 25 48 3" xfId="24442"/>
    <cellStyle name="Obliczenia 2 25 49" xfId="24443"/>
    <cellStyle name="Obliczenia 2 25 49 2" xfId="24444"/>
    <cellStyle name="Obliczenia 2 25 49 3" xfId="24445"/>
    <cellStyle name="Obliczenia 2 25 5" xfId="24446"/>
    <cellStyle name="Obliczenia 2 25 5 2" xfId="24447"/>
    <cellStyle name="Obliczenia 2 25 5 3" xfId="24448"/>
    <cellStyle name="Obliczenia 2 25 5 4" xfId="24449"/>
    <cellStyle name="Obliczenia 2 25 50" xfId="24450"/>
    <cellStyle name="Obliczenia 2 25 50 2" xfId="24451"/>
    <cellStyle name="Obliczenia 2 25 50 3" xfId="24452"/>
    <cellStyle name="Obliczenia 2 25 51" xfId="24453"/>
    <cellStyle name="Obliczenia 2 25 51 2" xfId="24454"/>
    <cellStyle name="Obliczenia 2 25 51 3" xfId="24455"/>
    <cellStyle name="Obliczenia 2 25 52" xfId="24456"/>
    <cellStyle name="Obliczenia 2 25 52 2" xfId="24457"/>
    <cellStyle name="Obliczenia 2 25 52 3" xfId="24458"/>
    <cellStyle name="Obliczenia 2 25 53" xfId="24459"/>
    <cellStyle name="Obliczenia 2 25 53 2" xfId="24460"/>
    <cellStyle name="Obliczenia 2 25 53 3" xfId="24461"/>
    <cellStyle name="Obliczenia 2 25 54" xfId="24462"/>
    <cellStyle name="Obliczenia 2 25 54 2" xfId="24463"/>
    <cellStyle name="Obliczenia 2 25 54 3" xfId="24464"/>
    <cellStyle name="Obliczenia 2 25 55" xfId="24465"/>
    <cellStyle name="Obliczenia 2 25 55 2" xfId="24466"/>
    <cellStyle name="Obliczenia 2 25 55 3" xfId="24467"/>
    <cellStyle name="Obliczenia 2 25 56" xfId="24468"/>
    <cellStyle name="Obliczenia 2 25 56 2" xfId="24469"/>
    <cellStyle name="Obliczenia 2 25 56 3" xfId="24470"/>
    <cellStyle name="Obliczenia 2 25 57" xfId="24471"/>
    <cellStyle name="Obliczenia 2 25 58" xfId="24472"/>
    <cellStyle name="Obliczenia 2 25 6" xfId="24473"/>
    <cellStyle name="Obliczenia 2 25 6 2" xfId="24474"/>
    <cellStyle name="Obliczenia 2 25 6 3" xfId="24475"/>
    <cellStyle name="Obliczenia 2 25 6 4" xfId="24476"/>
    <cellStyle name="Obliczenia 2 25 7" xfId="24477"/>
    <cellStyle name="Obliczenia 2 25 7 2" xfId="24478"/>
    <cellStyle name="Obliczenia 2 25 7 3" xfId="24479"/>
    <cellStyle name="Obliczenia 2 25 7 4" xfId="24480"/>
    <cellStyle name="Obliczenia 2 25 8" xfId="24481"/>
    <cellStyle name="Obliczenia 2 25 8 2" xfId="24482"/>
    <cellStyle name="Obliczenia 2 25 8 3" xfId="24483"/>
    <cellStyle name="Obliczenia 2 25 8 4" xfId="24484"/>
    <cellStyle name="Obliczenia 2 25 9" xfId="24485"/>
    <cellStyle name="Obliczenia 2 25 9 2" xfId="24486"/>
    <cellStyle name="Obliczenia 2 25 9 3" xfId="24487"/>
    <cellStyle name="Obliczenia 2 25 9 4" xfId="24488"/>
    <cellStyle name="Obliczenia 2 26" xfId="24489"/>
    <cellStyle name="Obliczenia 2 26 10" xfId="24490"/>
    <cellStyle name="Obliczenia 2 26 10 2" xfId="24491"/>
    <cellStyle name="Obliczenia 2 26 10 3" xfId="24492"/>
    <cellStyle name="Obliczenia 2 26 10 4" xfId="24493"/>
    <cellStyle name="Obliczenia 2 26 11" xfId="24494"/>
    <cellStyle name="Obliczenia 2 26 11 2" xfId="24495"/>
    <cellStyle name="Obliczenia 2 26 11 3" xfId="24496"/>
    <cellStyle name="Obliczenia 2 26 11 4" xfId="24497"/>
    <cellStyle name="Obliczenia 2 26 12" xfId="24498"/>
    <cellStyle name="Obliczenia 2 26 12 2" xfId="24499"/>
    <cellStyle name="Obliczenia 2 26 12 3" xfId="24500"/>
    <cellStyle name="Obliczenia 2 26 12 4" xfId="24501"/>
    <cellStyle name="Obliczenia 2 26 13" xfId="24502"/>
    <cellStyle name="Obliczenia 2 26 13 2" xfId="24503"/>
    <cellStyle name="Obliczenia 2 26 13 3" xfId="24504"/>
    <cellStyle name="Obliczenia 2 26 13 4" xfId="24505"/>
    <cellStyle name="Obliczenia 2 26 14" xfId="24506"/>
    <cellStyle name="Obliczenia 2 26 14 2" xfId="24507"/>
    <cellStyle name="Obliczenia 2 26 14 3" xfId="24508"/>
    <cellStyle name="Obliczenia 2 26 14 4" xfId="24509"/>
    <cellStyle name="Obliczenia 2 26 15" xfId="24510"/>
    <cellStyle name="Obliczenia 2 26 15 2" xfId="24511"/>
    <cellStyle name="Obliczenia 2 26 15 3" xfId="24512"/>
    <cellStyle name="Obliczenia 2 26 15 4" xfId="24513"/>
    <cellStyle name="Obliczenia 2 26 16" xfId="24514"/>
    <cellStyle name="Obliczenia 2 26 16 2" xfId="24515"/>
    <cellStyle name="Obliczenia 2 26 16 3" xfId="24516"/>
    <cellStyle name="Obliczenia 2 26 16 4" xfId="24517"/>
    <cellStyle name="Obliczenia 2 26 17" xfId="24518"/>
    <cellStyle name="Obliczenia 2 26 17 2" xfId="24519"/>
    <cellStyle name="Obliczenia 2 26 17 3" xfId="24520"/>
    <cellStyle name="Obliczenia 2 26 17 4" xfId="24521"/>
    <cellStyle name="Obliczenia 2 26 18" xfId="24522"/>
    <cellStyle name="Obliczenia 2 26 18 2" xfId="24523"/>
    <cellStyle name="Obliczenia 2 26 18 3" xfId="24524"/>
    <cellStyle name="Obliczenia 2 26 18 4" xfId="24525"/>
    <cellStyle name="Obliczenia 2 26 19" xfId="24526"/>
    <cellStyle name="Obliczenia 2 26 19 2" xfId="24527"/>
    <cellStyle name="Obliczenia 2 26 19 3" xfId="24528"/>
    <cellStyle name="Obliczenia 2 26 19 4" xfId="24529"/>
    <cellStyle name="Obliczenia 2 26 2" xfId="24530"/>
    <cellStyle name="Obliczenia 2 26 2 2" xfId="24531"/>
    <cellStyle name="Obliczenia 2 26 2 3" xfId="24532"/>
    <cellStyle name="Obliczenia 2 26 2 4" xfId="24533"/>
    <cellStyle name="Obliczenia 2 26 20" xfId="24534"/>
    <cellStyle name="Obliczenia 2 26 20 2" xfId="24535"/>
    <cellStyle name="Obliczenia 2 26 20 3" xfId="24536"/>
    <cellStyle name="Obliczenia 2 26 20 4" xfId="24537"/>
    <cellStyle name="Obliczenia 2 26 21" xfId="24538"/>
    <cellStyle name="Obliczenia 2 26 21 2" xfId="24539"/>
    <cellStyle name="Obliczenia 2 26 21 3" xfId="24540"/>
    <cellStyle name="Obliczenia 2 26 22" xfId="24541"/>
    <cellStyle name="Obliczenia 2 26 22 2" xfId="24542"/>
    <cellStyle name="Obliczenia 2 26 22 3" xfId="24543"/>
    <cellStyle name="Obliczenia 2 26 23" xfId="24544"/>
    <cellStyle name="Obliczenia 2 26 23 2" xfId="24545"/>
    <cellStyle name="Obliczenia 2 26 23 3" xfId="24546"/>
    <cellStyle name="Obliczenia 2 26 24" xfId="24547"/>
    <cellStyle name="Obliczenia 2 26 24 2" xfId="24548"/>
    <cellStyle name="Obliczenia 2 26 24 3" xfId="24549"/>
    <cellStyle name="Obliczenia 2 26 25" xfId="24550"/>
    <cellStyle name="Obliczenia 2 26 25 2" xfId="24551"/>
    <cellStyle name="Obliczenia 2 26 25 3" xfId="24552"/>
    <cellStyle name="Obliczenia 2 26 26" xfId="24553"/>
    <cellStyle name="Obliczenia 2 26 26 2" xfId="24554"/>
    <cellStyle name="Obliczenia 2 26 26 3" xfId="24555"/>
    <cellStyle name="Obliczenia 2 26 27" xfId="24556"/>
    <cellStyle name="Obliczenia 2 26 27 2" xfId="24557"/>
    <cellStyle name="Obliczenia 2 26 27 3" xfId="24558"/>
    <cellStyle name="Obliczenia 2 26 28" xfId="24559"/>
    <cellStyle name="Obliczenia 2 26 28 2" xfId="24560"/>
    <cellStyle name="Obliczenia 2 26 28 3" xfId="24561"/>
    <cellStyle name="Obliczenia 2 26 29" xfId="24562"/>
    <cellStyle name="Obliczenia 2 26 29 2" xfId="24563"/>
    <cellStyle name="Obliczenia 2 26 29 3" xfId="24564"/>
    <cellStyle name="Obliczenia 2 26 3" xfId="24565"/>
    <cellStyle name="Obliczenia 2 26 3 2" xfId="24566"/>
    <cellStyle name="Obliczenia 2 26 3 3" xfId="24567"/>
    <cellStyle name="Obliczenia 2 26 3 4" xfId="24568"/>
    <cellStyle name="Obliczenia 2 26 30" xfId="24569"/>
    <cellStyle name="Obliczenia 2 26 30 2" xfId="24570"/>
    <cellStyle name="Obliczenia 2 26 30 3" xfId="24571"/>
    <cellStyle name="Obliczenia 2 26 31" xfId="24572"/>
    <cellStyle name="Obliczenia 2 26 31 2" xfId="24573"/>
    <cellStyle name="Obliczenia 2 26 31 3" xfId="24574"/>
    <cellStyle name="Obliczenia 2 26 32" xfId="24575"/>
    <cellStyle name="Obliczenia 2 26 32 2" xfId="24576"/>
    <cellStyle name="Obliczenia 2 26 32 3" xfId="24577"/>
    <cellStyle name="Obliczenia 2 26 33" xfId="24578"/>
    <cellStyle name="Obliczenia 2 26 33 2" xfId="24579"/>
    <cellStyle name="Obliczenia 2 26 33 3" xfId="24580"/>
    <cellStyle name="Obliczenia 2 26 34" xfId="24581"/>
    <cellStyle name="Obliczenia 2 26 34 2" xfId="24582"/>
    <cellStyle name="Obliczenia 2 26 34 3" xfId="24583"/>
    <cellStyle name="Obliczenia 2 26 35" xfId="24584"/>
    <cellStyle name="Obliczenia 2 26 35 2" xfId="24585"/>
    <cellStyle name="Obliczenia 2 26 35 3" xfId="24586"/>
    <cellStyle name="Obliczenia 2 26 36" xfId="24587"/>
    <cellStyle name="Obliczenia 2 26 36 2" xfId="24588"/>
    <cellStyle name="Obliczenia 2 26 36 3" xfId="24589"/>
    <cellStyle name="Obliczenia 2 26 37" xfId="24590"/>
    <cellStyle name="Obliczenia 2 26 37 2" xfId="24591"/>
    <cellStyle name="Obliczenia 2 26 37 3" xfId="24592"/>
    <cellStyle name="Obliczenia 2 26 38" xfId="24593"/>
    <cellStyle name="Obliczenia 2 26 38 2" xfId="24594"/>
    <cellStyle name="Obliczenia 2 26 38 3" xfId="24595"/>
    <cellStyle name="Obliczenia 2 26 39" xfId="24596"/>
    <cellStyle name="Obliczenia 2 26 39 2" xfId="24597"/>
    <cellStyle name="Obliczenia 2 26 39 3" xfId="24598"/>
    <cellStyle name="Obliczenia 2 26 4" xfId="24599"/>
    <cellStyle name="Obliczenia 2 26 4 2" xfId="24600"/>
    <cellStyle name="Obliczenia 2 26 4 3" xfId="24601"/>
    <cellStyle name="Obliczenia 2 26 4 4" xfId="24602"/>
    <cellStyle name="Obliczenia 2 26 40" xfId="24603"/>
    <cellStyle name="Obliczenia 2 26 40 2" xfId="24604"/>
    <cellStyle name="Obliczenia 2 26 40 3" xfId="24605"/>
    <cellStyle name="Obliczenia 2 26 41" xfId="24606"/>
    <cellStyle name="Obliczenia 2 26 41 2" xfId="24607"/>
    <cellStyle name="Obliczenia 2 26 41 3" xfId="24608"/>
    <cellStyle name="Obliczenia 2 26 42" xfId="24609"/>
    <cellStyle name="Obliczenia 2 26 42 2" xfId="24610"/>
    <cellStyle name="Obliczenia 2 26 42 3" xfId="24611"/>
    <cellStyle name="Obliczenia 2 26 43" xfId="24612"/>
    <cellStyle name="Obliczenia 2 26 43 2" xfId="24613"/>
    <cellStyle name="Obliczenia 2 26 43 3" xfId="24614"/>
    <cellStyle name="Obliczenia 2 26 44" xfId="24615"/>
    <cellStyle name="Obliczenia 2 26 44 2" xfId="24616"/>
    <cellStyle name="Obliczenia 2 26 44 3" xfId="24617"/>
    <cellStyle name="Obliczenia 2 26 45" xfId="24618"/>
    <cellStyle name="Obliczenia 2 26 45 2" xfId="24619"/>
    <cellStyle name="Obliczenia 2 26 45 3" xfId="24620"/>
    <cellStyle name="Obliczenia 2 26 46" xfId="24621"/>
    <cellStyle name="Obliczenia 2 26 46 2" xfId="24622"/>
    <cellStyle name="Obliczenia 2 26 46 3" xfId="24623"/>
    <cellStyle name="Obliczenia 2 26 47" xfId="24624"/>
    <cellStyle name="Obliczenia 2 26 47 2" xfId="24625"/>
    <cellStyle name="Obliczenia 2 26 47 3" xfId="24626"/>
    <cellStyle name="Obliczenia 2 26 48" xfId="24627"/>
    <cellStyle name="Obliczenia 2 26 48 2" xfId="24628"/>
    <cellStyle name="Obliczenia 2 26 48 3" xfId="24629"/>
    <cellStyle name="Obliczenia 2 26 49" xfId="24630"/>
    <cellStyle name="Obliczenia 2 26 49 2" xfId="24631"/>
    <cellStyle name="Obliczenia 2 26 49 3" xfId="24632"/>
    <cellStyle name="Obliczenia 2 26 5" xfId="24633"/>
    <cellStyle name="Obliczenia 2 26 5 2" xfId="24634"/>
    <cellStyle name="Obliczenia 2 26 5 3" xfId="24635"/>
    <cellStyle name="Obliczenia 2 26 5 4" xfId="24636"/>
    <cellStyle name="Obliczenia 2 26 50" xfId="24637"/>
    <cellStyle name="Obliczenia 2 26 50 2" xfId="24638"/>
    <cellStyle name="Obliczenia 2 26 50 3" xfId="24639"/>
    <cellStyle name="Obliczenia 2 26 51" xfId="24640"/>
    <cellStyle name="Obliczenia 2 26 51 2" xfId="24641"/>
    <cellStyle name="Obliczenia 2 26 51 3" xfId="24642"/>
    <cellStyle name="Obliczenia 2 26 52" xfId="24643"/>
    <cellStyle name="Obliczenia 2 26 52 2" xfId="24644"/>
    <cellStyle name="Obliczenia 2 26 52 3" xfId="24645"/>
    <cellStyle name="Obliczenia 2 26 53" xfId="24646"/>
    <cellStyle name="Obliczenia 2 26 53 2" xfId="24647"/>
    <cellStyle name="Obliczenia 2 26 53 3" xfId="24648"/>
    <cellStyle name="Obliczenia 2 26 54" xfId="24649"/>
    <cellStyle name="Obliczenia 2 26 54 2" xfId="24650"/>
    <cellStyle name="Obliczenia 2 26 54 3" xfId="24651"/>
    <cellStyle name="Obliczenia 2 26 55" xfId="24652"/>
    <cellStyle name="Obliczenia 2 26 55 2" xfId="24653"/>
    <cellStyle name="Obliczenia 2 26 55 3" xfId="24654"/>
    <cellStyle name="Obliczenia 2 26 56" xfId="24655"/>
    <cellStyle name="Obliczenia 2 26 56 2" xfId="24656"/>
    <cellStyle name="Obliczenia 2 26 56 3" xfId="24657"/>
    <cellStyle name="Obliczenia 2 26 57" xfId="24658"/>
    <cellStyle name="Obliczenia 2 26 58" xfId="24659"/>
    <cellStyle name="Obliczenia 2 26 6" xfId="24660"/>
    <cellStyle name="Obliczenia 2 26 6 2" xfId="24661"/>
    <cellStyle name="Obliczenia 2 26 6 3" xfId="24662"/>
    <cellStyle name="Obliczenia 2 26 6 4" xfId="24663"/>
    <cellStyle name="Obliczenia 2 26 7" xfId="24664"/>
    <cellStyle name="Obliczenia 2 26 7 2" xfId="24665"/>
    <cellStyle name="Obliczenia 2 26 7 3" xfId="24666"/>
    <cellStyle name="Obliczenia 2 26 7 4" xfId="24667"/>
    <cellStyle name="Obliczenia 2 26 8" xfId="24668"/>
    <cellStyle name="Obliczenia 2 26 8 2" xfId="24669"/>
    <cellStyle name="Obliczenia 2 26 8 3" xfId="24670"/>
    <cellStyle name="Obliczenia 2 26 8 4" xfId="24671"/>
    <cellStyle name="Obliczenia 2 26 9" xfId="24672"/>
    <cellStyle name="Obliczenia 2 26 9 2" xfId="24673"/>
    <cellStyle name="Obliczenia 2 26 9 3" xfId="24674"/>
    <cellStyle name="Obliczenia 2 26 9 4" xfId="24675"/>
    <cellStyle name="Obliczenia 2 27" xfId="24676"/>
    <cellStyle name="Obliczenia 2 27 10" xfId="24677"/>
    <cellStyle name="Obliczenia 2 27 10 2" xfId="24678"/>
    <cellStyle name="Obliczenia 2 27 10 3" xfId="24679"/>
    <cellStyle name="Obliczenia 2 27 10 4" xfId="24680"/>
    <cellStyle name="Obliczenia 2 27 11" xfId="24681"/>
    <cellStyle name="Obliczenia 2 27 11 2" xfId="24682"/>
    <cellStyle name="Obliczenia 2 27 11 3" xfId="24683"/>
    <cellStyle name="Obliczenia 2 27 11 4" xfId="24684"/>
    <cellStyle name="Obliczenia 2 27 12" xfId="24685"/>
    <cellStyle name="Obliczenia 2 27 12 2" xfId="24686"/>
    <cellStyle name="Obliczenia 2 27 12 3" xfId="24687"/>
    <cellStyle name="Obliczenia 2 27 12 4" xfId="24688"/>
    <cellStyle name="Obliczenia 2 27 13" xfId="24689"/>
    <cellStyle name="Obliczenia 2 27 13 2" xfId="24690"/>
    <cellStyle name="Obliczenia 2 27 13 3" xfId="24691"/>
    <cellStyle name="Obliczenia 2 27 13 4" xfId="24692"/>
    <cellStyle name="Obliczenia 2 27 14" xfId="24693"/>
    <cellStyle name="Obliczenia 2 27 14 2" xfId="24694"/>
    <cellStyle name="Obliczenia 2 27 14 3" xfId="24695"/>
    <cellStyle name="Obliczenia 2 27 14 4" xfId="24696"/>
    <cellStyle name="Obliczenia 2 27 15" xfId="24697"/>
    <cellStyle name="Obliczenia 2 27 15 2" xfId="24698"/>
    <cellStyle name="Obliczenia 2 27 15 3" xfId="24699"/>
    <cellStyle name="Obliczenia 2 27 15 4" xfId="24700"/>
    <cellStyle name="Obliczenia 2 27 16" xfId="24701"/>
    <cellStyle name="Obliczenia 2 27 16 2" xfId="24702"/>
    <cellStyle name="Obliczenia 2 27 16 3" xfId="24703"/>
    <cellStyle name="Obliczenia 2 27 16 4" xfId="24704"/>
    <cellStyle name="Obliczenia 2 27 17" xfId="24705"/>
    <cellStyle name="Obliczenia 2 27 17 2" xfId="24706"/>
    <cellStyle name="Obliczenia 2 27 17 3" xfId="24707"/>
    <cellStyle name="Obliczenia 2 27 17 4" xfId="24708"/>
    <cellStyle name="Obliczenia 2 27 18" xfId="24709"/>
    <cellStyle name="Obliczenia 2 27 18 2" xfId="24710"/>
    <cellStyle name="Obliczenia 2 27 18 3" xfId="24711"/>
    <cellStyle name="Obliczenia 2 27 18 4" xfId="24712"/>
    <cellStyle name="Obliczenia 2 27 19" xfId="24713"/>
    <cellStyle name="Obliczenia 2 27 19 2" xfId="24714"/>
    <cellStyle name="Obliczenia 2 27 19 3" xfId="24715"/>
    <cellStyle name="Obliczenia 2 27 19 4" xfId="24716"/>
    <cellStyle name="Obliczenia 2 27 2" xfId="24717"/>
    <cellStyle name="Obliczenia 2 27 2 2" xfId="24718"/>
    <cellStyle name="Obliczenia 2 27 2 3" xfId="24719"/>
    <cellStyle name="Obliczenia 2 27 2 4" xfId="24720"/>
    <cellStyle name="Obliczenia 2 27 20" xfId="24721"/>
    <cellStyle name="Obliczenia 2 27 20 2" xfId="24722"/>
    <cellStyle name="Obliczenia 2 27 20 3" xfId="24723"/>
    <cellStyle name="Obliczenia 2 27 20 4" xfId="24724"/>
    <cellStyle name="Obliczenia 2 27 21" xfId="24725"/>
    <cellStyle name="Obliczenia 2 27 21 2" xfId="24726"/>
    <cellStyle name="Obliczenia 2 27 21 3" xfId="24727"/>
    <cellStyle name="Obliczenia 2 27 22" xfId="24728"/>
    <cellStyle name="Obliczenia 2 27 22 2" xfId="24729"/>
    <cellStyle name="Obliczenia 2 27 22 3" xfId="24730"/>
    <cellStyle name="Obliczenia 2 27 23" xfId="24731"/>
    <cellStyle name="Obliczenia 2 27 23 2" xfId="24732"/>
    <cellStyle name="Obliczenia 2 27 23 3" xfId="24733"/>
    <cellStyle name="Obliczenia 2 27 24" xfId="24734"/>
    <cellStyle name="Obliczenia 2 27 24 2" xfId="24735"/>
    <cellStyle name="Obliczenia 2 27 24 3" xfId="24736"/>
    <cellStyle name="Obliczenia 2 27 25" xfId="24737"/>
    <cellStyle name="Obliczenia 2 27 25 2" xfId="24738"/>
    <cellStyle name="Obliczenia 2 27 25 3" xfId="24739"/>
    <cellStyle name="Obliczenia 2 27 26" xfId="24740"/>
    <cellStyle name="Obliczenia 2 27 26 2" xfId="24741"/>
    <cellStyle name="Obliczenia 2 27 26 3" xfId="24742"/>
    <cellStyle name="Obliczenia 2 27 27" xfId="24743"/>
    <cellStyle name="Obliczenia 2 27 27 2" xfId="24744"/>
    <cellStyle name="Obliczenia 2 27 27 3" xfId="24745"/>
    <cellStyle name="Obliczenia 2 27 28" xfId="24746"/>
    <cellStyle name="Obliczenia 2 27 28 2" xfId="24747"/>
    <cellStyle name="Obliczenia 2 27 28 3" xfId="24748"/>
    <cellStyle name="Obliczenia 2 27 29" xfId="24749"/>
    <cellStyle name="Obliczenia 2 27 29 2" xfId="24750"/>
    <cellStyle name="Obliczenia 2 27 29 3" xfId="24751"/>
    <cellStyle name="Obliczenia 2 27 3" xfId="24752"/>
    <cellStyle name="Obliczenia 2 27 3 2" xfId="24753"/>
    <cellStyle name="Obliczenia 2 27 3 3" xfId="24754"/>
    <cellStyle name="Obliczenia 2 27 3 4" xfId="24755"/>
    <cellStyle name="Obliczenia 2 27 30" xfId="24756"/>
    <cellStyle name="Obliczenia 2 27 30 2" xfId="24757"/>
    <cellStyle name="Obliczenia 2 27 30 3" xfId="24758"/>
    <cellStyle name="Obliczenia 2 27 31" xfId="24759"/>
    <cellStyle name="Obliczenia 2 27 31 2" xfId="24760"/>
    <cellStyle name="Obliczenia 2 27 31 3" xfId="24761"/>
    <cellStyle name="Obliczenia 2 27 32" xfId="24762"/>
    <cellStyle name="Obliczenia 2 27 32 2" xfId="24763"/>
    <cellStyle name="Obliczenia 2 27 32 3" xfId="24764"/>
    <cellStyle name="Obliczenia 2 27 33" xfId="24765"/>
    <cellStyle name="Obliczenia 2 27 33 2" xfId="24766"/>
    <cellStyle name="Obliczenia 2 27 33 3" xfId="24767"/>
    <cellStyle name="Obliczenia 2 27 34" xfId="24768"/>
    <cellStyle name="Obliczenia 2 27 34 2" xfId="24769"/>
    <cellStyle name="Obliczenia 2 27 34 3" xfId="24770"/>
    <cellStyle name="Obliczenia 2 27 35" xfId="24771"/>
    <cellStyle name="Obliczenia 2 27 35 2" xfId="24772"/>
    <cellStyle name="Obliczenia 2 27 35 3" xfId="24773"/>
    <cellStyle name="Obliczenia 2 27 36" xfId="24774"/>
    <cellStyle name="Obliczenia 2 27 36 2" xfId="24775"/>
    <cellStyle name="Obliczenia 2 27 36 3" xfId="24776"/>
    <cellStyle name="Obliczenia 2 27 37" xfId="24777"/>
    <cellStyle name="Obliczenia 2 27 37 2" xfId="24778"/>
    <cellStyle name="Obliczenia 2 27 37 3" xfId="24779"/>
    <cellStyle name="Obliczenia 2 27 38" xfId="24780"/>
    <cellStyle name="Obliczenia 2 27 38 2" xfId="24781"/>
    <cellStyle name="Obliczenia 2 27 38 3" xfId="24782"/>
    <cellStyle name="Obliczenia 2 27 39" xfId="24783"/>
    <cellStyle name="Obliczenia 2 27 39 2" xfId="24784"/>
    <cellStyle name="Obliczenia 2 27 39 3" xfId="24785"/>
    <cellStyle name="Obliczenia 2 27 4" xfId="24786"/>
    <cellStyle name="Obliczenia 2 27 4 2" xfId="24787"/>
    <cellStyle name="Obliczenia 2 27 4 3" xfId="24788"/>
    <cellStyle name="Obliczenia 2 27 4 4" xfId="24789"/>
    <cellStyle name="Obliczenia 2 27 40" xfId="24790"/>
    <cellStyle name="Obliczenia 2 27 40 2" xfId="24791"/>
    <cellStyle name="Obliczenia 2 27 40 3" xfId="24792"/>
    <cellStyle name="Obliczenia 2 27 41" xfId="24793"/>
    <cellStyle name="Obliczenia 2 27 41 2" xfId="24794"/>
    <cellStyle name="Obliczenia 2 27 41 3" xfId="24795"/>
    <cellStyle name="Obliczenia 2 27 42" xfId="24796"/>
    <cellStyle name="Obliczenia 2 27 42 2" xfId="24797"/>
    <cellStyle name="Obliczenia 2 27 42 3" xfId="24798"/>
    <cellStyle name="Obliczenia 2 27 43" xfId="24799"/>
    <cellStyle name="Obliczenia 2 27 43 2" xfId="24800"/>
    <cellStyle name="Obliczenia 2 27 43 3" xfId="24801"/>
    <cellStyle name="Obliczenia 2 27 44" xfId="24802"/>
    <cellStyle name="Obliczenia 2 27 44 2" xfId="24803"/>
    <cellStyle name="Obliczenia 2 27 44 3" xfId="24804"/>
    <cellStyle name="Obliczenia 2 27 45" xfId="24805"/>
    <cellStyle name="Obliczenia 2 27 45 2" xfId="24806"/>
    <cellStyle name="Obliczenia 2 27 45 3" xfId="24807"/>
    <cellStyle name="Obliczenia 2 27 46" xfId="24808"/>
    <cellStyle name="Obliczenia 2 27 46 2" xfId="24809"/>
    <cellStyle name="Obliczenia 2 27 46 3" xfId="24810"/>
    <cellStyle name="Obliczenia 2 27 47" xfId="24811"/>
    <cellStyle name="Obliczenia 2 27 47 2" xfId="24812"/>
    <cellStyle name="Obliczenia 2 27 47 3" xfId="24813"/>
    <cellStyle name="Obliczenia 2 27 48" xfId="24814"/>
    <cellStyle name="Obliczenia 2 27 48 2" xfId="24815"/>
    <cellStyle name="Obliczenia 2 27 48 3" xfId="24816"/>
    <cellStyle name="Obliczenia 2 27 49" xfId="24817"/>
    <cellStyle name="Obliczenia 2 27 49 2" xfId="24818"/>
    <cellStyle name="Obliczenia 2 27 49 3" xfId="24819"/>
    <cellStyle name="Obliczenia 2 27 5" xfId="24820"/>
    <cellStyle name="Obliczenia 2 27 5 2" xfId="24821"/>
    <cellStyle name="Obliczenia 2 27 5 3" xfId="24822"/>
    <cellStyle name="Obliczenia 2 27 5 4" xfId="24823"/>
    <cellStyle name="Obliczenia 2 27 50" xfId="24824"/>
    <cellStyle name="Obliczenia 2 27 50 2" xfId="24825"/>
    <cellStyle name="Obliczenia 2 27 50 3" xfId="24826"/>
    <cellStyle name="Obliczenia 2 27 51" xfId="24827"/>
    <cellStyle name="Obliczenia 2 27 51 2" xfId="24828"/>
    <cellStyle name="Obliczenia 2 27 51 3" xfId="24829"/>
    <cellStyle name="Obliczenia 2 27 52" xfId="24830"/>
    <cellStyle name="Obliczenia 2 27 52 2" xfId="24831"/>
    <cellStyle name="Obliczenia 2 27 52 3" xfId="24832"/>
    <cellStyle name="Obliczenia 2 27 53" xfId="24833"/>
    <cellStyle name="Obliczenia 2 27 53 2" xfId="24834"/>
    <cellStyle name="Obliczenia 2 27 53 3" xfId="24835"/>
    <cellStyle name="Obliczenia 2 27 54" xfId="24836"/>
    <cellStyle name="Obliczenia 2 27 54 2" xfId="24837"/>
    <cellStyle name="Obliczenia 2 27 54 3" xfId="24838"/>
    <cellStyle name="Obliczenia 2 27 55" xfId="24839"/>
    <cellStyle name="Obliczenia 2 27 55 2" xfId="24840"/>
    <cellStyle name="Obliczenia 2 27 55 3" xfId="24841"/>
    <cellStyle name="Obliczenia 2 27 56" xfId="24842"/>
    <cellStyle name="Obliczenia 2 27 56 2" xfId="24843"/>
    <cellStyle name="Obliczenia 2 27 56 3" xfId="24844"/>
    <cellStyle name="Obliczenia 2 27 57" xfId="24845"/>
    <cellStyle name="Obliczenia 2 27 58" xfId="24846"/>
    <cellStyle name="Obliczenia 2 27 6" xfId="24847"/>
    <cellStyle name="Obliczenia 2 27 6 2" xfId="24848"/>
    <cellStyle name="Obliczenia 2 27 6 3" xfId="24849"/>
    <cellStyle name="Obliczenia 2 27 6 4" xfId="24850"/>
    <cellStyle name="Obliczenia 2 27 7" xfId="24851"/>
    <cellStyle name="Obliczenia 2 27 7 2" xfId="24852"/>
    <cellStyle name="Obliczenia 2 27 7 3" xfId="24853"/>
    <cellStyle name="Obliczenia 2 27 7 4" xfId="24854"/>
    <cellStyle name="Obliczenia 2 27 8" xfId="24855"/>
    <cellStyle name="Obliczenia 2 27 8 2" xfId="24856"/>
    <cellStyle name="Obliczenia 2 27 8 3" xfId="24857"/>
    <cellStyle name="Obliczenia 2 27 8 4" xfId="24858"/>
    <cellStyle name="Obliczenia 2 27 9" xfId="24859"/>
    <cellStyle name="Obliczenia 2 27 9 2" xfId="24860"/>
    <cellStyle name="Obliczenia 2 27 9 3" xfId="24861"/>
    <cellStyle name="Obliczenia 2 27 9 4" xfId="24862"/>
    <cellStyle name="Obliczenia 2 28" xfId="24863"/>
    <cellStyle name="Obliczenia 2 28 10" xfId="24864"/>
    <cellStyle name="Obliczenia 2 28 10 2" xfId="24865"/>
    <cellStyle name="Obliczenia 2 28 10 3" xfId="24866"/>
    <cellStyle name="Obliczenia 2 28 10 4" xfId="24867"/>
    <cellStyle name="Obliczenia 2 28 11" xfId="24868"/>
    <cellStyle name="Obliczenia 2 28 11 2" xfId="24869"/>
    <cellStyle name="Obliczenia 2 28 11 3" xfId="24870"/>
    <cellStyle name="Obliczenia 2 28 11 4" xfId="24871"/>
    <cellStyle name="Obliczenia 2 28 12" xfId="24872"/>
    <cellStyle name="Obliczenia 2 28 12 2" xfId="24873"/>
    <cellStyle name="Obliczenia 2 28 12 3" xfId="24874"/>
    <cellStyle name="Obliczenia 2 28 12 4" xfId="24875"/>
    <cellStyle name="Obliczenia 2 28 13" xfId="24876"/>
    <cellStyle name="Obliczenia 2 28 13 2" xfId="24877"/>
    <cellStyle name="Obliczenia 2 28 13 3" xfId="24878"/>
    <cellStyle name="Obliczenia 2 28 13 4" xfId="24879"/>
    <cellStyle name="Obliczenia 2 28 14" xfId="24880"/>
    <cellStyle name="Obliczenia 2 28 14 2" xfId="24881"/>
    <cellStyle name="Obliczenia 2 28 14 3" xfId="24882"/>
    <cellStyle name="Obliczenia 2 28 14 4" xfId="24883"/>
    <cellStyle name="Obliczenia 2 28 15" xfId="24884"/>
    <cellStyle name="Obliczenia 2 28 15 2" xfId="24885"/>
    <cellStyle name="Obliczenia 2 28 15 3" xfId="24886"/>
    <cellStyle name="Obliczenia 2 28 15 4" xfId="24887"/>
    <cellStyle name="Obliczenia 2 28 16" xfId="24888"/>
    <cellStyle name="Obliczenia 2 28 16 2" xfId="24889"/>
    <cellStyle name="Obliczenia 2 28 16 3" xfId="24890"/>
    <cellStyle name="Obliczenia 2 28 16 4" xfId="24891"/>
    <cellStyle name="Obliczenia 2 28 17" xfId="24892"/>
    <cellStyle name="Obliczenia 2 28 17 2" xfId="24893"/>
    <cellStyle name="Obliczenia 2 28 17 3" xfId="24894"/>
    <cellStyle name="Obliczenia 2 28 17 4" xfId="24895"/>
    <cellStyle name="Obliczenia 2 28 18" xfId="24896"/>
    <cellStyle name="Obliczenia 2 28 18 2" xfId="24897"/>
    <cellStyle name="Obliczenia 2 28 18 3" xfId="24898"/>
    <cellStyle name="Obliczenia 2 28 18 4" xfId="24899"/>
    <cellStyle name="Obliczenia 2 28 19" xfId="24900"/>
    <cellStyle name="Obliczenia 2 28 19 2" xfId="24901"/>
    <cellStyle name="Obliczenia 2 28 19 3" xfId="24902"/>
    <cellStyle name="Obliczenia 2 28 19 4" xfId="24903"/>
    <cellStyle name="Obliczenia 2 28 2" xfId="24904"/>
    <cellStyle name="Obliczenia 2 28 2 2" xfId="24905"/>
    <cellStyle name="Obliczenia 2 28 2 3" xfId="24906"/>
    <cellStyle name="Obliczenia 2 28 2 4" xfId="24907"/>
    <cellStyle name="Obliczenia 2 28 20" xfId="24908"/>
    <cellStyle name="Obliczenia 2 28 20 2" xfId="24909"/>
    <cellStyle name="Obliczenia 2 28 20 3" xfId="24910"/>
    <cellStyle name="Obliczenia 2 28 20 4" xfId="24911"/>
    <cellStyle name="Obliczenia 2 28 21" xfId="24912"/>
    <cellStyle name="Obliczenia 2 28 21 2" xfId="24913"/>
    <cellStyle name="Obliczenia 2 28 21 3" xfId="24914"/>
    <cellStyle name="Obliczenia 2 28 22" xfId="24915"/>
    <cellStyle name="Obliczenia 2 28 22 2" xfId="24916"/>
    <cellStyle name="Obliczenia 2 28 22 3" xfId="24917"/>
    <cellStyle name="Obliczenia 2 28 23" xfId="24918"/>
    <cellStyle name="Obliczenia 2 28 23 2" xfId="24919"/>
    <cellStyle name="Obliczenia 2 28 23 3" xfId="24920"/>
    <cellStyle name="Obliczenia 2 28 24" xfId="24921"/>
    <cellStyle name="Obliczenia 2 28 24 2" xfId="24922"/>
    <cellStyle name="Obliczenia 2 28 24 3" xfId="24923"/>
    <cellStyle name="Obliczenia 2 28 25" xfId="24924"/>
    <cellStyle name="Obliczenia 2 28 25 2" xfId="24925"/>
    <cellStyle name="Obliczenia 2 28 25 3" xfId="24926"/>
    <cellStyle name="Obliczenia 2 28 26" xfId="24927"/>
    <cellStyle name="Obliczenia 2 28 26 2" xfId="24928"/>
    <cellStyle name="Obliczenia 2 28 26 3" xfId="24929"/>
    <cellStyle name="Obliczenia 2 28 27" xfId="24930"/>
    <cellStyle name="Obliczenia 2 28 27 2" xfId="24931"/>
    <cellStyle name="Obliczenia 2 28 27 3" xfId="24932"/>
    <cellStyle name="Obliczenia 2 28 28" xfId="24933"/>
    <cellStyle name="Obliczenia 2 28 28 2" xfId="24934"/>
    <cellStyle name="Obliczenia 2 28 28 3" xfId="24935"/>
    <cellStyle name="Obliczenia 2 28 29" xfId="24936"/>
    <cellStyle name="Obliczenia 2 28 29 2" xfId="24937"/>
    <cellStyle name="Obliczenia 2 28 29 3" xfId="24938"/>
    <cellStyle name="Obliczenia 2 28 3" xfId="24939"/>
    <cellStyle name="Obliczenia 2 28 3 2" xfId="24940"/>
    <cellStyle name="Obliczenia 2 28 3 3" xfId="24941"/>
    <cellStyle name="Obliczenia 2 28 3 4" xfId="24942"/>
    <cellStyle name="Obliczenia 2 28 30" xfId="24943"/>
    <cellStyle name="Obliczenia 2 28 30 2" xfId="24944"/>
    <cellStyle name="Obliczenia 2 28 30 3" xfId="24945"/>
    <cellStyle name="Obliczenia 2 28 31" xfId="24946"/>
    <cellStyle name="Obliczenia 2 28 31 2" xfId="24947"/>
    <cellStyle name="Obliczenia 2 28 31 3" xfId="24948"/>
    <cellStyle name="Obliczenia 2 28 32" xfId="24949"/>
    <cellStyle name="Obliczenia 2 28 32 2" xfId="24950"/>
    <cellStyle name="Obliczenia 2 28 32 3" xfId="24951"/>
    <cellStyle name="Obliczenia 2 28 33" xfId="24952"/>
    <cellStyle name="Obliczenia 2 28 33 2" xfId="24953"/>
    <cellStyle name="Obliczenia 2 28 33 3" xfId="24954"/>
    <cellStyle name="Obliczenia 2 28 34" xfId="24955"/>
    <cellStyle name="Obliczenia 2 28 34 2" xfId="24956"/>
    <cellStyle name="Obliczenia 2 28 34 3" xfId="24957"/>
    <cellStyle name="Obliczenia 2 28 35" xfId="24958"/>
    <cellStyle name="Obliczenia 2 28 35 2" xfId="24959"/>
    <cellStyle name="Obliczenia 2 28 35 3" xfId="24960"/>
    <cellStyle name="Obliczenia 2 28 36" xfId="24961"/>
    <cellStyle name="Obliczenia 2 28 36 2" xfId="24962"/>
    <cellStyle name="Obliczenia 2 28 36 3" xfId="24963"/>
    <cellStyle name="Obliczenia 2 28 37" xfId="24964"/>
    <cellStyle name="Obliczenia 2 28 37 2" xfId="24965"/>
    <cellStyle name="Obliczenia 2 28 37 3" xfId="24966"/>
    <cellStyle name="Obliczenia 2 28 38" xfId="24967"/>
    <cellStyle name="Obliczenia 2 28 38 2" xfId="24968"/>
    <cellStyle name="Obliczenia 2 28 38 3" xfId="24969"/>
    <cellStyle name="Obliczenia 2 28 39" xfId="24970"/>
    <cellStyle name="Obliczenia 2 28 39 2" xfId="24971"/>
    <cellStyle name="Obliczenia 2 28 39 3" xfId="24972"/>
    <cellStyle name="Obliczenia 2 28 4" xfId="24973"/>
    <cellStyle name="Obliczenia 2 28 4 2" xfId="24974"/>
    <cellStyle name="Obliczenia 2 28 4 3" xfId="24975"/>
    <cellStyle name="Obliczenia 2 28 4 4" xfId="24976"/>
    <cellStyle name="Obliczenia 2 28 40" xfId="24977"/>
    <cellStyle name="Obliczenia 2 28 40 2" xfId="24978"/>
    <cellStyle name="Obliczenia 2 28 40 3" xfId="24979"/>
    <cellStyle name="Obliczenia 2 28 41" xfId="24980"/>
    <cellStyle name="Obliczenia 2 28 41 2" xfId="24981"/>
    <cellStyle name="Obliczenia 2 28 41 3" xfId="24982"/>
    <cellStyle name="Obliczenia 2 28 42" xfId="24983"/>
    <cellStyle name="Obliczenia 2 28 42 2" xfId="24984"/>
    <cellStyle name="Obliczenia 2 28 42 3" xfId="24985"/>
    <cellStyle name="Obliczenia 2 28 43" xfId="24986"/>
    <cellStyle name="Obliczenia 2 28 43 2" xfId="24987"/>
    <cellStyle name="Obliczenia 2 28 43 3" xfId="24988"/>
    <cellStyle name="Obliczenia 2 28 44" xfId="24989"/>
    <cellStyle name="Obliczenia 2 28 44 2" xfId="24990"/>
    <cellStyle name="Obliczenia 2 28 44 3" xfId="24991"/>
    <cellStyle name="Obliczenia 2 28 45" xfId="24992"/>
    <cellStyle name="Obliczenia 2 28 45 2" xfId="24993"/>
    <cellStyle name="Obliczenia 2 28 45 3" xfId="24994"/>
    <cellStyle name="Obliczenia 2 28 46" xfId="24995"/>
    <cellStyle name="Obliczenia 2 28 46 2" xfId="24996"/>
    <cellStyle name="Obliczenia 2 28 46 3" xfId="24997"/>
    <cellStyle name="Obliczenia 2 28 47" xfId="24998"/>
    <cellStyle name="Obliczenia 2 28 47 2" xfId="24999"/>
    <cellStyle name="Obliczenia 2 28 47 3" xfId="25000"/>
    <cellStyle name="Obliczenia 2 28 48" xfId="25001"/>
    <cellStyle name="Obliczenia 2 28 48 2" xfId="25002"/>
    <cellStyle name="Obliczenia 2 28 48 3" xfId="25003"/>
    <cellStyle name="Obliczenia 2 28 49" xfId="25004"/>
    <cellStyle name="Obliczenia 2 28 49 2" xfId="25005"/>
    <cellStyle name="Obliczenia 2 28 49 3" xfId="25006"/>
    <cellStyle name="Obliczenia 2 28 5" xfId="25007"/>
    <cellStyle name="Obliczenia 2 28 5 2" xfId="25008"/>
    <cellStyle name="Obliczenia 2 28 5 3" xfId="25009"/>
    <cellStyle name="Obliczenia 2 28 5 4" xfId="25010"/>
    <cellStyle name="Obliczenia 2 28 50" xfId="25011"/>
    <cellStyle name="Obliczenia 2 28 50 2" xfId="25012"/>
    <cellStyle name="Obliczenia 2 28 50 3" xfId="25013"/>
    <cellStyle name="Obliczenia 2 28 51" xfId="25014"/>
    <cellStyle name="Obliczenia 2 28 51 2" xfId="25015"/>
    <cellStyle name="Obliczenia 2 28 51 3" xfId="25016"/>
    <cellStyle name="Obliczenia 2 28 52" xfId="25017"/>
    <cellStyle name="Obliczenia 2 28 52 2" xfId="25018"/>
    <cellStyle name="Obliczenia 2 28 52 3" xfId="25019"/>
    <cellStyle name="Obliczenia 2 28 53" xfId="25020"/>
    <cellStyle name="Obliczenia 2 28 53 2" xfId="25021"/>
    <cellStyle name="Obliczenia 2 28 53 3" xfId="25022"/>
    <cellStyle name="Obliczenia 2 28 54" xfId="25023"/>
    <cellStyle name="Obliczenia 2 28 54 2" xfId="25024"/>
    <cellStyle name="Obliczenia 2 28 54 3" xfId="25025"/>
    <cellStyle name="Obliczenia 2 28 55" xfId="25026"/>
    <cellStyle name="Obliczenia 2 28 55 2" xfId="25027"/>
    <cellStyle name="Obliczenia 2 28 55 3" xfId="25028"/>
    <cellStyle name="Obliczenia 2 28 56" xfId="25029"/>
    <cellStyle name="Obliczenia 2 28 56 2" xfId="25030"/>
    <cellStyle name="Obliczenia 2 28 56 3" xfId="25031"/>
    <cellStyle name="Obliczenia 2 28 57" xfId="25032"/>
    <cellStyle name="Obliczenia 2 28 58" xfId="25033"/>
    <cellStyle name="Obliczenia 2 28 6" xfId="25034"/>
    <cellStyle name="Obliczenia 2 28 6 2" xfId="25035"/>
    <cellStyle name="Obliczenia 2 28 6 3" xfId="25036"/>
    <cellStyle name="Obliczenia 2 28 6 4" xfId="25037"/>
    <cellStyle name="Obliczenia 2 28 7" xfId="25038"/>
    <cellStyle name="Obliczenia 2 28 7 2" xfId="25039"/>
    <cellStyle name="Obliczenia 2 28 7 3" xfId="25040"/>
    <cellStyle name="Obliczenia 2 28 7 4" xfId="25041"/>
    <cellStyle name="Obliczenia 2 28 8" xfId="25042"/>
    <cellStyle name="Obliczenia 2 28 8 2" xfId="25043"/>
    <cellStyle name="Obliczenia 2 28 8 3" xfId="25044"/>
    <cellStyle name="Obliczenia 2 28 8 4" xfId="25045"/>
    <cellStyle name="Obliczenia 2 28 9" xfId="25046"/>
    <cellStyle name="Obliczenia 2 28 9 2" xfId="25047"/>
    <cellStyle name="Obliczenia 2 28 9 3" xfId="25048"/>
    <cellStyle name="Obliczenia 2 28 9 4" xfId="25049"/>
    <cellStyle name="Obliczenia 2 29" xfId="25050"/>
    <cellStyle name="Obliczenia 2 29 2" xfId="25051"/>
    <cellStyle name="Obliczenia 2 29 3" xfId="25052"/>
    <cellStyle name="Obliczenia 2 29 4" xfId="25053"/>
    <cellStyle name="Obliczenia 2 3" xfId="25054"/>
    <cellStyle name="Obliczenia 2 3 10" xfId="25055"/>
    <cellStyle name="Obliczenia 2 3 10 2" xfId="25056"/>
    <cellStyle name="Obliczenia 2 3 10 3" xfId="25057"/>
    <cellStyle name="Obliczenia 2 3 10 4" xfId="25058"/>
    <cellStyle name="Obliczenia 2 3 11" xfId="25059"/>
    <cellStyle name="Obliczenia 2 3 11 2" xfId="25060"/>
    <cellStyle name="Obliczenia 2 3 11 3" xfId="25061"/>
    <cellStyle name="Obliczenia 2 3 11 4" xfId="25062"/>
    <cellStyle name="Obliczenia 2 3 12" xfId="25063"/>
    <cellStyle name="Obliczenia 2 3 12 2" xfId="25064"/>
    <cellStyle name="Obliczenia 2 3 12 3" xfId="25065"/>
    <cellStyle name="Obliczenia 2 3 12 4" xfId="25066"/>
    <cellStyle name="Obliczenia 2 3 13" xfId="25067"/>
    <cellStyle name="Obliczenia 2 3 13 2" xfId="25068"/>
    <cellStyle name="Obliczenia 2 3 13 3" xfId="25069"/>
    <cellStyle name="Obliczenia 2 3 13 4" xfId="25070"/>
    <cellStyle name="Obliczenia 2 3 14" xfId="25071"/>
    <cellStyle name="Obliczenia 2 3 14 2" xfId="25072"/>
    <cellStyle name="Obliczenia 2 3 14 3" xfId="25073"/>
    <cellStyle name="Obliczenia 2 3 14 4" xfId="25074"/>
    <cellStyle name="Obliczenia 2 3 15" xfId="25075"/>
    <cellStyle name="Obliczenia 2 3 15 2" xfId="25076"/>
    <cellStyle name="Obliczenia 2 3 15 3" xfId="25077"/>
    <cellStyle name="Obliczenia 2 3 15 4" xfId="25078"/>
    <cellStyle name="Obliczenia 2 3 16" xfId="25079"/>
    <cellStyle name="Obliczenia 2 3 16 2" xfId="25080"/>
    <cellStyle name="Obliczenia 2 3 16 3" xfId="25081"/>
    <cellStyle name="Obliczenia 2 3 16 4" xfId="25082"/>
    <cellStyle name="Obliczenia 2 3 17" xfId="25083"/>
    <cellStyle name="Obliczenia 2 3 17 2" xfId="25084"/>
    <cellStyle name="Obliczenia 2 3 17 3" xfId="25085"/>
    <cellStyle name="Obliczenia 2 3 17 4" xfId="25086"/>
    <cellStyle name="Obliczenia 2 3 18" xfId="25087"/>
    <cellStyle name="Obliczenia 2 3 18 2" xfId="25088"/>
    <cellStyle name="Obliczenia 2 3 18 3" xfId="25089"/>
    <cellStyle name="Obliczenia 2 3 18 4" xfId="25090"/>
    <cellStyle name="Obliczenia 2 3 19" xfId="25091"/>
    <cellStyle name="Obliczenia 2 3 19 2" xfId="25092"/>
    <cellStyle name="Obliczenia 2 3 19 3" xfId="25093"/>
    <cellStyle name="Obliczenia 2 3 19 4" xfId="25094"/>
    <cellStyle name="Obliczenia 2 3 2" xfId="25095"/>
    <cellStyle name="Obliczenia 2 3 2 2" xfId="25096"/>
    <cellStyle name="Obliczenia 2 3 2 3" xfId="25097"/>
    <cellStyle name="Obliczenia 2 3 2 4" xfId="25098"/>
    <cellStyle name="Obliczenia 2 3 20" xfId="25099"/>
    <cellStyle name="Obliczenia 2 3 20 2" xfId="25100"/>
    <cellStyle name="Obliczenia 2 3 20 3" xfId="25101"/>
    <cellStyle name="Obliczenia 2 3 20 4" xfId="25102"/>
    <cellStyle name="Obliczenia 2 3 21" xfId="25103"/>
    <cellStyle name="Obliczenia 2 3 21 2" xfId="25104"/>
    <cellStyle name="Obliczenia 2 3 21 3" xfId="25105"/>
    <cellStyle name="Obliczenia 2 3 22" xfId="25106"/>
    <cellStyle name="Obliczenia 2 3 22 2" xfId="25107"/>
    <cellStyle name="Obliczenia 2 3 22 3" xfId="25108"/>
    <cellStyle name="Obliczenia 2 3 23" xfId="25109"/>
    <cellStyle name="Obliczenia 2 3 23 2" xfId="25110"/>
    <cellStyle name="Obliczenia 2 3 23 3" xfId="25111"/>
    <cellStyle name="Obliczenia 2 3 24" xfId="25112"/>
    <cellStyle name="Obliczenia 2 3 24 2" xfId="25113"/>
    <cellStyle name="Obliczenia 2 3 24 3" xfId="25114"/>
    <cellStyle name="Obliczenia 2 3 25" xfId="25115"/>
    <cellStyle name="Obliczenia 2 3 25 2" xfId="25116"/>
    <cellStyle name="Obliczenia 2 3 25 3" xfId="25117"/>
    <cellStyle name="Obliczenia 2 3 26" xfId="25118"/>
    <cellStyle name="Obliczenia 2 3 26 2" xfId="25119"/>
    <cellStyle name="Obliczenia 2 3 26 3" xfId="25120"/>
    <cellStyle name="Obliczenia 2 3 27" xfId="25121"/>
    <cellStyle name="Obliczenia 2 3 27 2" xfId="25122"/>
    <cellStyle name="Obliczenia 2 3 27 3" xfId="25123"/>
    <cellStyle name="Obliczenia 2 3 28" xfId="25124"/>
    <cellStyle name="Obliczenia 2 3 28 2" xfId="25125"/>
    <cellStyle name="Obliczenia 2 3 28 3" xfId="25126"/>
    <cellStyle name="Obliczenia 2 3 29" xfId="25127"/>
    <cellStyle name="Obliczenia 2 3 29 2" xfId="25128"/>
    <cellStyle name="Obliczenia 2 3 29 3" xfId="25129"/>
    <cellStyle name="Obliczenia 2 3 3" xfId="25130"/>
    <cellStyle name="Obliczenia 2 3 3 2" xfId="25131"/>
    <cellStyle name="Obliczenia 2 3 3 3" xfId="25132"/>
    <cellStyle name="Obliczenia 2 3 3 4" xfId="25133"/>
    <cellStyle name="Obliczenia 2 3 30" xfId="25134"/>
    <cellStyle name="Obliczenia 2 3 30 2" xfId="25135"/>
    <cellStyle name="Obliczenia 2 3 30 3" xfId="25136"/>
    <cellStyle name="Obliczenia 2 3 31" xfId="25137"/>
    <cellStyle name="Obliczenia 2 3 31 2" xfId="25138"/>
    <cellStyle name="Obliczenia 2 3 31 3" xfId="25139"/>
    <cellStyle name="Obliczenia 2 3 32" xfId="25140"/>
    <cellStyle name="Obliczenia 2 3 32 2" xfId="25141"/>
    <cellStyle name="Obliczenia 2 3 32 3" xfId="25142"/>
    <cellStyle name="Obliczenia 2 3 33" xfId="25143"/>
    <cellStyle name="Obliczenia 2 3 33 2" xfId="25144"/>
    <cellStyle name="Obliczenia 2 3 33 3" xfId="25145"/>
    <cellStyle name="Obliczenia 2 3 34" xfId="25146"/>
    <cellStyle name="Obliczenia 2 3 34 2" xfId="25147"/>
    <cellStyle name="Obliczenia 2 3 34 3" xfId="25148"/>
    <cellStyle name="Obliczenia 2 3 35" xfId="25149"/>
    <cellStyle name="Obliczenia 2 3 35 2" xfId="25150"/>
    <cellStyle name="Obliczenia 2 3 35 3" xfId="25151"/>
    <cellStyle name="Obliczenia 2 3 36" xfId="25152"/>
    <cellStyle name="Obliczenia 2 3 36 2" xfId="25153"/>
    <cellStyle name="Obliczenia 2 3 36 3" xfId="25154"/>
    <cellStyle name="Obliczenia 2 3 37" xfId="25155"/>
    <cellStyle name="Obliczenia 2 3 37 2" xfId="25156"/>
    <cellStyle name="Obliczenia 2 3 37 3" xfId="25157"/>
    <cellStyle name="Obliczenia 2 3 38" xfId="25158"/>
    <cellStyle name="Obliczenia 2 3 38 2" xfId="25159"/>
    <cellStyle name="Obliczenia 2 3 38 3" xfId="25160"/>
    <cellStyle name="Obliczenia 2 3 39" xfId="25161"/>
    <cellStyle name="Obliczenia 2 3 39 2" xfId="25162"/>
    <cellStyle name="Obliczenia 2 3 39 3" xfId="25163"/>
    <cellStyle name="Obliczenia 2 3 4" xfId="25164"/>
    <cellStyle name="Obliczenia 2 3 4 2" xfId="25165"/>
    <cellStyle name="Obliczenia 2 3 4 3" xfId="25166"/>
    <cellStyle name="Obliczenia 2 3 4 4" xfId="25167"/>
    <cellStyle name="Obliczenia 2 3 40" xfId="25168"/>
    <cellStyle name="Obliczenia 2 3 40 2" xfId="25169"/>
    <cellStyle name="Obliczenia 2 3 40 3" xfId="25170"/>
    <cellStyle name="Obliczenia 2 3 41" xfId="25171"/>
    <cellStyle name="Obliczenia 2 3 41 2" xfId="25172"/>
    <cellStyle name="Obliczenia 2 3 41 3" xfId="25173"/>
    <cellStyle name="Obliczenia 2 3 42" xfId="25174"/>
    <cellStyle name="Obliczenia 2 3 42 2" xfId="25175"/>
    <cellStyle name="Obliczenia 2 3 42 3" xfId="25176"/>
    <cellStyle name="Obliczenia 2 3 43" xfId="25177"/>
    <cellStyle name="Obliczenia 2 3 43 2" xfId="25178"/>
    <cellStyle name="Obliczenia 2 3 43 3" xfId="25179"/>
    <cellStyle name="Obliczenia 2 3 44" xfId="25180"/>
    <cellStyle name="Obliczenia 2 3 44 2" xfId="25181"/>
    <cellStyle name="Obliczenia 2 3 44 3" xfId="25182"/>
    <cellStyle name="Obliczenia 2 3 45" xfId="25183"/>
    <cellStyle name="Obliczenia 2 3 45 2" xfId="25184"/>
    <cellStyle name="Obliczenia 2 3 45 3" xfId="25185"/>
    <cellStyle name="Obliczenia 2 3 46" xfId="25186"/>
    <cellStyle name="Obliczenia 2 3 46 2" xfId="25187"/>
    <cellStyle name="Obliczenia 2 3 46 3" xfId="25188"/>
    <cellStyle name="Obliczenia 2 3 47" xfId="25189"/>
    <cellStyle name="Obliczenia 2 3 47 2" xfId="25190"/>
    <cellStyle name="Obliczenia 2 3 47 3" xfId="25191"/>
    <cellStyle name="Obliczenia 2 3 48" xfId="25192"/>
    <cellStyle name="Obliczenia 2 3 48 2" xfId="25193"/>
    <cellStyle name="Obliczenia 2 3 48 3" xfId="25194"/>
    <cellStyle name="Obliczenia 2 3 49" xfId="25195"/>
    <cellStyle name="Obliczenia 2 3 49 2" xfId="25196"/>
    <cellStyle name="Obliczenia 2 3 49 3" xfId="25197"/>
    <cellStyle name="Obliczenia 2 3 5" xfId="25198"/>
    <cellStyle name="Obliczenia 2 3 5 2" xfId="25199"/>
    <cellStyle name="Obliczenia 2 3 5 3" xfId="25200"/>
    <cellStyle name="Obliczenia 2 3 5 4" xfId="25201"/>
    <cellStyle name="Obliczenia 2 3 50" xfId="25202"/>
    <cellStyle name="Obliczenia 2 3 50 2" xfId="25203"/>
    <cellStyle name="Obliczenia 2 3 50 3" xfId="25204"/>
    <cellStyle name="Obliczenia 2 3 51" xfId="25205"/>
    <cellStyle name="Obliczenia 2 3 51 2" xfId="25206"/>
    <cellStyle name="Obliczenia 2 3 51 3" xfId="25207"/>
    <cellStyle name="Obliczenia 2 3 52" xfId="25208"/>
    <cellStyle name="Obliczenia 2 3 52 2" xfId="25209"/>
    <cellStyle name="Obliczenia 2 3 52 3" xfId="25210"/>
    <cellStyle name="Obliczenia 2 3 53" xfId="25211"/>
    <cellStyle name="Obliczenia 2 3 53 2" xfId="25212"/>
    <cellStyle name="Obliczenia 2 3 53 3" xfId="25213"/>
    <cellStyle name="Obliczenia 2 3 54" xfId="25214"/>
    <cellStyle name="Obliczenia 2 3 54 2" xfId="25215"/>
    <cellStyle name="Obliczenia 2 3 54 3" xfId="25216"/>
    <cellStyle name="Obliczenia 2 3 55" xfId="25217"/>
    <cellStyle name="Obliczenia 2 3 55 2" xfId="25218"/>
    <cellStyle name="Obliczenia 2 3 55 3" xfId="25219"/>
    <cellStyle name="Obliczenia 2 3 56" xfId="25220"/>
    <cellStyle name="Obliczenia 2 3 56 2" xfId="25221"/>
    <cellStyle name="Obliczenia 2 3 56 3" xfId="25222"/>
    <cellStyle name="Obliczenia 2 3 57" xfId="25223"/>
    <cellStyle name="Obliczenia 2 3 58" xfId="25224"/>
    <cellStyle name="Obliczenia 2 3 6" xfId="25225"/>
    <cellStyle name="Obliczenia 2 3 6 2" xfId="25226"/>
    <cellStyle name="Obliczenia 2 3 6 3" xfId="25227"/>
    <cellStyle name="Obliczenia 2 3 6 4" xfId="25228"/>
    <cellStyle name="Obliczenia 2 3 7" xfId="25229"/>
    <cellStyle name="Obliczenia 2 3 7 2" xfId="25230"/>
    <cellStyle name="Obliczenia 2 3 7 3" xfId="25231"/>
    <cellStyle name="Obliczenia 2 3 7 4" xfId="25232"/>
    <cellStyle name="Obliczenia 2 3 8" xfId="25233"/>
    <cellStyle name="Obliczenia 2 3 8 2" xfId="25234"/>
    <cellStyle name="Obliczenia 2 3 8 3" xfId="25235"/>
    <cellStyle name="Obliczenia 2 3 8 4" xfId="25236"/>
    <cellStyle name="Obliczenia 2 3 9" xfId="25237"/>
    <cellStyle name="Obliczenia 2 3 9 2" xfId="25238"/>
    <cellStyle name="Obliczenia 2 3 9 3" xfId="25239"/>
    <cellStyle name="Obliczenia 2 3 9 4" xfId="25240"/>
    <cellStyle name="Obliczenia 2 30" xfId="25241"/>
    <cellStyle name="Obliczenia 2 30 2" xfId="25242"/>
    <cellStyle name="Obliczenia 2 30 3" xfId="25243"/>
    <cellStyle name="Obliczenia 2 30 4" xfId="25244"/>
    <cellStyle name="Obliczenia 2 31" xfId="25245"/>
    <cellStyle name="Obliczenia 2 31 2" xfId="25246"/>
    <cellStyle name="Obliczenia 2 31 3" xfId="25247"/>
    <cellStyle name="Obliczenia 2 31 4" xfId="25248"/>
    <cellStyle name="Obliczenia 2 32" xfId="25249"/>
    <cellStyle name="Obliczenia 2 32 2" xfId="25250"/>
    <cellStyle name="Obliczenia 2 32 3" xfId="25251"/>
    <cellStyle name="Obliczenia 2 32 4" xfId="25252"/>
    <cellStyle name="Obliczenia 2 33" xfId="25253"/>
    <cellStyle name="Obliczenia 2 33 2" xfId="25254"/>
    <cellStyle name="Obliczenia 2 33 3" xfId="25255"/>
    <cellStyle name="Obliczenia 2 33 4" xfId="25256"/>
    <cellStyle name="Obliczenia 2 34" xfId="25257"/>
    <cellStyle name="Obliczenia 2 34 2" xfId="25258"/>
    <cellStyle name="Obliczenia 2 34 3" xfId="25259"/>
    <cellStyle name="Obliczenia 2 34 4" xfId="25260"/>
    <cellStyle name="Obliczenia 2 35" xfId="25261"/>
    <cellStyle name="Obliczenia 2 35 2" xfId="25262"/>
    <cellStyle name="Obliczenia 2 35 3" xfId="25263"/>
    <cellStyle name="Obliczenia 2 35 4" xfId="25264"/>
    <cellStyle name="Obliczenia 2 36" xfId="25265"/>
    <cellStyle name="Obliczenia 2 36 2" xfId="25266"/>
    <cellStyle name="Obliczenia 2 36 3" xfId="25267"/>
    <cellStyle name="Obliczenia 2 36 4" xfId="25268"/>
    <cellStyle name="Obliczenia 2 37" xfId="25269"/>
    <cellStyle name="Obliczenia 2 37 2" xfId="25270"/>
    <cellStyle name="Obliczenia 2 37 3" xfId="25271"/>
    <cellStyle name="Obliczenia 2 37 4" xfId="25272"/>
    <cellStyle name="Obliczenia 2 38" xfId="25273"/>
    <cellStyle name="Obliczenia 2 38 2" xfId="25274"/>
    <cellStyle name="Obliczenia 2 38 3" xfId="25275"/>
    <cellStyle name="Obliczenia 2 38 4" xfId="25276"/>
    <cellStyle name="Obliczenia 2 39" xfId="25277"/>
    <cellStyle name="Obliczenia 2 39 2" xfId="25278"/>
    <cellStyle name="Obliczenia 2 39 3" xfId="25279"/>
    <cellStyle name="Obliczenia 2 39 4" xfId="25280"/>
    <cellStyle name="Obliczenia 2 4" xfId="25281"/>
    <cellStyle name="Obliczenia 2 4 10" xfId="25282"/>
    <cellStyle name="Obliczenia 2 4 10 2" xfId="25283"/>
    <cellStyle name="Obliczenia 2 4 10 3" xfId="25284"/>
    <cellStyle name="Obliczenia 2 4 10 4" xfId="25285"/>
    <cellStyle name="Obliczenia 2 4 11" xfId="25286"/>
    <cellStyle name="Obliczenia 2 4 11 2" xfId="25287"/>
    <cellStyle name="Obliczenia 2 4 11 3" xfId="25288"/>
    <cellStyle name="Obliczenia 2 4 11 4" xfId="25289"/>
    <cellStyle name="Obliczenia 2 4 12" xfId="25290"/>
    <cellStyle name="Obliczenia 2 4 12 2" xfId="25291"/>
    <cellStyle name="Obliczenia 2 4 12 3" xfId="25292"/>
    <cellStyle name="Obliczenia 2 4 12 4" xfId="25293"/>
    <cellStyle name="Obliczenia 2 4 13" xfId="25294"/>
    <cellStyle name="Obliczenia 2 4 13 2" xfId="25295"/>
    <cellStyle name="Obliczenia 2 4 13 3" xfId="25296"/>
    <cellStyle name="Obliczenia 2 4 13 4" xfId="25297"/>
    <cellStyle name="Obliczenia 2 4 14" xfId="25298"/>
    <cellStyle name="Obliczenia 2 4 14 2" xfId="25299"/>
    <cellStyle name="Obliczenia 2 4 14 3" xfId="25300"/>
    <cellStyle name="Obliczenia 2 4 14 4" xfId="25301"/>
    <cellStyle name="Obliczenia 2 4 15" xfId="25302"/>
    <cellStyle name="Obliczenia 2 4 15 2" xfId="25303"/>
    <cellStyle name="Obliczenia 2 4 15 3" xfId="25304"/>
    <cellStyle name="Obliczenia 2 4 15 4" xfId="25305"/>
    <cellStyle name="Obliczenia 2 4 16" xfId="25306"/>
    <cellStyle name="Obliczenia 2 4 16 2" xfId="25307"/>
    <cellStyle name="Obliczenia 2 4 16 3" xfId="25308"/>
    <cellStyle name="Obliczenia 2 4 16 4" xfId="25309"/>
    <cellStyle name="Obliczenia 2 4 17" xfId="25310"/>
    <cellStyle name="Obliczenia 2 4 17 2" xfId="25311"/>
    <cellStyle name="Obliczenia 2 4 17 3" xfId="25312"/>
    <cellStyle name="Obliczenia 2 4 17 4" xfId="25313"/>
    <cellStyle name="Obliczenia 2 4 18" xfId="25314"/>
    <cellStyle name="Obliczenia 2 4 18 2" xfId="25315"/>
    <cellStyle name="Obliczenia 2 4 18 3" xfId="25316"/>
    <cellStyle name="Obliczenia 2 4 18 4" xfId="25317"/>
    <cellStyle name="Obliczenia 2 4 19" xfId="25318"/>
    <cellStyle name="Obliczenia 2 4 19 2" xfId="25319"/>
    <cellStyle name="Obliczenia 2 4 19 3" xfId="25320"/>
    <cellStyle name="Obliczenia 2 4 19 4" xfId="25321"/>
    <cellStyle name="Obliczenia 2 4 2" xfId="25322"/>
    <cellStyle name="Obliczenia 2 4 2 2" xfId="25323"/>
    <cellStyle name="Obliczenia 2 4 2 3" xfId="25324"/>
    <cellStyle name="Obliczenia 2 4 2 4" xfId="25325"/>
    <cellStyle name="Obliczenia 2 4 20" xfId="25326"/>
    <cellStyle name="Obliczenia 2 4 20 2" xfId="25327"/>
    <cellStyle name="Obliczenia 2 4 20 3" xfId="25328"/>
    <cellStyle name="Obliczenia 2 4 20 4" xfId="25329"/>
    <cellStyle name="Obliczenia 2 4 21" xfId="25330"/>
    <cellStyle name="Obliczenia 2 4 21 2" xfId="25331"/>
    <cellStyle name="Obliczenia 2 4 21 3" xfId="25332"/>
    <cellStyle name="Obliczenia 2 4 22" xfId="25333"/>
    <cellStyle name="Obliczenia 2 4 22 2" xfId="25334"/>
    <cellStyle name="Obliczenia 2 4 22 3" xfId="25335"/>
    <cellStyle name="Obliczenia 2 4 23" xfId="25336"/>
    <cellStyle name="Obliczenia 2 4 23 2" xfId="25337"/>
    <cellStyle name="Obliczenia 2 4 23 3" xfId="25338"/>
    <cellStyle name="Obliczenia 2 4 24" xfId="25339"/>
    <cellStyle name="Obliczenia 2 4 24 2" xfId="25340"/>
    <cellStyle name="Obliczenia 2 4 24 3" xfId="25341"/>
    <cellStyle name="Obliczenia 2 4 25" xfId="25342"/>
    <cellStyle name="Obliczenia 2 4 25 2" xfId="25343"/>
    <cellStyle name="Obliczenia 2 4 25 3" xfId="25344"/>
    <cellStyle name="Obliczenia 2 4 26" xfId="25345"/>
    <cellStyle name="Obliczenia 2 4 26 2" xfId="25346"/>
    <cellStyle name="Obliczenia 2 4 26 3" xfId="25347"/>
    <cellStyle name="Obliczenia 2 4 27" xfId="25348"/>
    <cellStyle name="Obliczenia 2 4 27 2" xfId="25349"/>
    <cellStyle name="Obliczenia 2 4 27 3" xfId="25350"/>
    <cellStyle name="Obliczenia 2 4 28" xfId="25351"/>
    <cellStyle name="Obliczenia 2 4 28 2" xfId="25352"/>
    <cellStyle name="Obliczenia 2 4 28 3" xfId="25353"/>
    <cellStyle name="Obliczenia 2 4 29" xfId="25354"/>
    <cellStyle name="Obliczenia 2 4 29 2" xfId="25355"/>
    <cellStyle name="Obliczenia 2 4 29 3" xfId="25356"/>
    <cellStyle name="Obliczenia 2 4 3" xfId="25357"/>
    <cellStyle name="Obliczenia 2 4 3 2" xfId="25358"/>
    <cellStyle name="Obliczenia 2 4 3 3" xfId="25359"/>
    <cellStyle name="Obliczenia 2 4 3 4" xfId="25360"/>
    <cellStyle name="Obliczenia 2 4 30" xfId="25361"/>
    <cellStyle name="Obliczenia 2 4 30 2" xfId="25362"/>
    <cellStyle name="Obliczenia 2 4 30 3" xfId="25363"/>
    <cellStyle name="Obliczenia 2 4 31" xfId="25364"/>
    <cellStyle name="Obliczenia 2 4 31 2" xfId="25365"/>
    <cellStyle name="Obliczenia 2 4 31 3" xfId="25366"/>
    <cellStyle name="Obliczenia 2 4 32" xfId="25367"/>
    <cellStyle name="Obliczenia 2 4 32 2" xfId="25368"/>
    <cellStyle name="Obliczenia 2 4 32 3" xfId="25369"/>
    <cellStyle name="Obliczenia 2 4 33" xfId="25370"/>
    <cellStyle name="Obliczenia 2 4 33 2" xfId="25371"/>
    <cellStyle name="Obliczenia 2 4 33 3" xfId="25372"/>
    <cellStyle name="Obliczenia 2 4 34" xfId="25373"/>
    <cellStyle name="Obliczenia 2 4 34 2" xfId="25374"/>
    <cellStyle name="Obliczenia 2 4 34 3" xfId="25375"/>
    <cellStyle name="Obliczenia 2 4 35" xfId="25376"/>
    <cellStyle name="Obliczenia 2 4 35 2" xfId="25377"/>
    <cellStyle name="Obliczenia 2 4 35 3" xfId="25378"/>
    <cellStyle name="Obliczenia 2 4 36" xfId="25379"/>
    <cellStyle name="Obliczenia 2 4 36 2" xfId="25380"/>
    <cellStyle name="Obliczenia 2 4 36 3" xfId="25381"/>
    <cellStyle name="Obliczenia 2 4 37" xfId="25382"/>
    <cellStyle name="Obliczenia 2 4 37 2" xfId="25383"/>
    <cellStyle name="Obliczenia 2 4 37 3" xfId="25384"/>
    <cellStyle name="Obliczenia 2 4 38" xfId="25385"/>
    <cellStyle name="Obliczenia 2 4 38 2" xfId="25386"/>
    <cellStyle name="Obliczenia 2 4 38 3" xfId="25387"/>
    <cellStyle name="Obliczenia 2 4 39" xfId="25388"/>
    <cellStyle name="Obliczenia 2 4 39 2" xfId="25389"/>
    <cellStyle name="Obliczenia 2 4 39 3" xfId="25390"/>
    <cellStyle name="Obliczenia 2 4 4" xfId="25391"/>
    <cellStyle name="Obliczenia 2 4 4 2" xfId="25392"/>
    <cellStyle name="Obliczenia 2 4 4 3" xfId="25393"/>
    <cellStyle name="Obliczenia 2 4 4 4" xfId="25394"/>
    <cellStyle name="Obliczenia 2 4 40" xfId="25395"/>
    <cellStyle name="Obliczenia 2 4 40 2" xfId="25396"/>
    <cellStyle name="Obliczenia 2 4 40 3" xfId="25397"/>
    <cellStyle name="Obliczenia 2 4 41" xfId="25398"/>
    <cellStyle name="Obliczenia 2 4 41 2" xfId="25399"/>
    <cellStyle name="Obliczenia 2 4 41 3" xfId="25400"/>
    <cellStyle name="Obliczenia 2 4 42" xfId="25401"/>
    <cellStyle name="Obliczenia 2 4 42 2" xfId="25402"/>
    <cellStyle name="Obliczenia 2 4 42 3" xfId="25403"/>
    <cellStyle name="Obliczenia 2 4 43" xfId="25404"/>
    <cellStyle name="Obliczenia 2 4 43 2" xfId="25405"/>
    <cellStyle name="Obliczenia 2 4 43 3" xfId="25406"/>
    <cellStyle name="Obliczenia 2 4 44" xfId="25407"/>
    <cellStyle name="Obliczenia 2 4 44 2" xfId="25408"/>
    <cellStyle name="Obliczenia 2 4 44 3" xfId="25409"/>
    <cellStyle name="Obliczenia 2 4 45" xfId="25410"/>
    <cellStyle name="Obliczenia 2 4 45 2" xfId="25411"/>
    <cellStyle name="Obliczenia 2 4 45 3" xfId="25412"/>
    <cellStyle name="Obliczenia 2 4 46" xfId="25413"/>
    <cellStyle name="Obliczenia 2 4 46 2" xfId="25414"/>
    <cellStyle name="Obliczenia 2 4 46 3" xfId="25415"/>
    <cellStyle name="Obliczenia 2 4 47" xfId="25416"/>
    <cellStyle name="Obliczenia 2 4 47 2" xfId="25417"/>
    <cellStyle name="Obliczenia 2 4 47 3" xfId="25418"/>
    <cellStyle name="Obliczenia 2 4 48" xfId="25419"/>
    <cellStyle name="Obliczenia 2 4 48 2" xfId="25420"/>
    <cellStyle name="Obliczenia 2 4 48 3" xfId="25421"/>
    <cellStyle name="Obliczenia 2 4 49" xfId="25422"/>
    <cellStyle name="Obliczenia 2 4 49 2" xfId="25423"/>
    <cellStyle name="Obliczenia 2 4 49 3" xfId="25424"/>
    <cellStyle name="Obliczenia 2 4 5" xfId="25425"/>
    <cellStyle name="Obliczenia 2 4 5 2" xfId="25426"/>
    <cellStyle name="Obliczenia 2 4 5 3" xfId="25427"/>
    <cellStyle name="Obliczenia 2 4 5 4" xfId="25428"/>
    <cellStyle name="Obliczenia 2 4 50" xfId="25429"/>
    <cellStyle name="Obliczenia 2 4 50 2" xfId="25430"/>
    <cellStyle name="Obliczenia 2 4 50 3" xfId="25431"/>
    <cellStyle name="Obliczenia 2 4 51" xfId="25432"/>
    <cellStyle name="Obliczenia 2 4 51 2" xfId="25433"/>
    <cellStyle name="Obliczenia 2 4 51 3" xfId="25434"/>
    <cellStyle name="Obliczenia 2 4 52" xfId="25435"/>
    <cellStyle name="Obliczenia 2 4 52 2" xfId="25436"/>
    <cellStyle name="Obliczenia 2 4 52 3" xfId="25437"/>
    <cellStyle name="Obliczenia 2 4 53" xfId="25438"/>
    <cellStyle name="Obliczenia 2 4 53 2" xfId="25439"/>
    <cellStyle name="Obliczenia 2 4 53 3" xfId="25440"/>
    <cellStyle name="Obliczenia 2 4 54" xfId="25441"/>
    <cellStyle name="Obliczenia 2 4 54 2" xfId="25442"/>
    <cellStyle name="Obliczenia 2 4 54 3" xfId="25443"/>
    <cellStyle name="Obliczenia 2 4 55" xfId="25444"/>
    <cellStyle name="Obliczenia 2 4 55 2" xfId="25445"/>
    <cellStyle name="Obliczenia 2 4 55 3" xfId="25446"/>
    <cellStyle name="Obliczenia 2 4 56" xfId="25447"/>
    <cellStyle name="Obliczenia 2 4 56 2" xfId="25448"/>
    <cellStyle name="Obliczenia 2 4 56 3" xfId="25449"/>
    <cellStyle name="Obliczenia 2 4 57" xfId="25450"/>
    <cellStyle name="Obliczenia 2 4 58" xfId="25451"/>
    <cellStyle name="Obliczenia 2 4 6" xfId="25452"/>
    <cellStyle name="Obliczenia 2 4 6 2" xfId="25453"/>
    <cellStyle name="Obliczenia 2 4 6 3" xfId="25454"/>
    <cellStyle name="Obliczenia 2 4 6 4" xfId="25455"/>
    <cellStyle name="Obliczenia 2 4 7" xfId="25456"/>
    <cellStyle name="Obliczenia 2 4 7 2" xfId="25457"/>
    <cellStyle name="Obliczenia 2 4 7 3" xfId="25458"/>
    <cellStyle name="Obliczenia 2 4 7 4" xfId="25459"/>
    <cellStyle name="Obliczenia 2 4 8" xfId="25460"/>
    <cellStyle name="Obliczenia 2 4 8 2" xfId="25461"/>
    <cellStyle name="Obliczenia 2 4 8 3" xfId="25462"/>
    <cellStyle name="Obliczenia 2 4 8 4" xfId="25463"/>
    <cellStyle name="Obliczenia 2 4 9" xfId="25464"/>
    <cellStyle name="Obliczenia 2 4 9 2" xfId="25465"/>
    <cellStyle name="Obliczenia 2 4 9 3" xfId="25466"/>
    <cellStyle name="Obliczenia 2 4 9 4" xfId="25467"/>
    <cellStyle name="Obliczenia 2 40" xfId="25468"/>
    <cellStyle name="Obliczenia 2 40 2" xfId="25469"/>
    <cellStyle name="Obliczenia 2 40 3" xfId="25470"/>
    <cellStyle name="Obliczenia 2 40 4" xfId="25471"/>
    <cellStyle name="Obliczenia 2 41" xfId="25472"/>
    <cellStyle name="Obliczenia 2 41 2" xfId="25473"/>
    <cellStyle name="Obliczenia 2 41 3" xfId="25474"/>
    <cellStyle name="Obliczenia 2 41 4" xfId="25475"/>
    <cellStyle name="Obliczenia 2 42" xfId="25476"/>
    <cellStyle name="Obliczenia 2 42 2" xfId="25477"/>
    <cellStyle name="Obliczenia 2 42 3" xfId="25478"/>
    <cellStyle name="Obliczenia 2 42 4" xfId="25479"/>
    <cellStyle name="Obliczenia 2 43" xfId="25480"/>
    <cellStyle name="Obliczenia 2 43 2" xfId="25481"/>
    <cellStyle name="Obliczenia 2 43 3" xfId="25482"/>
    <cellStyle name="Obliczenia 2 43 4" xfId="25483"/>
    <cellStyle name="Obliczenia 2 44" xfId="25484"/>
    <cellStyle name="Obliczenia 2 44 2" xfId="25485"/>
    <cellStyle name="Obliczenia 2 44 3" xfId="25486"/>
    <cellStyle name="Obliczenia 2 44 4" xfId="25487"/>
    <cellStyle name="Obliczenia 2 45" xfId="25488"/>
    <cellStyle name="Obliczenia 2 45 2" xfId="25489"/>
    <cellStyle name="Obliczenia 2 45 3" xfId="25490"/>
    <cellStyle name="Obliczenia 2 45 4" xfId="25491"/>
    <cellStyle name="Obliczenia 2 46" xfId="25492"/>
    <cellStyle name="Obliczenia 2 46 2" xfId="25493"/>
    <cellStyle name="Obliczenia 2 46 3" xfId="25494"/>
    <cellStyle name="Obliczenia 2 46 4" xfId="25495"/>
    <cellStyle name="Obliczenia 2 47" xfId="25496"/>
    <cellStyle name="Obliczenia 2 47 2" xfId="25497"/>
    <cellStyle name="Obliczenia 2 47 3" xfId="25498"/>
    <cellStyle name="Obliczenia 2 47 4" xfId="25499"/>
    <cellStyle name="Obliczenia 2 48" xfId="25500"/>
    <cellStyle name="Obliczenia 2 48 2" xfId="25501"/>
    <cellStyle name="Obliczenia 2 48 3" xfId="25502"/>
    <cellStyle name="Obliczenia 2 48 4" xfId="25503"/>
    <cellStyle name="Obliczenia 2 49" xfId="25504"/>
    <cellStyle name="Obliczenia 2 49 2" xfId="25505"/>
    <cellStyle name="Obliczenia 2 49 3" xfId="25506"/>
    <cellStyle name="Obliczenia 2 49 4" xfId="25507"/>
    <cellStyle name="Obliczenia 2 5" xfId="25508"/>
    <cellStyle name="Obliczenia 2 5 10" xfId="25509"/>
    <cellStyle name="Obliczenia 2 5 10 2" xfId="25510"/>
    <cellStyle name="Obliczenia 2 5 10 3" xfId="25511"/>
    <cellStyle name="Obliczenia 2 5 10 4" xfId="25512"/>
    <cellStyle name="Obliczenia 2 5 11" xfId="25513"/>
    <cellStyle name="Obliczenia 2 5 11 2" xfId="25514"/>
    <cellStyle name="Obliczenia 2 5 11 3" xfId="25515"/>
    <cellStyle name="Obliczenia 2 5 11 4" xfId="25516"/>
    <cellStyle name="Obliczenia 2 5 12" xfId="25517"/>
    <cellStyle name="Obliczenia 2 5 12 2" xfId="25518"/>
    <cellStyle name="Obliczenia 2 5 12 3" xfId="25519"/>
    <cellStyle name="Obliczenia 2 5 12 4" xfId="25520"/>
    <cellStyle name="Obliczenia 2 5 13" xfId="25521"/>
    <cellStyle name="Obliczenia 2 5 13 2" xfId="25522"/>
    <cellStyle name="Obliczenia 2 5 13 3" xfId="25523"/>
    <cellStyle name="Obliczenia 2 5 13 4" xfId="25524"/>
    <cellStyle name="Obliczenia 2 5 14" xfId="25525"/>
    <cellStyle name="Obliczenia 2 5 14 2" xfId="25526"/>
    <cellStyle name="Obliczenia 2 5 14 3" xfId="25527"/>
    <cellStyle name="Obliczenia 2 5 14 4" xfId="25528"/>
    <cellStyle name="Obliczenia 2 5 15" xfId="25529"/>
    <cellStyle name="Obliczenia 2 5 15 2" xfId="25530"/>
    <cellStyle name="Obliczenia 2 5 15 3" xfId="25531"/>
    <cellStyle name="Obliczenia 2 5 15 4" xfId="25532"/>
    <cellStyle name="Obliczenia 2 5 16" xfId="25533"/>
    <cellStyle name="Obliczenia 2 5 16 2" xfId="25534"/>
    <cellStyle name="Obliczenia 2 5 16 3" xfId="25535"/>
    <cellStyle name="Obliczenia 2 5 16 4" xfId="25536"/>
    <cellStyle name="Obliczenia 2 5 17" xfId="25537"/>
    <cellStyle name="Obliczenia 2 5 17 2" xfId="25538"/>
    <cellStyle name="Obliczenia 2 5 17 3" xfId="25539"/>
    <cellStyle name="Obliczenia 2 5 17 4" xfId="25540"/>
    <cellStyle name="Obliczenia 2 5 18" xfId="25541"/>
    <cellStyle name="Obliczenia 2 5 18 2" xfId="25542"/>
    <cellStyle name="Obliczenia 2 5 18 3" xfId="25543"/>
    <cellStyle name="Obliczenia 2 5 18 4" xfId="25544"/>
    <cellStyle name="Obliczenia 2 5 19" xfId="25545"/>
    <cellStyle name="Obliczenia 2 5 19 2" xfId="25546"/>
    <cellStyle name="Obliczenia 2 5 19 3" xfId="25547"/>
    <cellStyle name="Obliczenia 2 5 19 4" xfId="25548"/>
    <cellStyle name="Obliczenia 2 5 2" xfId="25549"/>
    <cellStyle name="Obliczenia 2 5 2 2" xfId="25550"/>
    <cellStyle name="Obliczenia 2 5 2 3" xfId="25551"/>
    <cellStyle name="Obliczenia 2 5 2 4" xfId="25552"/>
    <cellStyle name="Obliczenia 2 5 20" xfId="25553"/>
    <cellStyle name="Obliczenia 2 5 20 2" xfId="25554"/>
    <cellStyle name="Obliczenia 2 5 20 3" xfId="25555"/>
    <cellStyle name="Obliczenia 2 5 20 4" xfId="25556"/>
    <cellStyle name="Obliczenia 2 5 21" xfId="25557"/>
    <cellStyle name="Obliczenia 2 5 21 2" xfId="25558"/>
    <cellStyle name="Obliczenia 2 5 21 3" xfId="25559"/>
    <cellStyle name="Obliczenia 2 5 22" xfId="25560"/>
    <cellStyle name="Obliczenia 2 5 22 2" xfId="25561"/>
    <cellStyle name="Obliczenia 2 5 22 3" xfId="25562"/>
    <cellStyle name="Obliczenia 2 5 23" xfId="25563"/>
    <cellStyle name="Obliczenia 2 5 23 2" xfId="25564"/>
    <cellStyle name="Obliczenia 2 5 23 3" xfId="25565"/>
    <cellStyle name="Obliczenia 2 5 24" xfId="25566"/>
    <cellStyle name="Obliczenia 2 5 24 2" xfId="25567"/>
    <cellStyle name="Obliczenia 2 5 24 3" xfId="25568"/>
    <cellStyle name="Obliczenia 2 5 25" xfId="25569"/>
    <cellStyle name="Obliczenia 2 5 25 2" xfId="25570"/>
    <cellStyle name="Obliczenia 2 5 25 3" xfId="25571"/>
    <cellStyle name="Obliczenia 2 5 26" xfId="25572"/>
    <cellStyle name="Obliczenia 2 5 26 2" xfId="25573"/>
    <cellStyle name="Obliczenia 2 5 26 3" xfId="25574"/>
    <cellStyle name="Obliczenia 2 5 27" xfId="25575"/>
    <cellStyle name="Obliczenia 2 5 27 2" xfId="25576"/>
    <cellStyle name="Obliczenia 2 5 27 3" xfId="25577"/>
    <cellStyle name="Obliczenia 2 5 28" xfId="25578"/>
    <cellStyle name="Obliczenia 2 5 28 2" xfId="25579"/>
    <cellStyle name="Obliczenia 2 5 28 3" xfId="25580"/>
    <cellStyle name="Obliczenia 2 5 29" xfId="25581"/>
    <cellStyle name="Obliczenia 2 5 29 2" xfId="25582"/>
    <cellStyle name="Obliczenia 2 5 29 3" xfId="25583"/>
    <cellStyle name="Obliczenia 2 5 3" xfId="25584"/>
    <cellStyle name="Obliczenia 2 5 3 2" xfId="25585"/>
    <cellStyle name="Obliczenia 2 5 3 3" xfId="25586"/>
    <cellStyle name="Obliczenia 2 5 3 4" xfId="25587"/>
    <cellStyle name="Obliczenia 2 5 30" xfId="25588"/>
    <cellStyle name="Obliczenia 2 5 30 2" xfId="25589"/>
    <cellStyle name="Obliczenia 2 5 30 3" xfId="25590"/>
    <cellStyle name="Obliczenia 2 5 31" xfId="25591"/>
    <cellStyle name="Obliczenia 2 5 31 2" xfId="25592"/>
    <cellStyle name="Obliczenia 2 5 31 3" xfId="25593"/>
    <cellStyle name="Obliczenia 2 5 32" xfId="25594"/>
    <cellStyle name="Obliczenia 2 5 32 2" xfId="25595"/>
    <cellStyle name="Obliczenia 2 5 32 3" xfId="25596"/>
    <cellStyle name="Obliczenia 2 5 33" xfId="25597"/>
    <cellStyle name="Obliczenia 2 5 33 2" xfId="25598"/>
    <cellStyle name="Obliczenia 2 5 33 3" xfId="25599"/>
    <cellStyle name="Obliczenia 2 5 34" xfId="25600"/>
    <cellStyle name="Obliczenia 2 5 34 2" xfId="25601"/>
    <cellStyle name="Obliczenia 2 5 34 3" xfId="25602"/>
    <cellStyle name="Obliczenia 2 5 35" xfId="25603"/>
    <cellStyle name="Obliczenia 2 5 35 2" xfId="25604"/>
    <cellStyle name="Obliczenia 2 5 35 3" xfId="25605"/>
    <cellStyle name="Obliczenia 2 5 36" xfId="25606"/>
    <cellStyle name="Obliczenia 2 5 36 2" xfId="25607"/>
    <cellStyle name="Obliczenia 2 5 36 3" xfId="25608"/>
    <cellStyle name="Obliczenia 2 5 37" xfId="25609"/>
    <cellStyle name="Obliczenia 2 5 37 2" xfId="25610"/>
    <cellStyle name="Obliczenia 2 5 37 3" xfId="25611"/>
    <cellStyle name="Obliczenia 2 5 38" xfId="25612"/>
    <cellStyle name="Obliczenia 2 5 38 2" xfId="25613"/>
    <cellStyle name="Obliczenia 2 5 38 3" xfId="25614"/>
    <cellStyle name="Obliczenia 2 5 39" xfId="25615"/>
    <cellStyle name="Obliczenia 2 5 39 2" xfId="25616"/>
    <cellStyle name="Obliczenia 2 5 39 3" xfId="25617"/>
    <cellStyle name="Obliczenia 2 5 4" xfId="25618"/>
    <cellStyle name="Obliczenia 2 5 4 2" xfId="25619"/>
    <cellStyle name="Obliczenia 2 5 4 3" xfId="25620"/>
    <cellStyle name="Obliczenia 2 5 4 4" xfId="25621"/>
    <cellStyle name="Obliczenia 2 5 40" xfId="25622"/>
    <cellStyle name="Obliczenia 2 5 40 2" xfId="25623"/>
    <cellStyle name="Obliczenia 2 5 40 3" xfId="25624"/>
    <cellStyle name="Obliczenia 2 5 41" xfId="25625"/>
    <cellStyle name="Obliczenia 2 5 41 2" xfId="25626"/>
    <cellStyle name="Obliczenia 2 5 41 3" xfId="25627"/>
    <cellStyle name="Obliczenia 2 5 42" xfId="25628"/>
    <cellStyle name="Obliczenia 2 5 42 2" xfId="25629"/>
    <cellStyle name="Obliczenia 2 5 42 3" xfId="25630"/>
    <cellStyle name="Obliczenia 2 5 43" xfId="25631"/>
    <cellStyle name="Obliczenia 2 5 43 2" xfId="25632"/>
    <cellStyle name="Obliczenia 2 5 43 3" xfId="25633"/>
    <cellStyle name="Obliczenia 2 5 44" xfId="25634"/>
    <cellStyle name="Obliczenia 2 5 44 2" xfId="25635"/>
    <cellStyle name="Obliczenia 2 5 44 3" xfId="25636"/>
    <cellStyle name="Obliczenia 2 5 45" xfId="25637"/>
    <cellStyle name="Obliczenia 2 5 45 2" xfId="25638"/>
    <cellStyle name="Obliczenia 2 5 45 3" xfId="25639"/>
    <cellStyle name="Obliczenia 2 5 46" xfId="25640"/>
    <cellStyle name="Obliczenia 2 5 46 2" xfId="25641"/>
    <cellStyle name="Obliczenia 2 5 46 3" xfId="25642"/>
    <cellStyle name="Obliczenia 2 5 47" xfId="25643"/>
    <cellStyle name="Obliczenia 2 5 47 2" xfId="25644"/>
    <cellStyle name="Obliczenia 2 5 47 3" xfId="25645"/>
    <cellStyle name="Obliczenia 2 5 48" xfId="25646"/>
    <cellStyle name="Obliczenia 2 5 48 2" xfId="25647"/>
    <cellStyle name="Obliczenia 2 5 48 3" xfId="25648"/>
    <cellStyle name="Obliczenia 2 5 49" xfId="25649"/>
    <cellStyle name="Obliczenia 2 5 49 2" xfId="25650"/>
    <cellStyle name="Obliczenia 2 5 49 3" xfId="25651"/>
    <cellStyle name="Obliczenia 2 5 5" xfId="25652"/>
    <cellStyle name="Obliczenia 2 5 5 2" xfId="25653"/>
    <cellStyle name="Obliczenia 2 5 5 3" xfId="25654"/>
    <cellStyle name="Obliczenia 2 5 5 4" xfId="25655"/>
    <cellStyle name="Obliczenia 2 5 50" xfId="25656"/>
    <cellStyle name="Obliczenia 2 5 50 2" xfId="25657"/>
    <cellStyle name="Obliczenia 2 5 50 3" xfId="25658"/>
    <cellStyle name="Obliczenia 2 5 51" xfId="25659"/>
    <cellStyle name="Obliczenia 2 5 51 2" xfId="25660"/>
    <cellStyle name="Obliczenia 2 5 51 3" xfId="25661"/>
    <cellStyle name="Obliczenia 2 5 52" xfId="25662"/>
    <cellStyle name="Obliczenia 2 5 52 2" xfId="25663"/>
    <cellStyle name="Obliczenia 2 5 52 3" xfId="25664"/>
    <cellStyle name="Obliczenia 2 5 53" xfId="25665"/>
    <cellStyle name="Obliczenia 2 5 53 2" xfId="25666"/>
    <cellStyle name="Obliczenia 2 5 53 3" xfId="25667"/>
    <cellStyle name="Obliczenia 2 5 54" xfId="25668"/>
    <cellStyle name="Obliczenia 2 5 54 2" xfId="25669"/>
    <cellStyle name="Obliczenia 2 5 54 3" xfId="25670"/>
    <cellStyle name="Obliczenia 2 5 55" xfId="25671"/>
    <cellStyle name="Obliczenia 2 5 55 2" xfId="25672"/>
    <cellStyle name="Obliczenia 2 5 55 3" xfId="25673"/>
    <cellStyle name="Obliczenia 2 5 56" xfId="25674"/>
    <cellStyle name="Obliczenia 2 5 56 2" xfId="25675"/>
    <cellStyle name="Obliczenia 2 5 56 3" xfId="25676"/>
    <cellStyle name="Obliczenia 2 5 57" xfId="25677"/>
    <cellStyle name="Obliczenia 2 5 58" xfId="25678"/>
    <cellStyle name="Obliczenia 2 5 6" xfId="25679"/>
    <cellStyle name="Obliczenia 2 5 6 2" xfId="25680"/>
    <cellStyle name="Obliczenia 2 5 6 3" xfId="25681"/>
    <cellStyle name="Obliczenia 2 5 6 4" xfId="25682"/>
    <cellStyle name="Obliczenia 2 5 7" xfId="25683"/>
    <cellStyle name="Obliczenia 2 5 7 2" xfId="25684"/>
    <cellStyle name="Obliczenia 2 5 7 3" xfId="25685"/>
    <cellStyle name="Obliczenia 2 5 7 4" xfId="25686"/>
    <cellStyle name="Obliczenia 2 5 8" xfId="25687"/>
    <cellStyle name="Obliczenia 2 5 8 2" xfId="25688"/>
    <cellStyle name="Obliczenia 2 5 8 3" xfId="25689"/>
    <cellStyle name="Obliczenia 2 5 8 4" xfId="25690"/>
    <cellStyle name="Obliczenia 2 5 9" xfId="25691"/>
    <cellStyle name="Obliczenia 2 5 9 2" xfId="25692"/>
    <cellStyle name="Obliczenia 2 5 9 3" xfId="25693"/>
    <cellStyle name="Obliczenia 2 5 9 4" xfId="25694"/>
    <cellStyle name="Obliczenia 2 50" xfId="25695"/>
    <cellStyle name="Obliczenia 2 50 2" xfId="25696"/>
    <cellStyle name="Obliczenia 2 50 3" xfId="25697"/>
    <cellStyle name="Obliczenia 2 50 4" xfId="25698"/>
    <cellStyle name="Obliczenia 2 51" xfId="25699"/>
    <cellStyle name="Obliczenia 2 51 2" xfId="25700"/>
    <cellStyle name="Obliczenia 2 51 3" xfId="25701"/>
    <cellStyle name="Obliczenia 2 51 4" xfId="25702"/>
    <cellStyle name="Obliczenia 2 52" xfId="25703"/>
    <cellStyle name="Obliczenia 2 52 2" xfId="25704"/>
    <cellStyle name="Obliczenia 2 52 3" xfId="25705"/>
    <cellStyle name="Obliczenia 2 52 4" xfId="25706"/>
    <cellStyle name="Obliczenia 2 53" xfId="25707"/>
    <cellStyle name="Obliczenia 2 53 2" xfId="25708"/>
    <cellStyle name="Obliczenia 2 53 3" xfId="25709"/>
    <cellStyle name="Obliczenia 2 53 4" xfId="25710"/>
    <cellStyle name="Obliczenia 2 54" xfId="25711"/>
    <cellStyle name="Obliczenia 2 54 2" xfId="25712"/>
    <cellStyle name="Obliczenia 2 54 3" xfId="25713"/>
    <cellStyle name="Obliczenia 2 54 4" xfId="25714"/>
    <cellStyle name="Obliczenia 2 55" xfId="25715"/>
    <cellStyle name="Obliczenia 2 55 2" xfId="25716"/>
    <cellStyle name="Obliczenia 2 55 3" xfId="25717"/>
    <cellStyle name="Obliczenia 2 55 4" xfId="25718"/>
    <cellStyle name="Obliczenia 2 56" xfId="25719"/>
    <cellStyle name="Obliczenia 2 56 2" xfId="25720"/>
    <cellStyle name="Obliczenia 2 56 3" xfId="25721"/>
    <cellStyle name="Obliczenia 2 56 4" xfId="25722"/>
    <cellStyle name="Obliczenia 2 57" xfId="25723"/>
    <cellStyle name="Obliczenia 2 57 2" xfId="25724"/>
    <cellStyle name="Obliczenia 2 57 3" xfId="25725"/>
    <cellStyle name="Obliczenia 2 57 4" xfId="25726"/>
    <cellStyle name="Obliczenia 2 58" xfId="25727"/>
    <cellStyle name="Obliczenia 2 58 2" xfId="25728"/>
    <cellStyle name="Obliczenia 2 58 3" xfId="25729"/>
    <cellStyle name="Obliczenia 2 58 4" xfId="25730"/>
    <cellStyle name="Obliczenia 2 59" xfId="25731"/>
    <cellStyle name="Obliczenia 2 59 2" xfId="25732"/>
    <cellStyle name="Obliczenia 2 59 3" xfId="25733"/>
    <cellStyle name="Obliczenia 2 59 4" xfId="25734"/>
    <cellStyle name="Obliczenia 2 6" xfId="25735"/>
    <cellStyle name="Obliczenia 2 6 10" xfId="25736"/>
    <cellStyle name="Obliczenia 2 6 10 2" xfId="25737"/>
    <cellStyle name="Obliczenia 2 6 10 3" xfId="25738"/>
    <cellStyle name="Obliczenia 2 6 10 4" xfId="25739"/>
    <cellStyle name="Obliczenia 2 6 11" xfId="25740"/>
    <cellStyle name="Obliczenia 2 6 11 2" xfId="25741"/>
    <cellStyle name="Obliczenia 2 6 11 3" xfId="25742"/>
    <cellStyle name="Obliczenia 2 6 11 4" xfId="25743"/>
    <cellStyle name="Obliczenia 2 6 12" xfId="25744"/>
    <cellStyle name="Obliczenia 2 6 12 2" xfId="25745"/>
    <cellStyle name="Obliczenia 2 6 12 3" xfId="25746"/>
    <cellStyle name="Obliczenia 2 6 12 4" xfId="25747"/>
    <cellStyle name="Obliczenia 2 6 13" xfId="25748"/>
    <cellStyle name="Obliczenia 2 6 13 2" xfId="25749"/>
    <cellStyle name="Obliczenia 2 6 13 3" xfId="25750"/>
    <cellStyle name="Obliczenia 2 6 13 4" xfId="25751"/>
    <cellStyle name="Obliczenia 2 6 14" xfId="25752"/>
    <cellStyle name="Obliczenia 2 6 14 2" xfId="25753"/>
    <cellStyle name="Obliczenia 2 6 14 3" xfId="25754"/>
    <cellStyle name="Obliczenia 2 6 14 4" xfId="25755"/>
    <cellStyle name="Obliczenia 2 6 15" xfId="25756"/>
    <cellStyle name="Obliczenia 2 6 15 2" xfId="25757"/>
    <cellStyle name="Obliczenia 2 6 15 3" xfId="25758"/>
    <cellStyle name="Obliczenia 2 6 15 4" xfId="25759"/>
    <cellStyle name="Obliczenia 2 6 16" xfId="25760"/>
    <cellStyle name="Obliczenia 2 6 16 2" xfId="25761"/>
    <cellStyle name="Obliczenia 2 6 16 3" xfId="25762"/>
    <cellStyle name="Obliczenia 2 6 16 4" xfId="25763"/>
    <cellStyle name="Obliczenia 2 6 17" xfId="25764"/>
    <cellStyle name="Obliczenia 2 6 17 2" xfId="25765"/>
    <cellStyle name="Obliczenia 2 6 17 3" xfId="25766"/>
    <cellStyle name="Obliczenia 2 6 17 4" xfId="25767"/>
    <cellStyle name="Obliczenia 2 6 18" xfId="25768"/>
    <cellStyle name="Obliczenia 2 6 18 2" xfId="25769"/>
    <cellStyle name="Obliczenia 2 6 18 3" xfId="25770"/>
    <cellStyle name="Obliczenia 2 6 18 4" xfId="25771"/>
    <cellStyle name="Obliczenia 2 6 19" xfId="25772"/>
    <cellStyle name="Obliczenia 2 6 19 2" xfId="25773"/>
    <cellStyle name="Obliczenia 2 6 19 3" xfId="25774"/>
    <cellStyle name="Obliczenia 2 6 19 4" xfId="25775"/>
    <cellStyle name="Obliczenia 2 6 2" xfId="25776"/>
    <cellStyle name="Obliczenia 2 6 2 2" xfId="25777"/>
    <cellStyle name="Obliczenia 2 6 2 3" xfId="25778"/>
    <cellStyle name="Obliczenia 2 6 2 4" xfId="25779"/>
    <cellStyle name="Obliczenia 2 6 20" xfId="25780"/>
    <cellStyle name="Obliczenia 2 6 20 2" xfId="25781"/>
    <cellStyle name="Obliczenia 2 6 20 3" xfId="25782"/>
    <cellStyle name="Obliczenia 2 6 20 4" xfId="25783"/>
    <cellStyle name="Obliczenia 2 6 21" xfId="25784"/>
    <cellStyle name="Obliczenia 2 6 21 2" xfId="25785"/>
    <cellStyle name="Obliczenia 2 6 21 3" xfId="25786"/>
    <cellStyle name="Obliczenia 2 6 22" xfId="25787"/>
    <cellStyle name="Obliczenia 2 6 22 2" xfId="25788"/>
    <cellStyle name="Obliczenia 2 6 22 3" xfId="25789"/>
    <cellStyle name="Obliczenia 2 6 23" xfId="25790"/>
    <cellStyle name="Obliczenia 2 6 23 2" xfId="25791"/>
    <cellStyle name="Obliczenia 2 6 23 3" xfId="25792"/>
    <cellStyle name="Obliczenia 2 6 24" xfId="25793"/>
    <cellStyle name="Obliczenia 2 6 24 2" xfId="25794"/>
    <cellStyle name="Obliczenia 2 6 24 3" xfId="25795"/>
    <cellStyle name="Obliczenia 2 6 25" xfId="25796"/>
    <cellStyle name="Obliczenia 2 6 25 2" xfId="25797"/>
    <cellStyle name="Obliczenia 2 6 25 3" xfId="25798"/>
    <cellStyle name="Obliczenia 2 6 26" xfId="25799"/>
    <cellStyle name="Obliczenia 2 6 26 2" xfId="25800"/>
    <cellStyle name="Obliczenia 2 6 26 3" xfId="25801"/>
    <cellStyle name="Obliczenia 2 6 27" xfId="25802"/>
    <cellStyle name="Obliczenia 2 6 27 2" xfId="25803"/>
    <cellStyle name="Obliczenia 2 6 27 3" xfId="25804"/>
    <cellStyle name="Obliczenia 2 6 28" xfId="25805"/>
    <cellStyle name="Obliczenia 2 6 28 2" xfId="25806"/>
    <cellStyle name="Obliczenia 2 6 28 3" xfId="25807"/>
    <cellStyle name="Obliczenia 2 6 29" xfId="25808"/>
    <cellStyle name="Obliczenia 2 6 29 2" xfId="25809"/>
    <cellStyle name="Obliczenia 2 6 29 3" xfId="25810"/>
    <cellStyle name="Obliczenia 2 6 3" xfId="25811"/>
    <cellStyle name="Obliczenia 2 6 3 2" xfId="25812"/>
    <cellStyle name="Obliczenia 2 6 3 3" xfId="25813"/>
    <cellStyle name="Obliczenia 2 6 3 4" xfId="25814"/>
    <cellStyle name="Obliczenia 2 6 30" xfId="25815"/>
    <cellStyle name="Obliczenia 2 6 30 2" xfId="25816"/>
    <cellStyle name="Obliczenia 2 6 30 3" xfId="25817"/>
    <cellStyle name="Obliczenia 2 6 31" xfId="25818"/>
    <cellStyle name="Obliczenia 2 6 31 2" xfId="25819"/>
    <cellStyle name="Obliczenia 2 6 31 3" xfId="25820"/>
    <cellStyle name="Obliczenia 2 6 32" xfId="25821"/>
    <cellStyle name="Obliczenia 2 6 32 2" xfId="25822"/>
    <cellStyle name="Obliczenia 2 6 32 3" xfId="25823"/>
    <cellStyle name="Obliczenia 2 6 33" xfId="25824"/>
    <cellStyle name="Obliczenia 2 6 33 2" xfId="25825"/>
    <cellStyle name="Obliczenia 2 6 33 3" xfId="25826"/>
    <cellStyle name="Obliczenia 2 6 34" xfId="25827"/>
    <cellStyle name="Obliczenia 2 6 34 2" xfId="25828"/>
    <cellStyle name="Obliczenia 2 6 34 3" xfId="25829"/>
    <cellStyle name="Obliczenia 2 6 35" xfId="25830"/>
    <cellStyle name="Obliczenia 2 6 35 2" xfId="25831"/>
    <cellStyle name="Obliczenia 2 6 35 3" xfId="25832"/>
    <cellStyle name="Obliczenia 2 6 36" xfId="25833"/>
    <cellStyle name="Obliczenia 2 6 36 2" xfId="25834"/>
    <cellStyle name="Obliczenia 2 6 36 3" xfId="25835"/>
    <cellStyle name="Obliczenia 2 6 37" xfId="25836"/>
    <cellStyle name="Obliczenia 2 6 37 2" xfId="25837"/>
    <cellStyle name="Obliczenia 2 6 37 3" xfId="25838"/>
    <cellStyle name="Obliczenia 2 6 38" xfId="25839"/>
    <cellStyle name="Obliczenia 2 6 38 2" xfId="25840"/>
    <cellStyle name="Obliczenia 2 6 38 3" xfId="25841"/>
    <cellStyle name="Obliczenia 2 6 39" xfId="25842"/>
    <cellStyle name="Obliczenia 2 6 39 2" xfId="25843"/>
    <cellStyle name="Obliczenia 2 6 39 3" xfId="25844"/>
    <cellStyle name="Obliczenia 2 6 4" xfId="25845"/>
    <cellStyle name="Obliczenia 2 6 4 2" xfId="25846"/>
    <cellStyle name="Obliczenia 2 6 4 3" xfId="25847"/>
    <cellStyle name="Obliczenia 2 6 4 4" xfId="25848"/>
    <cellStyle name="Obliczenia 2 6 40" xfId="25849"/>
    <cellStyle name="Obliczenia 2 6 40 2" xfId="25850"/>
    <cellStyle name="Obliczenia 2 6 40 3" xfId="25851"/>
    <cellStyle name="Obliczenia 2 6 41" xfId="25852"/>
    <cellStyle name="Obliczenia 2 6 41 2" xfId="25853"/>
    <cellStyle name="Obliczenia 2 6 41 3" xfId="25854"/>
    <cellStyle name="Obliczenia 2 6 42" xfId="25855"/>
    <cellStyle name="Obliczenia 2 6 42 2" xfId="25856"/>
    <cellStyle name="Obliczenia 2 6 42 3" xfId="25857"/>
    <cellStyle name="Obliczenia 2 6 43" xfId="25858"/>
    <cellStyle name="Obliczenia 2 6 43 2" xfId="25859"/>
    <cellStyle name="Obliczenia 2 6 43 3" xfId="25860"/>
    <cellStyle name="Obliczenia 2 6 44" xfId="25861"/>
    <cellStyle name="Obliczenia 2 6 44 2" xfId="25862"/>
    <cellStyle name="Obliczenia 2 6 44 3" xfId="25863"/>
    <cellStyle name="Obliczenia 2 6 45" xfId="25864"/>
    <cellStyle name="Obliczenia 2 6 45 2" xfId="25865"/>
    <cellStyle name="Obliczenia 2 6 45 3" xfId="25866"/>
    <cellStyle name="Obliczenia 2 6 46" xfId="25867"/>
    <cellStyle name="Obliczenia 2 6 46 2" xfId="25868"/>
    <cellStyle name="Obliczenia 2 6 46 3" xfId="25869"/>
    <cellStyle name="Obliczenia 2 6 47" xfId="25870"/>
    <cellStyle name="Obliczenia 2 6 47 2" xfId="25871"/>
    <cellStyle name="Obliczenia 2 6 47 3" xfId="25872"/>
    <cellStyle name="Obliczenia 2 6 48" xfId="25873"/>
    <cellStyle name="Obliczenia 2 6 48 2" xfId="25874"/>
    <cellStyle name="Obliczenia 2 6 48 3" xfId="25875"/>
    <cellStyle name="Obliczenia 2 6 49" xfId="25876"/>
    <cellStyle name="Obliczenia 2 6 49 2" xfId="25877"/>
    <cellStyle name="Obliczenia 2 6 49 3" xfId="25878"/>
    <cellStyle name="Obliczenia 2 6 5" xfId="25879"/>
    <cellStyle name="Obliczenia 2 6 5 2" xfId="25880"/>
    <cellStyle name="Obliczenia 2 6 5 3" xfId="25881"/>
    <cellStyle name="Obliczenia 2 6 5 4" xfId="25882"/>
    <cellStyle name="Obliczenia 2 6 50" xfId="25883"/>
    <cellStyle name="Obliczenia 2 6 50 2" xfId="25884"/>
    <cellStyle name="Obliczenia 2 6 50 3" xfId="25885"/>
    <cellStyle name="Obliczenia 2 6 51" xfId="25886"/>
    <cellStyle name="Obliczenia 2 6 51 2" xfId="25887"/>
    <cellStyle name="Obliczenia 2 6 51 3" xfId="25888"/>
    <cellStyle name="Obliczenia 2 6 52" xfId="25889"/>
    <cellStyle name="Obliczenia 2 6 52 2" xfId="25890"/>
    <cellStyle name="Obliczenia 2 6 52 3" xfId="25891"/>
    <cellStyle name="Obliczenia 2 6 53" xfId="25892"/>
    <cellStyle name="Obliczenia 2 6 53 2" xfId="25893"/>
    <cellStyle name="Obliczenia 2 6 53 3" xfId="25894"/>
    <cellStyle name="Obliczenia 2 6 54" xfId="25895"/>
    <cellStyle name="Obliczenia 2 6 54 2" xfId="25896"/>
    <cellStyle name="Obliczenia 2 6 54 3" xfId="25897"/>
    <cellStyle name="Obliczenia 2 6 55" xfId="25898"/>
    <cellStyle name="Obliczenia 2 6 55 2" xfId="25899"/>
    <cellStyle name="Obliczenia 2 6 55 3" xfId="25900"/>
    <cellStyle name="Obliczenia 2 6 56" xfId="25901"/>
    <cellStyle name="Obliczenia 2 6 56 2" xfId="25902"/>
    <cellStyle name="Obliczenia 2 6 56 3" xfId="25903"/>
    <cellStyle name="Obliczenia 2 6 57" xfId="25904"/>
    <cellStyle name="Obliczenia 2 6 58" xfId="25905"/>
    <cellStyle name="Obliczenia 2 6 6" xfId="25906"/>
    <cellStyle name="Obliczenia 2 6 6 2" xfId="25907"/>
    <cellStyle name="Obliczenia 2 6 6 3" xfId="25908"/>
    <cellStyle name="Obliczenia 2 6 6 4" xfId="25909"/>
    <cellStyle name="Obliczenia 2 6 7" xfId="25910"/>
    <cellStyle name="Obliczenia 2 6 7 2" xfId="25911"/>
    <cellStyle name="Obliczenia 2 6 7 3" xfId="25912"/>
    <cellStyle name="Obliczenia 2 6 7 4" xfId="25913"/>
    <cellStyle name="Obliczenia 2 6 8" xfId="25914"/>
    <cellStyle name="Obliczenia 2 6 8 2" xfId="25915"/>
    <cellStyle name="Obliczenia 2 6 8 3" xfId="25916"/>
    <cellStyle name="Obliczenia 2 6 8 4" xfId="25917"/>
    <cellStyle name="Obliczenia 2 6 9" xfId="25918"/>
    <cellStyle name="Obliczenia 2 6 9 2" xfId="25919"/>
    <cellStyle name="Obliczenia 2 6 9 3" xfId="25920"/>
    <cellStyle name="Obliczenia 2 6 9 4" xfId="25921"/>
    <cellStyle name="Obliczenia 2 60" xfId="25922"/>
    <cellStyle name="Obliczenia 2 60 2" xfId="25923"/>
    <cellStyle name="Obliczenia 2 60 3" xfId="25924"/>
    <cellStyle name="Obliczenia 2 60 4" xfId="25925"/>
    <cellStyle name="Obliczenia 2 61" xfId="25926"/>
    <cellStyle name="Obliczenia 2 61 2" xfId="25927"/>
    <cellStyle name="Obliczenia 2 61 3" xfId="25928"/>
    <cellStyle name="Obliczenia 2 61 4" xfId="25929"/>
    <cellStyle name="Obliczenia 2 62" xfId="25930"/>
    <cellStyle name="Obliczenia 2 62 2" xfId="25931"/>
    <cellStyle name="Obliczenia 2 62 3" xfId="25932"/>
    <cellStyle name="Obliczenia 2 62 4" xfId="25933"/>
    <cellStyle name="Obliczenia 2 63" xfId="25934"/>
    <cellStyle name="Obliczenia 2 63 2" xfId="25935"/>
    <cellStyle name="Obliczenia 2 63 3" xfId="25936"/>
    <cellStyle name="Obliczenia 2 63 4" xfId="25937"/>
    <cellStyle name="Obliczenia 2 64" xfId="25938"/>
    <cellStyle name="Obliczenia 2 64 2" xfId="25939"/>
    <cellStyle name="Obliczenia 2 64 3" xfId="25940"/>
    <cellStyle name="Obliczenia 2 64 4" xfId="25941"/>
    <cellStyle name="Obliczenia 2 65" xfId="25942"/>
    <cellStyle name="Obliczenia 2 65 2" xfId="25943"/>
    <cellStyle name="Obliczenia 2 65 3" xfId="25944"/>
    <cellStyle name="Obliczenia 2 65 4" xfId="25945"/>
    <cellStyle name="Obliczenia 2 66" xfId="25946"/>
    <cellStyle name="Obliczenia 2 66 2" xfId="25947"/>
    <cellStyle name="Obliczenia 2 66 3" xfId="25948"/>
    <cellStyle name="Obliczenia 2 66 4" xfId="25949"/>
    <cellStyle name="Obliczenia 2 67" xfId="25950"/>
    <cellStyle name="Obliczenia 2 67 2" xfId="25951"/>
    <cellStyle name="Obliczenia 2 67 3" xfId="25952"/>
    <cellStyle name="Obliczenia 2 68" xfId="25953"/>
    <cellStyle name="Obliczenia 2 68 2" xfId="25954"/>
    <cellStyle name="Obliczenia 2 68 3" xfId="25955"/>
    <cellStyle name="Obliczenia 2 69" xfId="25956"/>
    <cellStyle name="Obliczenia 2 69 2" xfId="25957"/>
    <cellStyle name="Obliczenia 2 69 3" xfId="25958"/>
    <cellStyle name="Obliczenia 2 7" xfId="25959"/>
    <cellStyle name="Obliczenia 2 7 10" xfId="25960"/>
    <cellStyle name="Obliczenia 2 7 10 2" xfId="25961"/>
    <cellStyle name="Obliczenia 2 7 10 3" xfId="25962"/>
    <cellStyle name="Obliczenia 2 7 10 4" xfId="25963"/>
    <cellStyle name="Obliczenia 2 7 11" xfId="25964"/>
    <cellStyle name="Obliczenia 2 7 11 2" xfId="25965"/>
    <cellStyle name="Obliczenia 2 7 11 3" xfId="25966"/>
    <cellStyle name="Obliczenia 2 7 11 4" xfId="25967"/>
    <cellStyle name="Obliczenia 2 7 12" xfId="25968"/>
    <cellStyle name="Obliczenia 2 7 12 2" xfId="25969"/>
    <cellStyle name="Obliczenia 2 7 12 3" xfId="25970"/>
    <cellStyle name="Obliczenia 2 7 12 4" xfId="25971"/>
    <cellStyle name="Obliczenia 2 7 13" xfId="25972"/>
    <cellStyle name="Obliczenia 2 7 13 2" xfId="25973"/>
    <cellStyle name="Obliczenia 2 7 13 3" xfId="25974"/>
    <cellStyle name="Obliczenia 2 7 13 4" xfId="25975"/>
    <cellStyle name="Obliczenia 2 7 14" xfId="25976"/>
    <cellStyle name="Obliczenia 2 7 14 2" xfId="25977"/>
    <cellStyle name="Obliczenia 2 7 14 3" xfId="25978"/>
    <cellStyle name="Obliczenia 2 7 14 4" xfId="25979"/>
    <cellStyle name="Obliczenia 2 7 15" xfId="25980"/>
    <cellStyle name="Obliczenia 2 7 15 2" xfId="25981"/>
    <cellStyle name="Obliczenia 2 7 15 3" xfId="25982"/>
    <cellStyle name="Obliczenia 2 7 15 4" xfId="25983"/>
    <cellStyle name="Obliczenia 2 7 16" xfId="25984"/>
    <cellStyle name="Obliczenia 2 7 16 2" xfId="25985"/>
    <cellStyle name="Obliczenia 2 7 16 3" xfId="25986"/>
    <cellStyle name="Obliczenia 2 7 16 4" xfId="25987"/>
    <cellStyle name="Obliczenia 2 7 17" xfId="25988"/>
    <cellStyle name="Obliczenia 2 7 17 2" xfId="25989"/>
    <cellStyle name="Obliczenia 2 7 17 3" xfId="25990"/>
    <cellStyle name="Obliczenia 2 7 17 4" xfId="25991"/>
    <cellStyle name="Obliczenia 2 7 18" xfId="25992"/>
    <cellStyle name="Obliczenia 2 7 18 2" xfId="25993"/>
    <cellStyle name="Obliczenia 2 7 18 3" xfId="25994"/>
    <cellStyle name="Obliczenia 2 7 18 4" xfId="25995"/>
    <cellStyle name="Obliczenia 2 7 19" xfId="25996"/>
    <cellStyle name="Obliczenia 2 7 19 2" xfId="25997"/>
    <cellStyle name="Obliczenia 2 7 19 3" xfId="25998"/>
    <cellStyle name="Obliczenia 2 7 19 4" xfId="25999"/>
    <cellStyle name="Obliczenia 2 7 2" xfId="26000"/>
    <cellStyle name="Obliczenia 2 7 2 2" xfId="26001"/>
    <cellStyle name="Obliczenia 2 7 2 3" xfId="26002"/>
    <cellStyle name="Obliczenia 2 7 2 4" xfId="26003"/>
    <cellStyle name="Obliczenia 2 7 20" xfId="26004"/>
    <cellStyle name="Obliczenia 2 7 20 2" xfId="26005"/>
    <cellStyle name="Obliczenia 2 7 20 3" xfId="26006"/>
    <cellStyle name="Obliczenia 2 7 20 4" xfId="26007"/>
    <cellStyle name="Obliczenia 2 7 21" xfId="26008"/>
    <cellStyle name="Obliczenia 2 7 21 2" xfId="26009"/>
    <cellStyle name="Obliczenia 2 7 21 3" xfId="26010"/>
    <cellStyle name="Obliczenia 2 7 22" xfId="26011"/>
    <cellStyle name="Obliczenia 2 7 22 2" xfId="26012"/>
    <cellStyle name="Obliczenia 2 7 22 3" xfId="26013"/>
    <cellStyle name="Obliczenia 2 7 23" xfId="26014"/>
    <cellStyle name="Obliczenia 2 7 23 2" xfId="26015"/>
    <cellStyle name="Obliczenia 2 7 23 3" xfId="26016"/>
    <cellStyle name="Obliczenia 2 7 24" xfId="26017"/>
    <cellStyle name="Obliczenia 2 7 24 2" xfId="26018"/>
    <cellStyle name="Obliczenia 2 7 24 3" xfId="26019"/>
    <cellStyle name="Obliczenia 2 7 25" xfId="26020"/>
    <cellStyle name="Obliczenia 2 7 25 2" xfId="26021"/>
    <cellStyle name="Obliczenia 2 7 25 3" xfId="26022"/>
    <cellStyle name="Obliczenia 2 7 26" xfId="26023"/>
    <cellStyle name="Obliczenia 2 7 26 2" xfId="26024"/>
    <cellStyle name="Obliczenia 2 7 26 3" xfId="26025"/>
    <cellStyle name="Obliczenia 2 7 27" xfId="26026"/>
    <cellStyle name="Obliczenia 2 7 27 2" xfId="26027"/>
    <cellStyle name="Obliczenia 2 7 27 3" xfId="26028"/>
    <cellStyle name="Obliczenia 2 7 28" xfId="26029"/>
    <cellStyle name="Obliczenia 2 7 28 2" xfId="26030"/>
    <cellStyle name="Obliczenia 2 7 28 3" xfId="26031"/>
    <cellStyle name="Obliczenia 2 7 29" xfId="26032"/>
    <cellStyle name="Obliczenia 2 7 29 2" xfId="26033"/>
    <cellStyle name="Obliczenia 2 7 29 3" xfId="26034"/>
    <cellStyle name="Obliczenia 2 7 3" xfId="26035"/>
    <cellStyle name="Obliczenia 2 7 3 2" xfId="26036"/>
    <cellStyle name="Obliczenia 2 7 3 3" xfId="26037"/>
    <cellStyle name="Obliczenia 2 7 3 4" xfId="26038"/>
    <cellStyle name="Obliczenia 2 7 30" xfId="26039"/>
    <cellStyle name="Obliczenia 2 7 30 2" xfId="26040"/>
    <cellStyle name="Obliczenia 2 7 30 3" xfId="26041"/>
    <cellStyle name="Obliczenia 2 7 31" xfId="26042"/>
    <cellStyle name="Obliczenia 2 7 31 2" xfId="26043"/>
    <cellStyle name="Obliczenia 2 7 31 3" xfId="26044"/>
    <cellStyle name="Obliczenia 2 7 32" xfId="26045"/>
    <cellStyle name="Obliczenia 2 7 32 2" xfId="26046"/>
    <cellStyle name="Obliczenia 2 7 32 3" xfId="26047"/>
    <cellStyle name="Obliczenia 2 7 33" xfId="26048"/>
    <cellStyle name="Obliczenia 2 7 33 2" xfId="26049"/>
    <cellStyle name="Obliczenia 2 7 33 3" xfId="26050"/>
    <cellStyle name="Obliczenia 2 7 34" xfId="26051"/>
    <cellStyle name="Obliczenia 2 7 34 2" xfId="26052"/>
    <cellStyle name="Obliczenia 2 7 34 3" xfId="26053"/>
    <cellStyle name="Obliczenia 2 7 35" xfId="26054"/>
    <cellStyle name="Obliczenia 2 7 35 2" xfId="26055"/>
    <cellStyle name="Obliczenia 2 7 35 3" xfId="26056"/>
    <cellStyle name="Obliczenia 2 7 36" xfId="26057"/>
    <cellStyle name="Obliczenia 2 7 36 2" xfId="26058"/>
    <cellStyle name="Obliczenia 2 7 36 3" xfId="26059"/>
    <cellStyle name="Obliczenia 2 7 37" xfId="26060"/>
    <cellStyle name="Obliczenia 2 7 37 2" xfId="26061"/>
    <cellStyle name="Obliczenia 2 7 37 3" xfId="26062"/>
    <cellStyle name="Obliczenia 2 7 38" xfId="26063"/>
    <cellStyle name="Obliczenia 2 7 38 2" xfId="26064"/>
    <cellStyle name="Obliczenia 2 7 38 3" xfId="26065"/>
    <cellStyle name="Obliczenia 2 7 39" xfId="26066"/>
    <cellStyle name="Obliczenia 2 7 39 2" xfId="26067"/>
    <cellStyle name="Obliczenia 2 7 39 3" xfId="26068"/>
    <cellStyle name="Obliczenia 2 7 4" xfId="26069"/>
    <cellStyle name="Obliczenia 2 7 4 2" xfId="26070"/>
    <cellStyle name="Obliczenia 2 7 4 3" xfId="26071"/>
    <cellStyle name="Obliczenia 2 7 4 4" xfId="26072"/>
    <cellStyle name="Obliczenia 2 7 40" xfId="26073"/>
    <cellStyle name="Obliczenia 2 7 40 2" xfId="26074"/>
    <cellStyle name="Obliczenia 2 7 40 3" xfId="26075"/>
    <cellStyle name="Obliczenia 2 7 41" xfId="26076"/>
    <cellStyle name="Obliczenia 2 7 41 2" xfId="26077"/>
    <cellStyle name="Obliczenia 2 7 41 3" xfId="26078"/>
    <cellStyle name="Obliczenia 2 7 42" xfId="26079"/>
    <cellStyle name="Obliczenia 2 7 42 2" xfId="26080"/>
    <cellStyle name="Obliczenia 2 7 42 3" xfId="26081"/>
    <cellStyle name="Obliczenia 2 7 43" xfId="26082"/>
    <cellStyle name="Obliczenia 2 7 43 2" xfId="26083"/>
    <cellStyle name="Obliczenia 2 7 43 3" xfId="26084"/>
    <cellStyle name="Obliczenia 2 7 44" xfId="26085"/>
    <cellStyle name="Obliczenia 2 7 44 2" xfId="26086"/>
    <cellStyle name="Obliczenia 2 7 44 3" xfId="26087"/>
    <cellStyle name="Obliczenia 2 7 45" xfId="26088"/>
    <cellStyle name="Obliczenia 2 7 45 2" xfId="26089"/>
    <cellStyle name="Obliczenia 2 7 45 3" xfId="26090"/>
    <cellStyle name="Obliczenia 2 7 46" xfId="26091"/>
    <cellStyle name="Obliczenia 2 7 46 2" xfId="26092"/>
    <cellStyle name="Obliczenia 2 7 46 3" xfId="26093"/>
    <cellStyle name="Obliczenia 2 7 47" xfId="26094"/>
    <cellStyle name="Obliczenia 2 7 47 2" xfId="26095"/>
    <cellStyle name="Obliczenia 2 7 47 3" xfId="26096"/>
    <cellStyle name="Obliczenia 2 7 48" xfId="26097"/>
    <cellStyle name="Obliczenia 2 7 48 2" xfId="26098"/>
    <cellStyle name="Obliczenia 2 7 48 3" xfId="26099"/>
    <cellStyle name="Obliczenia 2 7 49" xfId="26100"/>
    <cellStyle name="Obliczenia 2 7 49 2" xfId="26101"/>
    <cellStyle name="Obliczenia 2 7 49 3" xfId="26102"/>
    <cellStyle name="Obliczenia 2 7 5" xfId="26103"/>
    <cellStyle name="Obliczenia 2 7 5 2" xfId="26104"/>
    <cellStyle name="Obliczenia 2 7 5 3" xfId="26105"/>
    <cellStyle name="Obliczenia 2 7 5 4" xfId="26106"/>
    <cellStyle name="Obliczenia 2 7 50" xfId="26107"/>
    <cellStyle name="Obliczenia 2 7 50 2" xfId="26108"/>
    <cellStyle name="Obliczenia 2 7 50 3" xfId="26109"/>
    <cellStyle name="Obliczenia 2 7 51" xfId="26110"/>
    <cellStyle name="Obliczenia 2 7 51 2" xfId="26111"/>
    <cellStyle name="Obliczenia 2 7 51 3" xfId="26112"/>
    <cellStyle name="Obliczenia 2 7 52" xfId="26113"/>
    <cellStyle name="Obliczenia 2 7 52 2" xfId="26114"/>
    <cellStyle name="Obliczenia 2 7 52 3" xfId="26115"/>
    <cellStyle name="Obliczenia 2 7 53" xfId="26116"/>
    <cellStyle name="Obliczenia 2 7 53 2" xfId="26117"/>
    <cellStyle name="Obliczenia 2 7 53 3" xfId="26118"/>
    <cellStyle name="Obliczenia 2 7 54" xfId="26119"/>
    <cellStyle name="Obliczenia 2 7 54 2" xfId="26120"/>
    <cellStyle name="Obliczenia 2 7 54 3" xfId="26121"/>
    <cellStyle name="Obliczenia 2 7 55" xfId="26122"/>
    <cellStyle name="Obliczenia 2 7 55 2" xfId="26123"/>
    <cellStyle name="Obliczenia 2 7 55 3" xfId="26124"/>
    <cellStyle name="Obliczenia 2 7 56" xfId="26125"/>
    <cellStyle name="Obliczenia 2 7 56 2" xfId="26126"/>
    <cellStyle name="Obliczenia 2 7 56 3" xfId="26127"/>
    <cellStyle name="Obliczenia 2 7 57" xfId="26128"/>
    <cellStyle name="Obliczenia 2 7 58" xfId="26129"/>
    <cellStyle name="Obliczenia 2 7 6" xfId="26130"/>
    <cellStyle name="Obliczenia 2 7 6 2" xfId="26131"/>
    <cellStyle name="Obliczenia 2 7 6 3" xfId="26132"/>
    <cellStyle name="Obliczenia 2 7 6 4" xfId="26133"/>
    <cellStyle name="Obliczenia 2 7 7" xfId="26134"/>
    <cellStyle name="Obliczenia 2 7 7 2" xfId="26135"/>
    <cellStyle name="Obliczenia 2 7 7 3" xfId="26136"/>
    <cellStyle name="Obliczenia 2 7 7 4" xfId="26137"/>
    <cellStyle name="Obliczenia 2 7 8" xfId="26138"/>
    <cellStyle name="Obliczenia 2 7 8 2" xfId="26139"/>
    <cellStyle name="Obliczenia 2 7 8 3" xfId="26140"/>
    <cellStyle name="Obliczenia 2 7 8 4" xfId="26141"/>
    <cellStyle name="Obliczenia 2 7 9" xfId="26142"/>
    <cellStyle name="Obliczenia 2 7 9 2" xfId="26143"/>
    <cellStyle name="Obliczenia 2 7 9 3" xfId="26144"/>
    <cellStyle name="Obliczenia 2 7 9 4" xfId="26145"/>
    <cellStyle name="Obliczenia 2 70" xfId="26146"/>
    <cellStyle name="Obliczenia 2 70 2" xfId="26147"/>
    <cellStyle name="Obliczenia 2 70 3" xfId="26148"/>
    <cellStyle name="Obliczenia 2 71" xfId="26149"/>
    <cellStyle name="Obliczenia 2 71 2" xfId="26150"/>
    <cellStyle name="Obliczenia 2 71 3" xfId="26151"/>
    <cellStyle name="Obliczenia 2 72" xfId="26152"/>
    <cellStyle name="Obliczenia 2 72 2" xfId="26153"/>
    <cellStyle name="Obliczenia 2 72 3" xfId="26154"/>
    <cellStyle name="Obliczenia 2 73" xfId="26155"/>
    <cellStyle name="Obliczenia 2 73 2" xfId="26156"/>
    <cellStyle name="Obliczenia 2 73 3" xfId="26157"/>
    <cellStyle name="Obliczenia 2 74" xfId="26158"/>
    <cellStyle name="Obliczenia 2 74 2" xfId="26159"/>
    <cellStyle name="Obliczenia 2 74 3" xfId="26160"/>
    <cellStyle name="Obliczenia 2 75" xfId="26161"/>
    <cellStyle name="Obliczenia 2 75 2" xfId="26162"/>
    <cellStyle name="Obliczenia 2 75 3" xfId="26163"/>
    <cellStyle name="Obliczenia 2 76" xfId="26164"/>
    <cellStyle name="Obliczenia 2 76 2" xfId="26165"/>
    <cellStyle name="Obliczenia 2 76 3" xfId="26166"/>
    <cellStyle name="Obliczenia 2 77" xfId="26167"/>
    <cellStyle name="Obliczenia 2 77 2" xfId="26168"/>
    <cellStyle name="Obliczenia 2 77 3" xfId="26169"/>
    <cellStyle name="Obliczenia 2 78" xfId="26170"/>
    <cellStyle name="Obliczenia 2 78 2" xfId="26171"/>
    <cellStyle name="Obliczenia 2 78 3" xfId="26172"/>
    <cellStyle name="Obliczenia 2 79" xfId="26173"/>
    <cellStyle name="Obliczenia 2 79 2" xfId="26174"/>
    <cellStyle name="Obliczenia 2 79 3" xfId="26175"/>
    <cellStyle name="Obliczenia 2 8" xfId="26176"/>
    <cellStyle name="Obliczenia 2 8 10" xfId="26177"/>
    <cellStyle name="Obliczenia 2 8 10 2" xfId="26178"/>
    <cellStyle name="Obliczenia 2 8 10 3" xfId="26179"/>
    <cellStyle name="Obliczenia 2 8 10 4" xfId="26180"/>
    <cellStyle name="Obliczenia 2 8 11" xfId="26181"/>
    <cellStyle name="Obliczenia 2 8 11 2" xfId="26182"/>
    <cellStyle name="Obliczenia 2 8 11 3" xfId="26183"/>
    <cellStyle name="Obliczenia 2 8 11 4" xfId="26184"/>
    <cellStyle name="Obliczenia 2 8 12" xfId="26185"/>
    <cellStyle name="Obliczenia 2 8 12 2" xfId="26186"/>
    <cellStyle name="Obliczenia 2 8 12 3" xfId="26187"/>
    <cellStyle name="Obliczenia 2 8 12 4" xfId="26188"/>
    <cellStyle name="Obliczenia 2 8 13" xfId="26189"/>
    <cellStyle name="Obliczenia 2 8 13 2" xfId="26190"/>
    <cellStyle name="Obliczenia 2 8 13 3" xfId="26191"/>
    <cellStyle name="Obliczenia 2 8 13 4" xfId="26192"/>
    <cellStyle name="Obliczenia 2 8 14" xfId="26193"/>
    <cellStyle name="Obliczenia 2 8 14 2" xfId="26194"/>
    <cellStyle name="Obliczenia 2 8 14 3" xfId="26195"/>
    <cellStyle name="Obliczenia 2 8 14 4" xfId="26196"/>
    <cellStyle name="Obliczenia 2 8 15" xfId="26197"/>
    <cellStyle name="Obliczenia 2 8 15 2" xfId="26198"/>
    <cellStyle name="Obliczenia 2 8 15 3" xfId="26199"/>
    <cellStyle name="Obliczenia 2 8 15 4" xfId="26200"/>
    <cellStyle name="Obliczenia 2 8 16" xfId="26201"/>
    <cellStyle name="Obliczenia 2 8 16 2" xfId="26202"/>
    <cellStyle name="Obliczenia 2 8 16 3" xfId="26203"/>
    <cellStyle name="Obliczenia 2 8 16 4" xfId="26204"/>
    <cellStyle name="Obliczenia 2 8 17" xfId="26205"/>
    <cellStyle name="Obliczenia 2 8 17 2" xfId="26206"/>
    <cellStyle name="Obliczenia 2 8 17 3" xfId="26207"/>
    <cellStyle name="Obliczenia 2 8 17 4" xfId="26208"/>
    <cellStyle name="Obliczenia 2 8 18" xfId="26209"/>
    <cellStyle name="Obliczenia 2 8 18 2" xfId="26210"/>
    <cellStyle name="Obliczenia 2 8 18 3" xfId="26211"/>
    <cellStyle name="Obliczenia 2 8 18 4" xfId="26212"/>
    <cellStyle name="Obliczenia 2 8 19" xfId="26213"/>
    <cellStyle name="Obliczenia 2 8 19 2" xfId="26214"/>
    <cellStyle name="Obliczenia 2 8 19 3" xfId="26215"/>
    <cellStyle name="Obliczenia 2 8 19 4" xfId="26216"/>
    <cellStyle name="Obliczenia 2 8 2" xfId="26217"/>
    <cellStyle name="Obliczenia 2 8 2 2" xfId="26218"/>
    <cellStyle name="Obliczenia 2 8 2 3" xfId="26219"/>
    <cellStyle name="Obliczenia 2 8 2 4" xfId="26220"/>
    <cellStyle name="Obliczenia 2 8 20" xfId="26221"/>
    <cellStyle name="Obliczenia 2 8 20 2" xfId="26222"/>
    <cellStyle name="Obliczenia 2 8 20 3" xfId="26223"/>
    <cellStyle name="Obliczenia 2 8 20 4" xfId="26224"/>
    <cellStyle name="Obliczenia 2 8 21" xfId="26225"/>
    <cellStyle name="Obliczenia 2 8 21 2" xfId="26226"/>
    <cellStyle name="Obliczenia 2 8 21 3" xfId="26227"/>
    <cellStyle name="Obliczenia 2 8 22" xfId="26228"/>
    <cellStyle name="Obliczenia 2 8 22 2" xfId="26229"/>
    <cellStyle name="Obliczenia 2 8 22 3" xfId="26230"/>
    <cellStyle name="Obliczenia 2 8 23" xfId="26231"/>
    <cellStyle name="Obliczenia 2 8 23 2" xfId="26232"/>
    <cellStyle name="Obliczenia 2 8 23 3" xfId="26233"/>
    <cellStyle name="Obliczenia 2 8 24" xfId="26234"/>
    <cellStyle name="Obliczenia 2 8 24 2" xfId="26235"/>
    <cellStyle name="Obliczenia 2 8 24 3" xfId="26236"/>
    <cellStyle name="Obliczenia 2 8 25" xfId="26237"/>
    <cellStyle name="Obliczenia 2 8 25 2" xfId="26238"/>
    <cellStyle name="Obliczenia 2 8 25 3" xfId="26239"/>
    <cellStyle name="Obliczenia 2 8 26" xfId="26240"/>
    <cellStyle name="Obliczenia 2 8 26 2" xfId="26241"/>
    <cellStyle name="Obliczenia 2 8 26 3" xfId="26242"/>
    <cellStyle name="Obliczenia 2 8 27" xfId="26243"/>
    <cellStyle name="Obliczenia 2 8 27 2" xfId="26244"/>
    <cellStyle name="Obliczenia 2 8 27 3" xfId="26245"/>
    <cellStyle name="Obliczenia 2 8 28" xfId="26246"/>
    <cellStyle name="Obliczenia 2 8 28 2" xfId="26247"/>
    <cellStyle name="Obliczenia 2 8 28 3" xfId="26248"/>
    <cellStyle name="Obliczenia 2 8 29" xfId="26249"/>
    <cellStyle name="Obliczenia 2 8 29 2" xfId="26250"/>
    <cellStyle name="Obliczenia 2 8 29 3" xfId="26251"/>
    <cellStyle name="Obliczenia 2 8 3" xfId="26252"/>
    <cellStyle name="Obliczenia 2 8 3 2" xfId="26253"/>
    <cellStyle name="Obliczenia 2 8 3 3" xfId="26254"/>
    <cellStyle name="Obliczenia 2 8 3 4" xfId="26255"/>
    <cellStyle name="Obliczenia 2 8 30" xfId="26256"/>
    <cellStyle name="Obliczenia 2 8 30 2" xfId="26257"/>
    <cellStyle name="Obliczenia 2 8 30 3" xfId="26258"/>
    <cellStyle name="Obliczenia 2 8 31" xfId="26259"/>
    <cellStyle name="Obliczenia 2 8 31 2" xfId="26260"/>
    <cellStyle name="Obliczenia 2 8 31 3" xfId="26261"/>
    <cellStyle name="Obliczenia 2 8 32" xfId="26262"/>
    <cellStyle name="Obliczenia 2 8 32 2" xfId="26263"/>
    <cellStyle name="Obliczenia 2 8 32 3" xfId="26264"/>
    <cellStyle name="Obliczenia 2 8 33" xfId="26265"/>
    <cellStyle name="Obliczenia 2 8 33 2" xfId="26266"/>
    <cellStyle name="Obliczenia 2 8 33 3" xfId="26267"/>
    <cellStyle name="Obliczenia 2 8 34" xfId="26268"/>
    <cellStyle name="Obliczenia 2 8 34 2" xfId="26269"/>
    <cellStyle name="Obliczenia 2 8 34 3" xfId="26270"/>
    <cellStyle name="Obliczenia 2 8 35" xfId="26271"/>
    <cellStyle name="Obliczenia 2 8 35 2" xfId="26272"/>
    <cellStyle name="Obliczenia 2 8 35 3" xfId="26273"/>
    <cellStyle name="Obliczenia 2 8 36" xfId="26274"/>
    <cellStyle name="Obliczenia 2 8 36 2" xfId="26275"/>
    <cellStyle name="Obliczenia 2 8 36 3" xfId="26276"/>
    <cellStyle name="Obliczenia 2 8 37" xfId="26277"/>
    <cellStyle name="Obliczenia 2 8 37 2" xfId="26278"/>
    <cellStyle name="Obliczenia 2 8 37 3" xfId="26279"/>
    <cellStyle name="Obliczenia 2 8 38" xfId="26280"/>
    <cellStyle name="Obliczenia 2 8 38 2" xfId="26281"/>
    <cellStyle name="Obliczenia 2 8 38 3" xfId="26282"/>
    <cellStyle name="Obliczenia 2 8 39" xfId="26283"/>
    <cellStyle name="Obliczenia 2 8 39 2" xfId="26284"/>
    <cellStyle name="Obliczenia 2 8 39 3" xfId="26285"/>
    <cellStyle name="Obliczenia 2 8 4" xfId="26286"/>
    <cellStyle name="Obliczenia 2 8 4 2" xfId="26287"/>
    <cellStyle name="Obliczenia 2 8 4 3" xfId="26288"/>
    <cellStyle name="Obliczenia 2 8 4 4" xfId="26289"/>
    <cellStyle name="Obliczenia 2 8 40" xfId="26290"/>
    <cellStyle name="Obliczenia 2 8 40 2" xfId="26291"/>
    <cellStyle name="Obliczenia 2 8 40 3" xfId="26292"/>
    <cellStyle name="Obliczenia 2 8 41" xfId="26293"/>
    <cellStyle name="Obliczenia 2 8 41 2" xfId="26294"/>
    <cellStyle name="Obliczenia 2 8 41 3" xfId="26295"/>
    <cellStyle name="Obliczenia 2 8 42" xfId="26296"/>
    <cellStyle name="Obliczenia 2 8 42 2" xfId="26297"/>
    <cellStyle name="Obliczenia 2 8 42 3" xfId="26298"/>
    <cellStyle name="Obliczenia 2 8 43" xfId="26299"/>
    <cellStyle name="Obliczenia 2 8 43 2" xfId="26300"/>
    <cellStyle name="Obliczenia 2 8 43 3" xfId="26301"/>
    <cellStyle name="Obliczenia 2 8 44" xfId="26302"/>
    <cellStyle name="Obliczenia 2 8 44 2" xfId="26303"/>
    <cellStyle name="Obliczenia 2 8 44 3" xfId="26304"/>
    <cellStyle name="Obliczenia 2 8 45" xfId="26305"/>
    <cellStyle name="Obliczenia 2 8 45 2" xfId="26306"/>
    <cellStyle name="Obliczenia 2 8 45 3" xfId="26307"/>
    <cellStyle name="Obliczenia 2 8 46" xfId="26308"/>
    <cellStyle name="Obliczenia 2 8 46 2" xfId="26309"/>
    <cellStyle name="Obliczenia 2 8 46 3" xfId="26310"/>
    <cellStyle name="Obliczenia 2 8 47" xfId="26311"/>
    <cellStyle name="Obliczenia 2 8 47 2" xfId="26312"/>
    <cellStyle name="Obliczenia 2 8 47 3" xfId="26313"/>
    <cellStyle name="Obliczenia 2 8 48" xfId="26314"/>
    <cellStyle name="Obliczenia 2 8 48 2" xfId="26315"/>
    <cellStyle name="Obliczenia 2 8 48 3" xfId="26316"/>
    <cellStyle name="Obliczenia 2 8 49" xfId="26317"/>
    <cellStyle name="Obliczenia 2 8 49 2" xfId="26318"/>
    <cellStyle name="Obliczenia 2 8 49 3" xfId="26319"/>
    <cellStyle name="Obliczenia 2 8 5" xfId="26320"/>
    <cellStyle name="Obliczenia 2 8 5 2" xfId="26321"/>
    <cellStyle name="Obliczenia 2 8 5 3" xfId="26322"/>
    <cellStyle name="Obliczenia 2 8 5 4" xfId="26323"/>
    <cellStyle name="Obliczenia 2 8 50" xfId="26324"/>
    <cellStyle name="Obliczenia 2 8 50 2" xfId="26325"/>
    <cellStyle name="Obliczenia 2 8 50 3" xfId="26326"/>
    <cellStyle name="Obliczenia 2 8 51" xfId="26327"/>
    <cellStyle name="Obliczenia 2 8 51 2" xfId="26328"/>
    <cellStyle name="Obliczenia 2 8 51 3" xfId="26329"/>
    <cellStyle name="Obliczenia 2 8 52" xfId="26330"/>
    <cellStyle name="Obliczenia 2 8 52 2" xfId="26331"/>
    <cellStyle name="Obliczenia 2 8 52 3" xfId="26332"/>
    <cellStyle name="Obliczenia 2 8 53" xfId="26333"/>
    <cellStyle name="Obliczenia 2 8 53 2" xfId="26334"/>
    <cellStyle name="Obliczenia 2 8 53 3" xfId="26335"/>
    <cellStyle name="Obliczenia 2 8 54" xfId="26336"/>
    <cellStyle name="Obliczenia 2 8 54 2" xfId="26337"/>
    <cellStyle name="Obliczenia 2 8 54 3" xfId="26338"/>
    <cellStyle name="Obliczenia 2 8 55" xfId="26339"/>
    <cellStyle name="Obliczenia 2 8 55 2" xfId="26340"/>
    <cellStyle name="Obliczenia 2 8 55 3" xfId="26341"/>
    <cellStyle name="Obliczenia 2 8 56" xfId="26342"/>
    <cellStyle name="Obliczenia 2 8 56 2" xfId="26343"/>
    <cellStyle name="Obliczenia 2 8 56 3" xfId="26344"/>
    <cellStyle name="Obliczenia 2 8 57" xfId="26345"/>
    <cellStyle name="Obliczenia 2 8 58" xfId="26346"/>
    <cellStyle name="Obliczenia 2 8 6" xfId="26347"/>
    <cellStyle name="Obliczenia 2 8 6 2" xfId="26348"/>
    <cellStyle name="Obliczenia 2 8 6 3" xfId="26349"/>
    <cellStyle name="Obliczenia 2 8 6 4" xfId="26350"/>
    <cellStyle name="Obliczenia 2 8 7" xfId="26351"/>
    <cellStyle name="Obliczenia 2 8 7 2" xfId="26352"/>
    <cellStyle name="Obliczenia 2 8 7 3" xfId="26353"/>
    <cellStyle name="Obliczenia 2 8 7 4" xfId="26354"/>
    <cellStyle name="Obliczenia 2 8 8" xfId="26355"/>
    <cellStyle name="Obliczenia 2 8 8 2" xfId="26356"/>
    <cellStyle name="Obliczenia 2 8 8 3" xfId="26357"/>
    <cellStyle name="Obliczenia 2 8 8 4" xfId="26358"/>
    <cellStyle name="Obliczenia 2 8 9" xfId="26359"/>
    <cellStyle name="Obliczenia 2 8 9 2" xfId="26360"/>
    <cellStyle name="Obliczenia 2 8 9 3" xfId="26361"/>
    <cellStyle name="Obliczenia 2 8 9 4" xfId="26362"/>
    <cellStyle name="Obliczenia 2 80" xfId="26363"/>
    <cellStyle name="Obliczenia 2 80 2" xfId="26364"/>
    <cellStyle name="Obliczenia 2 80 3" xfId="26365"/>
    <cellStyle name="Obliczenia 2 81" xfId="26366"/>
    <cellStyle name="Obliczenia 2 81 2" xfId="26367"/>
    <cellStyle name="Obliczenia 2 81 3" xfId="26368"/>
    <cellStyle name="Obliczenia 2 82" xfId="26369"/>
    <cellStyle name="Obliczenia 2 82 2" xfId="26370"/>
    <cellStyle name="Obliczenia 2 82 3" xfId="26371"/>
    <cellStyle name="Obliczenia 2 83" xfId="26372"/>
    <cellStyle name="Obliczenia 2 83 2" xfId="26373"/>
    <cellStyle name="Obliczenia 2 83 3" xfId="26374"/>
    <cellStyle name="Obliczenia 2 84" xfId="26375"/>
    <cellStyle name="Obliczenia 2 84 2" xfId="26376"/>
    <cellStyle name="Obliczenia 2 84 3" xfId="26377"/>
    <cellStyle name="Obliczenia 2 85" xfId="26378"/>
    <cellStyle name="Obliczenia 2 85 2" xfId="26379"/>
    <cellStyle name="Obliczenia 2 85 3" xfId="26380"/>
    <cellStyle name="Obliczenia 2 86" xfId="26381"/>
    <cellStyle name="Obliczenia 2 86 2" xfId="26382"/>
    <cellStyle name="Obliczenia 2 86 3" xfId="26383"/>
    <cellStyle name="Obliczenia 2 87" xfId="26384"/>
    <cellStyle name="Obliczenia 2 87 2" xfId="26385"/>
    <cellStyle name="Obliczenia 2 87 3" xfId="26386"/>
    <cellStyle name="Obliczenia 2 88" xfId="26387"/>
    <cellStyle name="Obliczenia 2 89" xfId="26388"/>
    <cellStyle name="Obliczenia 2 9" xfId="26389"/>
    <cellStyle name="Obliczenia 2 9 10" xfId="26390"/>
    <cellStyle name="Obliczenia 2 9 10 2" xfId="26391"/>
    <cellStyle name="Obliczenia 2 9 10 3" xfId="26392"/>
    <cellStyle name="Obliczenia 2 9 10 4" xfId="26393"/>
    <cellStyle name="Obliczenia 2 9 11" xfId="26394"/>
    <cellStyle name="Obliczenia 2 9 11 2" xfId="26395"/>
    <cellStyle name="Obliczenia 2 9 11 3" xfId="26396"/>
    <cellStyle name="Obliczenia 2 9 11 4" xfId="26397"/>
    <cellStyle name="Obliczenia 2 9 12" xfId="26398"/>
    <cellStyle name="Obliczenia 2 9 12 2" xfId="26399"/>
    <cellStyle name="Obliczenia 2 9 12 3" xfId="26400"/>
    <cellStyle name="Obliczenia 2 9 12 4" xfId="26401"/>
    <cellStyle name="Obliczenia 2 9 13" xfId="26402"/>
    <cellStyle name="Obliczenia 2 9 13 2" xfId="26403"/>
    <cellStyle name="Obliczenia 2 9 13 3" xfId="26404"/>
    <cellStyle name="Obliczenia 2 9 13 4" xfId="26405"/>
    <cellStyle name="Obliczenia 2 9 14" xfId="26406"/>
    <cellStyle name="Obliczenia 2 9 14 2" xfId="26407"/>
    <cellStyle name="Obliczenia 2 9 14 3" xfId="26408"/>
    <cellStyle name="Obliczenia 2 9 14 4" xfId="26409"/>
    <cellStyle name="Obliczenia 2 9 15" xfId="26410"/>
    <cellStyle name="Obliczenia 2 9 15 2" xfId="26411"/>
    <cellStyle name="Obliczenia 2 9 15 3" xfId="26412"/>
    <cellStyle name="Obliczenia 2 9 15 4" xfId="26413"/>
    <cellStyle name="Obliczenia 2 9 16" xfId="26414"/>
    <cellStyle name="Obliczenia 2 9 16 2" xfId="26415"/>
    <cellStyle name="Obliczenia 2 9 16 3" xfId="26416"/>
    <cellStyle name="Obliczenia 2 9 16 4" xfId="26417"/>
    <cellStyle name="Obliczenia 2 9 17" xfId="26418"/>
    <cellStyle name="Obliczenia 2 9 17 2" xfId="26419"/>
    <cellStyle name="Obliczenia 2 9 17 3" xfId="26420"/>
    <cellStyle name="Obliczenia 2 9 17 4" xfId="26421"/>
    <cellStyle name="Obliczenia 2 9 18" xfId="26422"/>
    <cellStyle name="Obliczenia 2 9 18 2" xfId="26423"/>
    <cellStyle name="Obliczenia 2 9 18 3" xfId="26424"/>
    <cellStyle name="Obliczenia 2 9 18 4" xfId="26425"/>
    <cellStyle name="Obliczenia 2 9 19" xfId="26426"/>
    <cellStyle name="Obliczenia 2 9 19 2" xfId="26427"/>
    <cellStyle name="Obliczenia 2 9 19 3" xfId="26428"/>
    <cellStyle name="Obliczenia 2 9 19 4" xfId="26429"/>
    <cellStyle name="Obliczenia 2 9 2" xfId="26430"/>
    <cellStyle name="Obliczenia 2 9 2 2" xfId="26431"/>
    <cellStyle name="Obliczenia 2 9 2 3" xfId="26432"/>
    <cellStyle name="Obliczenia 2 9 2 4" xfId="26433"/>
    <cellStyle name="Obliczenia 2 9 20" xfId="26434"/>
    <cellStyle name="Obliczenia 2 9 20 2" xfId="26435"/>
    <cellStyle name="Obliczenia 2 9 20 3" xfId="26436"/>
    <cellStyle name="Obliczenia 2 9 20 4" xfId="26437"/>
    <cellStyle name="Obliczenia 2 9 21" xfId="26438"/>
    <cellStyle name="Obliczenia 2 9 21 2" xfId="26439"/>
    <cellStyle name="Obliczenia 2 9 21 3" xfId="26440"/>
    <cellStyle name="Obliczenia 2 9 22" xfId="26441"/>
    <cellStyle name="Obliczenia 2 9 22 2" xfId="26442"/>
    <cellStyle name="Obliczenia 2 9 22 3" xfId="26443"/>
    <cellStyle name="Obliczenia 2 9 23" xfId="26444"/>
    <cellStyle name="Obliczenia 2 9 23 2" xfId="26445"/>
    <cellStyle name="Obliczenia 2 9 23 3" xfId="26446"/>
    <cellStyle name="Obliczenia 2 9 24" xfId="26447"/>
    <cellStyle name="Obliczenia 2 9 24 2" xfId="26448"/>
    <cellStyle name="Obliczenia 2 9 24 3" xfId="26449"/>
    <cellStyle name="Obliczenia 2 9 25" xfId="26450"/>
    <cellStyle name="Obliczenia 2 9 25 2" xfId="26451"/>
    <cellStyle name="Obliczenia 2 9 25 3" xfId="26452"/>
    <cellStyle name="Obliczenia 2 9 26" xfId="26453"/>
    <cellStyle name="Obliczenia 2 9 26 2" xfId="26454"/>
    <cellStyle name="Obliczenia 2 9 26 3" xfId="26455"/>
    <cellStyle name="Obliczenia 2 9 27" xfId="26456"/>
    <cellStyle name="Obliczenia 2 9 27 2" xfId="26457"/>
    <cellStyle name="Obliczenia 2 9 27 3" xfId="26458"/>
    <cellStyle name="Obliczenia 2 9 28" xfId="26459"/>
    <cellStyle name="Obliczenia 2 9 28 2" xfId="26460"/>
    <cellStyle name="Obliczenia 2 9 28 3" xfId="26461"/>
    <cellStyle name="Obliczenia 2 9 29" xfId="26462"/>
    <cellStyle name="Obliczenia 2 9 29 2" xfId="26463"/>
    <cellStyle name="Obliczenia 2 9 29 3" xfId="26464"/>
    <cellStyle name="Obliczenia 2 9 3" xfId="26465"/>
    <cellStyle name="Obliczenia 2 9 3 2" xfId="26466"/>
    <cellStyle name="Obliczenia 2 9 3 3" xfId="26467"/>
    <cellStyle name="Obliczenia 2 9 3 4" xfId="26468"/>
    <cellStyle name="Obliczenia 2 9 30" xfId="26469"/>
    <cellStyle name="Obliczenia 2 9 30 2" xfId="26470"/>
    <cellStyle name="Obliczenia 2 9 30 3" xfId="26471"/>
    <cellStyle name="Obliczenia 2 9 31" xfId="26472"/>
    <cellStyle name="Obliczenia 2 9 31 2" xfId="26473"/>
    <cellStyle name="Obliczenia 2 9 31 3" xfId="26474"/>
    <cellStyle name="Obliczenia 2 9 32" xfId="26475"/>
    <cellStyle name="Obliczenia 2 9 32 2" xfId="26476"/>
    <cellStyle name="Obliczenia 2 9 32 3" xfId="26477"/>
    <cellStyle name="Obliczenia 2 9 33" xfId="26478"/>
    <cellStyle name="Obliczenia 2 9 33 2" xfId="26479"/>
    <cellStyle name="Obliczenia 2 9 33 3" xfId="26480"/>
    <cellStyle name="Obliczenia 2 9 34" xfId="26481"/>
    <cellStyle name="Obliczenia 2 9 34 2" xfId="26482"/>
    <cellStyle name="Obliczenia 2 9 34 3" xfId="26483"/>
    <cellStyle name="Obliczenia 2 9 35" xfId="26484"/>
    <cellStyle name="Obliczenia 2 9 35 2" xfId="26485"/>
    <cellStyle name="Obliczenia 2 9 35 3" xfId="26486"/>
    <cellStyle name="Obliczenia 2 9 36" xfId="26487"/>
    <cellStyle name="Obliczenia 2 9 36 2" xfId="26488"/>
    <cellStyle name="Obliczenia 2 9 36 3" xfId="26489"/>
    <cellStyle name="Obliczenia 2 9 37" xfId="26490"/>
    <cellStyle name="Obliczenia 2 9 37 2" xfId="26491"/>
    <cellStyle name="Obliczenia 2 9 37 3" xfId="26492"/>
    <cellStyle name="Obliczenia 2 9 38" xfId="26493"/>
    <cellStyle name="Obliczenia 2 9 38 2" xfId="26494"/>
    <cellStyle name="Obliczenia 2 9 38 3" xfId="26495"/>
    <cellStyle name="Obliczenia 2 9 39" xfId="26496"/>
    <cellStyle name="Obliczenia 2 9 39 2" xfId="26497"/>
    <cellStyle name="Obliczenia 2 9 39 3" xfId="26498"/>
    <cellStyle name="Obliczenia 2 9 4" xfId="26499"/>
    <cellStyle name="Obliczenia 2 9 4 2" xfId="26500"/>
    <cellStyle name="Obliczenia 2 9 4 3" xfId="26501"/>
    <cellStyle name="Obliczenia 2 9 4 4" xfId="26502"/>
    <cellStyle name="Obliczenia 2 9 40" xfId="26503"/>
    <cellStyle name="Obliczenia 2 9 40 2" xfId="26504"/>
    <cellStyle name="Obliczenia 2 9 40 3" xfId="26505"/>
    <cellStyle name="Obliczenia 2 9 41" xfId="26506"/>
    <cellStyle name="Obliczenia 2 9 41 2" xfId="26507"/>
    <cellStyle name="Obliczenia 2 9 41 3" xfId="26508"/>
    <cellStyle name="Obliczenia 2 9 42" xfId="26509"/>
    <cellStyle name="Obliczenia 2 9 42 2" xfId="26510"/>
    <cellStyle name="Obliczenia 2 9 42 3" xfId="26511"/>
    <cellStyle name="Obliczenia 2 9 43" xfId="26512"/>
    <cellStyle name="Obliczenia 2 9 43 2" xfId="26513"/>
    <cellStyle name="Obliczenia 2 9 43 3" xfId="26514"/>
    <cellStyle name="Obliczenia 2 9 44" xfId="26515"/>
    <cellStyle name="Obliczenia 2 9 44 2" xfId="26516"/>
    <cellStyle name="Obliczenia 2 9 44 3" xfId="26517"/>
    <cellStyle name="Obliczenia 2 9 45" xfId="26518"/>
    <cellStyle name="Obliczenia 2 9 45 2" xfId="26519"/>
    <cellStyle name="Obliczenia 2 9 45 3" xfId="26520"/>
    <cellStyle name="Obliczenia 2 9 46" xfId="26521"/>
    <cellStyle name="Obliczenia 2 9 46 2" xfId="26522"/>
    <cellStyle name="Obliczenia 2 9 46 3" xfId="26523"/>
    <cellStyle name="Obliczenia 2 9 47" xfId="26524"/>
    <cellStyle name="Obliczenia 2 9 47 2" xfId="26525"/>
    <cellStyle name="Obliczenia 2 9 47 3" xfId="26526"/>
    <cellStyle name="Obliczenia 2 9 48" xfId="26527"/>
    <cellStyle name="Obliczenia 2 9 48 2" xfId="26528"/>
    <cellStyle name="Obliczenia 2 9 48 3" xfId="26529"/>
    <cellStyle name="Obliczenia 2 9 49" xfId="26530"/>
    <cellStyle name="Obliczenia 2 9 49 2" xfId="26531"/>
    <cellStyle name="Obliczenia 2 9 49 3" xfId="26532"/>
    <cellStyle name="Obliczenia 2 9 5" xfId="26533"/>
    <cellStyle name="Obliczenia 2 9 5 2" xfId="26534"/>
    <cellStyle name="Obliczenia 2 9 5 3" xfId="26535"/>
    <cellStyle name="Obliczenia 2 9 5 4" xfId="26536"/>
    <cellStyle name="Obliczenia 2 9 50" xfId="26537"/>
    <cellStyle name="Obliczenia 2 9 50 2" xfId="26538"/>
    <cellStyle name="Obliczenia 2 9 50 3" xfId="26539"/>
    <cellStyle name="Obliczenia 2 9 51" xfId="26540"/>
    <cellStyle name="Obliczenia 2 9 51 2" xfId="26541"/>
    <cellStyle name="Obliczenia 2 9 51 3" xfId="26542"/>
    <cellStyle name="Obliczenia 2 9 52" xfId="26543"/>
    <cellStyle name="Obliczenia 2 9 52 2" xfId="26544"/>
    <cellStyle name="Obliczenia 2 9 52 3" xfId="26545"/>
    <cellStyle name="Obliczenia 2 9 53" xfId="26546"/>
    <cellStyle name="Obliczenia 2 9 53 2" xfId="26547"/>
    <cellStyle name="Obliczenia 2 9 53 3" xfId="26548"/>
    <cellStyle name="Obliczenia 2 9 54" xfId="26549"/>
    <cellStyle name="Obliczenia 2 9 54 2" xfId="26550"/>
    <cellStyle name="Obliczenia 2 9 54 3" xfId="26551"/>
    <cellStyle name="Obliczenia 2 9 55" xfId="26552"/>
    <cellStyle name="Obliczenia 2 9 55 2" xfId="26553"/>
    <cellStyle name="Obliczenia 2 9 55 3" xfId="26554"/>
    <cellStyle name="Obliczenia 2 9 56" xfId="26555"/>
    <cellStyle name="Obliczenia 2 9 56 2" xfId="26556"/>
    <cellStyle name="Obliczenia 2 9 56 3" xfId="26557"/>
    <cellStyle name="Obliczenia 2 9 57" xfId="26558"/>
    <cellStyle name="Obliczenia 2 9 58" xfId="26559"/>
    <cellStyle name="Obliczenia 2 9 6" xfId="26560"/>
    <cellStyle name="Obliczenia 2 9 6 2" xfId="26561"/>
    <cellStyle name="Obliczenia 2 9 6 3" xfId="26562"/>
    <cellStyle name="Obliczenia 2 9 6 4" xfId="26563"/>
    <cellStyle name="Obliczenia 2 9 7" xfId="26564"/>
    <cellStyle name="Obliczenia 2 9 7 2" xfId="26565"/>
    <cellStyle name="Obliczenia 2 9 7 3" xfId="26566"/>
    <cellStyle name="Obliczenia 2 9 7 4" xfId="26567"/>
    <cellStyle name="Obliczenia 2 9 8" xfId="26568"/>
    <cellStyle name="Obliczenia 2 9 8 2" xfId="26569"/>
    <cellStyle name="Obliczenia 2 9 8 3" xfId="26570"/>
    <cellStyle name="Obliczenia 2 9 8 4" xfId="26571"/>
    <cellStyle name="Obliczenia 2 9 9" xfId="26572"/>
    <cellStyle name="Obliczenia 2 9 9 2" xfId="26573"/>
    <cellStyle name="Obliczenia 2 9 9 3" xfId="26574"/>
    <cellStyle name="Obliczenia 2 9 9 4" xfId="26575"/>
    <cellStyle name="Obliczenia 3" xfId="26576"/>
    <cellStyle name="Obliczenia 3 2" xfId="26577"/>
    <cellStyle name="Obliczenia 3 2 2" xfId="26578"/>
    <cellStyle name="Obliczenia 3 3" xfId="26579"/>
    <cellStyle name="Obliczenia 3 4" xfId="26580"/>
    <cellStyle name="Obliczenia 3 5" xfId="26581"/>
    <cellStyle name="Obliczenia 3 6" xfId="26582"/>
    <cellStyle name="Obliczenia 3 7" xfId="26583"/>
    <cellStyle name="Obliczenia 3 8" xfId="26584"/>
    <cellStyle name="Obliczenia 3 9" xfId="26585"/>
    <cellStyle name="Obliczenia 4" xfId="26586"/>
    <cellStyle name="Obliczenia 4 2" xfId="26587"/>
    <cellStyle name="Obliczenia 4 3" xfId="26588"/>
    <cellStyle name="Obliczenia 4 4" xfId="26589"/>
    <cellStyle name="Obliczenia 4 5" xfId="26590"/>
    <cellStyle name="Obliczenia 4 6" xfId="26591"/>
    <cellStyle name="Obliczenia 4 7" xfId="26592"/>
    <cellStyle name="Obliczenia 4 8" xfId="26593"/>
    <cellStyle name="Obliczenia 4 9" xfId="26594"/>
    <cellStyle name="Obliczenia 5" xfId="26595"/>
    <cellStyle name="Obliczenia 5 2" xfId="26596"/>
    <cellStyle name="Obliczenia 5 3" xfId="26597"/>
    <cellStyle name="Obliczenia 6" xfId="26598"/>
    <cellStyle name="Obliczenia 6 2" xfId="26599"/>
    <cellStyle name="Obliczenia 7" xfId="26600"/>
    <cellStyle name="Option" xfId="26601"/>
    <cellStyle name="Output Amounts" xfId="26602"/>
    <cellStyle name="Output Column Headings" xfId="26603"/>
    <cellStyle name="Output Line Items" xfId="26604"/>
    <cellStyle name="Output Report Heading" xfId="26605"/>
    <cellStyle name="Output Report Title" xfId="26606"/>
    <cellStyle name="Pénznem [0]_cb-fr" xfId="26607"/>
    <cellStyle name="Pénznem_cb-fr" xfId="26608"/>
    <cellStyle name="Percent [2]" xfId="26609"/>
    <cellStyle name="Percent 2" xfId="26610"/>
    <cellStyle name="Pivot Table Category" xfId="26611"/>
    <cellStyle name="Pivot Table Corner" xfId="26612"/>
    <cellStyle name="Pivot Table Field" xfId="26613"/>
    <cellStyle name="Pivot Table Result" xfId="26614"/>
    <cellStyle name="Pivot Table Title" xfId="26615"/>
    <cellStyle name="Pivot Table Value" xfId="26616"/>
    <cellStyle name="pole" xfId="26617"/>
    <cellStyle name="Price" xfId="26618"/>
    <cellStyle name="Procentowy" xfId="7" builtinId="5"/>
    <cellStyle name="Procentowy 10" xfId="26619"/>
    <cellStyle name="Procentowy 10 2" xfId="26620"/>
    <cellStyle name="Procentowy 10 3" xfId="26621"/>
    <cellStyle name="Procentowy 10 4" xfId="26622"/>
    <cellStyle name="Procentowy 10 5" xfId="26623"/>
    <cellStyle name="Procentowy 10 6" xfId="26624"/>
    <cellStyle name="Procentowy 10 7" xfId="26625"/>
    <cellStyle name="Procentowy 11" xfId="26626"/>
    <cellStyle name="Procentowy 12" xfId="26627"/>
    <cellStyle name="Procentowy 13" xfId="42847"/>
    <cellStyle name="Procentowy 14" xfId="42850"/>
    <cellStyle name="Procentowy 2" xfId="2"/>
    <cellStyle name="Procentowy 2 10" xfId="26629"/>
    <cellStyle name="Procentowy 2 11" xfId="26630"/>
    <cellStyle name="Procentowy 2 12" xfId="26628"/>
    <cellStyle name="Procentowy 2 2" xfId="26631"/>
    <cellStyle name="Procentowy 2 2 2" xfId="26632"/>
    <cellStyle name="Procentowy 2 2 2 2" xfId="26633"/>
    <cellStyle name="Procentowy 2 2 2 3" xfId="26634"/>
    <cellStyle name="Procentowy 2 2 3" xfId="26635"/>
    <cellStyle name="Procentowy 2 2 3 2" xfId="26636"/>
    <cellStyle name="Procentowy 2 2 3 3" xfId="26637"/>
    <cellStyle name="Procentowy 2 2 4" xfId="26638"/>
    <cellStyle name="Procentowy 2 2 5" xfId="26639"/>
    <cellStyle name="Procentowy 2 2 6" xfId="26640"/>
    <cellStyle name="Procentowy 2 2 7" xfId="26641"/>
    <cellStyle name="Procentowy 2 3" xfId="26642"/>
    <cellStyle name="Procentowy 2 3 2" xfId="26643"/>
    <cellStyle name="Procentowy 2 3 3" xfId="26644"/>
    <cellStyle name="Procentowy 2 4" xfId="26645"/>
    <cellStyle name="Procentowy 2 4 2" xfId="26646"/>
    <cellStyle name="Procentowy 2 5" xfId="26647"/>
    <cellStyle name="Procentowy 2 5 2" xfId="26648"/>
    <cellStyle name="Procentowy 2 6" xfId="26649"/>
    <cellStyle name="Procentowy 2 6 2" xfId="26650"/>
    <cellStyle name="Procentowy 2 7" xfId="26651"/>
    <cellStyle name="Procentowy 2 7 2" xfId="26652"/>
    <cellStyle name="Procentowy 2 8" xfId="26653"/>
    <cellStyle name="Procentowy 2 9" xfId="26654"/>
    <cellStyle name="Procentowy 3" xfId="6"/>
    <cellStyle name="Procentowy 3 10" xfId="26656"/>
    <cellStyle name="Procentowy 3 10 10" xfId="26657"/>
    <cellStyle name="Procentowy 3 10 10 2" xfId="26658"/>
    <cellStyle name="Procentowy 3 10 11" xfId="26659"/>
    <cellStyle name="Procentowy 3 10 11 2" xfId="26660"/>
    <cellStyle name="Procentowy 3 10 12" xfId="26661"/>
    <cellStyle name="Procentowy 3 10 12 2" xfId="26662"/>
    <cellStyle name="Procentowy 3 10 13" xfId="26663"/>
    <cellStyle name="Procentowy 3 10 13 2" xfId="26664"/>
    <cellStyle name="Procentowy 3 10 14" xfId="26665"/>
    <cellStyle name="Procentowy 3 10 14 2" xfId="26666"/>
    <cellStyle name="Procentowy 3 10 15" xfId="26667"/>
    <cellStyle name="Procentowy 3 10 15 2" xfId="26668"/>
    <cellStyle name="Procentowy 3 10 16" xfId="26669"/>
    <cellStyle name="Procentowy 3 10 16 2" xfId="26670"/>
    <cellStyle name="Procentowy 3 10 17" xfId="26671"/>
    <cellStyle name="Procentowy 3 10 17 2" xfId="26672"/>
    <cellStyle name="Procentowy 3 10 18" xfId="26673"/>
    <cellStyle name="Procentowy 3 10 18 2" xfId="26674"/>
    <cellStyle name="Procentowy 3 10 19" xfId="26675"/>
    <cellStyle name="Procentowy 3 10 19 2" xfId="26676"/>
    <cellStyle name="Procentowy 3 10 2" xfId="26677"/>
    <cellStyle name="Procentowy 3 10 2 2" xfId="26678"/>
    <cellStyle name="Procentowy 3 10 2 3" xfId="26679"/>
    <cellStyle name="Procentowy 3 10 2 4" xfId="26680"/>
    <cellStyle name="Procentowy 3 10 2 5" xfId="26681"/>
    <cellStyle name="Procentowy 3 10 2 6" xfId="26682"/>
    <cellStyle name="Procentowy 3 10 2 7" xfId="26683"/>
    <cellStyle name="Procentowy 3 10 20" xfId="26684"/>
    <cellStyle name="Procentowy 3 10 20 2" xfId="26685"/>
    <cellStyle name="Procentowy 3 10 21" xfId="26686"/>
    <cellStyle name="Procentowy 3 10 21 2" xfId="26687"/>
    <cellStyle name="Procentowy 3 10 22" xfId="26688"/>
    <cellStyle name="Procentowy 3 10 22 2" xfId="26689"/>
    <cellStyle name="Procentowy 3 10 23" xfId="26690"/>
    <cellStyle name="Procentowy 3 10 23 2" xfId="26691"/>
    <cellStyle name="Procentowy 3 10 24" xfId="26692"/>
    <cellStyle name="Procentowy 3 10 24 2" xfId="26693"/>
    <cellStyle name="Procentowy 3 10 25" xfId="26694"/>
    <cellStyle name="Procentowy 3 10 25 2" xfId="26695"/>
    <cellStyle name="Procentowy 3 10 26" xfId="26696"/>
    <cellStyle name="Procentowy 3 10 26 2" xfId="26697"/>
    <cellStyle name="Procentowy 3 10 27" xfId="26698"/>
    <cellStyle name="Procentowy 3 10 27 2" xfId="26699"/>
    <cellStyle name="Procentowy 3 10 28" xfId="26700"/>
    <cellStyle name="Procentowy 3 10 28 2" xfId="26701"/>
    <cellStyle name="Procentowy 3 10 29" xfId="26702"/>
    <cellStyle name="Procentowy 3 10 29 2" xfId="26703"/>
    <cellStyle name="Procentowy 3 10 3" xfId="26704"/>
    <cellStyle name="Procentowy 3 10 3 2" xfId="26705"/>
    <cellStyle name="Procentowy 3 10 3 3" xfId="26706"/>
    <cellStyle name="Procentowy 3 10 3 4" xfId="26707"/>
    <cellStyle name="Procentowy 3 10 3 5" xfId="26708"/>
    <cellStyle name="Procentowy 3 10 3 6" xfId="26709"/>
    <cellStyle name="Procentowy 3 10 3 7" xfId="26710"/>
    <cellStyle name="Procentowy 3 10 30" xfId="26711"/>
    <cellStyle name="Procentowy 3 10 30 2" xfId="26712"/>
    <cellStyle name="Procentowy 3 10 31" xfId="26713"/>
    <cellStyle name="Procentowy 3 10 31 2" xfId="26714"/>
    <cellStyle name="Procentowy 3 10 32" xfId="26715"/>
    <cellStyle name="Procentowy 3 10 33" xfId="26716"/>
    <cellStyle name="Procentowy 3 10 34" xfId="26717"/>
    <cellStyle name="Procentowy 3 10 35" xfId="26718"/>
    <cellStyle name="Procentowy 3 10 36" xfId="26719"/>
    <cellStyle name="Procentowy 3 10 37" xfId="26720"/>
    <cellStyle name="Procentowy 3 10 38" xfId="26721"/>
    <cellStyle name="Procentowy 3 10 39" xfId="26722"/>
    <cellStyle name="Procentowy 3 10 4" xfId="26723"/>
    <cellStyle name="Procentowy 3 10 4 2" xfId="26724"/>
    <cellStyle name="Procentowy 3 10 4 3" xfId="26725"/>
    <cellStyle name="Procentowy 3 10 4 4" xfId="26726"/>
    <cellStyle name="Procentowy 3 10 4 5" xfId="26727"/>
    <cellStyle name="Procentowy 3 10 4 6" xfId="26728"/>
    <cellStyle name="Procentowy 3 10 4 7" xfId="26729"/>
    <cellStyle name="Procentowy 3 10 40" xfId="26730"/>
    <cellStyle name="Procentowy 3 10 41" xfId="26731"/>
    <cellStyle name="Procentowy 3 10 42" xfId="26732"/>
    <cellStyle name="Procentowy 3 10 43" xfId="26733"/>
    <cellStyle name="Procentowy 3 10 44" xfId="26734"/>
    <cellStyle name="Procentowy 3 10 45" xfId="26735"/>
    <cellStyle name="Procentowy 3 10 46" xfId="26736"/>
    <cellStyle name="Procentowy 3 10 47" xfId="26737"/>
    <cellStyle name="Procentowy 3 10 48" xfId="26738"/>
    <cellStyle name="Procentowy 3 10 49" xfId="26739"/>
    <cellStyle name="Procentowy 3 10 5" xfId="26740"/>
    <cellStyle name="Procentowy 3 10 5 2" xfId="26741"/>
    <cellStyle name="Procentowy 3 10 5 3" xfId="26742"/>
    <cellStyle name="Procentowy 3 10 5 4" xfId="26743"/>
    <cellStyle name="Procentowy 3 10 5 5" xfId="26744"/>
    <cellStyle name="Procentowy 3 10 5 6" xfId="26745"/>
    <cellStyle name="Procentowy 3 10 5 7" xfId="26746"/>
    <cellStyle name="Procentowy 3 10 50" xfId="26747"/>
    <cellStyle name="Procentowy 3 10 51" xfId="26748"/>
    <cellStyle name="Procentowy 3 10 52" xfId="26749"/>
    <cellStyle name="Procentowy 3 10 53" xfId="26750"/>
    <cellStyle name="Procentowy 3 10 54" xfId="26751"/>
    <cellStyle name="Procentowy 3 10 55" xfId="26752"/>
    <cellStyle name="Procentowy 3 10 56" xfId="26753"/>
    <cellStyle name="Procentowy 3 10 57" xfId="26754"/>
    <cellStyle name="Procentowy 3 10 58" xfId="26755"/>
    <cellStyle name="Procentowy 3 10 59" xfId="26756"/>
    <cellStyle name="Procentowy 3 10 6" xfId="26757"/>
    <cellStyle name="Procentowy 3 10 6 2" xfId="26758"/>
    <cellStyle name="Procentowy 3 10 60" xfId="26759"/>
    <cellStyle name="Procentowy 3 10 61" xfId="26760"/>
    <cellStyle name="Procentowy 3 10 62" xfId="26761"/>
    <cellStyle name="Procentowy 3 10 63" xfId="26762"/>
    <cellStyle name="Procentowy 3 10 64" xfId="26763"/>
    <cellStyle name="Procentowy 3 10 65" xfId="26764"/>
    <cellStyle name="Procentowy 3 10 66" xfId="26765"/>
    <cellStyle name="Procentowy 3 10 67" xfId="26766"/>
    <cellStyle name="Procentowy 3 10 68" xfId="26767"/>
    <cellStyle name="Procentowy 3 10 69" xfId="26768"/>
    <cellStyle name="Procentowy 3 10 7" xfId="26769"/>
    <cellStyle name="Procentowy 3 10 7 2" xfId="26770"/>
    <cellStyle name="Procentowy 3 10 70" xfId="26771"/>
    <cellStyle name="Procentowy 3 10 71" xfId="26772"/>
    <cellStyle name="Procentowy 3 10 72" xfId="26773"/>
    <cellStyle name="Procentowy 3 10 73" xfId="26774"/>
    <cellStyle name="Procentowy 3 10 74" xfId="26775"/>
    <cellStyle name="Procentowy 3 10 8" xfId="26776"/>
    <cellStyle name="Procentowy 3 10 8 2" xfId="26777"/>
    <cellStyle name="Procentowy 3 10 9" xfId="26778"/>
    <cellStyle name="Procentowy 3 10 9 2" xfId="26779"/>
    <cellStyle name="Procentowy 3 11" xfId="26780"/>
    <cellStyle name="Procentowy 3 11 10" xfId="26781"/>
    <cellStyle name="Procentowy 3 11 10 2" xfId="26782"/>
    <cellStyle name="Procentowy 3 11 11" xfId="26783"/>
    <cellStyle name="Procentowy 3 11 11 2" xfId="26784"/>
    <cellStyle name="Procentowy 3 11 12" xfId="26785"/>
    <cellStyle name="Procentowy 3 11 12 2" xfId="26786"/>
    <cellStyle name="Procentowy 3 11 13" xfId="26787"/>
    <cellStyle name="Procentowy 3 11 13 2" xfId="26788"/>
    <cellStyle name="Procentowy 3 11 14" xfId="26789"/>
    <cellStyle name="Procentowy 3 11 14 2" xfId="26790"/>
    <cellStyle name="Procentowy 3 11 15" xfId="26791"/>
    <cellStyle name="Procentowy 3 11 15 2" xfId="26792"/>
    <cellStyle name="Procentowy 3 11 16" xfId="26793"/>
    <cellStyle name="Procentowy 3 11 16 2" xfId="26794"/>
    <cellStyle name="Procentowy 3 11 17" xfId="26795"/>
    <cellStyle name="Procentowy 3 11 17 2" xfId="26796"/>
    <cellStyle name="Procentowy 3 11 18" xfId="26797"/>
    <cellStyle name="Procentowy 3 11 18 2" xfId="26798"/>
    <cellStyle name="Procentowy 3 11 19" xfId="26799"/>
    <cellStyle name="Procentowy 3 11 19 2" xfId="26800"/>
    <cellStyle name="Procentowy 3 11 2" xfId="26801"/>
    <cellStyle name="Procentowy 3 11 2 2" xfId="26802"/>
    <cellStyle name="Procentowy 3 11 2 3" xfId="26803"/>
    <cellStyle name="Procentowy 3 11 2 4" xfId="26804"/>
    <cellStyle name="Procentowy 3 11 2 5" xfId="26805"/>
    <cellStyle name="Procentowy 3 11 2 6" xfId="26806"/>
    <cellStyle name="Procentowy 3 11 2 7" xfId="26807"/>
    <cellStyle name="Procentowy 3 11 20" xfId="26808"/>
    <cellStyle name="Procentowy 3 11 20 2" xfId="26809"/>
    <cellStyle name="Procentowy 3 11 21" xfId="26810"/>
    <cellStyle name="Procentowy 3 11 21 2" xfId="26811"/>
    <cellStyle name="Procentowy 3 11 22" xfId="26812"/>
    <cellStyle name="Procentowy 3 11 22 2" xfId="26813"/>
    <cellStyle name="Procentowy 3 11 23" xfId="26814"/>
    <cellStyle name="Procentowy 3 11 23 2" xfId="26815"/>
    <cellStyle name="Procentowy 3 11 24" xfId="26816"/>
    <cellStyle name="Procentowy 3 11 24 2" xfId="26817"/>
    <cellStyle name="Procentowy 3 11 25" xfId="26818"/>
    <cellStyle name="Procentowy 3 11 25 2" xfId="26819"/>
    <cellStyle name="Procentowy 3 11 26" xfId="26820"/>
    <cellStyle name="Procentowy 3 11 26 2" xfId="26821"/>
    <cellStyle name="Procentowy 3 11 27" xfId="26822"/>
    <cellStyle name="Procentowy 3 11 27 2" xfId="26823"/>
    <cellStyle name="Procentowy 3 11 28" xfId="26824"/>
    <cellStyle name="Procentowy 3 11 28 2" xfId="26825"/>
    <cellStyle name="Procentowy 3 11 29" xfId="26826"/>
    <cellStyle name="Procentowy 3 11 29 2" xfId="26827"/>
    <cellStyle name="Procentowy 3 11 3" xfId="26828"/>
    <cellStyle name="Procentowy 3 11 3 2" xfId="26829"/>
    <cellStyle name="Procentowy 3 11 3 3" xfId="26830"/>
    <cellStyle name="Procentowy 3 11 3 4" xfId="26831"/>
    <cellStyle name="Procentowy 3 11 3 5" xfId="26832"/>
    <cellStyle name="Procentowy 3 11 3 6" xfId="26833"/>
    <cellStyle name="Procentowy 3 11 3 7" xfId="26834"/>
    <cellStyle name="Procentowy 3 11 30" xfId="26835"/>
    <cellStyle name="Procentowy 3 11 30 2" xfId="26836"/>
    <cellStyle name="Procentowy 3 11 31" xfId="26837"/>
    <cellStyle name="Procentowy 3 11 31 2" xfId="26838"/>
    <cellStyle name="Procentowy 3 11 32" xfId="26839"/>
    <cellStyle name="Procentowy 3 11 33" xfId="26840"/>
    <cellStyle name="Procentowy 3 11 34" xfId="26841"/>
    <cellStyle name="Procentowy 3 11 35" xfId="26842"/>
    <cellStyle name="Procentowy 3 11 36" xfId="26843"/>
    <cellStyle name="Procentowy 3 11 37" xfId="26844"/>
    <cellStyle name="Procentowy 3 11 38" xfId="26845"/>
    <cellStyle name="Procentowy 3 11 39" xfId="26846"/>
    <cellStyle name="Procentowy 3 11 4" xfId="26847"/>
    <cellStyle name="Procentowy 3 11 4 2" xfId="26848"/>
    <cellStyle name="Procentowy 3 11 4 3" xfId="26849"/>
    <cellStyle name="Procentowy 3 11 4 4" xfId="26850"/>
    <cellStyle name="Procentowy 3 11 4 5" xfId="26851"/>
    <cellStyle name="Procentowy 3 11 4 6" xfId="26852"/>
    <cellStyle name="Procentowy 3 11 4 7" xfId="26853"/>
    <cellStyle name="Procentowy 3 11 40" xfId="26854"/>
    <cellStyle name="Procentowy 3 11 41" xfId="26855"/>
    <cellStyle name="Procentowy 3 11 42" xfId="26856"/>
    <cellStyle name="Procentowy 3 11 43" xfId="26857"/>
    <cellStyle name="Procentowy 3 11 44" xfId="26858"/>
    <cellStyle name="Procentowy 3 11 45" xfId="26859"/>
    <cellStyle name="Procentowy 3 11 46" xfId="26860"/>
    <cellStyle name="Procentowy 3 11 47" xfId="26861"/>
    <cellStyle name="Procentowy 3 11 48" xfId="26862"/>
    <cellStyle name="Procentowy 3 11 49" xfId="26863"/>
    <cellStyle name="Procentowy 3 11 5" xfId="26864"/>
    <cellStyle name="Procentowy 3 11 5 2" xfId="26865"/>
    <cellStyle name="Procentowy 3 11 5 3" xfId="26866"/>
    <cellStyle name="Procentowy 3 11 5 4" xfId="26867"/>
    <cellStyle name="Procentowy 3 11 5 5" xfId="26868"/>
    <cellStyle name="Procentowy 3 11 5 6" xfId="26869"/>
    <cellStyle name="Procentowy 3 11 5 7" xfId="26870"/>
    <cellStyle name="Procentowy 3 11 50" xfId="26871"/>
    <cellStyle name="Procentowy 3 11 51" xfId="26872"/>
    <cellStyle name="Procentowy 3 11 52" xfId="26873"/>
    <cellStyle name="Procentowy 3 11 53" xfId="26874"/>
    <cellStyle name="Procentowy 3 11 54" xfId="26875"/>
    <cellStyle name="Procentowy 3 11 55" xfId="26876"/>
    <cellStyle name="Procentowy 3 11 56" xfId="26877"/>
    <cellStyle name="Procentowy 3 11 57" xfId="26878"/>
    <cellStyle name="Procentowy 3 11 58" xfId="26879"/>
    <cellStyle name="Procentowy 3 11 59" xfId="26880"/>
    <cellStyle name="Procentowy 3 11 6" xfId="26881"/>
    <cellStyle name="Procentowy 3 11 6 2" xfId="26882"/>
    <cellStyle name="Procentowy 3 11 60" xfId="26883"/>
    <cellStyle name="Procentowy 3 11 61" xfId="26884"/>
    <cellStyle name="Procentowy 3 11 62" xfId="26885"/>
    <cellStyle name="Procentowy 3 11 63" xfId="26886"/>
    <cellStyle name="Procentowy 3 11 64" xfId="26887"/>
    <cellStyle name="Procentowy 3 11 65" xfId="26888"/>
    <cellStyle name="Procentowy 3 11 66" xfId="26889"/>
    <cellStyle name="Procentowy 3 11 67" xfId="26890"/>
    <cellStyle name="Procentowy 3 11 68" xfId="26891"/>
    <cellStyle name="Procentowy 3 11 69" xfId="26892"/>
    <cellStyle name="Procentowy 3 11 7" xfId="26893"/>
    <cellStyle name="Procentowy 3 11 7 2" xfId="26894"/>
    <cellStyle name="Procentowy 3 11 70" xfId="26895"/>
    <cellStyle name="Procentowy 3 11 71" xfId="26896"/>
    <cellStyle name="Procentowy 3 11 72" xfId="26897"/>
    <cellStyle name="Procentowy 3 11 73" xfId="26898"/>
    <cellStyle name="Procentowy 3 11 74" xfId="26899"/>
    <cellStyle name="Procentowy 3 11 8" xfId="26900"/>
    <cellStyle name="Procentowy 3 11 8 2" xfId="26901"/>
    <cellStyle name="Procentowy 3 11 9" xfId="26902"/>
    <cellStyle name="Procentowy 3 11 9 2" xfId="26903"/>
    <cellStyle name="Procentowy 3 12" xfId="26904"/>
    <cellStyle name="Procentowy 3 12 10" xfId="26905"/>
    <cellStyle name="Procentowy 3 12 10 2" xfId="26906"/>
    <cellStyle name="Procentowy 3 12 11" xfId="26907"/>
    <cellStyle name="Procentowy 3 12 11 2" xfId="26908"/>
    <cellStyle name="Procentowy 3 12 12" xfId="26909"/>
    <cellStyle name="Procentowy 3 12 12 2" xfId="26910"/>
    <cellStyle name="Procentowy 3 12 13" xfId="26911"/>
    <cellStyle name="Procentowy 3 12 13 2" xfId="26912"/>
    <cellStyle name="Procentowy 3 12 14" xfId="26913"/>
    <cellStyle name="Procentowy 3 12 14 2" xfId="26914"/>
    <cellStyle name="Procentowy 3 12 15" xfId="26915"/>
    <cellStyle name="Procentowy 3 12 15 2" xfId="26916"/>
    <cellStyle name="Procentowy 3 12 16" xfId="26917"/>
    <cellStyle name="Procentowy 3 12 16 2" xfId="26918"/>
    <cellStyle name="Procentowy 3 12 17" xfId="26919"/>
    <cellStyle name="Procentowy 3 12 17 2" xfId="26920"/>
    <cellStyle name="Procentowy 3 12 18" xfId="26921"/>
    <cellStyle name="Procentowy 3 12 18 2" xfId="26922"/>
    <cellStyle name="Procentowy 3 12 19" xfId="26923"/>
    <cellStyle name="Procentowy 3 12 19 2" xfId="26924"/>
    <cellStyle name="Procentowy 3 12 2" xfId="26925"/>
    <cellStyle name="Procentowy 3 12 2 2" xfId="26926"/>
    <cellStyle name="Procentowy 3 12 2 3" xfId="26927"/>
    <cellStyle name="Procentowy 3 12 2 4" xfId="26928"/>
    <cellStyle name="Procentowy 3 12 2 5" xfId="26929"/>
    <cellStyle name="Procentowy 3 12 2 6" xfId="26930"/>
    <cellStyle name="Procentowy 3 12 2 7" xfId="26931"/>
    <cellStyle name="Procentowy 3 12 20" xfId="26932"/>
    <cellStyle name="Procentowy 3 12 20 2" xfId="26933"/>
    <cellStyle name="Procentowy 3 12 21" xfId="26934"/>
    <cellStyle name="Procentowy 3 12 21 2" xfId="26935"/>
    <cellStyle name="Procentowy 3 12 22" xfId="26936"/>
    <cellStyle name="Procentowy 3 12 22 2" xfId="26937"/>
    <cellStyle name="Procentowy 3 12 23" xfId="26938"/>
    <cellStyle name="Procentowy 3 12 23 2" xfId="26939"/>
    <cellStyle name="Procentowy 3 12 24" xfId="26940"/>
    <cellStyle name="Procentowy 3 12 24 2" xfId="26941"/>
    <cellStyle name="Procentowy 3 12 25" xfId="26942"/>
    <cellStyle name="Procentowy 3 12 25 2" xfId="26943"/>
    <cellStyle name="Procentowy 3 12 26" xfId="26944"/>
    <cellStyle name="Procentowy 3 12 26 2" xfId="26945"/>
    <cellStyle name="Procentowy 3 12 27" xfId="26946"/>
    <cellStyle name="Procentowy 3 12 27 2" xfId="26947"/>
    <cellStyle name="Procentowy 3 12 28" xfId="26948"/>
    <cellStyle name="Procentowy 3 12 28 2" xfId="26949"/>
    <cellStyle name="Procentowy 3 12 29" xfId="26950"/>
    <cellStyle name="Procentowy 3 12 29 2" xfId="26951"/>
    <cellStyle name="Procentowy 3 12 3" xfId="26952"/>
    <cellStyle name="Procentowy 3 12 3 2" xfId="26953"/>
    <cellStyle name="Procentowy 3 12 3 3" xfId="26954"/>
    <cellStyle name="Procentowy 3 12 3 4" xfId="26955"/>
    <cellStyle name="Procentowy 3 12 3 5" xfId="26956"/>
    <cellStyle name="Procentowy 3 12 3 6" xfId="26957"/>
    <cellStyle name="Procentowy 3 12 3 7" xfId="26958"/>
    <cellStyle name="Procentowy 3 12 30" xfId="26959"/>
    <cellStyle name="Procentowy 3 12 30 2" xfId="26960"/>
    <cellStyle name="Procentowy 3 12 31" xfId="26961"/>
    <cellStyle name="Procentowy 3 12 31 2" xfId="26962"/>
    <cellStyle name="Procentowy 3 12 32" xfId="26963"/>
    <cellStyle name="Procentowy 3 12 33" xfId="26964"/>
    <cellStyle name="Procentowy 3 12 34" xfId="26965"/>
    <cellStyle name="Procentowy 3 12 35" xfId="26966"/>
    <cellStyle name="Procentowy 3 12 36" xfId="26967"/>
    <cellStyle name="Procentowy 3 12 37" xfId="26968"/>
    <cellStyle name="Procentowy 3 12 38" xfId="26969"/>
    <cellStyle name="Procentowy 3 12 39" xfId="26970"/>
    <cellStyle name="Procentowy 3 12 4" xfId="26971"/>
    <cellStyle name="Procentowy 3 12 4 2" xfId="26972"/>
    <cellStyle name="Procentowy 3 12 4 3" xfId="26973"/>
    <cellStyle name="Procentowy 3 12 4 4" xfId="26974"/>
    <cellStyle name="Procentowy 3 12 4 5" xfId="26975"/>
    <cellStyle name="Procentowy 3 12 4 6" xfId="26976"/>
    <cellStyle name="Procentowy 3 12 4 7" xfId="26977"/>
    <cellStyle name="Procentowy 3 12 40" xfId="26978"/>
    <cellStyle name="Procentowy 3 12 41" xfId="26979"/>
    <cellStyle name="Procentowy 3 12 42" xfId="26980"/>
    <cellStyle name="Procentowy 3 12 43" xfId="26981"/>
    <cellStyle name="Procentowy 3 12 44" xfId="26982"/>
    <cellStyle name="Procentowy 3 12 45" xfId="26983"/>
    <cellStyle name="Procentowy 3 12 46" xfId="26984"/>
    <cellStyle name="Procentowy 3 12 47" xfId="26985"/>
    <cellStyle name="Procentowy 3 12 48" xfId="26986"/>
    <cellStyle name="Procentowy 3 12 49" xfId="26987"/>
    <cellStyle name="Procentowy 3 12 5" xfId="26988"/>
    <cellStyle name="Procentowy 3 12 5 2" xfId="26989"/>
    <cellStyle name="Procentowy 3 12 5 3" xfId="26990"/>
    <cellStyle name="Procentowy 3 12 5 4" xfId="26991"/>
    <cellStyle name="Procentowy 3 12 5 5" xfId="26992"/>
    <cellStyle name="Procentowy 3 12 5 6" xfId="26993"/>
    <cellStyle name="Procentowy 3 12 5 7" xfId="26994"/>
    <cellStyle name="Procentowy 3 12 50" xfId="26995"/>
    <cellStyle name="Procentowy 3 12 51" xfId="26996"/>
    <cellStyle name="Procentowy 3 12 52" xfId="26997"/>
    <cellStyle name="Procentowy 3 12 53" xfId="26998"/>
    <cellStyle name="Procentowy 3 12 54" xfId="26999"/>
    <cellStyle name="Procentowy 3 12 55" xfId="27000"/>
    <cellStyle name="Procentowy 3 12 56" xfId="27001"/>
    <cellStyle name="Procentowy 3 12 57" xfId="27002"/>
    <cellStyle name="Procentowy 3 12 58" xfId="27003"/>
    <cellStyle name="Procentowy 3 12 59" xfId="27004"/>
    <cellStyle name="Procentowy 3 12 6" xfId="27005"/>
    <cellStyle name="Procentowy 3 12 6 2" xfId="27006"/>
    <cellStyle name="Procentowy 3 12 60" xfId="27007"/>
    <cellStyle name="Procentowy 3 12 61" xfId="27008"/>
    <cellStyle name="Procentowy 3 12 62" xfId="27009"/>
    <cellStyle name="Procentowy 3 12 63" xfId="27010"/>
    <cellStyle name="Procentowy 3 12 64" xfId="27011"/>
    <cellStyle name="Procentowy 3 12 65" xfId="27012"/>
    <cellStyle name="Procentowy 3 12 66" xfId="27013"/>
    <cellStyle name="Procentowy 3 12 67" xfId="27014"/>
    <cellStyle name="Procentowy 3 12 68" xfId="27015"/>
    <cellStyle name="Procentowy 3 12 69" xfId="27016"/>
    <cellStyle name="Procentowy 3 12 7" xfId="27017"/>
    <cellStyle name="Procentowy 3 12 7 2" xfId="27018"/>
    <cellStyle name="Procentowy 3 12 70" xfId="27019"/>
    <cellStyle name="Procentowy 3 12 71" xfId="27020"/>
    <cellStyle name="Procentowy 3 12 72" xfId="27021"/>
    <cellStyle name="Procentowy 3 12 73" xfId="27022"/>
    <cellStyle name="Procentowy 3 12 74" xfId="27023"/>
    <cellStyle name="Procentowy 3 12 8" xfId="27024"/>
    <cellStyle name="Procentowy 3 12 8 2" xfId="27025"/>
    <cellStyle name="Procentowy 3 12 9" xfId="27026"/>
    <cellStyle name="Procentowy 3 12 9 2" xfId="27027"/>
    <cellStyle name="Procentowy 3 13" xfId="27028"/>
    <cellStyle name="Procentowy 3 13 10" xfId="27029"/>
    <cellStyle name="Procentowy 3 13 10 2" xfId="27030"/>
    <cellStyle name="Procentowy 3 13 11" xfId="27031"/>
    <cellStyle name="Procentowy 3 13 11 2" xfId="27032"/>
    <cellStyle name="Procentowy 3 13 12" xfId="27033"/>
    <cellStyle name="Procentowy 3 13 12 2" xfId="27034"/>
    <cellStyle name="Procentowy 3 13 13" xfId="27035"/>
    <cellStyle name="Procentowy 3 13 13 2" xfId="27036"/>
    <cellStyle name="Procentowy 3 13 14" xfId="27037"/>
    <cellStyle name="Procentowy 3 13 14 2" xfId="27038"/>
    <cellStyle name="Procentowy 3 13 15" xfId="27039"/>
    <cellStyle name="Procentowy 3 13 15 2" xfId="27040"/>
    <cellStyle name="Procentowy 3 13 16" xfId="27041"/>
    <cellStyle name="Procentowy 3 13 16 2" xfId="27042"/>
    <cellStyle name="Procentowy 3 13 17" xfId="27043"/>
    <cellStyle name="Procentowy 3 13 17 2" xfId="27044"/>
    <cellStyle name="Procentowy 3 13 18" xfId="27045"/>
    <cellStyle name="Procentowy 3 13 18 2" xfId="27046"/>
    <cellStyle name="Procentowy 3 13 19" xfId="27047"/>
    <cellStyle name="Procentowy 3 13 19 2" xfId="27048"/>
    <cellStyle name="Procentowy 3 13 2" xfId="27049"/>
    <cellStyle name="Procentowy 3 13 2 2" xfId="27050"/>
    <cellStyle name="Procentowy 3 13 2 3" xfId="27051"/>
    <cellStyle name="Procentowy 3 13 2 4" xfId="27052"/>
    <cellStyle name="Procentowy 3 13 2 5" xfId="27053"/>
    <cellStyle name="Procentowy 3 13 2 6" xfId="27054"/>
    <cellStyle name="Procentowy 3 13 2 7" xfId="27055"/>
    <cellStyle name="Procentowy 3 13 20" xfId="27056"/>
    <cellStyle name="Procentowy 3 13 20 2" xfId="27057"/>
    <cellStyle name="Procentowy 3 13 21" xfId="27058"/>
    <cellStyle name="Procentowy 3 13 21 2" xfId="27059"/>
    <cellStyle name="Procentowy 3 13 22" xfId="27060"/>
    <cellStyle name="Procentowy 3 13 22 2" xfId="27061"/>
    <cellStyle name="Procentowy 3 13 23" xfId="27062"/>
    <cellStyle name="Procentowy 3 13 23 2" xfId="27063"/>
    <cellStyle name="Procentowy 3 13 24" xfId="27064"/>
    <cellStyle name="Procentowy 3 13 24 2" xfId="27065"/>
    <cellStyle name="Procentowy 3 13 25" xfId="27066"/>
    <cellStyle name="Procentowy 3 13 25 2" xfId="27067"/>
    <cellStyle name="Procentowy 3 13 26" xfId="27068"/>
    <cellStyle name="Procentowy 3 13 26 2" xfId="27069"/>
    <cellStyle name="Procentowy 3 13 27" xfId="27070"/>
    <cellStyle name="Procentowy 3 13 27 2" xfId="27071"/>
    <cellStyle name="Procentowy 3 13 28" xfId="27072"/>
    <cellStyle name="Procentowy 3 13 28 2" xfId="27073"/>
    <cellStyle name="Procentowy 3 13 29" xfId="27074"/>
    <cellStyle name="Procentowy 3 13 29 2" xfId="27075"/>
    <cellStyle name="Procentowy 3 13 3" xfId="27076"/>
    <cellStyle name="Procentowy 3 13 3 2" xfId="27077"/>
    <cellStyle name="Procentowy 3 13 3 3" xfId="27078"/>
    <cellStyle name="Procentowy 3 13 3 4" xfId="27079"/>
    <cellStyle name="Procentowy 3 13 3 5" xfId="27080"/>
    <cellStyle name="Procentowy 3 13 3 6" xfId="27081"/>
    <cellStyle name="Procentowy 3 13 3 7" xfId="27082"/>
    <cellStyle name="Procentowy 3 13 30" xfId="27083"/>
    <cellStyle name="Procentowy 3 13 30 2" xfId="27084"/>
    <cellStyle name="Procentowy 3 13 31" xfId="27085"/>
    <cellStyle name="Procentowy 3 13 31 2" xfId="27086"/>
    <cellStyle name="Procentowy 3 13 32" xfId="27087"/>
    <cellStyle name="Procentowy 3 13 33" xfId="27088"/>
    <cellStyle name="Procentowy 3 13 34" xfId="27089"/>
    <cellStyle name="Procentowy 3 13 35" xfId="27090"/>
    <cellStyle name="Procentowy 3 13 36" xfId="27091"/>
    <cellStyle name="Procentowy 3 13 37" xfId="27092"/>
    <cellStyle name="Procentowy 3 13 38" xfId="27093"/>
    <cellStyle name="Procentowy 3 13 39" xfId="27094"/>
    <cellStyle name="Procentowy 3 13 4" xfId="27095"/>
    <cellStyle name="Procentowy 3 13 4 2" xfId="27096"/>
    <cellStyle name="Procentowy 3 13 4 3" xfId="27097"/>
    <cellStyle name="Procentowy 3 13 4 4" xfId="27098"/>
    <cellStyle name="Procentowy 3 13 4 5" xfId="27099"/>
    <cellStyle name="Procentowy 3 13 4 6" xfId="27100"/>
    <cellStyle name="Procentowy 3 13 4 7" xfId="27101"/>
    <cellStyle name="Procentowy 3 13 40" xfId="27102"/>
    <cellStyle name="Procentowy 3 13 41" xfId="27103"/>
    <cellStyle name="Procentowy 3 13 42" xfId="27104"/>
    <cellStyle name="Procentowy 3 13 43" xfId="27105"/>
    <cellStyle name="Procentowy 3 13 44" xfId="27106"/>
    <cellStyle name="Procentowy 3 13 45" xfId="27107"/>
    <cellStyle name="Procentowy 3 13 46" xfId="27108"/>
    <cellStyle name="Procentowy 3 13 47" xfId="27109"/>
    <cellStyle name="Procentowy 3 13 48" xfId="27110"/>
    <cellStyle name="Procentowy 3 13 49" xfId="27111"/>
    <cellStyle name="Procentowy 3 13 5" xfId="27112"/>
    <cellStyle name="Procentowy 3 13 5 2" xfId="27113"/>
    <cellStyle name="Procentowy 3 13 5 3" xfId="27114"/>
    <cellStyle name="Procentowy 3 13 5 4" xfId="27115"/>
    <cellStyle name="Procentowy 3 13 5 5" xfId="27116"/>
    <cellStyle name="Procentowy 3 13 5 6" xfId="27117"/>
    <cellStyle name="Procentowy 3 13 5 7" xfId="27118"/>
    <cellStyle name="Procentowy 3 13 50" xfId="27119"/>
    <cellStyle name="Procentowy 3 13 51" xfId="27120"/>
    <cellStyle name="Procentowy 3 13 52" xfId="27121"/>
    <cellStyle name="Procentowy 3 13 53" xfId="27122"/>
    <cellStyle name="Procentowy 3 13 54" xfId="27123"/>
    <cellStyle name="Procentowy 3 13 55" xfId="27124"/>
    <cellStyle name="Procentowy 3 13 56" xfId="27125"/>
    <cellStyle name="Procentowy 3 13 57" xfId="27126"/>
    <cellStyle name="Procentowy 3 13 58" xfId="27127"/>
    <cellStyle name="Procentowy 3 13 59" xfId="27128"/>
    <cellStyle name="Procentowy 3 13 6" xfId="27129"/>
    <cellStyle name="Procentowy 3 13 6 2" xfId="27130"/>
    <cellStyle name="Procentowy 3 13 60" xfId="27131"/>
    <cellStyle name="Procentowy 3 13 61" xfId="27132"/>
    <cellStyle name="Procentowy 3 13 62" xfId="27133"/>
    <cellStyle name="Procentowy 3 13 63" xfId="27134"/>
    <cellStyle name="Procentowy 3 13 64" xfId="27135"/>
    <cellStyle name="Procentowy 3 13 65" xfId="27136"/>
    <cellStyle name="Procentowy 3 13 66" xfId="27137"/>
    <cellStyle name="Procentowy 3 13 67" xfId="27138"/>
    <cellStyle name="Procentowy 3 13 68" xfId="27139"/>
    <cellStyle name="Procentowy 3 13 69" xfId="27140"/>
    <cellStyle name="Procentowy 3 13 7" xfId="27141"/>
    <cellStyle name="Procentowy 3 13 7 2" xfId="27142"/>
    <cellStyle name="Procentowy 3 13 70" xfId="27143"/>
    <cellStyle name="Procentowy 3 13 71" xfId="27144"/>
    <cellStyle name="Procentowy 3 13 72" xfId="27145"/>
    <cellStyle name="Procentowy 3 13 73" xfId="27146"/>
    <cellStyle name="Procentowy 3 13 74" xfId="27147"/>
    <cellStyle name="Procentowy 3 13 8" xfId="27148"/>
    <cellStyle name="Procentowy 3 13 8 2" xfId="27149"/>
    <cellStyle name="Procentowy 3 13 9" xfId="27150"/>
    <cellStyle name="Procentowy 3 13 9 2" xfId="27151"/>
    <cellStyle name="Procentowy 3 14" xfId="27152"/>
    <cellStyle name="Procentowy 3 14 10" xfId="27153"/>
    <cellStyle name="Procentowy 3 14 10 2" xfId="27154"/>
    <cellStyle name="Procentowy 3 14 11" xfId="27155"/>
    <cellStyle name="Procentowy 3 14 11 2" xfId="27156"/>
    <cellStyle name="Procentowy 3 14 12" xfId="27157"/>
    <cellStyle name="Procentowy 3 14 12 2" xfId="27158"/>
    <cellStyle name="Procentowy 3 14 13" xfId="27159"/>
    <cellStyle name="Procentowy 3 14 13 2" xfId="27160"/>
    <cellStyle name="Procentowy 3 14 14" xfId="27161"/>
    <cellStyle name="Procentowy 3 14 14 2" xfId="27162"/>
    <cellStyle name="Procentowy 3 14 15" xfId="27163"/>
    <cellStyle name="Procentowy 3 14 15 2" xfId="27164"/>
    <cellStyle name="Procentowy 3 14 16" xfId="27165"/>
    <cellStyle name="Procentowy 3 14 16 2" xfId="27166"/>
    <cellStyle name="Procentowy 3 14 17" xfId="27167"/>
    <cellStyle name="Procentowy 3 14 17 2" xfId="27168"/>
    <cellStyle name="Procentowy 3 14 18" xfId="27169"/>
    <cellStyle name="Procentowy 3 14 18 2" xfId="27170"/>
    <cellStyle name="Procentowy 3 14 19" xfId="27171"/>
    <cellStyle name="Procentowy 3 14 19 2" xfId="27172"/>
    <cellStyle name="Procentowy 3 14 2" xfId="27173"/>
    <cellStyle name="Procentowy 3 14 2 2" xfId="27174"/>
    <cellStyle name="Procentowy 3 14 2 3" xfId="27175"/>
    <cellStyle name="Procentowy 3 14 2 4" xfId="27176"/>
    <cellStyle name="Procentowy 3 14 2 5" xfId="27177"/>
    <cellStyle name="Procentowy 3 14 2 6" xfId="27178"/>
    <cellStyle name="Procentowy 3 14 2 7" xfId="27179"/>
    <cellStyle name="Procentowy 3 14 20" xfId="27180"/>
    <cellStyle name="Procentowy 3 14 20 2" xfId="27181"/>
    <cellStyle name="Procentowy 3 14 21" xfId="27182"/>
    <cellStyle name="Procentowy 3 14 21 2" xfId="27183"/>
    <cellStyle name="Procentowy 3 14 22" xfId="27184"/>
    <cellStyle name="Procentowy 3 14 22 2" xfId="27185"/>
    <cellStyle name="Procentowy 3 14 23" xfId="27186"/>
    <cellStyle name="Procentowy 3 14 23 2" xfId="27187"/>
    <cellStyle name="Procentowy 3 14 24" xfId="27188"/>
    <cellStyle name="Procentowy 3 14 24 2" xfId="27189"/>
    <cellStyle name="Procentowy 3 14 25" xfId="27190"/>
    <cellStyle name="Procentowy 3 14 25 2" xfId="27191"/>
    <cellStyle name="Procentowy 3 14 26" xfId="27192"/>
    <cellStyle name="Procentowy 3 14 26 2" xfId="27193"/>
    <cellStyle name="Procentowy 3 14 27" xfId="27194"/>
    <cellStyle name="Procentowy 3 14 27 2" xfId="27195"/>
    <cellStyle name="Procentowy 3 14 28" xfId="27196"/>
    <cellStyle name="Procentowy 3 14 28 2" xfId="27197"/>
    <cellStyle name="Procentowy 3 14 29" xfId="27198"/>
    <cellStyle name="Procentowy 3 14 29 2" xfId="27199"/>
    <cellStyle name="Procentowy 3 14 3" xfId="27200"/>
    <cellStyle name="Procentowy 3 14 3 2" xfId="27201"/>
    <cellStyle name="Procentowy 3 14 3 3" xfId="27202"/>
    <cellStyle name="Procentowy 3 14 3 4" xfId="27203"/>
    <cellStyle name="Procentowy 3 14 3 5" xfId="27204"/>
    <cellStyle name="Procentowy 3 14 3 6" xfId="27205"/>
    <cellStyle name="Procentowy 3 14 3 7" xfId="27206"/>
    <cellStyle name="Procentowy 3 14 30" xfId="27207"/>
    <cellStyle name="Procentowy 3 14 30 2" xfId="27208"/>
    <cellStyle name="Procentowy 3 14 31" xfId="27209"/>
    <cellStyle name="Procentowy 3 14 31 2" xfId="27210"/>
    <cellStyle name="Procentowy 3 14 32" xfId="27211"/>
    <cellStyle name="Procentowy 3 14 33" xfId="27212"/>
    <cellStyle name="Procentowy 3 14 34" xfId="27213"/>
    <cellStyle name="Procentowy 3 14 35" xfId="27214"/>
    <cellStyle name="Procentowy 3 14 36" xfId="27215"/>
    <cellStyle name="Procentowy 3 14 37" xfId="27216"/>
    <cellStyle name="Procentowy 3 14 38" xfId="27217"/>
    <cellStyle name="Procentowy 3 14 39" xfId="27218"/>
    <cellStyle name="Procentowy 3 14 4" xfId="27219"/>
    <cellStyle name="Procentowy 3 14 4 2" xfId="27220"/>
    <cellStyle name="Procentowy 3 14 4 3" xfId="27221"/>
    <cellStyle name="Procentowy 3 14 4 4" xfId="27222"/>
    <cellStyle name="Procentowy 3 14 4 5" xfId="27223"/>
    <cellStyle name="Procentowy 3 14 4 6" xfId="27224"/>
    <cellStyle name="Procentowy 3 14 4 7" xfId="27225"/>
    <cellStyle name="Procentowy 3 14 40" xfId="27226"/>
    <cellStyle name="Procentowy 3 14 41" xfId="27227"/>
    <cellStyle name="Procentowy 3 14 42" xfId="27228"/>
    <cellStyle name="Procentowy 3 14 43" xfId="27229"/>
    <cellStyle name="Procentowy 3 14 44" xfId="27230"/>
    <cellStyle name="Procentowy 3 14 45" xfId="27231"/>
    <cellStyle name="Procentowy 3 14 46" xfId="27232"/>
    <cellStyle name="Procentowy 3 14 47" xfId="27233"/>
    <cellStyle name="Procentowy 3 14 48" xfId="27234"/>
    <cellStyle name="Procentowy 3 14 49" xfId="27235"/>
    <cellStyle name="Procentowy 3 14 5" xfId="27236"/>
    <cellStyle name="Procentowy 3 14 5 2" xfId="27237"/>
    <cellStyle name="Procentowy 3 14 5 3" xfId="27238"/>
    <cellStyle name="Procentowy 3 14 5 4" xfId="27239"/>
    <cellStyle name="Procentowy 3 14 5 5" xfId="27240"/>
    <cellStyle name="Procentowy 3 14 5 6" xfId="27241"/>
    <cellStyle name="Procentowy 3 14 5 7" xfId="27242"/>
    <cellStyle name="Procentowy 3 14 50" xfId="27243"/>
    <cellStyle name="Procentowy 3 14 51" xfId="27244"/>
    <cellStyle name="Procentowy 3 14 52" xfId="27245"/>
    <cellStyle name="Procentowy 3 14 53" xfId="27246"/>
    <cellStyle name="Procentowy 3 14 54" xfId="27247"/>
    <cellStyle name="Procentowy 3 14 55" xfId="27248"/>
    <cellStyle name="Procentowy 3 14 56" xfId="27249"/>
    <cellStyle name="Procentowy 3 14 57" xfId="27250"/>
    <cellStyle name="Procentowy 3 14 58" xfId="27251"/>
    <cellStyle name="Procentowy 3 14 59" xfId="27252"/>
    <cellStyle name="Procentowy 3 14 6" xfId="27253"/>
    <cellStyle name="Procentowy 3 14 6 2" xfId="27254"/>
    <cellStyle name="Procentowy 3 14 60" xfId="27255"/>
    <cellStyle name="Procentowy 3 14 61" xfId="27256"/>
    <cellStyle name="Procentowy 3 14 62" xfId="27257"/>
    <cellStyle name="Procentowy 3 14 63" xfId="27258"/>
    <cellStyle name="Procentowy 3 14 64" xfId="27259"/>
    <cellStyle name="Procentowy 3 14 65" xfId="27260"/>
    <cellStyle name="Procentowy 3 14 66" xfId="27261"/>
    <cellStyle name="Procentowy 3 14 67" xfId="27262"/>
    <cellStyle name="Procentowy 3 14 68" xfId="27263"/>
    <cellStyle name="Procentowy 3 14 69" xfId="27264"/>
    <cellStyle name="Procentowy 3 14 7" xfId="27265"/>
    <cellStyle name="Procentowy 3 14 7 2" xfId="27266"/>
    <cellStyle name="Procentowy 3 14 70" xfId="27267"/>
    <cellStyle name="Procentowy 3 14 71" xfId="27268"/>
    <cellStyle name="Procentowy 3 14 72" xfId="27269"/>
    <cellStyle name="Procentowy 3 14 73" xfId="27270"/>
    <cellStyle name="Procentowy 3 14 74" xfId="27271"/>
    <cellStyle name="Procentowy 3 14 8" xfId="27272"/>
    <cellStyle name="Procentowy 3 14 8 2" xfId="27273"/>
    <cellStyle name="Procentowy 3 14 9" xfId="27274"/>
    <cellStyle name="Procentowy 3 14 9 2" xfId="27275"/>
    <cellStyle name="Procentowy 3 15" xfId="27276"/>
    <cellStyle name="Procentowy 3 15 10" xfId="27277"/>
    <cellStyle name="Procentowy 3 15 10 2" xfId="27278"/>
    <cellStyle name="Procentowy 3 15 11" xfId="27279"/>
    <cellStyle name="Procentowy 3 15 11 2" xfId="27280"/>
    <cellStyle name="Procentowy 3 15 12" xfId="27281"/>
    <cellStyle name="Procentowy 3 15 12 2" xfId="27282"/>
    <cellStyle name="Procentowy 3 15 13" xfId="27283"/>
    <cellStyle name="Procentowy 3 15 13 2" xfId="27284"/>
    <cellStyle name="Procentowy 3 15 14" xfId="27285"/>
    <cellStyle name="Procentowy 3 15 14 2" xfId="27286"/>
    <cellStyle name="Procentowy 3 15 15" xfId="27287"/>
    <cellStyle name="Procentowy 3 15 15 2" xfId="27288"/>
    <cellStyle name="Procentowy 3 15 16" xfId="27289"/>
    <cellStyle name="Procentowy 3 15 16 2" xfId="27290"/>
    <cellStyle name="Procentowy 3 15 17" xfId="27291"/>
    <cellStyle name="Procentowy 3 15 17 2" xfId="27292"/>
    <cellStyle name="Procentowy 3 15 18" xfId="27293"/>
    <cellStyle name="Procentowy 3 15 18 2" xfId="27294"/>
    <cellStyle name="Procentowy 3 15 19" xfId="27295"/>
    <cellStyle name="Procentowy 3 15 19 2" xfId="27296"/>
    <cellStyle name="Procentowy 3 15 2" xfId="27297"/>
    <cellStyle name="Procentowy 3 15 2 2" xfId="27298"/>
    <cellStyle name="Procentowy 3 15 2 3" xfId="27299"/>
    <cellStyle name="Procentowy 3 15 2 4" xfId="27300"/>
    <cellStyle name="Procentowy 3 15 2 5" xfId="27301"/>
    <cellStyle name="Procentowy 3 15 2 6" xfId="27302"/>
    <cellStyle name="Procentowy 3 15 2 7" xfId="27303"/>
    <cellStyle name="Procentowy 3 15 20" xfId="27304"/>
    <cellStyle name="Procentowy 3 15 20 2" xfId="27305"/>
    <cellStyle name="Procentowy 3 15 21" xfId="27306"/>
    <cellStyle name="Procentowy 3 15 21 2" xfId="27307"/>
    <cellStyle name="Procentowy 3 15 22" xfId="27308"/>
    <cellStyle name="Procentowy 3 15 22 2" xfId="27309"/>
    <cellStyle name="Procentowy 3 15 23" xfId="27310"/>
    <cellStyle name="Procentowy 3 15 23 2" xfId="27311"/>
    <cellStyle name="Procentowy 3 15 24" xfId="27312"/>
    <cellStyle name="Procentowy 3 15 24 2" xfId="27313"/>
    <cellStyle name="Procentowy 3 15 25" xfId="27314"/>
    <cellStyle name="Procentowy 3 15 25 2" xfId="27315"/>
    <cellStyle name="Procentowy 3 15 26" xfId="27316"/>
    <cellStyle name="Procentowy 3 15 26 2" xfId="27317"/>
    <cellStyle name="Procentowy 3 15 27" xfId="27318"/>
    <cellStyle name="Procentowy 3 15 27 2" xfId="27319"/>
    <cellStyle name="Procentowy 3 15 28" xfId="27320"/>
    <cellStyle name="Procentowy 3 15 28 2" xfId="27321"/>
    <cellStyle name="Procentowy 3 15 29" xfId="27322"/>
    <cellStyle name="Procentowy 3 15 29 2" xfId="27323"/>
    <cellStyle name="Procentowy 3 15 3" xfId="27324"/>
    <cellStyle name="Procentowy 3 15 3 2" xfId="27325"/>
    <cellStyle name="Procentowy 3 15 3 3" xfId="27326"/>
    <cellStyle name="Procentowy 3 15 3 4" xfId="27327"/>
    <cellStyle name="Procentowy 3 15 3 5" xfId="27328"/>
    <cellStyle name="Procentowy 3 15 3 6" xfId="27329"/>
    <cellStyle name="Procentowy 3 15 3 7" xfId="27330"/>
    <cellStyle name="Procentowy 3 15 30" xfId="27331"/>
    <cellStyle name="Procentowy 3 15 30 2" xfId="27332"/>
    <cellStyle name="Procentowy 3 15 31" xfId="27333"/>
    <cellStyle name="Procentowy 3 15 31 2" xfId="27334"/>
    <cellStyle name="Procentowy 3 15 32" xfId="27335"/>
    <cellStyle name="Procentowy 3 15 33" xfId="27336"/>
    <cellStyle name="Procentowy 3 15 34" xfId="27337"/>
    <cellStyle name="Procentowy 3 15 35" xfId="27338"/>
    <cellStyle name="Procentowy 3 15 36" xfId="27339"/>
    <cellStyle name="Procentowy 3 15 37" xfId="27340"/>
    <cellStyle name="Procentowy 3 15 38" xfId="27341"/>
    <cellStyle name="Procentowy 3 15 39" xfId="27342"/>
    <cellStyle name="Procentowy 3 15 4" xfId="27343"/>
    <cellStyle name="Procentowy 3 15 4 2" xfId="27344"/>
    <cellStyle name="Procentowy 3 15 4 3" xfId="27345"/>
    <cellStyle name="Procentowy 3 15 4 4" xfId="27346"/>
    <cellStyle name="Procentowy 3 15 4 5" xfId="27347"/>
    <cellStyle name="Procentowy 3 15 4 6" xfId="27348"/>
    <cellStyle name="Procentowy 3 15 4 7" xfId="27349"/>
    <cellStyle name="Procentowy 3 15 40" xfId="27350"/>
    <cellStyle name="Procentowy 3 15 41" xfId="27351"/>
    <cellStyle name="Procentowy 3 15 42" xfId="27352"/>
    <cellStyle name="Procentowy 3 15 43" xfId="27353"/>
    <cellStyle name="Procentowy 3 15 44" xfId="27354"/>
    <cellStyle name="Procentowy 3 15 45" xfId="27355"/>
    <cellStyle name="Procentowy 3 15 46" xfId="27356"/>
    <cellStyle name="Procentowy 3 15 47" xfId="27357"/>
    <cellStyle name="Procentowy 3 15 48" xfId="27358"/>
    <cellStyle name="Procentowy 3 15 49" xfId="27359"/>
    <cellStyle name="Procentowy 3 15 5" xfId="27360"/>
    <cellStyle name="Procentowy 3 15 5 2" xfId="27361"/>
    <cellStyle name="Procentowy 3 15 5 3" xfId="27362"/>
    <cellStyle name="Procentowy 3 15 5 4" xfId="27363"/>
    <cellStyle name="Procentowy 3 15 5 5" xfId="27364"/>
    <cellStyle name="Procentowy 3 15 5 6" xfId="27365"/>
    <cellStyle name="Procentowy 3 15 5 7" xfId="27366"/>
    <cellStyle name="Procentowy 3 15 50" xfId="27367"/>
    <cellStyle name="Procentowy 3 15 51" xfId="27368"/>
    <cellStyle name="Procentowy 3 15 52" xfId="27369"/>
    <cellStyle name="Procentowy 3 15 53" xfId="27370"/>
    <cellStyle name="Procentowy 3 15 54" xfId="27371"/>
    <cellStyle name="Procentowy 3 15 55" xfId="27372"/>
    <cellStyle name="Procentowy 3 15 56" xfId="27373"/>
    <cellStyle name="Procentowy 3 15 57" xfId="27374"/>
    <cellStyle name="Procentowy 3 15 58" xfId="27375"/>
    <cellStyle name="Procentowy 3 15 59" xfId="27376"/>
    <cellStyle name="Procentowy 3 15 6" xfId="27377"/>
    <cellStyle name="Procentowy 3 15 6 2" xfId="27378"/>
    <cellStyle name="Procentowy 3 15 60" xfId="27379"/>
    <cellStyle name="Procentowy 3 15 61" xfId="27380"/>
    <cellStyle name="Procentowy 3 15 62" xfId="27381"/>
    <cellStyle name="Procentowy 3 15 63" xfId="27382"/>
    <cellStyle name="Procentowy 3 15 64" xfId="27383"/>
    <cellStyle name="Procentowy 3 15 65" xfId="27384"/>
    <cellStyle name="Procentowy 3 15 66" xfId="27385"/>
    <cellStyle name="Procentowy 3 15 67" xfId="27386"/>
    <cellStyle name="Procentowy 3 15 68" xfId="27387"/>
    <cellStyle name="Procentowy 3 15 69" xfId="27388"/>
    <cellStyle name="Procentowy 3 15 7" xfId="27389"/>
    <cellStyle name="Procentowy 3 15 7 2" xfId="27390"/>
    <cellStyle name="Procentowy 3 15 70" xfId="27391"/>
    <cellStyle name="Procentowy 3 15 71" xfId="27392"/>
    <cellStyle name="Procentowy 3 15 72" xfId="27393"/>
    <cellStyle name="Procentowy 3 15 73" xfId="27394"/>
    <cellStyle name="Procentowy 3 15 74" xfId="27395"/>
    <cellStyle name="Procentowy 3 15 8" xfId="27396"/>
    <cellStyle name="Procentowy 3 15 8 2" xfId="27397"/>
    <cellStyle name="Procentowy 3 15 9" xfId="27398"/>
    <cellStyle name="Procentowy 3 15 9 2" xfId="27399"/>
    <cellStyle name="Procentowy 3 16" xfId="27400"/>
    <cellStyle name="Procentowy 3 16 10" xfId="27401"/>
    <cellStyle name="Procentowy 3 16 10 2" xfId="27402"/>
    <cellStyle name="Procentowy 3 16 11" xfId="27403"/>
    <cellStyle name="Procentowy 3 16 11 2" xfId="27404"/>
    <cellStyle name="Procentowy 3 16 12" xfId="27405"/>
    <cellStyle name="Procentowy 3 16 12 2" xfId="27406"/>
    <cellStyle name="Procentowy 3 16 13" xfId="27407"/>
    <cellStyle name="Procentowy 3 16 13 2" xfId="27408"/>
    <cellStyle name="Procentowy 3 16 14" xfId="27409"/>
    <cellStyle name="Procentowy 3 16 14 2" xfId="27410"/>
    <cellStyle name="Procentowy 3 16 15" xfId="27411"/>
    <cellStyle name="Procentowy 3 16 15 2" xfId="27412"/>
    <cellStyle name="Procentowy 3 16 16" xfId="27413"/>
    <cellStyle name="Procentowy 3 16 16 2" xfId="27414"/>
    <cellStyle name="Procentowy 3 16 17" xfId="27415"/>
    <cellStyle name="Procentowy 3 16 17 2" xfId="27416"/>
    <cellStyle name="Procentowy 3 16 18" xfId="27417"/>
    <cellStyle name="Procentowy 3 16 18 2" xfId="27418"/>
    <cellStyle name="Procentowy 3 16 19" xfId="27419"/>
    <cellStyle name="Procentowy 3 16 19 2" xfId="27420"/>
    <cellStyle name="Procentowy 3 16 2" xfId="27421"/>
    <cellStyle name="Procentowy 3 16 2 2" xfId="27422"/>
    <cellStyle name="Procentowy 3 16 2 3" xfId="27423"/>
    <cellStyle name="Procentowy 3 16 2 4" xfId="27424"/>
    <cellStyle name="Procentowy 3 16 2 5" xfId="27425"/>
    <cellStyle name="Procentowy 3 16 2 6" xfId="27426"/>
    <cellStyle name="Procentowy 3 16 2 7" xfId="27427"/>
    <cellStyle name="Procentowy 3 16 20" xfId="27428"/>
    <cellStyle name="Procentowy 3 16 20 2" xfId="27429"/>
    <cellStyle name="Procentowy 3 16 21" xfId="27430"/>
    <cellStyle name="Procentowy 3 16 21 2" xfId="27431"/>
    <cellStyle name="Procentowy 3 16 22" xfId="27432"/>
    <cellStyle name="Procentowy 3 16 22 2" xfId="27433"/>
    <cellStyle name="Procentowy 3 16 23" xfId="27434"/>
    <cellStyle name="Procentowy 3 16 23 2" xfId="27435"/>
    <cellStyle name="Procentowy 3 16 24" xfId="27436"/>
    <cellStyle name="Procentowy 3 16 24 2" xfId="27437"/>
    <cellStyle name="Procentowy 3 16 25" xfId="27438"/>
    <cellStyle name="Procentowy 3 16 25 2" xfId="27439"/>
    <cellStyle name="Procentowy 3 16 26" xfId="27440"/>
    <cellStyle name="Procentowy 3 16 26 2" xfId="27441"/>
    <cellStyle name="Procentowy 3 16 27" xfId="27442"/>
    <cellStyle name="Procentowy 3 16 27 2" xfId="27443"/>
    <cellStyle name="Procentowy 3 16 28" xfId="27444"/>
    <cellStyle name="Procentowy 3 16 28 2" xfId="27445"/>
    <cellStyle name="Procentowy 3 16 29" xfId="27446"/>
    <cellStyle name="Procentowy 3 16 29 2" xfId="27447"/>
    <cellStyle name="Procentowy 3 16 3" xfId="27448"/>
    <cellStyle name="Procentowy 3 16 3 2" xfId="27449"/>
    <cellStyle name="Procentowy 3 16 3 3" xfId="27450"/>
    <cellStyle name="Procentowy 3 16 3 4" xfId="27451"/>
    <cellStyle name="Procentowy 3 16 3 5" xfId="27452"/>
    <cellStyle name="Procentowy 3 16 3 6" xfId="27453"/>
    <cellStyle name="Procentowy 3 16 3 7" xfId="27454"/>
    <cellStyle name="Procentowy 3 16 30" xfId="27455"/>
    <cellStyle name="Procentowy 3 16 30 2" xfId="27456"/>
    <cellStyle name="Procentowy 3 16 31" xfId="27457"/>
    <cellStyle name="Procentowy 3 16 31 2" xfId="27458"/>
    <cellStyle name="Procentowy 3 16 32" xfId="27459"/>
    <cellStyle name="Procentowy 3 16 33" xfId="27460"/>
    <cellStyle name="Procentowy 3 16 34" xfId="27461"/>
    <cellStyle name="Procentowy 3 16 35" xfId="27462"/>
    <cellStyle name="Procentowy 3 16 36" xfId="27463"/>
    <cellStyle name="Procentowy 3 16 37" xfId="27464"/>
    <cellStyle name="Procentowy 3 16 38" xfId="27465"/>
    <cellStyle name="Procentowy 3 16 39" xfId="27466"/>
    <cellStyle name="Procentowy 3 16 4" xfId="27467"/>
    <cellStyle name="Procentowy 3 16 4 2" xfId="27468"/>
    <cellStyle name="Procentowy 3 16 4 3" xfId="27469"/>
    <cellStyle name="Procentowy 3 16 4 4" xfId="27470"/>
    <cellStyle name="Procentowy 3 16 4 5" xfId="27471"/>
    <cellStyle name="Procentowy 3 16 4 6" xfId="27472"/>
    <cellStyle name="Procentowy 3 16 4 7" xfId="27473"/>
    <cellStyle name="Procentowy 3 16 40" xfId="27474"/>
    <cellStyle name="Procentowy 3 16 41" xfId="27475"/>
    <cellStyle name="Procentowy 3 16 42" xfId="27476"/>
    <cellStyle name="Procentowy 3 16 43" xfId="27477"/>
    <cellStyle name="Procentowy 3 16 44" xfId="27478"/>
    <cellStyle name="Procentowy 3 16 45" xfId="27479"/>
    <cellStyle name="Procentowy 3 16 46" xfId="27480"/>
    <cellStyle name="Procentowy 3 16 47" xfId="27481"/>
    <cellStyle name="Procentowy 3 16 48" xfId="27482"/>
    <cellStyle name="Procentowy 3 16 49" xfId="27483"/>
    <cellStyle name="Procentowy 3 16 5" xfId="27484"/>
    <cellStyle name="Procentowy 3 16 5 2" xfId="27485"/>
    <cellStyle name="Procentowy 3 16 5 3" xfId="27486"/>
    <cellStyle name="Procentowy 3 16 5 4" xfId="27487"/>
    <cellStyle name="Procentowy 3 16 5 5" xfId="27488"/>
    <cellStyle name="Procentowy 3 16 5 6" xfId="27489"/>
    <cellStyle name="Procentowy 3 16 5 7" xfId="27490"/>
    <cellStyle name="Procentowy 3 16 50" xfId="27491"/>
    <cellStyle name="Procentowy 3 16 51" xfId="27492"/>
    <cellStyle name="Procentowy 3 16 52" xfId="27493"/>
    <cellStyle name="Procentowy 3 16 53" xfId="27494"/>
    <cellStyle name="Procentowy 3 16 54" xfId="27495"/>
    <cellStyle name="Procentowy 3 16 55" xfId="27496"/>
    <cellStyle name="Procentowy 3 16 56" xfId="27497"/>
    <cellStyle name="Procentowy 3 16 57" xfId="27498"/>
    <cellStyle name="Procentowy 3 16 58" xfId="27499"/>
    <cellStyle name="Procentowy 3 16 59" xfId="27500"/>
    <cellStyle name="Procentowy 3 16 6" xfId="27501"/>
    <cellStyle name="Procentowy 3 16 6 2" xfId="27502"/>
    <cellStyle name="Procentowy 3 16 60" xfId="27503"/>
    <cellStyle name="Procentowy 3 16 61" xfId="27504"/>
    <cellStyle name="Procentowy 3 16 62" xfId="27505"/>
    <cellStyle name="Procentowy 3 16 63" xfId="27506"/>
    <cellStyle name="Procentowy 3 16 64" xfId="27507"/>
    <cellStyle name="Procentowy 3 16 65" xfId="27508"/>
    <cellStyle name="Procentowy 3 16 66" xfId="27509"/>
    <cellStyle name="Procentowy 3 16 67" xfId="27510"/>
    <cellStyle name="Procentowy 3 16 68" xfId="27511"/>
    <cellStyle name="Procentowy 3 16 69" xfId="27512"/>
    <cellStyle name="Procentowy 3 16 7" xfId="27513"/>
    <cellStyle name="Procentowy 3 16 7 2" xfId="27514"/>
    <cellStyle name="Procentowy 3 16 70" xfId="27515"/>
    <cellStyle name="Procentowy 3 16 71" xfId="27516"/>
    <cellStyle name="Procentowy 3 16 72" xfId="27517"/>
    <cellStyle name="Procentowy 3 16 73" xfId="27518"/>
    <cellStyle name="Procentowy 3 16 74" xfId="27519"/>
    <cellStyle name="Procentowy 3 16 8" xfId="27520"/>
    <cellStyle name="Procentowy 3 16 8 2" xfId="27521"/>
    <cellStyle name="Procentowy 3 16 9" xfId="27522"/>
    <cellStyle name="Procentowy 3 16 9 2" xfId="27523"/>
    <cellStyle name="Procentowy 3 17" xfId="27524"/>
    <cellStyle name="Procentowy 3 17 10" xfId="27525"/>
    <cellStyle name="Procentowy 3 17 10 2" xfId="27526"/>
    <cellStyle name="Procentowy 3 17 11" xfId="27527"/>
    <cellStyle name="Procentowy 3 17 11 2" xfId="27528"/>
    <cellStyle name="Procentowy 3 17 12" xfId="27529"/>
    <cellStyle name="Procentowy 3 17 12 2" xfId="27530"/>
    <cellStyle name="Procentowy 3 17 13" xfId="27531"/>
    <cellStyle name="Procentowy 3 17 13 2" xfId="27532"/>
    <cellStyle name="Procentowy 3 17 14" xfId="27533"/>
    <cellStyle name="Procentowy 3 17 14 2" xfId="27534"/>
    <cellStyle name="Procentowy 3 17 15" xfId="27535"/>
    <cellStyle name="Procentowy 3 17 15 2" xfId="27536"/>
    <cellStyle name="Procentowy 3 17 16" xfId="27537"/>
    <cellStyle name="Procentowy 3 17 16 2" xfId="27538"/>
    <cellStyle name="Procentowy 3 17 17" xfId="27539"/>
    <cellStyle name="Procentowy 3 17 17 2" xfId="27540"/>
    <cellStyle name="Procentowy 3 17 18" xfId="27541"/>
    <cellStyle name="Procentowy 3 17 18 2" xfId="27542"/>
    <cellStyle name="Procentowy 3 17 19" xfId="27543"/>
    <cellStyle name="Procentowy 3 17 19 2" xfId="27544"/>
    <cellStyle name="Procentowy 3 17 2" xfId="27545"/>
    <cellStyle name="Procentowy 3 17 2 2" xfId="27546"/>
    <cellStyle name="Procentowy 3 17 2 3" xfId="27547"/>
    <cellStyle name="Procentowy 3 17 2 4" xfId="27548"/>
    <cellStyle name="Procentowy 3 17 2 5" xfId="27549"/>
    <cellStyle name="Procentowy 3 17 2 6" xfId="27550"/>
    <cellStyle name="Procentowy 3 17 2 7" xfId="27551"/>
    <cellStyle name="Procentowy 3 17 20" xfId="27552"/>
    <cellStyle name="Procentowy 3 17 20 2" xfId="27553"/>
    <cellStyle name="Procentowy 3 17 21" xfId="27554"/>
    <cellStyle name="Procentowy 3 17 21 2" xfId="27555"/>
    <cellStyle name="Procentowy 3 17 22" xfId="27556"/>
    <cellStyle name="Procentowy 3 17 22 2" xfId="27557"/>
    <cellStyle name="Procentowy 3 17 23" xfId="27558"/>
    <cellStyle name="Procentowy 3 17 23 2" xfId="27559"/>
    <cellStyle name="Procentowy 3 17 24" xfId="27560"/>
    <cellStyle name="Procentowy 3 17 24 2" xfId="27561"/>
    <cellStyle name="Procentowy 3 17 25" xfId="27562"/>
    <cellStyle name="Procentowy 3 17 25 2" xfId="27563"/>
    <cellStyle name="Procentowy 3 17 26" xfId="27564"/>
    <cellStyle name="Procentowy 3 17 26 2" xfId="27565"/>
    <cellStyle name="Procentowy 3 17 27" xfId="27566"/>
    <cellStyle name="Procentowy 3 17 27 2" xfId="27567"/>
    <cellStyle name="Procentowy 3 17 28" xfId="27568"/>
    <cellStyle name="Procentowy 3 17 28 2" xfId="27569"/>
    <cellStyle name="Procentowy 3 17 29" xfId="27570"/>
    <cellStyle name="Procentowy 3 17 29 2" xfId="27571"/>
    <cellStyle name="Procentowy 3 17 3" xfId="27572"/>
    <cellStyle name="Procentowy 3 17 3 2" xfId="27573"/>
    <cellStyle name="Procentowy 3 17 3 3" xfId="27574"/>
    <cellStyle name="Procentowy 3 17 3 4" xfId="27575"/>
    <cellStyle name="Procentowy 3 17 3 5" xfId="27576"/>
    <cellStyle name="Procentowy 3 17 3 6" xfId="27577"/>
    <cellStyle name="Procentowy 3 17 3 7" xfId="27578"/>
    <cellStyle name="Procentowy 3 17 30" xfId="27579"/>
    <cellStyle name="Procentowy 3 17 30 2" xfId="27580"/>
    <cellStyle name="Procentowy 3 17 31" xfId="27581"/>
    <cellStyle name="Procentowy 3 17 31 2" xfId="27582"/>
    <cellStyle name="Procentowy 3 17 32" xfId="27583"/>
    <cellStyle name="Procentowy 3 17 33" xfId="27584"/>
    <cellStyle name="Procentowy 3 17 34" xfId="27585"/>
    <cellStyle name="Procentowy 3 17 35" xfId="27586"/>
    <cellStyle name="Procentowy 3 17 36" xfId="27587"/>
    <cellStyle name="Procentowy 3 17 37" xfId="27588"/>
    <cellStyle name="Procentowy 3 17 38" xfId="27589"/>
    <cellStyle name="Procentowy 3 17 39" xfId="27590"/>
    <cellStyle name="Procentowy 3 17 4" xfId="27591"/>
    <cellStyle name="Procentowy 3 17 4 2" xfId="27592"/>
    <cellStyle name="Procentowy 3 17 4 3" xfId="27593"/>
    <cellStyle name="Procentowy 3 17 4 4" xfId="27594"/>
    <cellStyle name="Procentowy 3 17 4 5" xfId="27595"/>
    <cellStyle name="Procentowy 3 17 4 6" xfId="27596"/>
    <cellStyle name="Procentowy 3 17 4 7" xfId="27597"/>
    <cellStyle name="Procentowy 3 17 40" xfId="27598"/>
    <cellStyle name="Procentowy 3 17 41" xfId="27599"/>
    <cellStyle name="Procentowy 3 17 42" xfId="27600"/>
    <cellStyle name="Procentowy 3 17 43" xfId="27601"/>
    <cellStyle name="Procentowy 3 17 44" xfId="27602"/>
    <cellStyle name="Procentowy 3 17 45" xfId="27603"/>
    <cellStyle name="Procentowy 3 17 46" xfId="27604"/>
    <cellStyle name="Procentowy 3 17 47" xfId="27605"/>
    <cellStyle name="Procentowy 3 17 48" xfId="27606"/>
    <cellStyle name="Procentowy 3 17 49" xfId="27607"/>
    <cellStyle name="Procentowy 3 17 5" xfId="27608"/>
    <cellStyle name="Procentowy 3 17 5 2" xfId="27609"/>
    <cellStyle name="Procentowy 3 17 5 3" xfId="27610"/>
    <cellStyle name="Procentowy 3 17 5 4" xfId="27611"/>
    <cellStyle name="Procentowy 3 17 5 5" xfId="27612"/>
    <cellStyle name="Procentowy 3 17 5 6" xfId="27613"/>
    <cellStyle name="Procentowy 3 17 5 7" xfId="27614"/>
    <cellStyle name="Procentowy 3 17 50" xfId="27615"/>
    <cellStyle name="Procentowy 3 17 51" xfId="27616"/>
    <cellStyle name="Procentowy 3 17 52" xfId="27617"/>
    <cellStyle name="Procentowy 3 17 53" xfId="27618"/>
    <cellStyle name="Procentowy 3 17 54" xfId="27619"/>
    <cellStyle name="Procentowy 3 17 55" xfId="27620"/>
    <cellStyle name="Procentowy 3 17 56" xfId="27621"/>
    <cellStyle name="Procentowy 3 17 57" xfId="27622"/>
    <cellStyle name="Procentowy 3 17 58" xfId="27623"/>
    <cellStyle name="Procentowy 3 17 59" xfId="27624"/>
    <cellStyle name="Procentowy 3 17 6" xfId="27625"/>
    <cellStyle name="Procentowy 3 17 6 2" xfId="27626"/>
    <cellStyle name="Procentowy 3 17 60" xfId="27627"/>
    <cellStyle name="Procentowy 3 17 61" xfId="27628"/>
    <cellStyle name="Procentowy 3 17 62" xfId="27629"/>
    <cellStyle name="Procentowy 3 17 63" xfId="27630"/>
    <cellStyle name="Procentowy 3 17 64" xfId="27631"/>
    <cellStyle name="Procentowy 3 17 65" xfId="27632"/>
    <cellStyle name="Procentowy 3 17 66" xfId="27633"/>
    <cellStyle name="Procentowy 3 17 67" xfId="27634"/>
    <cellStyle name="Procentowy 3 17 68" xfId="27635"/>
    <cellStyle name="Procentowy 3 17 69" xfId="27636"/>
    <cellStyle name="Procentowy 3 17 7" xfId="27637"/>
    <cellStyle name="Procentowy 3 17 7 2" xfId="27638"/>
    <cellStyle name="Procentowy 3 17 70" xfId="27639"/>
    <cellStyle name="Procentowy 3 17 71" xfId="27640"/>
    <cellStyle name="Procentowy 3 17 72" xfId="27641"/>
    <cellStyle name="Procentowy 3 17 73" xfId="27642"/>
    <cellStyle name="Procentowy 3 17 74" xfId="27643"/>
    <cellStyle name="Procentowy 3 17 8" xfId="27644"/>
    <cellStyle name="Procentowy 3 17 8 2" xfId="27645"/>
    <cellStyle name="Procentowy 3 17 9" xfId="27646"/>
    <cellStyle name="Procentowy 3 17 9 2" xfId="27647"/>
    <cellStyle name="Procentowy 3 18" xfId="27648"/>
    <cellStyle name="Procentowy 3 18 10" xfId="27649"/>
    <cellStyle name="Procentowy 3 18 10 2" xfId="27650"/>
    <cellStyle name="Procentowy 3 18 11" xfId="27651"/>
    <cellStyle name="Procentowy 3 18 11 2" xfId="27652"/>
    <cellStyle name="Procentowy 3 18 12" xfId="27653"/>
    <cellStyle name="Procentowy 3 18 12 2" xfId="27654"/>
    <cellStyle name="Procentowy 3 18 13" xfId="27655"/>
    <cellStyle name="Procentowy 3 18 13 2" xfId="27656"/>
    <cellStyle name="Procentowy 3 18 14" xfId="27657"/>
    <cellStyle name="Procentowy 3 18 14 2" xfId="27658"/>
    <cellStyle name="Procentowy 3 18 15" xfId="27659"/>
    <cellStyle name="Procentowy 3 18 15 2" xfId="27660"/>
    <cellStyle name="Procentowy 3 18 16" xfId="27661"/>
    <cellStyle name="Procentowy 3 18 16 2" xfId="27662"/>
    <cellStyle name="Procentowy 3 18 17" xfId="27663"/>
    <cellStyle name="Procentowy 3 18 17 2" xfId="27664"/>
    <cellStyle name="Procentowy 3 18 18" xfId="27665"/>
    <cellStyle name="Procentowy 3 18 18 2" xfId="27666"/>
    <cellStyle name="Procentowy 3 18 19" xfId="27667"/>
    <cellStyle name="Procentowy 3 18 19 2" xfId="27668"/>
    <cellStyle name="Procentowy 3 18 2" xfId="27669"/>
    <cellStyle name="Procentowy 3 18 2 2" xfId="27670"/>
    <cellStyle name="Procentowy 3 18 2 3" xfId="27671"/>
    <cellStyle name="Procentowy 3 18 2 4" xfId="27672"/>
    <cellStyle name="Procentowy 3 18 2 5" xfId="27673"/>
    <cellStyle name="Procentowy 3 18 2 6" xfId="27674"/>
    <cellStyle name="Procentowy 3 18 2 7" xfId="27675"/>
    <cellStyle name="Procentowy 3 18 20" xfId="27676"/>
    <cellStyle name="Procentowy 3 18 20 2" xfId="27677"/>
    <cellStyle name="Procentowy 3 18 21" xfId="27678"/>
    <cellStyle name="Procentowy 3 18 21 2" xfId="27679"/>
    <cellStyle name="Procentowy 3 18 22" xfId="27680"/>
    <cellStyle name="Procentowy 3 18 22 2" xfId="27681"/>
    <cellStyle name="Procentowy 3 18 23" xfId="27682"/>
    <cellStyle name="Procentowy 3 18 23 2" xfId="27683"/>
    <cellStyle name="Procentowy 3 18 24" xfId="27684"/>
    <cellStyle name="Procentowy 3 18 24 2" xfId="27685"/>
    <cellStyle name="Procentowy 3 18 25" xfId="27686"/>
    <cellStyle name="Procentowy 3 18 25 2" xfId="27687"/>
    <cellStyle name="Procentowy 3 18 26" xfId="27688"/>
    <cellStyle name="Procentowy 3 18 26 2" xfId="27689"/>
    <cellStyle name="Procentowy 3 18 27" xfId="27690"/>
    <cellStyle name="Procentowy 3 18 27 2" xfId="27691"/>
    <cellStyle name="Procentowy 3 18 28" xfId="27692"/>
    <cellStyle name="Procentowy 3 18 28 2" xfId="27693"/>
    <cellStyle name="Procentowy 3 18 29" xfId="27694"/>
    <cellStyle name="Procentowy 3 18 29 2" xfId="27695"/>
    <cellStyle name="Procentowy 3 18 3" xfId="27696"/>
    <cellStyle name="Procentowy 3 18 3 2" xfId="27697"/>
    <cellStyle name="Procentowy 3 18 3 3" xfId="27698"/>
    <cellStyle name="Procentowy 3 18 3 4" xfId="27699"/>
    <cellStyle name="Procentowy 3 18 3 5" xfId="27700"/>
    <cellStyle name="Procentowy 3 18 3 6" xfId="27701"/>
    <cellStyle name="Procentowy 3 18 3 7" xfId="27702"/>
    <cellStyle name="Procentowy 3 18 30" xfId="27703"/>
    <cellStyle name="Procentowy 3 18 30 2" xfId="27704"/>
    <cellStyle name="Procentowy 3 18 31" xfId="27705"/>
    <cellStyle name="Procentowy 3 18 31 2" xfId="27706"/>
    <cellStyle name="Procentowy 3 18 32" xfId="27707"/>
    <cellStyle name="Procentowy 3 18 33" xfId="27708"/>
    <cellStyle name="Procentowy 3 18 34" xfId="27709"/>
    <cellStyle name="Procentowy 3 18 35" xfId="27710"/>
    <cellStyle name="Procentowy 3 18 36" xfId="27711"/>
    <cellStyle name="Procentowy 3 18 37" xfId="27712"/>
    <cellStyle name="Procentowy 3 18 38" xfId="27713"/>
    <cellStyle name="Procentowy 3 18 39" xfId="27714"/>
    <cellStyle name="Procentowy 3 18 4" xfId="27715"/>
    <cellStyle name="Procentowy 3 18 4 2" xfId="27716"/>
    <cellStyle name="Procentowy 3 18 4 3" xfId="27717"/>
    <cellStyle name="Procentowy 3 18 4 4" xfId="27718"/>
    <cellStyle name="Procentowy 3 18 4 5" xfId="27719"/>
    <cellStyle name="Procentowy 3 18 4 6" xfId="27720"/>
    <cellStyle name="Procentowy 3 18 4 7" xfId="27721"/>
    <cellStyle name="Procentowy 3 18 40" xfId="27722"/>
    <cellStyle name="Procentowy 3 18 41" xfId="27723"/>
    <cellStyle name="Procentowy 3 18 42" xfId="27724"/>
    <cellStyle name="Procentowy 3 18 43" xfId="27725"/>
    <cellStyle name="Procentowy 3 18 44" xfId="27726"/>
    <cellStyle name="Procentowy 3 18 45" xfId="27727"/>
    <cellStyle name="Procentowy 3 18 46" xfId="27728"/>
    <cellStyle name="Procentowy 3 18 47" xfId="27729"/>
    <cellStyle name="Procentowy 3 18 48" xfId="27730"/>
    <cellStyle name="Procentowy 3 18 49" xfId="27731"/>
    <cellStyle name="Procentowy 3 18 5" xfId="27732"/>
    <cellStyle name="Procentowy 3 18 5 2" xfId="27733"/>
    <cellStyle name="Procentowy 3 18 5 3" xfId="27734"/>
    <cellStyle name="Procentowy 3 18 5 4" xfId="27735"/>
    <cellStyle name="Procentowy 3 18 5 5" xfId="27736"/>
    <cellStyle name="Procentowy 3 18 5 6" xfId="27737"/>
    <cellStyle name="Procentowy 3 18 5 7" xfId="27738"/>
    <cellStyle name="Procentowy 3 18 50" xfId="27739"/>
    <cellStyle name="Procentowy 3 18 51" xfId="27740"/>
    <cellStyle name="Procentowy 3 18 52" xfId="27741"/>
    <cellStyle name="Procentowy 3 18 53" xfId="27742"/>
    <cellStyle name="Procentowy 3 18 54" xfId="27743"/>
    <cellStyle name="Procentowy 3 18 55" xfId="27744"/>
    <cellStyle name="Procentowy 3 18 56" xfId="27745"/>
    <cellStyle name="Procentowy 3 18 57" xfId="27746"/>
    <cellStyle name="Procentowy 3 18 58" xfId="27747"/>
    <cellStyle name="Procentowy 3 18 59" xfId="27748"/>
    <cellStyle name="Procentowy 3 18 6" xfId="27749"/>
    <cellStyle name="Procentowy 3 18 6 2" xfId="27750"/>
    <cellStyle name="Procentowy 3 18 60" xfId="27751"/>
    <cellStyle name="Procentowy 3 18 61" xfId="27752"/>
    <cellStyle name="Procentowy 3 18 62" xfId="27753"/>
    <cellStyle name="Procentowy 3 18 63" xfId="27754"/>
    <cellStyle name="Procentowy 3 18 64" xfId="27755"/>
    <cellStyle name="Procentowy 3 18 65" xfId="27756"/>
    <cellStyle name="Procentowy 3 18 66" xfId="27757"/>
    <cellStyle name="Procentowy 3 18 67" xfId="27758"/>
    <cellStyle name="Procentowy 3 18 68" xfId="27759"/>
    <cellStyle name="Procentowy 3 18 69" xfId="27760"/>
    <cellStyle name="Procentowy 3 18 7" xfId="27761"/>
    <cellStyle name="Procentowy 3 18 7 2" xfId="27762"/>
    <cellStyle name="Procentowy 3 18 70" xfId="27763"/>
    <cellStyle name="Procentowy 3 18 71" xfId="27764"/>
    <cellStyle name="Procentowy 3 18 72" xfId="27765"/>
    <cellStyle name="Procentowy 3 18 73" xfId="27766"/>
    <cellStyle name="Procentowy 3 18 74" xfId="27767"/>
    <cellStyle name="Procentowy 3 18 8" xfId="27768"/>
    <cellStyle name="Procentowy 3 18 8 2" xfId="27769"/>
    <cellStyle name="Procentowy 3 18 9" xfId="27770"/>
    <cellStyle name="Procentowy 3 18 9 2" xfId="27771"/>
    <cellStyle name="Procentowy 3 19" xfId="27772"/>
    <cellStyle name="Procentowy 3 19 10" xfId="27773"/>
    <cellStyle name="Procentowy 3 19 10 2" xfId="27774"/>
    <cellStyle name="Procentowy 3 19 11" xfId="27775"/>
    <cellStyle name="Procentowy 3 19 11 2" xfId="27776"/>
    <cellStyle name="Procentowy 3 19 12" xfId="27777"/>
    <cellStyle name="Procentowy 3 19 12 2" xfId="27778"/>
    <cellStyle name="Procentowy 3 19 13" xfId="27779"/>
    <cellStyle name="Procentowy 3 19 13 2" xfId="27780"/>
    <cellStyle name="Procentowy 3 19 14" xfId="27781"/>
    <cellStyle name="Procentowy 3 19 14 2" xfId="27782"/>
    <cellStyle name="Procentowy 3 19 15" xfId="27783"/>
    <cellStyle name="Procentowy 3 19 15 2" xfId="27784"/>
    <cellStyle name="Procentowy 3 19 16" xfId="27785"/>
    <cellStyle name="Procentowy 3 19 16 2" xfId="27786"/>
    <cellStyle name="Procentowy 3 19 17" xfId="27787"/>
    <cellStyle name="Procentowy 3 19 17 2" xfId="27788"/>
    <cellStyle name="Procentowy 3 19 18" xfId="27789"/>
    <cellStyle name="Procentowy 3 19 18 2" xfId="27790"/>
    <cellStyle name="Procentowy 3 19 19" xfId="27791"/>
    <cellStyle name="Procentowy 3 19 19 2" xfId="27792"/>
    <cellStyle name="Procentowy 3 19 2" xfId="27793"/>
    <cellStyle name="Procentowy 3 19 2 2" xfId="27794"/>
    <cellStyle name="Procentowy 3 19 2 3" xfId="27795"/>
    <cellStyle name="Procentowy 3 19 2 4" xfId="27796"/>
    <cellStyle name="Procentowy 3 19 2 5" xfId="27797"/>
    <cellStyle name="Procentowy 3 19 2 6" xfId="27798"/>
    <cellStyle name="Procentowy 3 19 2 7" xfId="27799"/>
    <cellStyle name="Procentowy 3 19 20" xfId="27800"/>
    <cellStyle name="Procentowy 3 19 20 2" xfId="27801"/>
    <cellStyle name="Procentowy 3 19 21" xfId="27802"/>
    <cellStyle name="Procentowy 3 19 21 2" xfId="27803"/>
    <cellStyle name="Procentowy 3 19 22" xfId="27804"/>
    <cellStyle name="Procentowy 3 19 22 2" xfId="27805"/>
    <cellStyle name="Procentowy 3 19 23" xfId="27806"/>
    <cellStyle name="Procentowy 3 19 23 2" xfId="27807"/>
    <cellStyle name="Procentowy 3 19 24" xfId="27808"/>
    <cellStyle name="Procentowy 3 19 24 2" xfId="27809"/>
    <cellStyle name="Procentowy 3 19 25" xfId="27810"/>
    <cellStyle name="Procentowy 3 19 25 2" xfId="27811"/>
    <cellStyle name="Procentowy 3 19 26" xfId="27812"/>
    <cellStyle name="Procentowy 3 19 26 2" xfId="27813"/>
    <cellStyle name="Procentowy 3 19 27" xfId="27814"/>
    <cellStyle name="Procentowy 3 19 27 2" xfId="27815"/>
    <cellStyle name="Procentowy 3 19 28" xfId="27816"/>
    <cellStyle name="Procentowy 3 19 28 2" xfId="27817"/>
    <cellStyle name="Procentowy 3 19 29" xfId="27818"/>
    <cellStyle name="Procentowy 3 19 29 2" xfId="27819"/>
    <cellStyle name="Procentowy 3 19 3" xfId="27820"/>
    <cellStyle name="Procentowy 3 19 3 2" xfId="27821"/>
    <cellStyle name="Procentowy 3 19 3 3" xfId="27822"/>
    <cellStyle name="Procentowy 3 19 3 4" xfId="27823"/>
    <cellStyle name="Procentowy 3 19 3 5" xfId="27824"/>
    <cellStyle name="Procentowy 3 19 3 6" xfId="27825"/>
    <cellStyle name="Procentowy 3 19 3 7" xfId="27826"/>
    <cellStyle name="Procentowy 3 19 30" xfId="27827"/>
    <cellStyle name="Procentowy 3 19 30 2" xfId="27828"/>
    <cellStyle name="Procentowy 3 19 31" xfId="27829"/>
    <cellStyle name="Procentowy 3 19 31 2" xfId="27830"/>
    <cellStyle name="Procentowy 3 19 32" xfId="27831"/>
    <cellStyle name="Procentowy 3 19 33" xfId="27832"/>
    <cellStyle name="Procentowy 3 19 34" xfId="27833"/>
    <cellStyle name="Procentowy 3 19 35" xfId="27834"/>
    <cellStyle name="Procentowy 3 19 36" xfId="27835"/>
    <cellStyle name="Procentowy 3 19 37" xfId="27836"/>
    <cellStyle name="Procentowy 3 19 38" xfId="27837"/>
    <cellStyle name="Procentowy 3 19 39" xfId="27838"/>
    <cellStyle name="Procentowy 3 19 4" xfId="27839"/>
    <cellStyle name="Procentowy 3 19 4 2" xfId="27840"/>
    <cellStyle name="Procentowy 3 19 4 3" xfId="27841"/>
    <cellStyle name="Procentowy 3 19 4 4" xfId="27842"/>
    <cellStyle name="Procentowy 3 19 4 5" xfId="27843"/>
    <cellStyle name="Procentowy 3 19 4 6" xfId="27844"/>
    <cellStyle name="Procentowy 3 19 4 7" xfId="27845"/>
    <cellStyle name="Procentowy 3 19 40" xfId="27846"/>
    <cellStyle name="Procentowy 3 19 41" xfId="27847"/>
    <cellStyle name="Procentowy 3 19 42" xfId="27848"/>
    <cellStyle name="Procentowy 3 19 43" xfId="27849"/>
    <cellStyle name="Procentowy 3 19 44" xfId="27850"/>
    <cellStyle name="Procentowy 3 19 45" xfId="27851"/>
    <cellStyle name="Procentowy 3 19 46" xfId="27852"/>
    <cellStyle name="Procentowy 3 19 47" xfId="27853"/>
    <cellStyle name="Procentowy 3 19 48" xfId="27854"/>
    <cellStyle name="Procentowy 3 19 49" xfId="27855"/>
    <cellStyle name="Procentowy 3 19 5" xfId="27856"/>
    <cellStyle name="Procentowy 3 19 5 2" xfId="27857"/>
    <cellStyle name="Procentowy 3 19 5 3" xfId="27858"/>
    <cellStyle name="Procentowy 3 19 5 4" xfId="27859"/>
    <cellStyle name="Procentowy 3 19 5 5" xfId="27860"/>
    <cellStyle name="Procentowy 3 19 5 6" xfId="27861"/>
    <cellStyle name="Procentowy 3 19 5 7" xfId="27862"/>
    <cellStyle name="Procentowy 3 19 50" xfId="27863"/>
    <cellStyle name="Procentowy 3 19 51" xfId="27864"/>
    <cellStyle name="Procentowy 3 19 52" xfId="27865"/>
    <cellStyle name="Procentowy 3 19 53" xfId="27866"/>
    <cellStyle name="Procentowy 3 19 54" xfId="27867"/>
    <cellStyle name="Procentowy 3 19 55" xfId="27868"/>
    <cellStyle name="Procentowy 3 19 56" xfId="27869"/>
    <cellStyle name="Procentowy 3 19 57" xfId="27870"/>
    <cellStyle name="Procentowy 3 19 58" xfId="27871"/>
    <cellStyle name="Procentowy 3 19 59" xfId="27872"/>
    <cellStyle name="Procentowy 3 19 6" xfId="27873"/>
    <cellStyle name="Procentowy 3 19 6 2" xfId="27874"/>
    <cellStyle name="Procentowy 3 19 60" xfId="27875"/>
    <cellStyle name="Procentowy 3 19 61" xfId="27876"/>
    <cellStyle name="Procentowy 3 19 62" xfId="27877"/>
    <cellStyle name="Procentowy 3 19 63" xfId="27878"/>
    <cellStyle name="Procentowy 3 19 64" xfId="27879"/>
    <cellStyle name="Procentowy 3 19 65" xfId="27880"/>
    <cellStyle name="Procentowy 3 19 66" xfId="27881"/>
    <cellStyle name="Procentowy 3 19 67" xfId="27882"/>
    <cellStyle name="Procentowy 3 19 68" xfId="27883"/>
    <cellStyle name="Procentowy 3 19 69" xfId="27884"/>
    <cellStyle name="Procentowy 3 19 7" xfId="27885"/>
    <cellStyle name="Procentowy 3 19 7 2" xfId="27886"/>
    <cellStyle name="Procentowy 3 19 70" xfId="27887"/>
    <cellStyle name="Procentowy 3 19 71" xfId="27888"/>
    <cellStyle name="Procentowy 3 19 72" xfId="27889"/>
    <cellStyle name="Procentowy 3 19 73" xfId="27890"/>
    <cellStyle name="Procentowy 3 19 74" xfId="27891"/>
    <cellStyle name="Procentowy 3 19 8" xfId="27892"/>
    <cellStyle name="Procentowy 3 19 8 2" xfId="27893"/>
    <cellStyle name="Procentowy 3 19 9" xfId="27894"/>
    <cellStyle name="Procentowy 3 19 9 2" xfId="27895"/>
    <cellStyle name="Procentowy 3 2" xfId="27896"/>
    <cellStyle name="Procentowy 3 2 10" xfId="27897"/>
    <cellStyle name="Procentowy 3 2 10 2" xfId="27898"/>
    <cellStyle name="Procentowy 3 2 11" xfId="27899"/>
    <cellStyle name="Procentowy 3 2 11 2" xfId="27900"/>
    <cellStyle name="Procentowy 3 2 12" xfId="27901"/>
    <cellStyle name="Procentowy 3 2 12 2" xfId="27902"/>
    <cellStyle name="Procentowy 3 2 13" xfId="27903"/>
    <cellStyle name="Procentowy 3 2 13 2" xfId="27904"/>
    <cellStyle name="Procentowy 3 2 14" xfId="27905"/>
    <cellStyle name="Procentowy 3 2 14 2" xfId="27906"/>
    <cellStyle name="Procentowy 3 2 15" xfId="27907"/>
    <cellStyle name="Procentowy 3 2 15 2" xfId="27908"/>
    <cellStyle name="Procentowy 3 2 16" xfId="27909"/>
    <cellStyle name="Procentowy 3 2 16 2" xfId="27910"/>
    <cellStyle name="Procentowy 3 2 17" xfId="27911"/>
    <cellStyle name="Procentowy 3 2 17 2" xfId="27912"/>
    <cellStyle name="Procentowy 3 2 18" xfId="27913"/>
    <cellStyle name="Procentowy 3 2 18 2" xfId="27914"/>
    <cellStyle name="Procentowy 3 2 19" xfId="27915"/>
    <cellStyle name="Procentowy 3 2 19 2" xfId="27916"/>
    <cellStyle name="Procentowy 3 2 2" xfId="27917"/>
    <cellStyle name="Procentowy 3 2 2 2" xfId="27918"/>
    <cellStyle name="Procentowy 3 2 2 2 2" xfId="27919"/>
    <cellStyle name="Procentowy 3 2 2 3" xfId="27920"/>
    <cellStyle name="Procentowy 3 2 2 4" xfId="27921"/>
    <cellStyle name="Procentowy 3 2 2 5" xfId="27922"/>
    <cellStyle name="Procentowy 3 2 2 6" xfId="27923"/>
    <cellStyle name="Procentowy 3 2 2 7" xfId="27924"/>
    <cellStyle name="Procentowy 3 2 2 8" xfId="27925"/>
    <cellStyle name="Procentowy 3 2 20" xfId="27926"/>
    <cellStyle name="Procentowy 3 2 20 2" xfId="27927"/>
    <cellStyle name="Procentowy 3 2 21" xfId="27928"/>
    <cellStyle name="Procentowy 3 2 21 2" xfId="27929"/>
    <cellStyle name="Procentowy 3 2 22" xfId="27930"/>
    <cellStyle name="Procentowy 3 2 22 2" xfId="27931"/>
    <cellStyle name="Procentowy 3 2 23" xfId="27932"/>
    <cellStyle name="Procentowy 3 2 23 2" xfId="27933"/>
    <cellStyle name="Procentowy 3 2 24" xfId="27934"/>
    <cellStyle name="Procentowy 3 2 24 2" xfId="27935"/>
    <cellStyle name="Procentowy 3 2 25" xfId="27936"/>
    <cellStyle name="Procentowy 3 2 25 2" xfId="27937"/>
    <cellStyle name="Procentowy 3 2 26" xfId="27938"/>
    <cellStyle name="Procentowy 3 2 26 2" xfId="27939"/>
    <cellStyle name="Procentowy 3 2 27" xfId="27940"/>
    <cellStyle name="Procentowy 3 2 27 2" xfId="27941"/>
    <cellStyle name="Procentowy 3 2 28" xfId="27942"/>
    <cellStyle name="Procentowy 3 2 28 2" xfId="27943"/>
    <cellStyle name="Procentowy 3 2 29" xfId="27944"/>
    <cellStyle name="Procentowy 3 2 29 2" xfId="27945"/>
    <cellStyle name="Procentowy 3 2 3" xfId="27946"/>
    <cellStyle name="Procentowy 3 2 3 2" xfId="27947"/>
    <cellStyle name="Procentowy 3 2 3 2 2" xfId="27948"/>
    <cellStyle name="Procentowy 3 2 3 3" xfId="27949"/>
    <cellStyle name="Procentowy 3 2 3 4" xfId="27950"/>
    <cellStyle name="Procentowy 3 2 3 5" xfId="27951"/>
    <cellStyle name="Procentowy 3 2 3 6" xfId="27952"/>
    <cellStyle name="Procentowy 3 2 3 7" xfId="27953"/>
    <cellStyle name="Procentowy 3 2 3 8" xfId="27954"/>
    <cellStyle name="Procentowy 3 2 30" xfId="27955"/>
    <cellStyle name="Procentowy 3 2 30 2" xfId="27956"/>
    <cellStyle name="Procentowy 3 2 31" xfId="27957"/>
    <cellStyle name="Procentowy 3 2 31 2" xfId="27958"/>
    <cellStyle name="Procentowy 3 2 32" xfId="27959"/>
    <cellStyle name="Procentowy 3 2 33" xfId="27960"/>
    <cellStyle name="Procentowy 3 2 34" xfId="27961"/>
    <cellStyle name="Procentowy 3 2 35" xfId="27962"/>
    <cellStyle name="Procentowy 3 2 36" xfId="27963"/>
    <cellStyle name="Procentowy 3 2 37" xfId="27964"/>
    <cellStyle name="Procentowy 3 2 38" xfId="27965"/>
    <cellStyle name="Procentowy 3 2 39" xfId="27966"/>
    <cellStyle name="Procentowy 3 2 4" xfId="27967"/>
    <cellStyle name="Procentowy 3 2 4 2" xfId="27968"/>
    <cellStyle name="Procentowy 3 2 4 2 2" xfId="27969"/>
    <cellStyle name="Procentowy 3 2 4 3" xfId="27970"/>
    <cellStyle name="Procentowy 3 2 4 4" xfId="27971"/>
    <cellStyle name="Procentowy 3 2 4 5" xfId="27972"/>
    <cellStyle name="Procentowy 3 2 4 6" xfId="27973"/>
    <cellStyle name="Procentowy 3 2 4 7" xfId="27974"/>
    <cellStyle name="Procentowy 3 2 4 8" xfId="27975"/>
    <cellStyle name="Procentowy 3 2 40" xfId="27976"/>
    <cellStyle name="Procentowy 3 2 41" xfId="27977"/>
    <cellStyle name="Procentowy 3 2 42" xfId="27978"/>
    <cellStyle name="Procentowy 3 2 43" xfId="27979"/>
    <cellStyle name="Procentowy 3 2 44" xfId="27980"/>
    <cellStyle name="Procentowy 3 2 45" xfId="27981"/>
    <cellStyle name="Procentowy 3 2 46" xfId="27982"/>
    <cellStyle name="Procentowy 3 2 47" xfId="27983"/>
    <cellStyle name="Procentowy 3 2 48" xfId="27984"/>
    <cellStyle name="Procentowy 3 2 49" xfId="27985"/>
    <cellStyle name="Procentowy 3 2 5" xfId="27986"/>
    <cellStyle name="Procentowy 3 2 5 2" xfId="27987"/>
    <cellStyle name="Procentowy 3 2 5 2 2" xfId="27988"/>
    <cellStyle name="Procentowy 3 2 5 3" xfId="27989"/>
    <cellStyle name="Procentowy 3 2 5 4" xfId="27990"/>
    <cellStyle name="Procentowy 3 2 5 5" xfId="27991"/>
    <cellStyle name="Procentowy 3 2 5 6" xfId="27992"/>
    <cellStyle name="Procentowy 3 2 5 7" xfId="27993"/>
    <cellStyle name="Procentowy 3 2 5 8" xfId="27994"/>
    <cellStyle name="Procentowy 3 2 50" xfId="27995"/>
    <cellStyle name="Procentowy 3 2 51" xfId="27996"/>
    <cellStyle name="Procentowy 3 2 52" xfId="27997"/>
    <cellStyle name="Procentowy 3 2 53" xfId="27998"/>
    <cellStyle name="Procentowy 3 2 54" xfId="27999"/>
    <cellStyle name="Procentowy 3 2 55" xfId="28000"/>
    <cellStyle name="Procentowy 3 2 56" xfId="28001"/>
    <cellStyle name="Procentowy 3 2 57" xfId="28002"/>
    <cellStyle name="Procentowy 3 2 58" xfId="28003"/>
    <cellStyle name="Procentowy 3 2 59" xfId="28004"/>
    <cellStyle name="Procentowy 3 2 6" xfId="28005"/>
    <cellStyle name="Procentowy 3 2 6 2" xfId="28006"/>
    <cellStyle name="Procentowy 3 2 6 3" xfId="28007"/>
    <cellStyle name="Procentowy 3 2 60" xfId="28008"/>
    <cellStyle name="Procentowy 3 2 61" xfId="28009"/>
    <cellStyle name="Procentowy 3 2 62" xfId="28010"/>
    <cellStyle name="Procentowy 3 2 63" xfId="28011"/>
    <cellStyle name="Procentowy 3 2 64" xfId="28012"/>
    <cellStyle name="Procentowy 3 2 65" xfId="28013"/>
    <cellStyle name="Procentowy 3 2 66" xfId="28014"/>
    <cellStyle name="Procentowy 3 2 67" xfId="28015"/>
    <cellStyle name="Procentowy 3 2 68" xfId="28016"/>
    <cellStyle name="Procentowy 3 2 69" xfId="28017"/>
    <cellStyle name="Procentowy 3 2 7" xfId="28018"/>
    <cellStyle name="Procentowy 3 2 7 2" xfId="28019"/>
    <cellStyle name="Procentowy 3 2 70" xfId="28020"/>
    <cellStyle name="Procentowy 3 2 71" xfId="28021"/>
    <cellStyle name="Procentowy 3 2 72" xfId="28022"/>
    <cellStyle name="Procentowy 3 2 73" xfId="28023"/>
    <cellStyle name="Procentowy 3 2 74" xfId="28024"/>
    <cellStyle name="Procentowy 3 2 75" xfId="28025"/>
    <cellStyle name="Procentowy 3 2 8" xfId="28026"/>
    <cellStyle name="Procentowy 3 2 8 2" xfId="28027"/>
    <cellStyle name="Procentowy 3 2 9" xfId="28028"/>
    <cellStyle name="Procentowy 3 2 9 2" xfId="28029"/>
    <cellStyle name="Procentowy 3 20" xfId="28030"/>
    <cellStyle name="Procentowy 3 20 10" xfId="28031"/>
    <cellStyle name="Procentowy 3 20 10 2" xfId="28032"/>
    <cellStyle name="Procentowy 3 20 11" xfId="28033"/>
    <cellStyle name="Procentowy 3 20 11 2" xfId="28034"/>
    <cellStyle name="Procentowy 3 20 12" xfId="28035"/>
    <cellStyle name="Procentowy 3 20 12 2" xfId="28036"/>
    <cellStyle name="Procentowy 3 20 13" xfId="28037"/>
    <cellStyle name="Procentowy 3 20 13 2" xfId="28038"/>
    <cellStyle name="Procentowy 3 20 14" xfId="28039"/>
    <cellStyle name="Procentowy 3 20 14 2" xfId="28040"/>
    <cellStyle name="Procentowy 3 20 15" xfId="28041"/>
    <cellStyle name="Procentowy 3 20 15 2" xfId="28042"/>
    <cellStyle name="Procentowy 3 20 16" xfId="28043"/>
    <cellStyle name="Procentowy 3 20 16 2" xfId="28044"/>
    <cellStyle name="Procentowy 3 20 17" xfId="28045"/>
    <cellStyle name="Procentowy 3 20 17 2" xfId="28046"/>
    <cellStyle name="Procentowy 3 20 18" xfId="28047"/>
    <cellStyle name="Procentowy 3 20 18 2" xfId="28048"/>
    <cellStyle name="Procentowy 3 20 19" xfId="28049"/>
    <cellStyle name="Procentowy 3 20 19 2" xfId="28050"/>
    <cellStyle name="Procentowy 3 20 2" xfId="28051"/>
    <cellStyle name="Procentowy 3 20 2 2" xfId="28052"/>
    <cellStyle name="Procentowy 3 20 2 3" xfId="28053"/>
    <cellStyle name="Procentowy 3 20 2 4" xfId="28054"/>
    <cellStyle name="Procentowy 3 20 2 5" xfId="28055"/>
    <cellStyle name="Procentowy 3 20 2 6" xfId="28056"/>
    <cellStyle name="Procentowy 3 20 2 7" xfId="28057"/>
    <cellStyle name="Procentowy 3 20 20" xfId="28058"/>
    <cellStyle name="Procentowy 3 20 20 2" xfId="28059"/>
    <cellStyle name="Procentowy 3 20 21" xfId="28060"/>
    <cellStyle name="Procentowy 3 20 21 2" xfId="28061"/>
    <cellStyle name="Procentowy 3 20 22" xfId="28062"/>
    <cellStyle name="Procentowy 3 20 22 2" xfId="28063"/>
    <cellStyle name="Procentowy 3 20 23" xfId="28064"/>
    <cellStyle name="Procentowy 3 20 23 2" xfId="28065"/>
    <cellStyle name="Procentowy 3 20 24" xfId="28066"/>
    <cellStyle name="Procentowy 3 20 24 2" xfId="28067"/>
    <cellStyle name="Procentowy 3 20 25" xfId="28068"/>
    <cellStyle name="Procentowy 3 20 25 2" xfId="28069"/>
    <cellStyle name="Procentowy 3 20 26" xfId="28070"/>
    <cellStyle name="Procentowy 3 20 26 2" xfId="28071"/>
    <cellStyle name="Procentowy 3 20 27" xfId="28072"/>
    <cellStyle name="Procentowy 3 20 27 2" xfId="28073"/>
    <cellStyle name="Procentowy 3 20 28" xfId="28074"/>
    <cellStyle name="Procentowy 3 20 28 2" xfId="28075"/>
    <cellStyle name="Procentowy 3 20 29" xfId="28076"/>
    <cellStyle name="Procentowy 3 20 29 2" xfId="28077"/>
    <cellStyle name="Procentowy 3 20 3" xfId="28078"/>
    <cellStyle name="Procentowy 3 20 3 2" xfId="28079"/>
    <cellStyle name="Procentowy 3 20 3 3" xfId="28080"/>
    <cellStyle name="Procentowy 3 20 3 4" xfId="28081"/>
    <cellStyle name="Procentowy 3 20 3 5" xfId="28082"/>
    <cellStyle name="Procentowy 3 20 3 6" xfId="28083"/>
    <cellStyle name="Procentowy 3 20 3 7" xfId="28084"/>
    <cellStyle name="Procentowy 3 20 30" xfId="28085"/>
    <cellStyle name="Procentowy 3 20 30 2" xfId="28086"/>
    <cellStyle name="Procentowy 3 20 31" xfId="28087"/>
    <cellStyle name="Procentowy 3 20 31 2" xfId="28088"/>
    <cellStyle name="Procentowy 3 20 32" xfId="28089"/>
    <cellStyle name="Procentowy 3 20 33" xfId="28090"/>
    <cellStyle name="Procentowy 3 20 34" xfId="28091"/>
    <cellStyle name="Procentowy 3 20 35" xfId="28092"/>
    <cellStyle name="Procentowy 3 20 36" xfId="28093"/>
    <cellStyle name="Procentowy 3 20 37" xfId="28094"/>
    <cellStyle name="Procentowy 3 20 38" xfId="28095"/>
    <cellStyle name="Procentowy 3 20 39" xfId="28096"/>
    <cellStyle name="Procentowy 3 20 4" xfId="28097"/>
    <cellStyle name="Procentowy 3 20 4 2" xfId="28098"/>
    <cellStyle name="Procentowy 3 20 4 3" xfId="28099"/>
    <cellStyle name="Procentowy 3 20 4 4" xfId="28100"/>
    <cellStyle name="Procentowy 3 20 4 5" xfId="28101"/>
    <cellStyle name="Procentowy 3 20 4 6" xfId="28102"/>
    <cellStyle name="Procentowy 3 20 4 7" xfId="28103"/>
    <cellStyle name="Procentowy 3 20 40" xfId="28104"/>
    <cellStyle name="Procentowy 3 20 41" xfId="28105"/>
    <cellStyle name="Procentowy 3 20 42" xfId="28106"/>
    <cellStyle name="Procentowy 3 20 43" xfId="28107"/>
    <cellStyle name="Procentowy 3 20 44" xfId="28108"/>
    <cellStyle name="Procentowy 3 20 45" xfId="28109"/>
    <cellStyle name="Procentowy 3 20 46" xfId="28110"/>
    <cellStyle name="Procentowy 3 20 47" xfId="28111"/>
    <cellStyle name="Procentowy 3 20 48" xfId="28112"/>
    <cellStyle name="Procentowy 3 20 49" xfId="28113"/>
    <cellStyle name="Procentowy 3 20 5" xfId="28114"/>
    <cellStyle name="Procentowy 3 20 5 2" xfId="28115"/>
    <cellStyle name="Procentowy 3 20 5 3" xfId="28116"/>
    <cellStyle name="Procentowy 3 20 5 4" xfId="28117"/>
    <cellStyle name="Procentowy 3 20 5 5" xfId="28118"/>
    <cellStyle name="Procentowy 3 20 5 6" xfId="28119"/>
    <cellStyle name="Procentowy 3 20 5 7" xfId="28120"/>
    <cellStyle name="Procentowy 3 20 50" xfId="28121"/>
    <cellStyle name="Procentowy 3 20 51" xfId="28122"/>
    <cellStyle name="Procentowy 3 20 52" xfId="28123"/>
    <cellStyle name="Procentowy 3 20 53" xfId="28124"/>
    <cellStyle name="Procentowy 3 20 54" xfId="28125"/>
    <cellStyle name="Procentowy 3 20 55" xfId="28126"/>
    <cellStyle name="Procentowy 3 20 56" xfId="28127"/>
    <cellStyle name="Procentowy 3 20 57" xfId="28128"/>
    <cellStyle name="Procentowy 3 20 58" xfId="28129"/>
    <cellStyle name="Procentowy 3 20 59" xfId="28130"/>
    <cellStyle name="Procentowy 3 20 6" xfId="28131"/>
    <cellStyle name="Procentowy 3 20 6 2" xfId="28132"/>
    <cellStyle name="Procentowy 3 20 60" xfId="28133"/>
    <cellStyle name="Procentowy 3 20 61" xfId="28134"/>
    <cellStyle name="Procentowy 3 20 62" xfId="28135"/>
    <cellStyle name="Procentowy 3 20 63" xfId="28136"/>
    <cellStyle name="Procentowy 3 20 64" xfId="28137"/>
    <cellStyle name="Procentowy 3 20 65" xfId="28138"/>
    <cellStyle name="Procentowy 3 20 66" xfId="28139"/>
    <cellStyle name="Procentowy 3 20 67" xfId="28140"/>
    <cellStyle name="Procentowy 3 20 68" xfId="28141"/>
    <cellStyle name="Procentowy 3 20 69" xfId="28142"/>
    <cellStyle name="Procentowy 3 20 7" xfId="28143"/>
    <cellStyle name="Procentowy 3 20 7 2" xfId="28144"/>
    <cellStyle name="Procentowy 3 20 70" xfId="28145"/>
    <cellStyle name="Procentowy 3 20 71" xfId="28146"/>
    <cellStyle name="Procentowy 3 20 72" xfId="28147"/>
    <cellStyle name="Procentowy 3 20 73" xfId="28148"/>
    <cellStyle name="Procentowy 3 20 74" xfId="28149"/>
    <cellStyle name="Procentowy 3 20 8" xfId="28150"/>
    <cellStyle name="Procentowy 3 20 8 2" xfId="28151"/>
    <cellStyle name="Procentowy 3 20 9" xfId="28152"/>
    <cellStyle name="Procentowy 3 20 9 2" xfId="28153"/>
    <cellStyle name="Procentowy 3 21" xfId="28154"/>
    <cellStyle name="Procentowy 3 21 10" xfId="28155"/>
    <cellStyle name="Procentowy 3 21 10 2" xfId="28156"/>
    <cellStyle name="Procentowy 3 21 11" xfId="28157"/>
    <cellStyle name="Procentowy 3 21 11 2" xfId="28158"/>
    <cellStyle name="Procentowy 3 21 12" xfId="28159"/>
    <cellStyle name="Procentowy 3 21 12 2" xfId="28160"/>
    <cellStyle name="Procentowy 3 21 13" xfId="28161"/>
    <cellStyle name="Procentowy 3 21 13 2" xfId="28162"/>
    <cellStyle name="Procentowy 3 21 14" xfId="28163"/>
    <cellStyle name="Procentowy 3 21 14 2" xfId="28164"/>
    <cellStyle name="Procentowy 3 21 15" xfId="28165"/>
    <cellStyle name="Procentowy 3 21 15 2" xfId="28166"/>
    <cellStyle name="Procentowy 3 21 16" xfId="28167"/>
    <cellStyle name="Procentowy 3 21 16 2" xfId="28168"/>
    <cellStyle name="Procentowy 3 21 17" xfId="28169"/>
    <cellStyle name="Procentowy 3 21 17 2" xfId="28170"/>
    <cellStyle name="Procentowy 3 21 18" xfId="28171"/>
    <cellStyle name="Procentowy 3 21 18 2" xfId="28172"/>
    <cellStyle name="Procentowy 3 21 19" xfId="28173"/>
    <cellStyle name="Procentowy 3 21 19 2" xfId="28174"/>
    <cellStyle name="Procentowy 3 21 2" xfId="28175"/>
    <cellStyle name="Procentowy 3 21 2 2" xfId="28176"/>
    <cellStyle name="Procentowy 3 21 2 3" xfId="28177"/>
    <cellStyle name="Procentowy 3 21 2 4" xfId="28178"/>
    <cellStyle name="Procentowy 3 21 2 5" xfId="28179"/>
    <cellStyle name="Procentowy 3 21 2 6" xfId="28180"/>
    <cellStyle name="Procentowy 3 21 2 7" xfId="28181"/>
    <cellStyle name="Procentowy 3 21 20" xfId="28182"/>
    <cellStyle name="Procentowy 3 21 20 2" xfId="28183"/>
    <cellStyle name="Procentowy 3 21 21" xfId="28184"/>
    <cellStyle name="Procentowy 3 21 21 2" xfId="28185"/>
    <cellStyle name="Procentowy 3 21 22" xfId="28186"/>
    <cellStyle name="Procentowy 3 21 22 2" xfId="28187"/>
    <cellStyle name="Procentowy 3 21 23" xfId="28188"/>
    <cellStyle name="Procentowy 3 21 23 2" xfId="28189"/>
    <cellStyle name="Procentowy 3 21 24" xfId="28190"/>
    <cellStyle name="Procentowy 3 21 24 2" xfId="28191"/>
    <cellStyle name="Procentowy 3 21 25" xfId="28192"/>
    <cellStyle name="Procentowy 3 21 25 2" xfId="28193"/>
    <cellStyle name="Procentowy 3 21 26" xfId="28194"/>
    <cellStyle name="Procentowy 3 21 26 2" xfId="28195"/>
    <cellStyle name="Procentowy 3 21 27" xfId="28196"/>
    <cellStyle name="Procentowy 3 21 27 2" xfId="28197"/>
    <cellStyle name="Procentowy 3 21 28" xfId="28198"/>
    <cellStyle name="Procentowy 3 21 28 2" xfId="28199"/>
    <cellStyle name="Procentowy 3 21 29" xfId="28200"/>
    <cellStyle name="Procentowy 3 21 29 2" xfId="28201"/>
    <cellStyle name="Procentowy 3 21 3" xfId="28202"/>
    <cellStyle name="Procentowy 3 21 3 2" xfId="28203"/>
    <cellStyle name="Procentowy 3 21 3 3" xfId="28204"/>
    <cellStyle name="Procentowy 3 21 3 4" xfId="28205"/>
    <cellStyle name="Procentowy 3 21 3 5" xfId="28206"/>
    <cellStyle name="Procentowy 3 21 3 6" xfId="28207"/>
    <cellStyle name="Procentowy 3 21 3 7" xfId="28208"/>
    <cellStyle name="Procentowy 3 21 30" xfId="28209"/>
    <cellStyle name="Procentowy 3 21 30 2" xfId="28210"/>
    <cellStyle name="Procentowy 3 21 31" xfId="28211"/>
    <cellStyle name="Procentowy 3 21 31 2" xfId="28212"/>
    <cellStyle name="Procentowy 3 21 32" xfId="28213"/>
    <cellStyle name="Procentowy 3 21 33" xfId="28214"/>
    <cellStyle name="Procentowy 3 21 34" xfId="28215"/>
    <cellStyle name="Procentowy 3 21 35" xfId="28216"/>
    <cellStyle name="Procentowy 3 21 36" xfId="28217"/>
    <cellStyle name="Procentowy 3 21 37" xfId="28218"/>
    <cellStyle name="Procentowy 3 21 38" xfId="28219"/>
    <cellStyle name="Procentowy 3 21 39" xfId="28220"/>
    <cellStyle name="Procentowy 3 21 4" xfId="28221"/>
    <cellStyle name="Procentowy 3 21 4 2" xfId="28222"/>
    <cellStyle name="Procentowy 3 21 4 3" xfId="28223"/>
    <cellStyle name="Procentowy 3 21 4 4" xfId="28224"/>
    <cellStyle name="Procentowy 3 21 4 5" xfId="28225"/>
    <cellStyle name="Procentowy 3 21 4 6" xfId="28226"/>
    <cellStyle name="Procentowy 3 21 4 7" xfId="28227"/>
    <cellStyle name="Procentowy 3 21 40" xfId="28228"/>
    <cellStyle name="Procentowy 3 21 41" xfId="28229"/>
    <cellStyle name="Procentowy 3 21 42" xfId="28230"/>
    <cellStyle name="Procentowy 3 21 43" xfId="28231"/>
    <cellStyle name="Procentowy 3 21 44" xfId="28232"/>
    <cellStyle name="Procentowy 3 21 45" xfId="28233"/>
    <cellStyle name="Procentowy 3 21 46" xfId="28234"/>
    <cellStyle name="Procentowy 3 21 47" xfId="28235"/>
    <cellStyle name="Procentowy 3 21 48" xfId="28236"/>
    <cellStyle name="Procentowy 3 21 49" xfId="28237"/>
    <cellStyle name="Procentowy 3 21 5" xfId="28238"/>
    <cellStyle name="Procentowy 3 21 5 2" xfId="28239"/>
    <cellStyle name="Procentowy 3 21 5 3" xfId="28240"/>
    <cellStyle name="Procentowy 3 21 5 4" xfId="28241"/>
    <cellStyle name="Procentowy 3 21 5 5" xfId="28242"/>
    <cellStyle name="Procentowy 3 21 5 6" xfId="28243"/>
    <cellStyle name="Procentowy 3 21 5 7" xfId="28244"/>
    <cellStyle name="Procentowy 3 21 50" xfId="28245"/>
    <cellStyle name="Procentowy 3 21 51" xfId="28246"/>
    <cellStyle name="Procentowy 3 21 52" xfId="28247"/>
    <cellStyle name="Procentowy 3 21 53" xfId="28248"/>
    <cellStyle name="Procentowy 3 21 54" xfId="28249"/>
    <cellStyle name="Procentowy 3 21 55" xfId="28250"/>
    <cellStyle name="Procentowy 3 21 56" xfId="28251"/>
    <cellStyle name="Procentowy 3 21 57" xfId="28252"/>
    <cellStyle name="Procentowy 3 21 58" xfId="28253"/>
    <cellStyle name="Procentowy 3 21 59" xfId="28254"/>
    <cellStyle name="Procentowy 3 21 6" xfId="28255"/>
    <cellStyle name="Procentowy 3 21 6 2" xfId="28256"/>
    <cellStyle name="Procentowy 3 21 60" xfId="28257"/>
    <cellStyle name="Procentowy 3 21 61" xfId="28258"/>
    <cellStyle name="Procentowy 3 21 62" xfId="28259"/>
    <cellStyle name="Procentowy 3 21 63" xfId="28260"/>
    <cellStyle name="Procentowy 3 21 64" xfId="28261"/>
    <cellStyle name="Procentowy 3 21 65" xfId="28262"/>
    <cellStyle name="Procentowy 3 21 66" xfId="28263"/>
    <cellStyle name="Procentowy 3 21 67" xfId="28264"/>
    <cellStyle name="Procentowy 3 21 68" xfId="28265"/>
    <cellStyle name="Procentowy 3 21 69" xfId="28266"/>
    <cellStyle name="Procentowy 3 21 7" xfId="28267"/>
    <cellStyle name="Procentowy 3 21 7 2" xfId="28268"/>
    <cellStyle name="Procentowy 3 21 70" xfId="28269"/>
    <cellStyle name="Procentowy 3 21 71" xfId="28270"/>
    <cellStyle name="Procentowy 3 21 72" xfId="28271"/>
    <cellStyle name="Procentowy 3 21 73" xfId="28272"/>
    <cellStyle name="Procentowy 3 21 74" xfId="28273"/>
    <cellStyle name="Procentowy 3 21 8" xfId="28274"/>
    <cellStyle name="Procentowy 3 21 8 2" xfId="28275"/>
    <cellStyle name="Procentowy 3 21 9" xfId="28276"/>
    <cellStyle name="Procentowy 3 21 9 2" xfId="28277"/>
    <cellStyle name="Procentowy 3 22" xfId="28278"/>
    <cellStyle name="Procentowy 3 22 10" xfId="28279"/>
    <cellStyle name="Procentowy 3 22 10 2" xfId="28280"/>
    <cellStyle name="Procentowy 3 22 11" xfId="28281"/>
    <cellStyle name="Procentowy 3 22 11 2" xfId="28282"/>
    <cellStyle name="Procentowy 3 22 12" xfId="28283"/>
    <cellStyle name="Procentowy 3 22 12 2" xfId="28284"/>
    <cellStyle name="Procentowy 3 22 13" xfId="28285"/>
    <cellStyle name="Procentowy 3 22 13 2" xfId="28286"/>
    <cellStyle name="Procentowy 3 22 14" xfId="28287"/>
    <cellStyle name="Procentowy 3 22 14 2" xfId="28288"/>
    <cellStyle name="Procentowy 3 22 15" xfId="28289"/>
    <cellStyle name="Procentowy 3 22 15 2" xfId="28290"/>
    <cellStyle name="Procentowy 3 22 16" xfId="28291"/>
    <cellStyle name="Procentowy 3 22 16 2" xfId="28292"/>
    <cellStyle name="Procentowy 3 22 17" xfId="28293"/>
    <cellStyle name="Procentowy 3 22 17 2" xfId="28294"/>
    <cellStyle name="Procentowy 3 22 18" xfId="28295"/>
    <cellStyle name="Procentowy 3 22 18 2" xfId="28296"/>
    <cellStyle name="Procentowy 3 22 19" xfId="28297"/>
    <cellStyle name="Procentowy 3 22 19 2" xfId="28298"/>
    <cellStyle name="Procentowy 3 22 2" xfId="28299"/>
    <cellStyle name="Procentowy 3 22 2 2" xfId="28300"/>
    <cellStyle name="Procentowy 3 22 2 3" xfId="28301"/>
    <cellStyle name="Procentowy 3 22 2 4" xfId="28302"/>
    <cellStyle name="Procentowy 3 22 2 5" xfId="28303"/>
    <cellStyle name="Procentowy 3 22 2 6" xfId="28304"/>
    <cellStyle name="Procentowy 3 22 2 7" xfId="28305"/>
    <cellStyle name="Procentowy 3 22 20" xfId="28306"/>
    <cellStyle name="Procentowy 3 22 20 2" xfId="28307"/>
    <cellStyle name="Procentowy 3 22 21" xfId="28308"/>
    <cellStyle name="Procentowy 3 22 21 2" xfId="28309"/>
    <cellStyle name="Procentowy 3 22 22" xfId="28310"/>
    <cellStyle name="Procentowy 3 22 22 2" xfId="28311"/>
    <cellStyle name="Procentowy 3 22 23" xfId="28312"/>
    <cellStyle name="Procentowy 3 22 23 2" xfId="28313"/>
    <cellStyle name="Procentowy 3 22 24" xfId="28314"/>
    <cellStyle name="Procentowy 3 22 24 2" xfId="28315"/>
    <cellStyle name="Procentowy 3 22 25" xfId="28316"/>
    <cellStyle name="Procentowy 3 22 25 2" xfId="28317"/>
    <cellStyle name="Procentowy 3 22 26" xfId="28318"/>
    <cellStyle name="Procentowy 3 22 26 2" xfId="28319"/>
    <cellStyle name="Procentowy 3 22 27" xfId="28320"/>
    <cellStyle name="Procentowy 3 22 27 2" xfId="28321"/>
    <cellStyle name="Procentowy 3 22 28" xfId="28322"/>
    <cellStyle name="Procentowy 3 22 28 2" xfId="28323"/>
    <cellStyle name="Procentowy 3 22 29" xfId="28324"/>
    <cellStyle name="Procentowy 3 22 29 2" xfId="28325"/>
    <cellStyle name="Procentowy 3 22 3" xfId="28326"/>
    <cellStyle name="Procentowy 3 22 3 2" xfId="28327"/>
    <cellStyle name="Procentowy 3 22 3 3" xfId="28328"/>
    <cellStyle name="Procentowy 3 22 3 4" xfId="28329"/>
    <cellStyle name="Procentowy 3 22 3 5" xfId="28330"/>
    <cellStyle name="Procentowy 3 22 3 6" xfId="28331"/>
    <cellStyle name="Procentowy 3 22 3 7" xfId="28332"/>
    <cellStyle name="Procentowy 3 22 30" xfId="28333"/>
    <cellStyle name="Procentowy 3 22 30 2" xfId="28334"/>
    <cellStyle name="Procentowy 3 22 31" xfId="28335"/>
    <cellStyle name="Procentowy 3 22 31 2" xfId="28336"/>
    <cellStyle name="Procentowy 3 22 32" xfId="28337"/>
    <cellStyle name="Procentowy 3 22 33" xfId="28338"/>
    <cellStyle name="Procentowy 3 22 34" xfId="28339"/>
    <cellStyle name="Procentowy 3 22 35" xfId="28340"/>
    <cellStyle name="Procentowy 3 22 36" xfId="28341"/>
    <cellStyle name="Procentowy 3 22 37" xfId="28342"/>
    <cellStyle name="Procentowy 3 22 38" xfId="28343"/>
    <cellStyle name="Procentowy 3 22 39" xfId="28344"/>
    <cellStyle name="Procentowy 3 22 4" xfId="28345"/>
    <cellStyle name="Procentowy 3 22 4 2" xfId="28346"/>
    <cellStyle name="Procentowy 3 22 4 3" xfId="28347"/>
    <cellStyle name="Procentowy 3 22 4 4" xfId="28348"/>
    <cellStyle name="Procentowy 3 22 4 5" xfId="28349"/>
    <cellStyle name="Procentowy 3 22 4 6" xfId="28350"/>
    <cellStyle name="Procentowy 3 22 4 7" xfId="28351"/>
    <cellStyle name="Procentowy 3 22 40" xfId="28352"/>
    <cellStyle name="Procentowy 3 22 41" xfId="28353"/>
    <cellStyle name="Procentowy 3 22 42" xfId="28354"/>
    <cellStyle name="Procentowy 3 22 43" xfId="28355"/>
    <cellStyle name="Procentowy 3 22 44" xfId="28356"/>
    <cellStyle name="Procentowy 3 22 45" xfId="28357"/>
    <cellStyle name="Procentowy 3 22 46" xfId="28358"/>
    <cellStyle name="Procentowy 3 22 47" xfId="28359"/>
    <cellStyle name="Procentowy 3 22 48" xfId="28360"/>
    <cellStyle name="Procentowy 3 22 49" xfId="28361"/>
    <cellStyle name="Procentowy 3 22 5" xfId="28362"/>
    <cellStyle name="Procentowy 3 22 5 2" xfId="28363"/>
    <cellStyle name="Procentowy 3 22 5 3" xfId="28364"/>
    <cellStyle name="Procentowy 3 22 5 4" xfId="28365"/>
    <cellStyle name="Procentowy 3 22 5 5" xfId="28366"/>
    <cellStyle name="Procentowy 3 22 5 6" xfId="28367"/>
    <cellStyle name="Procentowy 3 22 5 7" xfId="28368"/>
    <cellStyle name="Procentowy 3 22 50" xfId="28369"/>
    <cellStyle name="Procentowy 3 22 51" xfId="28370"/>
    <cellStyle name="Procentowy 3 22 52" xfId="28371"/>
    <cellStyle name="Procentowy 3 22 53" xfId="28372"/>
    <cellStyle name="Procentowy 3 22 54" xfId="28373"/>
    <cellStyle name="Procentowy 3 22 55" xfId="28374"/>
    <cellStyle name="Procentowy 3 22 56" xfId="28375"/>
    <cellStyle name="Procentowy 3 22 57" xfId="28376"/>
    <cellStyle name="Procentowy 3 22 58" xfId="28377"/>
    <cellStyle name="Procentowy 3 22 59" xfId="28378"/>
    <cellStyle name="Procentowy 3 22 6" xfId="28379"/>
    <cellStyle name="Procentowy 3 22 6 2" xfId="28380"/>
    <cellStyle name="Procentowy 3 22 60" xfId="28381"/>
    <cellStyle name="Procentowy 3 22 61" xfId="28382"/>
    <cellStyle name="Procentowy 3 22 62" xfId="28383"/>
    <cellStyle name="Procentowy 3 22 63" xfId="28384"/>
    <cellStyle name="Procentowy 3 22 64" xfId="28385"/>
    <cellStyle name="Procentowy 3 22 65" xfId="28386"/>
    <cellStyle name="Procentowy 3 22 66" xfId="28387"/>
    <cellStyle name="Procentowy 3 22 67" xfId="28388"/>
    <cellStyle name="Procentowy 3 22 68" xfId="28389"/>
    <cellStyle name="Procentowy 3 22 69" xfId="28390"/>
    <cellStyle name="Procentowy 3 22 7" xfId="28391"/>
    <cellStyle name="Procentowy 3 22 7 2" xfId="28392"/>
    <cellStyle name="Procentowy 3 22 70" xfId="28393"/>
    <cellStyle name="Procentowy 3 22 71" xfId="28394"/>
    <cellStyle name="Procentowy 3 22 72" xfId="28395"/>
    <cellStyle name="Procentowy 3 22 73" xfId="28396"/>
    <cellStyle name="Procentowy 3 22 74" xfId="28397"/>
    <cellStyle name="Procentowy 3 22 8" xfId="28398"/>
    <cellStyle name="Procentowy 3 22 8 2" xfId="28399"/>
    <cellStyle name="Procentowy 3 22 9" xfId="28400"/>
    <cellStyle name="Procentowy 3 22 9 2" xfId="28401"/>
    <cellStyle name="Procentowy 3 23" xfId="28402"/>
    <cellStyle name="Procentowy 3 23 10" xfId="28403"/>
    <cellStyle name="Procentowy 3 23 10 2" xfId="28404"/>
    <cellStyle name="Procentowy 3 23 11" xfId="28405"/>
    <cellStyle name="Procentowy 3 23 11 2" xfId="28406"/>
    <cellStyle name="Procentowy 3 23 12" xfId="28407"/>
    <cellStyle name="Procentowy 3 23 12 2" xfId="28408"/>
    <cellStyle name="Procentowy 3 23 13" xfId="28409"/>
    <cellStyle name="Procentowy 3 23 13 2" xfId="28410"/>
    <cellStyle name="Procentowy 3 23 14" xfId="28411"/>
    <cellStyle name="Procentowy 3 23 14 2" xfId="28412"/>
    <cellStyle name="Procentowy 3 23 15" xfId="28413"/>
    <cellStyle name="Procentowy 3 23 15 2" xfId="28414"/>
    <cellStyle name="Procentowy 3 23 16" xfId="28415"/>
    <cellStyle name="Procentowy 3 23 16 2" xfId="28416"/>
    <cellStyle name="Procentowy 3 23 17" xfId="28417"/>
    <cellStyle name="Procentowy 3 23 17 2" xfId="28418"/>
    <cellStyle name="Procentowy 3 23 18" xfId="28419"/>
    <cellStyle name="Procentowy 3 23 18 2" xfId="28420"/>
    <cellStyle name="Procentowy 3 23 19" xfId="28421"/>
    <cellStyle name="Procentowy 3 23 19 2" xfId="28422"/>
    <cellStyle name="Procentowy 3 23 2" xfId="28423"/>
    <cellStyle name="Procentowy 3 23 2 2" xfId="28424"/>
    <cellStyle name="Procentowy 3 23 2 3" xfId="28425"/>
    <cellStyle name="Procentowy 3 23 2 4" xfId="28426"/>
    <cellStyle name="Procentowy 3 23 2 5" xfId="28427"/>
    <cellStyle name="Procentowy 3 23 2 6" xfId="28428"/>
    <cellStyle name="Procentowy 3 23 2 7" xfId="28429"/>
    <cellStyle name="Procentowy 3 23 20" xfId="28430"/>
    <cellStyle name="Procentowy 3 23 20 2" xfId="28431"/>
    <cellStyle name="Procentowy 3 23 21" xfId="28432"/>
    <cellStyle name="Procentowy 3 23 21 2" xfId="28433"/>
    <cellStyle name="Procentowy 3 23 22" xfId="28434"/>
    <cellStyle name="Procentowy 3 23 22 2" xfId="28435"/>
    <cellStyle name="Procentowy 3 23 23" xfId="28436"/>
    <cellStyle name="Procentowy 3 23 23 2" xfId="28437"/>
    <cellStyle name="Procentowy 3 23 24" xfId="28438"/>
    <cellStyle name="Procentowy 3 23 24 2" xfId="28439"/>
    <cellStyle name="Procentowy 3 23 25" xfId="28440"/>
    <cellStyle name="Procentowy 3 23 25 2" xfId="28441"/>
    <cellStyle name="Procentowy 3 23 26" xfId="28442"/>
    <cellStyle name="Procentowy 3 23 26 2" xfId="28443"/>
    <cellStyle name="Procentowy 3 23 27" xfId="28444"/>
    <cellStyle name="Procentowy 3 23 27 2" xfId="28445"/>
    <cellStyle name="Procentowy 3 23 28" xfId="28446"/>
    <cellStyle name="Procentowy 3 23 28 2" xfId="28447"/>
    <cellStyle name="Procentowy 3 23 29" xfId="28448"/>
    <cellStyle name="Procentowy 3 23 29 2" xfId="28449"/>
    <cellStyle name="Procentowy 3 23 3" xfId="28450"/>
    <cellStyle name="Procentowy 3 23 3 2" xfId="28451"/>
    <cellStyle name="Procentowy 3 23 3 3" xfId="28452"/>
    <cellStyle name="Procentowy 3 23 3 4" xfId="28453"/>
    <cellStyle name="Procentowy 3 23 3 5" xfId="28454"/>
    <cellStyle name="Procentowy 3 23 3 6" xfId="28455"/>
    <cellStyle name="Procentowy 3 23 3 7" xfId="28456"/>
    <cellStyle name="Procentowy 3 23 30" xfId="28457"/>
    <cellStyle name="Procentowy 3 23 30 2" xfId="28458"/>
    <cellStyle name="Procentowy 3 23 31" xfId="28459"/>
    <cellStyle name="Procentowy 3 23 31 2" xfId="28460"/>
    <cellStyle name="Procentowy 3 23 32" xfId="28461"/>
    <cellStyle name="Procentowy 3 23 33" xfId="28462"/>
    <cellStyle name="Procentowy 3 23 34" xfId="28463"/>
    <cellStyle name="Procentowy 3 23 35" xfId="28464"/>
    <cellStyle name="Procentowy 3 23 36" xfId="28465"/>
    <cellStyle name="Procentowy 3 23 37" xfId="28466"/>
    <cellStyle name="Procentowy 3 23 38" xfId="28467"/>
    <cellStyle name="Procentowy 3 23 39" xfId="28468"/>
    <cellStyle name="Procentowy 3 23 4" xfId="28469"/>
    <cellStyle name="Procentowy 3 23 4 2" xfId="28470"/>
    <cellStyle name="Procentowy 3 23 4 3" xfId="28471"/>
    <cellStyle name="Procentowy 3 23 4 4" xfId="28472"/>
    <cellStyle name="Procentowy 3 23 4 5" xfId="28473"/>
    <cellStyle name="Procentowy 3 23 4 6" xfId="28474"/>
    <cellStyle name="Procentowy 3 23 4 7" xfId="28475"/>
    <cellStyle name="Procentowy 3 23 40" xfId="28476"/>
    <cellStyle name="Procentowy 3 23 41" xfId="28477"/>
    <cellStyle name="Procentowy 3 23 42" xfId="28478"/>
    <cellStyle name="Procentowy 3 23 43" xfId="28479"/>
    <cellStyle name="Procentowy 3 23 44" xfId="28480"/>
    <cellStyle name="Procentowy 3 23 45" xfId="28481"/>
    <cellStyle name="Procentowy 3 23 46" xfId="28482"/>
    <cellStyle name="Procentowy 3 23 47" xfId="28483"/>
    <cellStyle name="Procentowy 3 23 48" xfId="28484"/>
    <cellStyle name="Procentowy 3 23 49" xfId="28485"/>
    <cellStyle name="Procentowy 3 23 5" xfId="28486"/>
    <cellStyle name="Procentowy 3 23 5 2" xfId="28487"/>
    <cellStyle name="Procentowy 3 23 5 3" xfId="28488"/>
    <cellStyle name="Procentowy 3 23 5 4" xfId="28489"/>
    <cellStyle name="Procentowy 3 23 5 5" xfId="28490"/>
    <cellStyle name="Procentowy 3 23 5 6" xfId="28491"/>
    <cellStyle name="Procentowy 3 23 5 7" xfId="28492"/>
    <cellStyle name="Procentowy 3 23 50" xfId="28493"/>
    <cellStyle name="Procentowy 3 23 51" xfId="28494"/>
    <cellStyle name="Procentowy 3 23 52" xfId="28495"/>
    <cellStyle name="Procentowy 3 23 53" xfId="28496"/>
    <cellStyle name="Procentowy 3 23 54" xfId="28497"/>
    <cellStyle name="Procentowy 3 23 55" xfId="28498"/>
    <cellStyle name="Procentowy 3 23 56" xfId="28499"/>
    <cellStyle name="Procentowy 3 23 57" xfId="28500"/>
    <cellStyle name="Procentowy 3 23 58" xfId="28501"/>
    <cellStyle name="Procentowy 3 23 59" xfId="28502"/>
    <cellStyle name="Procentowy 3 23 6" xfId="28503"/>
    <cellStyle name="Procentowy 3 23 6 2" xfId="28504"/>
    <cellStyle name="Procentowy 3 23 60" xfId="28505"/>
    <cellStyle name="Procentowy 3 23 61" xfId="28506"/>
    <cellStyle name="Procentowy 3 23 62" xfId="28507"/>
    <cellStyle name="Procentowy 3 23 63" xfId="28508"/>
    <cellStyle name="Procentowy 3 23 64" xfId="28509"/>
    <cellStyle name="Procentowy 3 23 65" xfId="28510"/>
    <cellStyle name="Procentowy 3 23 66" xfId="28511"/>
    <cellStyle name="Procentowy 3 23 67" xfId="28512"/>
    <cellStyle name="Procentowy 3 23 68" xfId="28513"/>
    <cellStyle name="Procentowy 3 23 69" xfId="28514"/>
    <cellStyle name="Procentowy 3 23 7" xfId="28515"/>
    <cellStyle name="Procentowy 3 23 7 2" xfId="28516"/>
    <cellStyle name="Procentowy 3 23 70" xfId="28517"/>
    <cellStyle name="Procentowy 3 23 71" xfId="28518"/>
    <cellStyle name="Procentowy 3 23 72" xfId="28519"/>
    <cellStyle name="Procentowy 3 23 73" xfId="28520"/>
    <cellStyle name="Procentowy 3 23 74" xfId="28521"/>
    <cellStyle name="Procentowy 3 23 8" xfId="28522"/>
    <cellStyle name="Procentowy 3 23 8 2" xfId="28523"/>
    <cellStyle name="Procentowy 3 23 9" xfId="28524"/>
    <cellStyle name="Procentowy 3 23 9 2" xfId="28525"/>
    <cellStyle name="Procentowy 3 24" xfId="28526"/>
    <cellStyle name="Procentowy 3 24 10" xfId="28527"/>
    <cellStyle name="Procentowy 3 24 10 2" xfId="28528"/>
    <cellStyle name="Procentowy 3 24 11" xfId="28529"/>
    <cellStyle name="Procentowy 3 24 11 2" xfId="28530"/>
    <cellStyle name="Procentowy 3 24 12" xfId="28531"/>
    <cellStyle name="Procentowy 3 24 12 2" xfId="28532"/>
    <cellStyle name="Procentowy 3 24 13" xfId="28533"/>
    <cellStyle name="Procentowy 3 24 13 2" xfId="28534"/>
    <cellStyle name="Procentowy 3 24 14" xfId="28535"/>
    <cellStyle name="Procentowy 3 24 14 2" xfId="28536"/>
    <cellStyle name="Procentowy 3 24 15" xfId="28537"/>
    <cellStyle name="Procentowy 3 24 15 2" xfId="28538"/>
    <cellStyle name="Procentowy 3 24 16" xfId="28539"/>
    <cellStyle name="Procentowy 3 24 16 2" xfId="28540"/>
    <cellStyle name="Procentowy 3 24 17" xfId="28541"/>
    <cellStyle name="Procentowy 3 24 17 2" xfId="28542"/>
    <cellStyle name="Procentowy 3 24 18" xfId="28543"/>
    <cellStyle name="Procentowy 3 24 18 2" xfId="28544"/>
    <cellStyle name="Procentowy 3 24 19" xfId="28545"/>
    <cellStyle name="Procentowy 3 24 19 2" xfId="28546"/>
    <cellStyle name="Procentowy 3 24 2" xfId="28547"/>
    <cellStyle name="Procentowy 3 24 2 2" xfId="28548"/>
    <cellStyle name="Procentowy 3 24 2 3" xfId="28549"/>
    <cellStyle name="Procentowy 3 24 2 4" xfId="28550"/>
    <cellStyle name="Procentowy 3 24 2 5" xfId="28551"/>
    <cellStyle name="Procentowy 3 24 2 6" xfId="28552"/>
    <cellStyle name="Procentowy 3 24 2 7" xfId="28553"/>
    <cellStyle name="Procentowy 3 24 20" xfId="28554"/>
    <cellStyle name="Procentowy 3 24 20 2" xfId="28555"/>
    <cellStyle name="Procentowy 3 24 21" xfId="28556"/>
    <cellStyle name="Procentowy 3 24 21 2" xfId="28557"/>
    <cellStyle name="Procentowy 3 24 22" xfId="28558"/>
    <cellStyle name="Procentowy 3 24 22 2" xfId="28559"/>
    <cellStyle name="Procentowy 3 24 23" xfId="28560"/>
    <cellStyle name="Procentowy 3 24 23 2" xfId="28561"/>
    <cellStyle name="Procentowy 3 24 24" xfId="28562"/>
    <cellStyle name="Procentowy 3 24 24 2" xfId="28563"/>
    <cellStyle name="Procentowy 3 24 25" xfId="28564"/>
    <cellStyle name="Procentowy 3 24 25 2" xfId="28565"/>
    <cellStyle name="Procentowy 3 24 26" xfId="28566"/>
    <cellStyle name="Procentowy 3 24 26 2" xfId="28567"/>
    <cellStyle name="Procentowy 3 24 27" xfId="28568"/>
    <cellStyle name="Procentowy 3 24 27 2" xfId="28569"/>
    <cellStyle name="Procentowy 3 24 28" xfId="28570"/>
    <cellStyle name="Procentowy 3 24 28 2" xfId="28571"/>
    <cellStyle name="Procentowy 3 24 29" xfId="28572"/>
    <cellStyle name="Procentowy 3 24 29 2" xfId="28573"/>
    <cellStyle name="Procentowy 3 24 3" xfId="28574"/>
    <cellStyle name="Procentowy 3 24 3 2" xfId="28575"/>
    <cellStyle name="Procentowy 3 24 3 3" xfId="28576"/>
    <cellStyle name="Procentowy 3 24 3 4" xfId="28577"/>
    <cellStyle name="Procentowy 3 24 3 5" xfId="28578"/>
    <cellStyle name="Procentowy 3 24 3 6" xfId="28579"/>
    <cellStyle name="Procentowy 3 24 3 7" xfId="28580"/>
    <cellStyle name="Procentowy 3 24 30" xfId="28581"/>
    <cellStyle name="Procentowy 3 24 30 2" xfId="28582"/>
    <cellStyle name="Procentowy 3 24 31" xfId="28583"/>
    <cellStyle name="Procentowy 3 24 31 2" xfId="28584"/>
    <cellStyle name="Procentowy 3 24 32" xfId="28585"/>
    <cellStyle name="Procentowy 3 24 33" xfId="28586"/>
    <cellStyle name="Procentowy 3 24 34" xfId="28587"/>
    <cellStyle name="Procentowy 3 24 35" xfId="28588"/>
    <cellStyle name="Procentowy 3 24 36" xfId="28589"/>
    <cellStyle name="Procentowy 3 24 37" xfId="28590"/>
    <cellStyle name="Procentowy 3 24 38" xfId="28591"/>
    <cellStyle name="Procentowy 3 24 39" xfId="28592"/>
    <cellStyle name="Procentowy 3 24 4" xfId="28593"/>
    <cellStyle name="Procentowy 3 24 4 2" xfId="28594"/>
    <cellStyle name="Procentowy 3 24 4 3" xfId="28595"/>
    <cellStyle name="Procentowy 3 24 4 4" xfId="28596"/>
    <cellStyle name="Procentowy 3 24 4 5" xfId="28597"/>
    <cellStyle name="Procentowy 3 24 4 6" xfId="28598"/>
    <cellStyle name="Procentowy 3 24 4 7" xfId="28599"/>
    <cellStyle name="Procentowy 3 24 40" xfId="28600"/>
    <cellStyle name="Procentowy 3 24 41" xfId="28601"/>
    <cellStyle name="Procentowy 3 24 42" xfId="28602"/>
    <cellStyle name="Procentowy 3 24 43" xfId="28603"/>
    <cellStyle name="Procentowy 3 24 44" xfId="28604"/>
    <cellStyle name="Procentowy 3 24 45" xfId="28605"/>
    <cellStyle name="Procentowy 3 24 46" xfId="28606"/>
    <cellStyle name="Procentowy 3 24 47" xfId="28607"/>
    <cellStyle name="Procentowy 3 24 48" xfId="28608"/>
    <cellStyle name="Procentowy 3 24 49" xfId="28609"/>
    <cellStyle name="Procentowy 3 24 5" xfId="28610"/>
    <cellStyle name="Procentowy 3 24 5 2" xfId="28611"/>
    <cellStyle name="Procentowy 3 24 5 3" xfId="28612"/>
    <cellStyle name="Procentowy 3 24 5 4" xfId="28613"/>
    <cellStyle name="Procentowy 3 24 5 5" xfId="28614"/>
    <cellStyle name="Procentowy 3 24 5 6" xfId="28615"/>
    <cellStyle name="Procentowy 3 24 5 7" xfId="28616"/>
    <cellStyle name="Procentowy 3 24 50" xfId="28617"/>
    <cellStyle name="Procentowy 3 24 51" xfId="28618"/>
    <cellStyle name="Procentowy 3 24 52" xfId="28619"/>
    <cellStyle name="Procentowy 3 24 53" xfId="28620"/>
    <cellStyle name="Procentowy 3 24 54" xfId="28621"/>
    <cellStyle name="Procentowy 3 24 55" xfId="28622"/>
    <cellStyle name="Procentowy 3 24 56" xfId="28623"/>
    <cellStyle name="Procentowy 3 24 57" xfId="28624"/>
    <cellStyle name="Procentowy 3 24 58" xfId="28625"/>
    <cellStyle name="Procentowy 3 24 59" xfId="28626"/>
    <cellStyle name="Procentowy 3 24 6" xfId="28627"/>
    <cellStyle name="Procentowy 3 24 6 2" xfId="28628"/>
    <cellStyle name="Procentowy 3 24 60" xfId="28629"/>
    <cellStyle name="Procentowy 3 24 61" xfId="28630"/>
    <cellStyle name="Procentowy 3 24 62" xfId="28631"/>
    <cellStyle name="Procentowy 3 24 63" xfId="28632"/>
    <cellStyle name="Procentowy 3 24 64" xfId="28633"/>
    <cellStyle name="Procentowy 3 24 65" xfId="28634"/>
    <cellStyle name="Procentowy 3 24 66" xfId="28635"/>
    <cellStyle name="Procentowy 3 24 67" xfId="28636"/>
    <cellStyle name="Procentowy 3 24 68" xfId="28637"/>
    <cellStyle name="Procentowy 3 24 69" xfId="28638"/>
    <cellStyle name="Procentowy 3 24 7" xfId="28639"/>
    <cellStyle name="Procentowy 3 24 7 2" xfId="28640"/>
    <cellStyle name="Procentowy 3 24 70" xfId="28641"/>
    <cellStyle name="Procentowy 3 24 71" xfId="28642"/>
    <cellStyle name="Procentowy 3 24 72" xfId="28643"/>
    <cellStyle name="Procentowy 3 24 73" xfId="28644"/>
    <cellStyle name="Procentowy 3 24 74" xfId="28645"/>
    <cellStyle name="Procentowy 3 24 8" xfId="28646"/>
    <cellStyle name="Procentowy 3 24 8 2" xfId="28647"/>
    <cellStyle name="Procentowy 3 24 9" xfId="28648"/>
    <cellStyle name="Procentowy 3 24 9 2" xfId="28649"/>
    <cellStyle name="Procentowy 3 25" xfId="28650"/>
    <cellStyle name="Procentowy 3 25 2" xfId="28651"/>
    <cellStyle name="Procentowy 3 25 3" xfId="28652"/>
    <cellStyle name="Procentowy 3 25 4" xfId="28653"/>
    <cellStyle name="Procentowy 3 25 5" xfId="28654"/>
    <cellStyle name="Procentowy 3 25 6" xfId="28655"/>
    <cellStyle name="Procentowy 3 25 7" xfId="28656"/>
    <cellStyle name="Procentowy 3 26" xfId="28657"/>
    <cellStyle name="Procentowy 3 26 2" xfId="28658"/>
    <cellStyle name="Procentowy 3 26 3" xfId="28659"/>
    <cellStyle name="Procentowy 3 26 4" xfId="28660"/>
    <cellStyle name="Procentowy 3 26 5" xfId="28661"/>
    <cellStyle name="Procentowy 3 26 6" xfId="28662"/>
    <cellStyle name="Procentowy 3 26 7" xfId="28663"/>
    <cellStyle name="Procentowy 3 27" xfId="28664"/>
    <cellStyle name="Procentowy 3 27 2" xfId="28665"/>
    <cellStyle name="Procentowy 3 27 3" xfId="28666"/>
    <cellStyle name="Procentowy 3 27 4" xfId="28667"/>
    <cellStyle name="Procentowy 3 27 5" xfId="28668"/>
    <cellStyle name="Procentowy 3 27 6" xfId="28669"/>
    <cellStyle name="Procentowy 3 27 7" xfId="28670"/>
    <cellStyle name="Procentowy 3 28" xfId="28671"/>
    <cellStyle name="Procentowy 3 28 2" xfId="28672"/>
    <cellStyle name="Procentowy 3 28 3" xfId="28673"/>
    <cellStyle name="Procentowy 3 28 4" xfId="28674"/>
    <cellStyle name="Procentowy 3 28 5" xfId="28675"/>
    <cellStyle name="Procentowy 3 28 6" xfId="28676"/>
    <cellStyle name="Procentowy 3 28 7" xfId="28677"/>
    <cellStyle name="Procentowy 3 29" xfId="28678"/>
    <cellStyle name="Procentowy 3 29 2" xfId="28679"/>
    <cellStyle name="Procentowy 3 3" xfId="28680"/>
    <cellStyle name="Procentowy 3 3 10" xfId="28681"/>
    <cellStyle name="Procentowy 3 3 10 2" xfId="28682"/>
    <cellStyle name="Procentowy 3 3 11" xfId="28683"/>
    <cellStyle name="Procentowy 3 3 11 2" xfId="28684"/>
    <cellStyle name="Procentowy 3 3 12" xfId="28685"/>
    <cellStyle name="Procentowy 3 3 12 2" xfId="28686"/>
    <cellStyle name="Procentowy 3 3 13" xfId="28687"/>
    <cellStyle name="Procentowy 3 3 13 2" xfId="28688"/>
    <cellStyle name="Procentowy 3 3 14" xfId="28689"/>
    <cellStyle name="Procentowy 3 3 14 2" xfId="28690"/>
    <cellStyle name="Procentowy 3 3 15" xfId="28691"/>
    <cellStyle name="Procentowy 3 3 15 2" xfId="28692"/>
    <cellStyle name="Procentowy 3 3 16" xfId="28693"/>
    <cellStyle name="Procentowy 3 3 16 2" xfId="28694"/>
    <cellStyle name="Procentowy 3 3 17" xfId="28695"/>
    <cellStyle name="Procentowy 3 3 17 2" xfId="28696"/>
    <cellStyle name="Procentowy 3 3 18" xfId="28697"/>
    <cellStyle name="Procentowy 3 3 18 2" xfId="28698"/>
    <cellStyle name="Procentowy 3 3 19" xfId="28699"/>
    <cellStyle name="Procentowy 3 3 19 2" xfId="28700"/>
    <cellStyle name="Procentowy 3 3 2" xfId="28701"/>
    <cellStyle name="Procentowy 3 3 2 2" xfId="28702"/>
    <cellStyle name="Procentowy 3 3 2 3" xfId="28703"/>
    <cellStyle name="Procentowy 3 3 2 4" xfId="28704"/>
    <cellStyle name="Procentowy 3 3 2 5" xfId="28705"/>
    <cellStyle name="Procentowy 3 3 2 6" xfId="28706"/>
    <cellStyle name="Procentowy 3 3 2 7" xfId="28707"/>
    <cellStyle name="Procentowy 3 3 20" xfId="28708"/>
    <cellStyle name="Procentowy 3 3 20 2" xfId="28709"/>
    <cellStyle name="Procentowy 3 3 21" xfId="28710"/>
    <cellStyle name="Procentowy 3 3 21 2" xfId="28711"/>
    <cellStyle name="Procentowy 3 3 22" xfId="28712"/>
    <cellStyle name="Procentowy 3 3 22 2" xfId="28713"/>
    <cellStyle name="Procentowy 3 3 23" xfId="28714"/>
    <cellStyle name="Procentowy 3 3 23 2" xfId="28715"/>
    <cellStyle name="Procentowy 3 3 24" xfId="28716"/>
    <cellStyle name="Procentowy 3 3 24 2" xfId="28717"/>
    <cellStyle name="Procentowy 3 3 25" xfId="28718"/>
    <cellStyle name="Procentowy 3 3 25 2" xfId="28719"/>
    <cellStyle name="Procentowy 3 3 26" xfId="28720"/>
    <cellStyle name="Procentowy 3 3 26 2" xfId="28721"/>
    <cellStyle name="Procentowy 3 3 27" xfId="28722"/>
    <cellStyle name="Procentowy 3 3 27 2" xfId="28723"/>
    <cellStyle name="Procentowy 3 3 28" xfId="28724"/>
    <cellStyle name="Procentowy 3 3 28 2" xfId="28725"/>
    <cellStyle name="Procentowy 3 3 29" xfId="28726"/>
    <cellStyle name="Procentowy 3 3 29 2" xfId="28727"/>
    <cellStyle name="Procentowy 3 3 3" xfId="28728"/>
    <cellStyle name="Procentowy 3 3 3 2" xfId="28729"/>
    <cellStyle name="Procentowy 3 3 3 3" xfId="28730"/>
    <cellStyle name="Procentowy 3 3 3 4" xfId="28731"/>
    <cellStyle name="Procentowy 3 3 3 5" xfId="28732"/>
    <cellStyle name="Procentowy 3 3 3 6" xfId="28733"/>
    <cellStyle name="Procentowy 3 3 3 7" xfId="28734"/>
    <cellStyle name="Procentowy 3 3 30" xfId="28735"/>
    <cellStyle name="Procentowy 3 3 30 2" xfId="28736"/>
    <cellStyle name="Procentowy 3 3 31" xfId="28737"/>
    <cellStyle name="Procentowy 3 3 31 2" xfId="28738"/>
    <cellStyle name="Procentowy 3 3 32" xfId="28739"/>
    <cellStyle name="Procentowy 3 3 33" xfId="28740"/>
    <cellStyle name="Procentowy 3 3 34" xfId="28741"/>
    <cellStyle name="Procentowy 3 3 35" xfId="28742"/>
    <cellStyle name="Procentowy 3 3 36" xfId="28743"/>
    <cellStyle name="Procentowy 3 3 37" xfId="28744"/>
    <cellStyle name="Procentowy 3 3 38" xfId="28745"/>
    <cellStyle name="Procentowy 3 3 39" xfId="28746"/>
    <cellStyle name="Procentowy 3 3 4" xfId="28747"/>
    <cellStyle name="Procentowy 3 3 4 2" xfId="28748"/>
    <cellStyle name="Procentowy 3 3 4 3" xfId="28749"/>
    <cellStyle name="Procentowy 3 3 4 4" xfId="28750"/>
    <cellStyle name="Procentowy 3 3 4 5" xfId="28751"/>
    <cellStyle name="Procentowy 3 3 4 6" xfId="28752"/>
    <cellStyle name="Procentowy 3 3 4 7" xfId="28753"/>
    <cellStyle name="Procentowy 3 3 40" xfId="28754"/>
    <cellStyle name="Procentowy 3 3 41" xfId="28755"/>
    <cellStyle name="Procentowy 3 3 42" xfId="28756"/>
    <cellStyle name="Procentowy 3 3 43" xfId="28757"/>
    <cellStyle name="Procentowy 3 3 44" xfId="28758"/>
    <cellStyle name="Procentowy 3 3 45" xfId="28759"/>
    <cellStyle name="Procentowy 3 3 46" xfId="28760"/>
    <cellStyle name="Procentowy 3 3 47" xfId="28761"/>
    <cellStyle name="Procentowy 3 3 48" xfId="28762"/>
    <cellStyle name="Procentowy 3 3 49" xfId="28763"/>
    <cellStyle name="Procentowy 3 3 5" xfId="28764"/>
    <cellStyle name="Procentowy 3 3 5 2" xfId="28765"/>
    <cellStyle name="Procentowy 3 3 5 3" xfId="28766"/>
    <cellStyle name="Procentowy 3 3 5 4" xfId="28767"/>
    <cellStyle name="Procentowy 3 3 5 5" xfId="28768"/>
    <cellStyle name="Procentowy 3 3 5 6" xfId="28769"/>
    <cellStyle name="Procentowy 3 3 5 7" xfId="28770"/>
    <cellStyle name="Procentowy 3 3 50" xfId="28771"/>
    <cellStyle name="Procentowy 3 3 51" xfId="28772"/>
    <cellStyle name="Procentowy 3 3 52" xfId="28773"/>
    <cellStyle name="Procentowy 3 3 53" xfId="28774"/>
    <cellStyle name="Procentowy 3 3 54" xfId="28775"/>
    <cellStyle name="Procentowy 3 3 55" xfId="28776"/>
    <cellStyle name="Procentowy 3 3 56" xfId="28777"/>
    <cellStyle name="Procentowy 3 3 57" xfId="28778"/>
    <cellStyle name="Procentowy 3 3 58" xfId="28779"/>
    <cellStyle name="Procentowy 3 3 59" xfId="28780"/>
    <cellStyle name="Procentowy 3 3 6" xfId="28781"/>
    <cellStyle name="Procentowy 3 3 6 2" xfId="28782"/>
    <cellStyle name="Procentowy 3 3 60" xfId="28783"/>
    <cellStyle name="Procentowy 3 3 61" xfId="28784"/>
    <cellStyle name="Procentowy 3 3 62" xfId="28785"/>
    <cellStyle name="Procentowy 3 3 63" xfId="28786"/>
    <cellStyle name="Procentowy 3 3 64" xfId="28787"/>
    <cellStyle name="Procentowy 3 3 65" xfId="28788"/>
    <cellStyle name="Procentowy 3 3 66" xfId="28789"/>
    <cellStyle name="Procentowy 3 3 67" xfId="28790"/>
    <cellStyle name="Procentowy 3 3 68" xfId="28791"/>
    <cellStyle name="Procentowy 3 3 69" xfId="28792"/>
    <cellStyle name="Procentowy 3 3 7" xfId="28793"/>
    <cellStyle name="Procentowy 3 3 7 2" xfId="28794"/>
    <cellStyle name="Procentowy 3 3 70" xfId="28795"/>
    <cellStyle name="Procentowy 3 3 71" xfId="28796"/>
    <cellStyle name="Procentowy 3 3 72" xfId="28797"/>
    <cellStyle name="Procentowy 3 3 73" xfId="28798"/>
    <cellStyle name="Procentowy 3 3 74" xfId="28799"/>
    <cellStyle name="Procentowy 3 3 75" xfId="28800"/>
    <cellStyle name="Procentowy 3 3 8" xfId="28801"/>
    <cellStyle name="Procentowy 3 3 8 2" xfId="28802"/>
    <cellStyle name="Procentowy 3 3 9" xfId="28803"/>
    <cellStyle name="Procentowy 3 3 9 2" xfId="28804"/>
    <cellStyle name="Procentowy 3 30" xfId="28805"/>
    <cellStyle name="Procentowy 3 30 2" xfId="28806"/>
    <cellStyle name="Procentowy 3 31" xfId="28807"/>
    <cellStyle name="Procentowy 3 31 2" xfId="28808"/>
    <cellStyle name="Procentowy 3 32" xfId="28809"/>
    <cellStyle name="Procentowy 3 32 2" xfId="28810"/>
    <cellStyle name="Procentowy 3 33" xfId="28811"/>
    <cellStyle name="Procentowy 3 33 2" xfId="28812"/>
    <cellStyle name="Procentowy 3 34" xfId="28813"/>
    <cellStyle name="Procentowy 3 34 2" xfId="28814"/>
    <cellStyle name="Procentowy 3 35" xfId="28815"/>
    <cellStyle name="Procentowy 3 35 2" xfId="28816"/>
    <cellStyle name="Procentowy 3 36" xfId="28817"/>
    <cellStyle name="Procentowy 3 36 2" xfId="28818"/>
    <cellStyle name="Procentowy 3 37" xfId="28819"/>
    <cellStyle name="Procentowy 3 37 2" xfId="28820"/>
    <cellStyle name="Procentowy 3 38" xfId="28821"/>
    <cellStyle name="Procentowy 3 38 2" xfId="28822"/>
    <cellStyle name="Procentowy 3 39" xfId="28823"/>
    <cellStyle name="Procentowy 3 39 2" xfId="28824"/>
    <cellStyle name="Procentowy 3 4" xfId="28825"/>
    <cellStyle name="Procentowy 3 4 10" xfId="28826"/>
    <cellStyle name="Procentowy 3 4 10 2" xfId="28827"/>
    <cellStyle name="Procentowy 3 4 11" xfId="28828"/>
    <cellStyle name="Procentowy 3 4 11 2" xfId="28829"/>
    <cellStyle name="Procentowy 3 4 12" xfId="28830"/>
    <cellStyle name="Procentowy 3 4 12 2" xfId="28831"/>
    <cellStyle name="Procentowy 3 4 13" xfId="28832"/>
    <cellStyle name="Procentowy 3 4 13 2" xfId="28833"/>
    <cellStyle name="Procentowy 3 4 14" xfId="28834"/>
    <cellStyle name="Procentowy 3 4 14 2" xfId="28835"/>
    <cellStyle name="Procentowy 3 4 15" xfId="28836"/>
    <cellStyle name="Procentowy 3 4 15 2" xfId="28837"/>
    <cellStyle name="Procentowy 3 4 16" xfId="28838"/>
    <cellStyle name="Procentowy 3 4 16 2" xfId="28839"/>
    <cellStyle name="Procentowy 3 4 17" xfId="28840"/>
    <cellStyle name="Procentowy 3 4 17 2" xfId="28841"/>
    <cellStyle name="Procentowy 3 4 18" xfId="28842"/>
    <cellStyle name="Procentowy 3 4 18 2" xfId="28843"/>
    <cellStyle name="Procentowy 3 4 19" xfId="28844"/>
    <cellStyle name="Procentowy 3 4 19 2" xfId="28845"/>
    <cellStyle name="Procentowy 3 4 2" xfId="28846"/>
    <cellStyle name="Procentowy 3 4 2 2" xfId="28847"/>
    <cellStyle name="Procentowy 3 4 2 3" xfId="28848"/>
    <cellStyle name="Procentowy 3 4 2 4" xfId="28849"/>
    <cellStyle name="Procentowy 3 4 2 5" xfId="28850"/>
    <cellStyle name="Procentowy 3 4 2 6" xfId="28851"/>
    <cellStyle name="Procentowy 3 4 2 7" xfId="28852"/>
    <cellStyle name="Procentowy 3 4 20" xfId="28853"/>
    <cellStyle name="Procentowy 3 4 20 2" xfId="28854"/>
    <cellStyle name="Procentowy 3 4 21" xfId="28855"/>
    <cellStyle name="Procentowy 3 4 21 2" xfId="28856"/>
    <cellStyle name="Procentowy 3 4 22" xfId="28857"/>
    <cellStyle name="Procentowy 3 4 22 2" xfId="28858"/>
    <cellStyle name="Procentowy 3 4 23" xfId="28859"/>
    <cellStyle name="Procentowy 3 4 23 2" xfId="28860"/>
    <cellStyle name="Procentowy 3 4 24" xfId="28861"/>
    <cellStyle name="Procentowy 3 4 24 2" xfId="28862"/>
    <cellStyle name="Procentowy 3 4 25" xfId="28863"/>
    <cellStyle name="Procentowy 3 4 25 2" xfId="28864"/>
    <cellStyle name="Procentowy 3 4 26" xfId="28865"/>
    <cellStyle name="Procentowy 3 4 26 2" xfId="28866"/>
    <cellStyle name="Procentowy 3 4 27" xfId="28867"/>
    <cellStyle name="Procentowy 3 4 27 2" xfId="28868"/>
    <cellStyle name="Procentowy 3 4 28" xfId="28869"/>
    <cellStyle name="Procentowy 3 4 28 2" xfId="28870"/>
    <cellStyle name="Procentowy 3 4 29" xfId="28871"/>
    <cellStyle name="Procentowy 3 4 29 2" xfId="28872"/>
    <cellStyle name="Procentowy 3 4 3" xfId="28873"/>
    <cellStyle name="Procentowy 3 4 3 2" xfId="28874"/>
    <cellStyle name="Procentowy 3 4 3 3" xfId="28875"/>
    <cellStyle name="Procentowy 3 4 3 4" xfId="28876"/>
    <cellStyle name="Procentowy 3 4 3 5" xfId="28877"/>
    <cellStyle name="Procentowy 3 4 3 6" xfId="28878"/>
    <cellStyle name="Procentowy 3 4 3 7" xfId="28879"/>
    <cellStyle name="Procentowy 3 4 30" xfId="28880"/>
    <cellStyle name="Procentowy 3 4 30 2" xfId="28881"/>
    <cellStyle name="Procentowy 3 4 31" xfId="28882"/>
    <cellStyle name="Procentowy 3 4 31 2" xfId="28883"/>
    <cellStyle name="Procentowy 3 4 32" xfId="28884"/>
    <cellStyle name="Procentowy 3 4 33" xfId="28885"/>
    <cellStyle name="Procentowy 3 4 34" xfId="28886"/>
    <cellStyle name="Procentowy 3 4 35" xfId="28887"/>
    <cellStyle name="Procentowy 3 4 36" xfId="28888"/>
    <cellStyle name="Procentowy 3 4 37" xfId="28889"/>
    <cellStyle name="Procentowy 3 4 38" xfId="28890"/>
    <cellStyle name="Procentowy 3 4 39" xfId="28891"/>
    <cellStyle name="Procentowy 3 4 4" xfId="28892"/>
    <cellStyle name="Procentowy 3 4 4 2" xfId="28893"/>
    <cellStyle name="Procentowy 3 4 4 3" xfId="28894"/>
    <cellStyle name="Procentowy 3 4 4 4" xfId="28895"/>
    <cellStyle name="Procentowy 3 4 4 5" xfId="28896"/>
    <cellStyle name="Procentowy 3 4 4 6" xfId="28897"/>
    <cellStyle name="Procentowy 3 4 4 7" xfId="28898"/>
    <cellStyle name="Procentowy 3 4 40" xfId="28899"/>
    <cellStyle name="Procentowy 3 4 41" xfId="28900"/>
    <cellStyle name="Procentowy 3 4 42" xfId="28901"/>
    <cellStyle name="Procentowy 3 4 43" xfId="28902"/>
    <cellStyle name="Procentowy 3 4 44" xfId="28903"/>
    <cellStyle name="Procentowy 3 4 45" xfId="28904"/>
    <cellStyle name="Procentowy 3 4 46" xfId="28905"/>
    <cellStyle name="Procentowy 3 4 47" xfId="28906"/>
    <cellStyle name="Procentowy 3 4 48" xfId="28907"/>
    <cellStyle name="Procentowy 3 4 49" xfId="28908"/>
    <cellStyle name="Procentowy 3 4 5" xfId="28909"/>
    <cellStyle name="Procentowy 3 4 5 2" xfId="28910"/>
    <cellStyle name="Procentowy 3 4 5 3" xfId="28911"/>
    <cellStyle name="Procentowy 3 4 5 4" xfId="28912"/>
    <cellStyle name="Procentowy 3 4 5 5" xfId="28913"/>
    <cellStyle name="Procentowy 3 4 5 6" xfId="28914"/>
    <cellStyle name="Procentowy 3 4 5 7" xfId="28915"/>
    <cellStyle name="Procentowy 3 4 50" xfId="28916"/>
    <cellStyle name="Procentowy 3 4 51" xfId="28917"/>
    <cellStyle name="Procentowy 3 4 52" xfId="28918"/>
    <cellStyle name="Procentowy 3 4 53" xfId="28919"/>
    <cellStyle name="Procentowy 3 4 54" xfId="28920"/>
    <cellStyle name="Procentowy 3 4 55" xfId="28921"/>
    <cellStyle name="Procentowy 3 4 56" xfId="28922"/>
    <cellStyle name="Procentowy 3 4 57" xfId="28923"/>
    <cellStyle name="Procentowy 3 4 58" xfId="28924"/>
    <cellStyle name="Procentowy 3 4 59" xfId="28925"/>
    <cellStyle name="Procentowy 3 4 6" xfId="28926"/>
    <cellStyle name="Procentowy 3 4 6 2" xfId="28927"/>
    <cellStyle name="Procentowy 3 4 60" xfId="28928"/>
    <cellStyle name="Procentowy 3 4 61" xfId="28929"/>
    <cellStyle name="Procentowy 3 4 62" xfId="28930"/>
    <cellStyle name="Procentowy 3 4 63" xfId="28931"/>
    <cellStyle name="Procentowy 3 4 64" xfId="28932"/>
    <cellStyle name="Procentowy 3 4 65" xfId="28933"/>
    <cellStyle name="Procentowy 3 4 66" xfId="28934"/>
    <cellStyle name="Procentowy 3 4 67" xfId="28935"/>
    <cellStyle name="Procentowy 3 4 68" xfId="28936"/>
    <cellStyle name="Procentowy 3 4 69" xfId="28937"/>
    <cellStyle name="Procentowy 3 4 7" xfId="28938"/>
    <cellStyle name="Procentowy 3 4 7 2" xfId="28939"/>
    <cellStyle name="Procentowy 3 4 70" xfId="28940"/>
    <cellStyle name="Procentowy 3 4 71" xfId="28941"/>
    <cellStyle name="Procentowy 3 4 72" xfId="28942"/>
    <cellStyle name="Procentowy 3 4 73" xfId="28943"/>
    <cellStyle name="Procentowy 3 4 74" xfId="28944"/>
    <cellStyle name="Procentowy 3 4 75" xfId="28945"/>
    <cellStyle name="Procentowy 3 4 76" xfId="28946"/>
    <cellStyle name="Procentowy 3 4 8" xfId="28947"/>
    <cellStyle name="Procentowy 3 4 8 2" xfId="28948"/>
    <cellStyle name="Procentowy 3 4 9" xfId="28949"/>
    <cellStyle name="Procentowy 3 4 9 2" xfId="28950"/>
    <cellStyle name="Procentowy 3 40" xfId="28951"/>
    <cellStyle name="Procentowy 3 40 2" xfId="28952"/>
    <cellStyle name="Procentowy 3 41" xfId="28953"/>
    <cellStyle name="Procentowy 3 41 2" xfId="28954"/>
    <cellStyle name="Procentowy 3 42" xfId="28955"/>
    <cellStyle name="Procentowy 3 42 2" xfId="28956"/>
    <cellStyle name="Procentowy 3 43" xfId="28957"/>
    <cellStyle name="Procentowy 3 43 2" xfId="28958"/>
    <cellStyle name="Procentowy 3 44" xfId="28959"/>
    <cellStyle name="Procentowy 3 44 2" xfId="28960"/>
    <cellStyle name="Procentowy 3 45" xfId="28961"/>
    <cellStyle name="Procentowy 3 45 2" xfId="28962"/>
    <cellStyle name="Procentowy 3 46" xfId="28963"/>
    <cellStyle name="Procentowy 3 46 2" xfId="28964"/>
    <cellStyle name="Procentowy 3 47" xfId="28965"/>
    <cellStyle name="Procentowy 3 47 2" xfId="28966"/>
    <cellStyle name="Procentowy 3 48" xfId="28967"/>
    <cellStyle name="Procentowy 3 48 2" xfId="28968"/>
    <cellStyle name="Procentowy 3 49" xfId="28969"/>
    <cellStyle name="Procentowy 3 49 2" xfId="28970"/>
    <cellStyle name="Procentowy 3 5" xfId="28971"/>
    <cellStyle name="Procentowy 3 5 10" xfId="28972"/>
    <cellStyle name="Procentowy 3 5 10 2" xfId="28973"/>
    <cellStyle name="Procentowy 3 5 11" xfId="28974"/>
    <cellStyle name="Procentowy 3 5 11 2" xfId="28975"/>
    <cellStyle name="Procentowy 3 5 12" xfId="28976"/>
    <cellStyle name="Procentowy 3 5 12 2" xfId="28977"/>
    <cellStyle name="Procentowy 3 5 13" xfId="28978"/>
    <cellStyle name="Procentowy 3 5 13 2" xfId="28979"/>
    <cellStyle name="Procentowy 3 5 14" xfId="28980"/>
    <cellStyle name="Procentowy 3 5 14 2" xfId="28981"/>
    <cellStyle name="Procentowy 3 5 15" xfId="28982"/>
    <cellStyle name="Procentowy 3 5 15 2" xfId="28983"/>
    <cellStyle name="Procentowy 3 5 16" xfId="28984"/>
    <cellStyle name="Procentowy 3 5 16 2" xfId="28985"/>
    <cellStyle name="Procentowy 3 5 17" xfId="28986"/>
    <cellStyle name="Procentowy 3 5 17 2" xfId="28987"/>
    <cellStyle name="Procentowy 3 5 18" xfId="28988"/>
    <cellStyle name="Procentowy 3 5 18 2" xfId="28989"/>
    <cellStyle name="Procentowy 3 5 19" xfId="28990"/>
    <cellStyle name="Procentowy 3 5 19 2" xfId="28991"/>
    <cellStyle name="Procentowy 3 5 2" xfId="28992"/>
    <cellStyle name="Procentowy 3 5 2 2" xfId="28993"/>
    <cellStyle name="Procentowy 3 5 2 3" xfId="28994"/>
    <cellStyle name="Procentowy 3 5 2 4" xfId="28995"/>
    <cellStyle name="Procentowy 3 5 2 5" xfId="28996"/>
    <cellStyle name="Procentowy 3 5 2 6" xfId="28997"/>
    <cellStyle name="Procentowy 3 5 2 7" xfId="28998"/>
    <cellStyle name="Procentowy 3 5 20" xfId="28999"/>
    <cellStyle name="Procentowy 3 5 20 2" xfId="29000"/>
    <cellStyle name="Procentowy 3 5 21" xfId="29001"/>
    <cellStyle name="Procentowy 3 5 21 2" xfId="29002"/>
    <cellStyle name="Procentowy 3 5 22" xfId="29003"/>
    <cellStyle name="Procentowy 3 5 22 2" xfId="29004"/>
    <cellStyle name="Procentowy 3 5 23" xfId="29005"/>
    <cellStyle name="Procentowy 3 5 23 2" xfId="29006"/>
    <cellStyle name="Procentowy 3 5 24" xfId="29007"/>
    <cellStyle name="Procentowy 3 5 24 2" xfId="29008"/>
    <cellStyle name="Procentowy 3 5 25" xfId="29009"/>
    <cellStyle name="Procentowy 3 5 25 2" xfId="29010"/>
    <cellStyle name="Procentowy 3 5 26" xfId="29011"/>
    <cellStyle name="Procentowy 3 5 26 2" xfId="29012"/>
    <cellStyle name="Procentowy 3 5 27" xfId="29013"/>
    <cellStyle name="Procentowy 3 5 27 2" xfId="29014"/>
    <cellStyle name="Procentowy 3 5 28" xfId="29015"/>
    <cellStyle name="Procentowy 3 5 28 2" xfId="29016"/>
    <cellStyle name="Procentowy 3 5 29" xfId="29017"/>
    <cellStyle name="Procentowy 3 5 29 2" xfId="29018"/>
    <cellStyle name="Procentowy 3 5 3" xfId="29019"/>
    <cellStyle name="Procentowy 3 5 3 2" xfId="29020"/>
    <cellStyle name="Procentowy 3 5 3 3" xfId="29021"/>
    <cellStyle name="Procentowy 3 5 3 4" xfId="29022"/>
    <cellStyle name="Procentowy 3 5 3 5" xfId="29023"/>
    <cellStyle name="Procentowy 3 5 3 6" xfId="29024"/>
    <cellStyle name="Procentowy 3 5 3 7" xfId="29025"/>
    <cellStyle name="Procentowy 3 5 30" xfId="29026"/>
    <cellStyle name="Procentowy 3 5 30 2" xfId="29027"/>
    <cellStyle name="Procentowy 3 5 31" xfId="29028"/>
    <cellStyle name="Procentowy 3 5 31 2" xfId="29029"/>
    <cellStyle name="Procentowy 3 5 32" xfId="29030"/>
    <cellStyle name="Procentowy 3 5 33" xfId="29031"/>
    <cellStyle name="Procentowy 3 5 34" xfId="29032"/>
    <cellStyle name="Procentowy 3 5 35" xfId="29033"/>
    <cellStyle name="Procentowy 3 5 36" xfId="29034"/>
    <cellStyle name="Procentowy 3 5 37" xfId="29035"/>
    <cellStyle name="Procentowy 3 5 38" xfId="29036"/>
    <cellStyle name="Procentowy 3 5 39" xfId="29037"/>
    <cellStyle name="Procentowy 3 5 4" xfId="29038"/>
    <cellStyle name="Procentowy 3 5 4 2" xfId="29039"/>
    <cellStyle name="Procentowy 3 5 4 3" xfId="29040"/>
    <cellStyle name="Procentowy 3 5 4 4" xfId="29041"/>
    <cellStyle name="Procentowy 3 5 4 5" xfId="29042"/>
    <cellStyle name="Procentowy 3 5 4 6" xfId="29043"/>
    <cellStyle name="Procentowy 3 5 4 7" xfId="29044"/>
    <cellStyle name="Procentowy 3 5 40" xfId="29045"/>
    <cellStyle name="Procentowy 3 5 41" xfId="29046"/>
    <cellStyle name="Procentowy 3 5 42" xfId="29047"/>
    <cellStyle name="Procentowy 3 5 43" xfId="29048"/>
    <cellStyle name="Procentowy 3 5 44" xfId="29049"/>
    <cellStyle name="Procentowy 3 5 45" xfId="29050"/>
    <cellStyle name="Procentowy 3 5 46" xfId="29051"/>
    <cellStyle name="Procentowy 3 5 47" xfId="29052"/>
    <cellStyle name="Procentowy 3 5 48" xfId="29053"/>
    <cellStyle name="Procentowy 3 5 49" xfId="29054"/>
    <cellStyle name="Procentowy 3 5 5" xfId="29055"/>
    <cellStyle name="Procentowy 3 5 5 2" xfId="29056"/>
    <cellStyle name="Procentowy 3 5 5 3" xfId="29057"/>
    <cellStyle name="Procentowy 3 5 5 4" xfId="29058"/>
    <cellStyle name="Procentowy 3 5 5 5" xfId="29059"/>
    <cellStyle name="Procentowy 3 5 5 6" xfId="29060"/>
    <cellStyle name="Procentowy 3 5 5 7" xfId="29061"/>
    <cellStyle name="Procentowy 3 5 50" xfId="29062"/>
    <cellStyle name="Procentowy 3 5 51" xfId="29063"/>
    <cellStyle name="Procentowy 3 5 52" xfId="29064"/>
    <cellStyle name="Procentowy 3 5 53" xfId="29065"/>
    <cellStyle name="Procentowy 3 5 54" xfId="29066"/>
    <cellStyle name="Procentowy 3 5 55" xfId="29067"/>
    <cellStyle name="Procentowy 3 5 56" xfId="29068"/>
    <cellStyle name="Procentowy 3 5 57" xfId="29069"/>
    <cellStyle name="Procentowy 3 5 58" xfId="29070"/>
    <cellStyle name="Procentowy 3 5 59" xfId="29071"/>
    <cellStyle name="Procentowy 3 5 6" xfId="29072"/>
    <cellStyle name="Procentowy 3 5 6 2" xfId="29073"/>
    <cellStyle name="Procentowy 3 5 60" xfId="29074"/>
    <cellStyle name="Procentowy 3 5 61" xfId="29075"/>
    <cellStyle name="Procentowy 3 5 62" xfId="29076"/>
    <cellStyle name="Procentowy 3 5 63" xfId="29077"/>
    <cellStyle name="Procentowy 3 5 64" xfId="29078"/>
    <cellStyle name="Procentowy 3 5 65" xfId="29079"/>
    <cellStyle name="Procentowy 3 5 66" xfId="29080"/>
    <cellStyle name="Procentowy 3 5 67" xfId="29081"/>
    <cellStyle name="Procentowy 3 5 68" xfId="29082"/>
    <cellStyle name="Procentowy 3 5 69" xfId="29083"/>
    <cellStyle name="Procentowy 3 5 7" xfId="29084"/>
    <cellStyle name="Procentowy 3 5 7 2" xfId="29085"/>
    <cellStyle name="Procentowy 3 5 70" xfId="29086"/>
    <cellStyle name="Procentowy 3 5 71" xfId="29087"/>
    <cellStyle name="Procentowy 3 5 72" xfId="29088"/>
    <cellStyle name="Procentowy 3 5 73" xfId="29089"/>
    <cellStyle name="Procentowy 3 5 74" xfId="29090"/>
    <cellStyle name="Procentowy 3 5 8" xfId="29091"/>
    <cellStyle name="Procentowy 3 5 8 2" xfId="29092"/>
    <cellStyle name="Procentowy 3 5 9" xfId="29093"/>
    <cellStyle name="Procentowy 3 5 9 2" xfId="29094"/>
    <cellStyle name="Procentowy 3 50" xfId="29095"/>
    <cellStyle name="Procentowy 3 50 2" xfId="29096"/>
    <cellStyle name="Procentowy 3 51" xfId="29097"/>
    <cellStyle name="Procentowy 3 51 2" xfId="29098"/>
    <cellStyle name="Procentowy 3 52" xfId="29099"/>
    <cellStyle name="Procentowy 3 52 2" xfId="29100"/>
    <cellStyle name="Procentowy 3 53" xfId="29101"/>
    <cellStyle name="Procentowy 3 53 2" xfId="29102"/>
    <cellStyle name="Procentowy 3 54" xfId="29103"/>
    <cellStyle name="Procentowy 3 54 2" xfId="29104"/>
    <cellStyle name="Procentowy 3 55" xfId="29105"/>
    <cellStyle name="Procentowy 3 55 2" xfId="29106"/>
    <cellStyle name="Procentowy 3 56" xfId="29107"/>
    <cellStyle name="Procentowy 3 56 2" xfId="29108"/>
    <cellStyle name="Procentowy 3 57" xfId="29109"/>
    <cellStyle name="Procentowy 3 57 2" xfId="29110"/>
    <cellStyle name="Procentowy 3 58" xfId="29111"/>
    <cellStyle name="Procentowy 3 58 2" xfId="29112"/>
    <cellStyle name="Procentowy 3 59" xfId="29113"/>
    <cellStyle name="Procentowy 3 59 2" xfId="29114"/>
    <cellStyle name="Procentowy 3 6" xfId="29115"/>
    <cellStyle name="Procentowy 3 6 10" xfId="29116"/>
    <cellStyle name="Procentowy 3 6 10 2" xfId="29117"/>
    <cellStyle name="Procentowy 3 6 11" xfId="29118"/>
    <cellStyle name="Procentowy 3 6 11 2" xfId="29119"/>
    <cellStyle name="Procentowy 3 6 12" xfId="29120"/>
    <cellStyle name="Procentowy 3 6 12 2" xfId="29121"/>
    <cellStyle name="Procentowy 3 6 13" xfId="29122"/>
    <cellStyle name="Procentowy 3 6 13 2" xfId="29123"/>
    <cellStyle name="Procentowy 3 6 14" xfId="29124"/>
    <cellStyle name="Procentowy 3 6 14 2" xfId="29125"/>
    <cellStyle name="Procentowy 3 6 15" xfId="29126"/>
    <cellStyle name="Procentowy 3 6 15 2" xfId="29127"/>
    <cellStyle name="Procentowy 3 6 16" xfId="29128"/>
    <cellStyle name="Procentowy 3 6 16 2" xfId="29129"/>
    <cellStyle name="Procentowy 3 6 17" xfId="29130"/>
    <cellStyle name="Procentowy 3 6 17 2" xfId="29131"/>
    <cellStyle name="Procentowy 3 6 18" xfId="29132"/>
    <cellStyle name="Procentowy 3 6 18 2" xfId="29133"/>
    <cellStyle name="Procentowy 3 6 19" xfId="29134"/>
    <cellStyle name="Procentowy 3 6 19 2" xfId="29135"/>
    <cellStyle name="Procentowy 3 6 2" xfId="29136"/>
    <cellStyle name="Procentowy 3 6 2 2" xfId="29137"/>
    <cellStyle name="Procentowy 3 6 2 3" xfId="29138"/>
    <cellStyle name="Procentowy 3 6 2 4" xfId="29139"/>
    <cellStyle name="Procentowy 3 6 2 5" xfId="29140"/>
    <cellStyle name="Procentowy 3 6 2 6" xfId="29141"/>
    <cellStyle name="Procentowy 3 6 2 7" xfId="29142"/>
    <cellStyle name="Procentowy 3 6 20" xfId="29143"/>
    <cellStyle name="Procentowy 3 6 20 2" xfId="29144"/>
    <cellStyle name="Procentowy 3 6 21" xfId="29145"/>
    <cellStyle name="Procentowy 3 6 21 2" xfId="29146"/>
    <cellStyle name="Procentowy 3 6 22" xfId="29147"/>
    <cellStyle name="Procentowy 3 6 22 2" xfId="29148"/>
    <cellStyle name="Procentowy 3 6 23" xfId="29149"/>
    <cellStyle name="Procentowy 3 6 23 2" xfId="29150"/>
    <cellStyle name="Procentowy 3 6 24" xfId="29151"/>
    <cellStyle name="Procentowy 3 6 24 2" xfId="29152"/>
    <cellStyle name="Procentowy 3 6 25" xfId="29153"/>
    <cellStyle name="Procentowy 3 6 25 2" xfId="29154"/>
    <cellStyle name="Procentowy 3 6 26" xfId="29155"/>
    <cellStyle name="Procentowy 3 6 26 2" xfId="29156"/>
    <cellStyle name="Procentowy 3 6 27" xfId="29157"/>
    <cellStyle name="Procentowy 3 6 27 2" xfId="29158"/>
    <cellStyle name="Procentowy 3 6 28" xfId="29159"/>
    <cellStyle name="Procentowy 3 6 28 2" xfId="29160"/>
    <cellStyle name="Procentowy 3 6 29" xfId="29161"/>
    <cellStyle name="Procentowy 3 6 29 2" xfId="29162"/>
    <cellStyle name="Procentowy 3 6 3" xfId="29163"/>
    <cellStyle name="Procentowy 3 6 3 2" xfId="29164"/>
    <cellStyle name="Procentowy 3 6 3 3" xfId="29165"/>
    <cellStyle name="Procentowy 3 6 3 4" xfId="29166"/>
    <cellStyle name="Procentowy 3 6 3 5" xfId="29167"/>
    <cellStyle name="Procentowy 3 6 3 6" xfId="29168"/>
    <cellStyle name="Procentowy 3 6 3 7" xfId="29169"/>
    <cellStyle name="Procentowy 3 6 30" xfId="29170"/>
    <cellStyle name="Procentowy 3 6 30 2" xfId="29171"/>
    <cellStyle name="Procentowy 3 6 31" xfId="29172"/>
    <cellStyle name="Procentowy 3 6 31 2" xfId="29173"/>
    <cellStyle name="Procentowy 3 6 32" xfId="29174"/>
    <cellStyle name="Procentowy 3 6 33" xfId="29175"/>
    <cellStyle name="Procentowy 3 6 34" xfId="29176"/>
    <cellStyle name="Procentowy 3 6 35" xfId="29177"/>
    <cellStyle name="Procentowy 3 6 36" xfId="29178"/>
    <cellStyle name="Procentowy 3 6 37" xfId="29179"/>
    <cellStyle name="Procentowy 3 6 38" xfId="29180"/>
    <cellStyle name="Procentowy 3 6 39" xfId="29181"/>
    <cellStyle name="Procentowy 3 6 4" xfId="29182"/>
    <cellStyle name="Procentowy 3 6 4 2" xfId="29183"/>
    <cellStyle name="Procentowy 3 6 4 3" xfId="29184"/>
    <cellStyle name="Procentowy 3 6 4 4" xfId="29185"/>
    <cellStyle name="Procentowy 3 6 4 5" xfId="29186"/>
    <cellStyle name="Procentowy 3 6 4 6" xfId="29187"/>
    <cellStyle name="Procentowy 3 6 4 7" xfId="29188"/>
    <cellStyle name="Procentowy 3 6 40" xfId="29189"/>
    <cellStyle name="Procentowy 3 6 41" xfId="29190"/>
    <cellStyle name="Procentowy 3 6 42" xfId="29191"/>
    <cellStyle name="Procentowy 3 6 43" xfId="29192"/>
    <cellStyle name="Procentowy 3 6 44" xfId="29193"/>
    <cellStyle name="Procentowy 3 6 45" xfId="29194"/>
    <cellStyle name="Procentowy 3 6 46" xfId="29195"/>
    <cellStyle name="Procentowy 3 6 47" xfId="29196"/>
    <cellStyle name="Procentowy 3 6 48" xfId="29197"/>
    <cellStyle name="Procentowy 3 6 49" xfId="29198"/>
    <cellStyle name="Procentowy 3 6 5" xfId="29199"/>
    <cellStyle name="Procentowy 3 6 5 2" xfId="29200"/>
    <cellStyle name="Procentowy 3 6 5 3" xfId="29201"/>
    <cellStyle name="Procentowy 3 6 5 4" xfId="29202"/>
    <cellStyle name="Procentowy 3 6 5 5" xfId="29203"/>
    <cellStyle name="Procentowy 3 6 5 6" xfId="29204"/>
    <cellStyle name="Procentowy 3 6 5 7" xfId="29205"/>
    <cellStyle name="Procentowy 3 6 50" xfId="29206"/>
    <cellStyle name="Procentowy 3 6 51" xfId="29207"/>
    <cellStyle name="Procentowy 3 6 52" xfId="29208"/>
    <cellStyle name="Procentowy 3 6 53" xfId="29209"/>
    <cellStyle name="Procentowy 3 6 54" xfId="29210"/>
    <cellStyle name="Procentowy 3 6 55" xfId="29211"/>
    <cellStyle name="Procentowy 3 6 56" xfId="29212"/>
    <cellStyle name="Procentowy 3 6 57" xfId="29213"/>
    <cellStyle name="Procentowy 3 6 58" xfId="29214"/>
    <cellStyle name="Procentowy 3 6 59" xfId="29215"/>
    <cellStyle name="Procentowy 3 6 6" xfId="29216"/>
    <cellStyle name="Procentowy 3 6 6 2" xfId="29217"/>
    <cellStyle name="Procentowy 3 6 60" xfId="29218"/>
    <cellStyle name="Procentowy 3 6 61" xfId="29219"/>
    <cellStyle name="Procentowy 3 6 62" xfId="29220"/>
    <cellStyle name="Procentowy 3 6 63" xfId="29221"/>
    <cellStyle name="Procentowy 3 6 64" xfId="29222"/>
    <cellStyle name="Procentowy 3 6 65" xfId="29223"/>
    <cellStyle name="Procentowy 3 6 66" xfId="29224"/>
    <cellStyle name="Procentowy 3 6 67" xfId="29225"/>
    <cellStyle name="Procentowy 3 6 68" xfId="29226"/>
    <cellStyle name="Procentowy 3 6 69" xfId="29227"/>
    <cellStyle name="Procentowy 3 6 7" xfId="29228"/>
    <cellStyle name="Procentowy 3 6 7 2" xfId="29229"/>
    <cellStyle name="Procentowy 3 6 70" xfId="29230"/>
    <cellStyle name="Procentowy 3 6 71" xfId="29231"/>
    <cellStyle name="Procentowy 3 6 72" xfId="29232"/>
    <cellStyle name="Procentowy 3 6 73" xfId="29233"/>
    <cellStyle name="Procentowy 3 6 74" xfId="29234"/>
    <cellStyle name="Procentowy 3 6 8" xfId="29235"/>
    <cellStyle name="Procentowy 3 6 8 2" xfId="29236"/>
    <cellStyle name="Procentowy 3 6 9" xfId="29237"/>
    <cellStyle name="Procentowy 3 6 9 2" xfId="29238"/>
    <cellStyle name="Procentowy 3 60" xfId="29239"/>
    <cellStyle name="Procentowy 3 60 2" xfId="29240"/>
    <cellStyle name="Procentowy 3 61" xfId="29241"/>
    <cellStyle name="Procentowy 3 61 2" xfId="29242"/>
    <cellStyle name="Procentowy 3 62" xfId="29243"/>
    <cellStyle name="Procentowy 3 62 2" xfId="29244"/>
    <cellStyle name="Procentowy 3 63" xfId="29245"/>
    <cellStyle name="Procentowy 3 63 2" xfId="29246"/>
    <cellStyle name="Procentowy 3 64" xfId="29247"/>
    <cellStyle name="Procentowy 3 64 2" xfId="29248"/>
    <cellStyle name="Procentowy 3 65" xfId="29249"/>
    <cellStyle name="Procentowy 3 65 2" xfId="29250"/>
    <cellStyle name="Procentowy 3 66" xfId="29251"/>
    <cellStyle name="Procentowy 3 66 2" xfId="29252"/>
    <cellStyle name="Procentowy 3 67" xfId="29253"/>
    <cellStyle name="Procentowy 3 67 2" xfId="29254"/>
    <cellStyle name="Procentowy 3 68" xfId="29255"/>
    <cellStyle name="Procentowy 3 68 2" xfId="29256"/>
    <cellStyle name="Procentowy 3 69" xfId="29257"/>
    <cellStyle name="Procentowy 3 69 2" xfId="29258"/>
    <cellStyle name="Procentowy 3 7" xfId="29259"/>
    <cellStyle name="Procentowy 3 7 10" xfId="29260"/>
    <cellStyle name="Procentowy 3 7 10 2" xfId="29261"/>
    <cellStyle name="Procentowy 3 7 11" xfId="29262"/>
    <cellStyle name="Procentowy 3 7 11 2" xfId="29263"/>
    <cellStyle name="Procentowy 3 7 12" xfId="29264"/>
    <cellStyle name="Procentowy 3 7 12 2" xfId="29265"/>
    <cellStyle name="Procentowy 3 7 13" xfId="29266"/>
    <cellStyle name="Procentowy 3 7 13 2" xfId="29267"/>
    <cellStyle name="Procentowy 3 7 14" xfId="29268"/>
    <cellStyle name="Procentowy 3 7 14 2" xfId="29269"/>
    <cellStyle name="Procentowy 3 7 15" xfId="29270"/>
    <cellStyle name="Procentowy 3 7 15 2" xfId="29271"/>
    <cellStyle name="Procentowy 3 7 16" xfId="29272"/>
    <cellStyle name="Procentowy 3 7 16 2" xfId="29273"/>
    <cellStyle name="Procentowy 3 7 17" xfId="29274"/>
    <cellStyle name="Procentowy 3 7 17 2" xfId="29275"/>
    <cellStyle name="Procentowy 3 7 18" xfId="29276"/>
    <cellStyle name="Procentowy 3 7 18 2" xfId="29277"/>
    <cellStyle name="Procentowy 3 7 19" xfId="29278"/>
    <cellStyle name="Procentowy 3 7 19 2" xfId="29279"/>
    <cellStyle name="Procentowy 3 7 2" xfId="29280"/>
    <cellStyle name="Procentowy 3 7 2 2" xfId="29281"/>
    <cellStyle name="Procentowy 3 7 2 3" xfId="29282"/>
    <cellStyle name="Procentowy 3 7 2 4" xfId="29283"/>
    <cellStyle name="Procentowy 3 7 2 5" xfId="29284"/>
    <cellStyle name="Procentowy 3 7 2 6" xfId="29285"/>
    <cellStyle name="Procentowy 3 7 2 7" xfId="29286"/>
    <cellStyle name="Procentowy 3 7 20" xfId="29287"/>
    <cellStyle name="Procentowy 3 7 20 2" xfId="29288"/>
    <cellStyle name="Procentowy 3 7 21" xfId="29289"/>
    <cellStyle name="Procentowy 3 7 21 2" xfId="29290"/>
    <cellStyle name="Procentowy 3 7 22" xfId="29291"/>
    <cellStyle name="Procentowy 3 7 22 2" xfId="29292"/>
    <cellStyle name="Procentowy 3 7 23" xfId="29293"/>
    <cellStyle name="Procentowy 3 7 23 2" xfId="29294"/>
    <cellStyle name="Procentowy 3 7 24" xfId="29295"/>
    <cellStyle name="Procentowy 3 7 24 2" xfId="29296"/>
    <cellStyle name="Procentowy 3 7 25" xfId="29297"/>
    <cellStyle name="Procentowy 3 7 25 2" xfId="29298"/>
    <cellStyle name="Procentowy 3 7 26" xfId="29299"/>
    <cellStyle name="Procentowy 3 7 26 2" xfId="29300"/>
    <cellStyle name="Procentowy 3 7 27" xfId="29301"/>
    <cellStyle name="Procentowy 3 7 27 2" xfId="29302"/>
    <cellStyle name="Procentowy 3 7 28" xfId="29303"/>
    <cellStyle name="Procentowy 3 7 28 2" xfId="29304"/>
    <cellStyle name="Procentowy 3 7 29" xfId="29305"/>
    <cellStyle name="Procentowy 3 7 29 2" xfId="29306"/>
    <cellStyle name="Procentowy 3 7 3" xfId="29307"/>
    <cellStyle name="Procentowy 3 7 3 2" xfId="29308"/>
    <cellStyle name="Procentowy 3 7 3 3" xfId="29309"/>
    <cellStyle name="Procentowy 3 7 3 4" xfId="29310"/>
    <cellStyle name="Procentowy 3 7 3 5" xfId="29311"/>
    <cellStyle name="Procentowy 3 7 3 6" xfId="29312"/>
    <cellStyle name="Procentowy 3 7 3 7" xfId="29313"/>
    <cellStyle name="Procentowy 3 7 30" xfId="29314"/>
    <cellStyle name="Procentowy 3 7 30 2" xfId="29315"/>
    <cellStyle name="Procentowy 3 7 31" xfId="29316"/>
    <cellStyle name="Procentowy 3 7 31 2" xfId="29317"/>
    <cellStyle name="Procentowy 3 7 32" xfId="29318"/>
    <cellStyle name="Procentowy 3 7 33" xfId="29319"/>
    <cellStyle name="Procentowy 3 7 34" xfId="29320"/>
    <cellStyle name="Procentowy 3 7 35" xfId="29321"/>
    <cellStyle name="Procentowy 3 7 36" xfId="29322"/>
    <cellStyle name="Procentowy 3 7 37" xfId="29323"/>
    <cellStyle name="Procentowy 3 7 38" xfId="29324"/>
    <cellStyle name="Procentowy 3 7 39" xfId="29325"/>
    <cellStyle name="Procentowy 3 7 4" xfId="29326"/>
    <cellStyle name="Procentowy 3 7 4 2" xfId="29327"/>
    <cellStyle name="Procentowy 3 7 4 3" xfId="29328"/>
    <cellStyle name="Procentowy 3 7 4 4" xfId="29329"/>
    <cellStyle name="Procentowy 3 7 4 5" xfId="29330"/>
    <cellStyle name="Procentowy 3 7 4 6" xfId="29331"/>
    <cellStyle name="Procentowy 3 7 4 7" xfId="29332"/>
    <cellStyle name="Procentowy 3 7 40" xfId="29333"/>
    <cellStyle name="Procentowy 3 7 41" xfId="29334"/>
    <cellStyle name="Procentowy 3 7 42" xfId="29335"/>
    <cellStyle name="Procentowy 3 7 43" xfId="29336"/>
    <cellStyle name="Procentowy 3 7 44" xfId="29337"/>
    <cellStyle name="Procentowy 3 7 45" xfId="29338"/>
    <cellStyle name="Procentowy 3 7 46" xfId="29339"/>
    <cellStyle name="Procentowy 3 7 47" xfId="29340"/>
    <cellStyle name="Procentowy 3 7 48" xfId="29341"/>
    <cellStyle name="Procentowy 3 7 49" xfId="29342"/>
    <cellStyle name="Procentowy 3 7 5" xfId="29343"/>
    <cellStyle name="Procentowy 3 7 5 2" xfId="29344"/>
    <cellStyle name="Procentowy 3 7 5 3" xfId="29345"/>
    <cellStyle name="Procentowy 3 7 5 4" xfId="29346"/>
    <cellStyle name="Procentowy 3 7 5 5" xfId="29347"/>
    <cellStyle name="Procentowy 3 7 5 6" xfId="29348"/>
    <cellStyle name="Procentowy 3 7 5 7" xfId="29349"/>
    <cellStyle name="Procentowy 3 7 50" xfId="29350"/>
    <cellStyle name="Procentowy 3 7 51" xfId="29351"/>
    <cellStyle name="Procentowy 3 7 52" xfId="29352"/>
    <cellStyle name="Procentowy 3 7 53" xfId="29353"/>
    <cellStyle name="Procentowy 3 7 54" xfId="29354"/>
    <cellStyle name="Procentowy 3 7 55" xfId="29355"/>
    <cellStyle name="Procentowy 3 7 56" xfId="29356"/>
    <cellStyle name="Procentowy 3 7 57" xfId="29357"/>
    <cellStyle name="Procentowy 3 7 58" xfId="29358"/>
    <cellStyle name="Procentowy 3 7 59" xfId="29359"/>
    <cellStyle name="Procentowy 3 7 6" xfId="29360"/>
    <cellStyle name="Procentowy 3 7 6 2" xfId="29361"/>
    <cellStyle name="Procentowy 3 7 60" xfId="29362"/>
    <cellStyle name="Procentowy 3 7 61" xfId="29363"/>
    <cellStyle name="Procentowy 3 7 62" xfId="29364"/>
    <cellStyle name="Procentowy 3 7 63" xfId="29365"/>
    <cellStyle name="Procentowy 3 7 64" xfId="29366"/>
    <cellStyle name="Procentowy 3 7 65" xfId="29367"/>
    <cellStyle name="Procentowy 3 7 66" xfId="29368"/>
    <cellStyle name="Procentowy 3 7 67" xfId="29369"/>
    <cellStyle name="Procentowy 3 7 68" xfId="29370"/>
    <cellStyle name="Procentowy 3 7 69" xfId="29371"/>
    <cellStyle name="Procentowy 3 7 7" xfId="29372"/>
    <cellStyle name="Procentowy 3 7 7 2" xfId="29373"/>
    <cellStyle name="Procentowy 3 7 70" xfId="29374"/>
    <cellStyle name="Procentowy 3 7 71" xfId="29375"/>
    <cellStyle name="Procentowy 3 7 72" xfId="29376"/>
    <cellStyle name="Procentowy 3 7 73" xfId="29377"/>
    <cellStyle name="Procentowy 3 7 74" xfId="29378"/>
    <cellStyle name="Procentowy 3 7 8" xfId="29379"/>
    <cellStyle name="Procentowy 3 7 8 2" xfId="29380"/>
    <cellStyle name="Procentowy 3 7 9" xfId="29381"/>
    <cellStyle name="Procentowy 3 7 9 2" xfId="29382"/>
    <cellStyle name="Procentowy 3 70" xfId="29383"/>
    <cellStyle name="Procentowy 3 71" xfId="29384"/>
    <cellStyle name="Procentowy 3 72" xfId="29385"/>
    <cellStyle name="Procentowy 3 73" xfId="29386"/>
    <cellStyle name="Procentowy 3 74" xfId="29387"/>
    <cellStyle name="Procentowy 3 75" xfId="29388"/>
    <cellStyle name="Procentowy 3 76" xfId="29389"/>
    <cellStyle name="Procentowy 3 77" xfId="29390"/>
    <cellStyle name="Procentowy 3 78" xfId="29391"/>
    <cellStyle name="Procentowy 3 79" xfId="29392"/>
    <cellStyle name="Procentowy 3 8" xfId="29393"/>
    <cellStyle name="Procentowy 3 8 10" xfId="29394"/>
    <cellStyle name="Procentowy 3 8 10 2" xfId="29395"/>
    <cellStyle name="Procentowy 3 8 11" xfId="29396"/>
    <cellStyle name="Procentowy 3 8 11 2" xfId="29397"/>
    <cellStyle name="Procentowy 3 8 12" xfId="29398"/>
    <cellStyle name="Procentowy 3 8 12 2" xfId="29399"/>
    <cellStyle name="Procentowy 3 8 13" xfId="29400"/>
    <cellStyle name="Procentowy 3 8 13 2" xfId="29401"/>
    <cellStyle name="Procentowy 3 8 14" xfId="29402"/>
    <cellStyle name="Procentowy 3 8 14 2" xfId="29403"/>
    <cellStyle name="Procentowy 3 8 15" xfId="29404"/>
    <cellStyle name="Procentowy 3 8 15 2" xfId="29405"/>
    <cellStyle name="Procentowy 3 8 16" xfId="29406"/>
    <cellStyle name="Procentowy 3 8 16 2" xfId="29407"/>
    <cellStyle name="Procentowy 3 8 17" xfId="29408"/>
    <cellStyle name="Procentowy 3 8 17 2" xfId="29409"/>
    <cellStyle name="Procentowy 3 8 18" xfId="29410"/>
    <cellStyle name="Procentowy 3 8 18 2" xfId="29411"/>
    <cellStyle name="Procentowy 3 8 19" xfId="29412"/>
    <cellStyle name="Procentowy 3 8 19 2" xfId="29413"/>
    <cellStyle name="Procentowy 3 8 2" xfId="29414"/>
    <cellStyle name="Procentowy 3 8 2 2" xfId="29415"/>
    <cellStyle name="Procentowy 3 8 2 3" xfId="29416"/>
    <cellStyle name="Procentowy 3 8 2 4" xfId="29417"/>
    <cellStyle name="Procentowy 3 8 2 5" xfId="29418"/>
    <cellStyle name="Procentowy 3 8 2 6" xfId="29419"/>
    <cellStyle name="Procentowy 3 8 2 7" xfId="29420"/>
    <cellStyle name="Procentowy 3 8 20" xfId="29421"/>
    <cellStyle name="Procentowy 3 8 20 2" xfId="29422"/>
    <cellStyle name="Procentowy 3 8 21" xfId="29423"/>
    <cellStyle name="Procentowy 3 8 21 2" xfId="29424"/>
    <cellStyle name="Procentowy 3 8 22" xfId="29425"/>
    <cellStyle name="Procentowy 3 8 22 2" xfId="29426"/>
    <cellStyle name="Procentowy 3 8 23" xfId="29427"/>
    <cellStyle name="Procentowy 3 8 23 2" xfId="29428"/>
    <cellStyle name="Procentowy 3 8 24" xfId="29429"/>
    <cellStyle name="Procentowy 3 8 24 2" xfId="29430"/>
    <cellStyle name="Procentowy 3 8 25" xfId="29431"/>
    <cellStyle name="Procentowy 3 8 25 2" xfId="29432"/>
    <cellStyle name="Procentowy 3 8 26" xfId="29433"/>
    <cellStyle name="Procentowy 3 8 26 2" xfId="29434"/>
    <cellStyle name="Procentowy 3 8 27" xfId="29435"/>
    <cellStyle name="Procentowy 3 8 27 2" xfId="29436"/>
    <cellStyle name="Procentowy 3 8 28" xfId="29437"/>
    <cellStyle name="Procentowy 3 8 28 2" xfId="29438"/>
    <cellStyle name="Procentowy 3 8 29" xfId="29439"/>
    <cellStyle name="Procentowy 3 8 29 2" xfId="29440"/>
    <cellStyle name="Procentowy 3 8 3" xfId="29441"/>
    <cellStyle name="Procentowy 3 8 3 2" xfId="29442"/>
    <cellStyle name="Procentowy 3 8 3 3" xfId="29443"/>
    <cellStyle name="Procentowy 3 8 3 4" xfId="29444"/>
    <cellStyle name="Procentowy 3 8 3 5" xfId="29445"/>
    <cellStyle name="Procentowy 3 8 3 6" xfId="29446"/>
    <cellStyle name="Procentowy 3 8 3 7" xfId="29447"/>
    <cellStyle name="Procentowy 3 8 30" xfId="29448"/>
    <cellStyle name="Procentowy 3 8 30 2" xfId="29449"/>
    <cellStyle name="Procentowy 3 8 31" xfId="29450"/>
    <cellStyle name="Procentowy 3 8 31 2" xfId="29451"/>
    <cellStyle name="Procentowy 3 8 32" xfId="29452"/>
    <cellStyle name="Procentowy 3 8 33" xfId="29453"/>
    <cellStyle name="Procentowy 3 8 34" xfId="29454"/>
    <cellStyle name="Procentowy 3 8 35" xfId="29455"/>
    <cellStyle name="Procentowy 3 8 36" xfId="29456"/>
    <cellStyle name="Procentowy 3 8 37" xfId="29457"/>
    <cellStyle name="Procentowy 3 8 38" xfId="29458"/>
    <cellStyle name="Procentowy 3 8 39" xfId="29459"/>
    <cellStyle name="Procentowy 3 8 4" xfId="29460"/>
    <cellStyle name="Procentowy 3 8 4 2" xfId="29461"/>
    <cellStyle name="Procentowy 3 8 4 3" xfId="29462"/>
    <cellStyle name="Procentowy 3 8 4 4" xfId="29463"/>
    <cellStyle name="Procentowy 3 8 4 5" xfId="29464"/>
    <cellStyle name="Procentowy 3 8 4 6" xfId="29465"/>
    <cellStyle name="Procentowy 3 8 4 7" xfId="29466"/>
    <cellStyle name="Procentowy 3 8 40" xfId="29467"/>
    <cellStyle name="Procentowy 3 8 41" xfId="29468"/>
    <cellStyle name="Procentowy 3 8 42" xfId="29469"/>
    <cellStyle name="Procentowy 3 8 43" xfId="29470"/>
    <cellStyle name="Procentowy 3 8 44" xfId="29471"/>
    <cellStyle name="Procentowy 3 8 45" xfId="29472"/>
    <cellStyle name="Procentowy 3 8 46" xfId="29473"/>
    <cellStyle name="Procentowy 3 8 47" xfId="29474"/>
    <cellStyle name="Procentowy 3 8 48" xfId="29475"/>
    <cellStyle name="Procentowy 3 8 49" xfId="29476"/>
    <cellStyle name="Procentowy 3 8 5" xfId="29477"/>
    <cellStyle name="Procentowy 3 8 5 2" xfId="29478"/>
    <cellStyle name="Procentowy 3 8 5 3" xfId="29479"/>
    <cellStyle name="Procentowy 3 8 5 4" xfId="29480"/>
    <cellStyle name="Procentowy 3 8 5 5" xfId="29481"/>
    <cellStyle name="Procentowy 3 8 5 6" xfId="29482"/>
    <cellStyle name="Procentowy 3 8 5 7" xfId="29483"/>
    <cellStyle name="Procentowy 3 8 50" xfId="29484"/>
    <cellStyle name="Procentowy 3 8 51" xfId="29485"/>
    <cellStyle name="Procentowy 3 8 52" xfId="29486"/>
    <cellStyle name="Procentowy 3 8 53" xfId="29487"/>
    <cellStyle name="Procentowy 3 8 54" xfId="29488"/>
    <cellStyle name="Procentowy 3 8 55" xfId="29489"/>
    <cellStyle name="Procentowy 3 8 56" xfId="29490"/>
    <cellStyle name="Procentowy 3 8 57" xfId="29491"/>
    <cellStyle name="Procentowy 3 8 58" xfId="29492"/>
    <cellStyle name="Procentowy 3 8 59" xfId="29493"/>
    <cellStyle name="Procentowy 3 8 6" xfId="29494"/>
    <cellStyle name="Procentowy 3 8 6 2" xfId="29495"/>
    <cellStyle name="Procentowy 3 8 60" xfId="29496"/>
    <cellStyle name="Procentowy 3 8 61" xfId="29497"/>
    <cellStyle name="Procentowy 3 8 62" xfId="29498"/>
    <cellStyle name="Procentowy 3 8 63" xfId="29499"/>
    <cellStyle name="Procentowy 3 8 64" xfId="29500"/>
    <cellStyle name="Procentowy 3 8 65" xfId="29501"/>
    <cellStyle name="Procentowy 3 8 66" xfId="29502"/>
    <cellStyle name="Procentowy 3 8 67" xfId="29503"/>
    <cellStyle name="Procentowy 3 8 68" xfId="29504"/>
    <cellStyle name="Procentowy 3 8 69" xfId="29505"/>
    <cellStyle name="Procentowy 3 8 7" xfId="29506"/>
    <cellStyle name="Procentowy 3 8 7 2" xfId="29507"/>
    <cellStyle name="Procentowy 3 8 70" xfId="29508"/>
    <cellStyle name="Procentowy 3 8 71" xfId="29509"/>
    <cellStyle name="Procentowy 3 8 72" xfId="29510"/>
    <cellStyle name="Procentowy 3 8 73" xfId="29511"/>
    <cellStyle name="Procentowy 3 8 74" xfId="29512"/>
    <cellStyle name="Procentowy 3 8 8" xfId="29513"/>
    <cellStyle name="Procentowy 3 8 8 2" xfId="29514"/>
    <cellStyle name="Procentowy 3 8 9" xfId="29515"/>
    <cellStyle name="Procentowy 3 8 9 2" xfId="29516"/>
    <cellStyle name="Procentowy 3 80" xfId="29517"/>
    <cellStyle name="Procentowy 3 81" xfId="29518"/>
    <cellStyle name="Procentowy 3 82" xfId="29519"/>
    <cellStyle name="Procentowy 3 83" xfId="29520"/>
    <cellStyle name="Procentowy 3 84" xfId="29521"/>
    <cellStyle name="Procentowy 3 85" xfId="29522"/>
    <cellStyle name="Procentowy 3 86" xfId="29523"/>
    <cellStyle name="Procentowy 3 87" xfId="29524"/>
    <cellStyle name="Procentowy 3 88" xfId="29525"/>
    <cellStyle name="Procentowy 3 89" xfId="29526"/>
    <cellStyle name="Procentowy 3 9" xfId="29527"/>
    <cellStyle name="Procentowy 3 9 10" xfId="29528"/>
    <cellStyle name="Procentowy 3 9 10 2" xfId="29529"/>
    <cellStyle name="Procentowy 3 9 11" xfId="29530"/>
    <cellStyle name="Procentowy 3 9 11 2" xfId="29531"/>
    <cellStyle name="Procentowy 3 9 12" xfId="29532"/>
    <cellStyle name="Procentowy 3 9 12 2" xfId="29533"/>
    <cellStyle name="Procentowy 3 9 13" xfId="29534"/>
    <cellStyle name="Procentowy 3 9 13 2" xfId="29535"/>
    <cellStyle name="Procentowy 3 9 14" xfId="29536"/>
    <cellStyle name="Procentowy 3 9 14 2" xfId="29537"/>
    <cellStyle name="Procentowy 3 9 15" xfId="29538"/>
    <cellStyle name="Procentowy 3 9 15 2" xfId="29539"/>
    <cellStyle name="Procentowy 3 9 16" xfId="29540"/>
    <cellStyle name="Procentowy 3 9 16 2" xfId="29541"/>
    <cellStyle name="Procentowy 3 9 17" xfId="29542"/>
    <cellStyle name="Procentowy 3 9 17 2" xfId="29543"/>
    <cellStyle name="Procentowy 3 9 18" xfId="29544"/>
    <cellStyle name="Procentowy 3 9 18 2" xfId="29545"/>
    <cellStyle name="Procentowy 3 9 19" xfId="29546"/>
    <cellStyle name="Procentowy 3 9 19 2" xfId="29547"/>
    <cellStyle name="Procentowy 3 9 2" xfId="29548"/>
    <cellStyle name="Procentowy 3 9 2 2" xfId="29549"/>
    <cellStyle name="Procentowy 3 9 2 3" xfId="29550"/>
    <cellStyle name="Procentowy 3 9 2 4" xfId="29551"/>
    <cellStyle name="Procentowy 3 9 2 5" xfId="29552"/>
    <cellStyle name="Procentowy 3 9 2 6" xfId="29553"/>
    <cellStyle name="Procentowy 3 9 2 7" xfId="29554"/>
    <cellStyle name="Procentowy 3 9 20" xfId="29555"/>
    <cellStyle name="Procentowy 3 9 20 2" xfId="29556"/>
    <cellStyle name="Procentowy 3 9 21" xfId="29557"/>
    <cellStyle name="Procentowy 3 9 21 2" xfId="29558"/>
    <cellStyle name="Procentowy 3 9 22" xfId="29559"/>
    <cellStyle name="Procentowy 3 9 22 2" xfId="29560"/>
    <cellStyle name="Procentowy 3 9 23" xfId="29561"/>
    <cellStyle name="Procentowy 3 9 23 2" xfId="29562"/>
    <cellStyle name="Procentowy 3 9 24" xfId="29563"/>
    <cellStyle name="Procentowy 3 9 24 2" xfId="29564"/>
    <cellStyle name="Procentowy 3 9 25" xfId="29565"/>
    <cellStyle name="Procentowy 3 9 25 2" xfId="29566"/>
    <cellStyle name="Procentowy 3 9 26" xfId="29567"/>
    <cellStyle name="Procentowy 3 9 26 2" xfId="29568"/>
    <cellStyle name="Procentowy 3 9 27" xfId="29569"/>
    <cellStyle name="Procentowy 3 9 27 2" xfId="29570"/>
    <cellStyle name="Procentowy 3 9 28" xfId="29571"/>
    <cellStyle name="Procentowy 3 9 28 2" xfId="29572"/>
    <cellStyle name="Procentowy 3 9 29" xfId="29573"/>
    <cellStyle name="Procentowy 3 9 29 2" xfId="29574"/>
    <cellStyle name="Procentowy 3 9 3" xfId="29575"/>
    <cellStyle name="Procentowy 3 9 3 2" xfId="29576"/>
    <cellStyle name="Procentowy 3 9 3 3" xfId="29577"/>
    <cellStyle name="Procentowy 3 9 3 4" xfId="29578"/>
    <cellStyle name="Procentowy 3 9 3 5" xfId="29579"/>
    <cellStyle name="Procentowy 3 9 3 6" xfId="29580"/>
    <cellStyle name="Procentowy 3 9 3 7" xfId="29581"/>
    <cellStyle name="Procentowy 3 9 30" xfId="29582"/>
    <cellStyle name="Procentowy 3 9 30 2" xfId="29583"/>
    <cellStyle name="Procentowy 3 9 31" xfId="29584"/>
    <cellStyle name="Procentowy 3 9 31 2" xfId="29585"/>
    <cellStyle name="Procentowy 3 9 32" xfId="29586"/>
    <cellStyle name="Procentowy 3 9 33" xfId="29587"/>
    <cellStyle name="Procentowy 3 9 34" xfId="29588"/>
    <cellStyle name="Procentowy 3 9 35" xfId="29589"/>
    <cellStyle name="Procentowy 3 9 36" xfId="29590"/>
    <cellStyle name="Procentowy 3 9 37" xfId="29591"/>
    <cellStyle name="Procentowy 3 9 38" xfId="29592"/>
    <cellStyle name="Procentowy 3 9 39" xfId="29593"/>
    <cellStyle name="Procentowy 3 9 4" xfId="29594"/>
    <cellStyle name="Procentowy 3 9 4 2" xfId="29595"/>
    <cellStyle name="Procentowy 3 9 4 3" xfId="29596"/>
    <cellStyle name="Procentowy 3 9 4 4" xfId="29597"/>
    <cellStyle name="Procentowy 3 9 4 5" xfId="29598"/>
    <cellStyle name="Procentowy 3 9 4 6" xfId="29599"/>
    <cellStyle name="Procentowy 3 9 4 7" xfId="29600"/>
    <cellStyle name="Procentowy 3 9 40" xfId="29601"/>
    <cellStyle name="Procentowy 3 9 41" xfId="29602"/>
    <cellStyle name="Procentowy 3 9 42" xfId="29603"/>
    <cellStyle name="Procentowy 3 9 43" xfId="29604"/>
    <cellStyle name="Procentowy 3 9 44" xfId="29605"/>
    <cellStyle name="Procentowy 3 9 45" xfId="29606"/>
    <cellStyle name="Procentowy 3 9 46" xfId="29607"/>
    <cellStyle name="Procentowy 3 9 47" xfId="29608"/>
    <cellStyle name="Procentowy 3 9 48" xfId="29609"/>
    <cellStyle name="Procentowy 3 9 49" xfId="29610"/>
    <cellStyle name="Procentowy 3 9 5" xfId="29611"/>
    <cellStyle name="Procentowy 3 9 5 2" xfId="29612"/>
    <cellStyle name="Procentowy 3 9 5 3" xfId="29613"/>
    <cellStyle name="Procentowy 3 9 5 4" xfId="29614"/>
    <cellStyle name="Procentowy 3 9 5 5" xfId="29615"/>
    <cellStyle name="Procentowy 3 9 5 6" xfId="29616"/>
    <cellStyle name="Procentowy 3 9 5 7" xfId="29617"/>
    <cellStyle name="Procentowy 3 9 50" xfId="29618"/>
    <cellStyle name="Procentowy 3 9 51" xfId="29619"/>
    <cellStyle name="Procentowy 3 9 52" xfId="29620"/>
    <cellStyle name="Procentowy 3 9 53" xfId="29621"/>
    <cellStyle name="Procentowy 3 9 54" xfId="29622"/>
    <cellStyle name="Procentowy 3 9 55" xfId="29623"/>
    <cellStyle name="Procentowy 3 9 56" xfId="29624"/>
    <cellStyle name="Procentowy 3 9 57" xfId="29625"/>
    <cellStyle name="Procentowy 3 9 58" xfId="29626"/>
    <cellStyle name="Procentowy 3 9 59" xfId="29627"/>
    <cellStyle name="Procentowy 3 9 6" xfId="29628"/>
    <cellStyle name="Procentowy 3 9 6 2" xfId="29629"/>
    <cellStyle name="Procentowy 3 9 60" xfId="29630"/>
    <cellStyle name="Procentowy 3 9 61" xfId="29631"/>
    <cellStyle name="Procentowy 3 9 62" xfId="29632"/>
    <cellStyle name="Procentowy 3 9 63" xfId="29633"/>
    <cellStyle name="Procentowy 3 9 64" xfId="29634"/>
    <cellStyle name="Procentowy 3 9 65" xfId="29635"/>
    <cellStyle name="Procentowy 3 9 66" xfId="29636"/>
    <cellStyle name="Procentowy 3 9 67" xfId="29637"/>
    <cellStyle name="Procentowy 3 9 68" xfId="29638"/>
    <cellStyle name="Procentowy 3 9 69" xfId="29639"/>
    <cellStyle name="Procentowy 3 9 7" xfId="29640"/>
    <cellStyle name="Procentowy 3 9 7 2" xfId="29641"/>
    <cellStyle name="Procentowy 3 9 70" xfId="29642"/>
    <cellStyle name="Procentowy 3 9 71" xfId="29643"/>
    <cellStyle name="Procentowy 3 9 72" xfId="29644"/>
    <cellStyle name="Procentowy 3 9 73" xfId="29645"/>
    <cellStyle name="Procentowy 3 9 74" xfId="29646"/>
    <cellStyle name="Procentowy 3 9 8" xfId="29647"/>
    <cellStyle name="Procentowy 3 9 8 2" xfId="29648"/>
    <cellStyle name="Procentowy 3 9 9" xfId="29649"/>
    <cellStyle name="Procentowy 3 9 9 2" xfId="29650"/>
    <cellStyle name="Procentowy 3 90" xfId="29651"/>
    <cellStyle name="Procentowy 3 91" xfId="29652"/>
    <cellStyle name="Procentowy 3 92" xfId="29653"/>
    <cellStyle name="Procentowy 3 93" xfId="29654"/>
    <cellStyle name="Procentowy 3 94" xfId="29655"/>
    <cellStyle name="Procentowy 3 95" xfId="29656"/>
    <cellStyle name="Procentowy 3 96" xfId="29657"/>
    <cellStyle name="Procentowy 3 97" xfId="29658"/>
    <cellStyle name="Procentowy 3 98" xfId="29659"/>
    <cellStyle name="Procentowy 3 99" xfId="26655"/>
    <cellStyle name="Procentowy 4" xfId="29660"/>
    <cellStyle name="Procentowy 4 10" xfId="29661"/>
    <cellStyle name="Procentowy 4 11" xfId="29662"/>
    <cellStyle name="Procentowy 4 12" xfId="29663"/>
    <cellStyle name="Procentowy 4 13" xfId="29664"/>
    <cellStyle name="Procentowy 4 14" xfId="29665"/>
    <cellStyle name="Procentowy 4 15" xfId="29666"/>
    <cellStyle name="Procentowy 4 16" xfId="29667"/>
    <cellStyle name="Procentowy 4 17" xfId="29668"/>
    <cellStyle name="Procentowy 4 18" xfId="29669"/>
    <cellStyle name="Procentowy 4 2" xfId="29670"/>
    <cellStyle name="Procentowy 4 2 2" xfId="29671"/>
    <cellStyle name="Procentowy 4 3" xfId="29672"/>
    <cellStyle name="Procentowy 4 3 2" xfId="29673"/>
    <cellStyle name="Procentowy 4 4" xfId="29674"/>
    <cellStyle name="Procentowy 4 4 2" xfId="29675"/>
    <cellStyle name="Procentowy 4 4 3" xfId="29676"/>
    <cellStyle name="Procentowy 4 5" xfId="29677"/>
    <cellStyle name="Procentowy 4 6" xfId="29678"/>
    <cellStyle name="Procentowy 4 7" xfId="29679"/>
    <cellStyle name="Procentowy 4 8" xfId="29680"/>
    <cellStyle name="Procentowy 4 9" xfId="29681"/>
    <cellStyle name="Procentowy 5" xfId="29682"/>
    <cellStyle name="Procentowy 5 2" xfId="29683"/>
    <cellStyle name="Procentowy 5 2 2" xfId="29684"/>
    <cellStyle name="Procentowy 5 2 3" xfId="29685"/>
    <cellStyle name="Procentowy 5 3" xfId="29686"/>
    <cellStyle name="Procentowy 5 4" xfId="29687"/>
    <cellStyle name="Procentowy 5 5" xfId="29688"/>
    <cellStyle name="Procentowy 5 6" xfId="29689"/>
    <cellStyle name="Procentowy 5 7" xfId="29690"/>
    <cellStyle name="Procentowy 5 8" xfId="29691"/>
    <cellStyle name="Procentowy 6" xfId="29692"/>
    <cellStyle name="Procentowy 6 2" xfId="29693"/>
    <cellStyle name="Procentowy 6 3" xfId="29694"/>
    <cellStyle name="Procentowy 7" xfId="29695"/>
    <cellStyle name="Procentowy 7 2" xfId="29696"/>
    <cellStyle name="Procentowy 7 2 2" xfId="29697"/>
    <cellStyle name="Procentowy 7 3" xfId="29698"/>
    <cellStyle name="Procentowy 8" xfId="29699"/>
    <cellStyle name="Procentowy 8 2" xfId="29700"/>
    <cellStyle name="Procentowy 9" xfId="29701"/>
    <cellStyle name="Procentowy 9 2" xfId="29702"/>
    <cellStyle name="SAPBEXaggData" xfId="29703"/>
    <cellStyle name="SAPBEXaggDataEmph" xfId="29704"/>
    <cellStyle name="SAPBEXaggItem" xfId="29705"/>
    <cellStyle name="SAPBEXaggItemX" xfId="29706"/>
    <cellStyle name="SAPBEXchaText" xfId="29707"/>
    <cellStyle name="SAPBEXexcBad7" xfId="29708"/>
    <cellStyle name="SAPBEXexcBad8" xfId="29709"/>
    <cellStyle name="SAPBEXexcBad9" xfId="29710"/>
    <cellStyle name="SAPBEXexcCritical4" xfId="29711"/>
    <cellStyle name="SAPBEXexcCritical5" xfId="29712"/>
    <cellStyle name="SAPBEXexcCritical6" xfId="29713"/>
    <cellStyle name="SAPBEXexcGood1" xfId="29714"/>
    <cellStyle name="SAPBEXexcGood2" xfId="29715"/>
    <cellStyle name="SAPBEXexcGood3" xfId="29716"/>
    <cellStyle name="SAPBEXfilterDrill" xfId="29717"/>
    <cellStyle name="SAPBEXfilterItem" xfId="29718"/>
    <cellStyle name="SAPBEXfilterText" xfId="29719"/>
    <cellStyle name="SAPBEXformats" xfId="29720"/>
    <cellStyle name="SAPBEXheaderItem" xfId="29721"/>
    <cellStyle name="SAPBEXheaderText" xfId="29722"/>
    <cellStyle name="SAPBEXHLevel0" xfId="29723"/>
    <cellStyle name="SAPBEXHLevel0 2" xfId="29724"/>
    <cellStyle name="SAPBEXHLevel0 3" xfId="29725"/>
    <cellStyle name="SAPBEXHLevel0X" xfId="29726"/>
    <cellStyle name="SAPBEXHLevel0X 2" xfId="29727"/>
    <cellStyle name="SAPBEXHLevel0X 3" xfId="29728"/>
    <cellStyle name="SAPBEXHLevel1" xfId="29729"/>
    <cellStyle name="SAPBEXHLevel1 2" xfId="29730"/>
    <cellStyle name="SAPBEXHLevel1 3" xfId="29731"/>
    <cellStyle name="SAPBEXHLevel1X" xfId="29732"/>
    <cellStyle name="SAPBEXHLevel1X 2" xfId="29733"/>
    <cellStyle name="SAPBEXHLevel1X 3" xfId="29734"/>
    <cellStyle name="SAPBEXHLevel2" xfId="29735"/>
    <cellStyle name="SAPBEXHLevel2 2" xfId="29736"/>
    <cellStyle name="SAPBEXHLevel2 3" xfId="29737"/>
    <cellStyle name="SAPBEXHLevel2X" xfId="29738"/>
    <cellStyle name="SAPBEXHLevel2X 2" xfId="29739"/>
    <cellStyle name="SAPBEXHLevel2X 3" xfId="29740"/>
    <cellStyle name="SAPBEXHLevel3" xfId="29741"/>
    <cellStyle name="SAPBEXHLevel3 2" xfId="29742"/>
    <cellStyle name="SAPBEXHLevel3 3" xfId="29743"/>
    <cellStyle name="SAPBEXHLevel3X" xfId="29744"/>
    <cellStyle name="SAPBEXHLevel3X 2" xfId="29745"/>
    <cellStyle name="SAPBEXHLevel3X 3" xfId="29746"/>
    <cellStyle name="SAPBEXresData" xfId="29747"/>
    <cellStyle name="SAPBEXresDataEmph" xfId="29748"/>
    <cellStyle name="SAPBEXresItem" xfId="29749"/>
    <cellStyle name="SAPBEXresItemX" xfId="29750"/>
    <cellStyle name="SAPBEXstdData" xfId="29751"/>
    <cellStyle name="SAPBEXstdData 2" xfId="29752"/>
    <cellStyle name="SAPBEXstdDataEmph" xfId="29753"/>
    <cellStyle name="SAPBEXstdItem" xfId="29754"/>
    <cellStyle name="SAPBEXstdItemX" xfId="29755"/>
    <cellStyle name="SAPBEXtitle" xfId="29756"/>
    <cellStyle name="SAPBEXundefined" xfId="29757"/>
    <cellStyle name="Standard_internet1997" xfId="29758"/>
    <cellStyle name="Styl 1" xfId="29759"/>
    <cellStyle name="Style 1" xfId="29760"/>
    <cellStyle name="Sum" xfId="29761"/>
    <cellStyle name="Suma 2" xfId="29762"/>
    <cellStyle name="Suma 2 10" xfId="29763"/>
    <cellStyle name="Suma 2 10 10" xfId="29764"/>
    <cellStyle name="Suma 2 10 10 2" xfId="29765"/>
    <cellStyle name="Suma 2 10 10 3" xfId="29766"/>
    <cellStyle name="Suma 2 10 10 4" xfId="29767"/>
    <cellStyle name="Suma 2 10 11" xfId="29768"/>
    <cellStyle name="Suma 2 10 11 2" xfId="29769"/>
    <cellStyle name="Suma 2 10 11 3" xfId="29770"/>
    <cellStyle name="Suma 2 10 11 4" xfId="29771"/>
    <cellStyle name="Suma 2 10 12" xfId="29772"/>
    <cellStyle name="Suma 2 10 12 2" xfId="29773"/>
    <cellStyle name="Suma 2 10 12 3" xfId="29774"/>
    <cellStyle name="Suma 2 10 12 4" xfId="29775"/>
    <cellStyle name="Suma 2 10 13" xfId="29776"/>
    <cellStyle name="Suma 2 10 13 2" xfId="29777"/>
    <cellStyle name="Suma 2 10 13 3" xfId="29778"/>
    <cellStyle name="Suma 2 10 13 4" xfId="29779"/>
    <cellStyle name="Suma 2 10 14" xfId="29780"/>
    <cellStyle name="Suma 2 10 14 2" xfId="29781"/>
    <cellStyle name="Suma 2 10 14 3" xfId="29782"/>
    <cellStyle name="Suma 2 10 14 4" xfId="29783"/>
    <cellStyle name="Suma 2 10 15" xfId="29784"/>
    <cellStyle name="Suma 2 10 15 2" xfId="29785"/>
    <cellStyle name="Suma 2 10 15 3" xfId="29786"/>
    <cellStyle name="Suma 2 10 15 4" xfId="29787"/>
    <cellStyle name="Suma 2 10 16" xfId="29788"/>
    <cellStyle name="Suma 2 10 16 2" xfId="29789"/>
    <cellStyle name="Suma 2 10 16 3" xfId="29790"/>
    <cellStyle name="Suma 2 10 16 4" xfId="29791"/>
    <cellStyle name="Suma 2 10 17" xfId="29792"/>
    <cellStyle name="Suma 2 10 17 2" xfId="29793"/>
    <cellStyle name="Suma 2 10 17 3" xfId="29794"/>
    <cellStyle name="Suma 2 10 17 4" xfId="29795"/>
    <cellStyle name="Suma 2 10 18" xfId="29796"/>
    <cellStyle name="Suma 2 10 18 2" xfId="29797"/>
    <cellStyle name="Suma 2 10 18 3" xfId="29798"/>
    <cellStyle name="Suma 2 10 18 4" xfId="29799"/>
    <cellStyle name="Suma 2 10 19" xfId="29800"/>
    <cellStyle name="Suma 2 10 19 2" xfId="29801"/>
    <cellStyle name="Suma 2 10 19 3" xfId="29802"/>
    <cellStyle name="Suma 2 10 19 4" xfId="29803"/>
    <cellStyle name="Suma 2 10 2" xfId="29804"/>
    <cellStyle name="Suma 2 10 2 2" xfId="29805"/>
    <cellStyle name="Suma 2 10 2 3" xfId="29806"/>
    <cellStyle name="Suma 2 10 2 4" xfId="29807"/>
    <cellStyle name="Suma 2 10 20" xfId="29808"/>
    <cellStyle name="Suma 2 10 20 2" xfId="29809"/>
    <cellStyle name="Suma 2 10 20 3" xfId="29810"/>
    <cellStyle name="Suma 2 10 20 4" xfId="29811"/>
    <cellStyle name="Suma 2 10 21" xfId="29812"/>
    <cellStyle name="Suma 2 10 21 2" xfId="29813"/>
    <cellStyle name="Suma 2 10 21 3" xfId="29814"/>
    <cellStyle name="Suma 2 10 22" xfId="29815"/>
    <cellStyle name="Suma 2 10 22 2" xfId="29816"/>
    <cellStyle name="Suma 2 10 22 3" xfId="29817"/>
    <cellStyle name="Suma 2 10 23" xfId="29818"/>
    <cellStyle name="Suma 2 10 23 2" xfId="29819"/>
    <cellStyle name="Suma 2 10 23 3" xfId="29820"/>
    <cellStyle name="Suma 2 10 24" xfId="29821"/>
    <cellStyle name="Suma 2 10 24 2" xfId="29822"/>
    <cellStyle name="Suma 2 10 24 3" xfId="29823"/>
    <cellStyle name="Suma 2 10 25" xfId="29824"/>
    <cellStyle name="Suma 2 10 25 2" xfId="29825"/>
    <cellStyle name="Suma 2 10 25 3" xfId="29826"/>
    <cellStyle name="Suma 2 10 26" xfId="29827"/>
    <cellStyle name="Suma 2 10 26 2" xfId="29828"/>
    <cellStyle name="Suma 2 10 26 3" xfId="29829"/>
    <cellStyle name="Suma 2 10 27" xfId="29830"/>
    <cellStyle name="Suma 2 10 27 2" xfId="29831"/>
    <cellStyle name="Suma 2 10 27 3" xfId="29832"/>
    <cellStyle name="Suma 2 10 28" xfId="29833"/>
    <cellStyle name="Suma 2 10 28 2" xfId="29834"/>
    <cellStyle name="Suma 2 10 28 3" xfId="29835"/>
    <cellStyle name="Suma 2 10 29" xfId="29836"/>
    <cellStyle name="Suma 2 10 29 2" xfId="29837"/>
    <cellStyle name="Suma 2 10 29 3" xfId="29838"/>
    <cellStyle name="Suma 2 10 3" xfId="29839"/>
    <cellStyle name="Suma 2 10 3 2" xfId="29840"/>
    <cellStyle name="Suma 2 10 3 3" xfId="29841"/>
    <cellStyle name="Suma 2 10 3 4" xfId="29842"/>
    <cellStyle name="Suma 2 10 30" xfId="29843"/>
    <cellStyle name="Suma 2 10 30 2" xfId="29844"/>
    <cellStyle name="Suma 2 10 30 3" xfId="29845"/>
    <cellStyle name="Suma 2 10 31" xfId="29846"/>
    <cellStyle name="Suma 2 10 31 2" xfId="29847"/>
    <cellStyle name="Suma 2 10 31 3" xfId="29848"/>
    <cellStyle name="Suma 2 10 32" xfId="29849"/>
    <cellStyle name="Suma 2 10 32 2" xfId="29850"/>
    <cellStyle name="Suma 2 10 32 3" xfId="29851"/>
    <cellStyle name="Suma 2 10 33" xfId="29852"/>
    <cellStyle name="Suma 2 10 33 2" xfId="29853"/>
    <cellStyle name="Suma 2 10 33 3" xfId="29854"/>
    <cellStyle name="Suma 2 10 34" xfId="29855"/>
    <cellStyle name="Suma 2 10 34 2" xfId="29856"/>
    <cellStyle name="Suma 2 10 34 3" xfId="29857"/>
    <cellStyle name="Suma 2 10 35" xfId="29858"/>
    <cellStyle name="Suma 2 10 35 2" xfId="29859"/>
    <cellStyle name="Suma 2 10 35 3" xfId="29860"/>
    <cellStyle name="Suma 2 10 36" xfId="29861"/>
    <cellStyle name="Suma 2 10 36 2" xfId="29862"/>
    <cellStyle name="Suma 2 10 36 3" xfId="29863"/>
    <cellStyle name="Suma 2 10 37" xfId="29864"/>
    <cellStyle name="Suma 2 10 37 2" xfId="29865"/>
    <cellStyle name="Suma 2 10 37 3" xfId="29866"/>
    <cellStyle name="Suma 2 10 38" xfId="29867"/>
    <cellStyle name="Suma 2 10 38 2" xfId="29868"/>
    <cellStyle name="Suma 2 10 38 3" xfId="29869"/>
    <cellStyle name="Suma 2 10 39" xfId="29870"/>
    <cellStyle name="Suma 2 10 39 2" xfId="29871"/>
    <cellStyle name="Suma 2 10 39 3" xfId="29872"/>
    <cellStyle name="Suma 2 10 4" xfId="29873"/>
    <cellStyle name="Suma 2 10 4 2" xfId="29874"/>
    <cellStyle name="Suma 2 10 4 3" xfId="29875"/>
    <cellStyle name="Suma 2 10 4 4" xfId="29876"/>
    <cellStyle name="Suma 2 10 40" xfId="29877"/>
    <cellStyle name="Suma 2 10 40 2" xfId="29878"/>
    <cellStyle name="Suma 2 10 40 3" xfId="29879"/>
    <cellStyle name="Suma 2 10 41" xfId="29880"/>
    <cellStyle name="Suma 2 10 41 2" xfId="29881"/>
    <cellStyle name="Suma 2 10 41 3" xfId="29882"/>
    <cellStyle name="Suma 2 10 42" xfId="29883"/>
    <cellStyle name="Suma 2 10 42 2" xfId="29884"/>
    <cellStyle name="Suma 2 10 42 3" xfId="29885"/>
    <cellStyle name="Suma 2 10 43" xfId="29886"/>
    <cellStyle name="Suma 2 10 43 2" xfId="29887"/>
    <cellStyle name="Suma 2 10 43 3" xfId="29888"/>
    <cellStyle name="Suma 2 10 44" xfId="29889"/>
    <cellStyle name="Suma 2 10 44 2" xfId="29890"/>
    <cellStyle name="Suma 2 10 44 3" xfId="29891"/>
    <cellStyle name="Suma 2 10 45" xfId="29892"/>
    <cellStyle name="Suma 2 10 45 2" xfId="29893"/>
    <cellStyle name="Suma 2 10 45 3" xfId="29894"/>
    <cellStyle name="Suma 2 10 46" xfId="29895"/>
    <cellStyle name="Suma 2 10 46 2" xfId="29896"/>
    <cellStyle name="Suma 2 10 46 3" xfId="29897"/>
    <cellStyle name="Suma 2 10 47" xfId="29898"/>
    <cellStyle name="Suma 2 10 47 2" xfId="29899"/>
    <cellStyle name="Suma 2 10 47 3" xfId="29900"/>
    <cellStyle name="Suma 2 10 48" xfId="29901"/>
    <cellStyle name="Suma 2 10 48 2" xfId="29902"/>
    <cellStyle name="Suma 2 10 48 3" xfId="29903"/>
    <cellStyle name="Suma 2 10 49" xfId="29904"/>
    <cellStyle name="Suma 2 10 49 2" xfId="29905"/>
    <cellStyle name="Suma 2 10 49 3" xfId="29906"/>
    <cellStyle name="Suma 2 10 5" xfId="29907"/>
    <cellStyle name="Suma 2 10 5 2" xfId="29908"/>
    <cellStyle name="Suma 2 10 5 3" xfId="29909"/>
    <cellStyle name="Suma 2 10 5 4" xfId="29910"/>
    <cellStyle name="Suma 2 10 50" xfId="29911"/>
    <cellStyle name="Suma 2 10 50 2" xfId="29912"/>
    <cellStyle name="Suma 2 10 50 3" xfId="29913"/>
    <cellStyle name="Suma 2 10 51" xfId="29914"/>
    <cellStyle name="Suma 2 10 51 2" xfId="29915"/>
    <cellStyle name="Suma 2 10 51 3" xfId="29916"/>
    <cellStyle name="Suma 2 10 52" xfId="29917"/>
    <cellStyle name="Suma 2 10 52 2" xfId="29918"/>
    <cellStyle name="Suma 2 10 52 3" xfId="29919"/>
    <cellStyle name="Suma 2 10 53" xfId="29920"/>
    <cellStyle name="Suma 2 10 53 2" xfId="29921"/>
    <cellStyle name="Suma 2 10 53 3" xfId="29922"/>
    <cellStyle name="Suma 2 10 54" xfId="29923"/>
    <cellStyle name="Suma 2 10 54 2" xfId="29924"/>
    <cellStyle name="Suma 2 10 54 3" xfId="29925"/>
    <cellStyle name="Suma 2 10 55" xfId="29926"/>
    <cellStyle name="Suma 2 10 55 2" xfId="29927"/>
    <cellStyle name="Suma 2 10 55 3" xfId="29928"/>
    <cellStyle name="Suma 2 10 56" xfId="29929"/>
    <cellStyle name="Suma 2 10 56 2" xfId="29930"/>
    <cellStyle name="Suma 2 10 56 3" xfId="29931"/>
    <cellStyle name="Suma 2 10 57" xfId="29932"/>
    <cellStyle name="Suma 2 10 58" xfId="29933"/>
    <cellStyle name="Suma 2 10 6" xfId="29934"/>
    <cellStyle name="Suma 2 10 6 2" xfId="29935"/>
    <cellStyle name="Suma 2 10 6 3" xfId="29936"/>
    <cellStyle name="Suma 2 10 6 4" xfId="29937"/>
    <cellStyle name="Suma 2 10 7" xfId="29938"/>
    <cellStyle name="Suma 2 10 7 2" xfId="29939"/>
    <cellStyle name="Suma 2 10 7 3" xfId="29940"/>
    <cellStyle name="Suma 2 10 7 4" xfId="29941"/>
    <cellStyle name="Suma 2 10 8" xfId="29942"/>
    <cellStyle name="Suma 2 10 8 2" xfId="29943"/>
    <cellStyle name="Suma 2 10 8 3" xfId="29944"/>
    <cellStyle name="Suma 2 10 8 4" xfId="29945"/>
    <cellStyle name="Suma 2 10 9" xfId="29946"/>
    <cellStyle name="Suma 2 10 9 2" xfId="29947"/>
    <cellStyle name="Suma 2 10 9 3" xfId="29948"/>
    <cellStyle name="Suma 2 10 9 4" xfId="29949"/>
    <cellStyle name="Suma 2 11" xfId="29950"/>
    <cellStyle name="Suma 2 11 10" xfId="29951"/>
    <cellStyle name="Suma 2 11 10 2" xfId="29952"/>
    <cellStyle name="Suma 2 11 10 3" xfId="29953"/>
    <cellStyle name="Suma 2 11 10 4" xfId="29954"/>
    <cellStyle name="Suma 2 11 11" xfId="29955"/>
    <cellStyle name="Suma 2 11 11 2" xfId="29956"/>
    <cellStyle name="Suma 2 11 11 3" xfId="29957"/>
    <cellStyle name="Suma 2 11 11 4" xfId="29958"/>
    <cellStyle name="Suma 2 11 12" xfId="29959"/>
    <cellStyle name="Suma 2 11 12 2" xfId="29960"/>
    <cellStyle name="Suma 2 11 12 3" xfId="29961"/>
    <cellStyle name="Suma 2 11 12 4" xfId="29962"/>
    <cellStyle name="Suma 2 11 13" xfId="29963"/>
    <cellStyle name="Suma 2 11 13 2" xfId="29964"/>
    <cellStyle name="Suma 2 11 13 3" xfId="29965"/>
    <cellStyle name="Suma 2 11 13 4" xfId="29966"/>
    <cellStyle name="Suma 2 11 14" xfId="29967"/>
    <cellStyle name="Suma 2 11 14 2" xfId="29968"/>
    <cellStyle name="Suma 2 11 14 3" xfId="29969"/>
    <cellStyle name="Suma 2 11 14 4" xfId="29970"/>
    <cellStyle name="Suma 2 11 15" xfId="29971"/>
    <cellStyle name="Suma 2 11 15 2" xfId="29972"/>
    <cellStyle name="Suma 2 11 15 3" xfId="29973"/>
    <cellStyle name="Suma 2 11 15 4" xfId="29974"/>
    <cellStyle name="Suma 2 11 16" xfId="29975"/>
    <cellStyle name="Suma 2 11 16 2" xfId="29976"/>
    <cellStyle name="Suma 2 11 16 3" xfId="29977"/>
    <cellStyle name="Suma 2 11 16 4" xfId="29978"/>
    <cellStyle name="Suma 2 11 17" xfId="29979"/>
    <cellStyle name="Suma 2 11 17 2" xfId="29980"/>
    <cellStyle name="Suma 2 11 17 3" xfId="29981"/>
    <cellStyle name="Suma 2 11 17 4" xfId="29982"/>
    <cellStyle name="Suma 2 11 18" xfId="29983"/>
    <cellStyle name="Suma 2 11 18 2" xfId="29984"/>
    <cellStyle name="Suma 2 11 18 3" xfId="29985"/>
    <cellStyle name="Suma 2 11 18 4" xfId="29986"/>
    <cellStyle name="Suma 2 11 19" xfId="29987"/>
    <cellStyle name="Suma 2 11 19 2" xfId="29988"/>
    <cellStyle name="Suma 2 11 19 3" xfId="29989"/>
    <cellStyle name="Suma 2 11 19 4" xfId="29990"/>
    <cellStyle name="Suma 2 11 2" xfId="29991"/>
    <cellStyle name="Suma 2 11 2 2" xfId="29992"/>
    <cellStyle name="Suma 2 11 2 3" xfId="29993"/>
    <cellStyle name="Suma 2 11 2 4" xfId="29994"/>
    <cellStyle name="Suma 2 11 20" xfId="29995"/>
    <cellStyle name="Suma 2 11 20 2" xfId="29996"/>
    <cellStyle name="Suma 2 11 20 3" xfId="29997"/>
    <cellStyle name="Suma 2 11 20 4" xfId="29998"/>
    <cellStyle name="Suma 2 11 21" xfId="29999"/>
    <cellStyle name="Suma 2 11 21 2" xfId="30000"/>
    <cellStyle name="Suma 2 11 21 3" xfId="30001"/>
    <cellStyle name="Suma 2 11 22" xfId="30002"/>
    <cellStyle name="Suma 2 11 22 2" xfId="30003"/>
    <cellStyle name="Suma 2 11 22 3" xfId="30004"/>
    <cellStyle name="Suma 2 11 23" xfId="30005"/>
    <cellStyle name="Suma 2 11 23 2" xfId="30006"/>
    <cellStyle name="Suma 2 11 23 3" xfId="30007"/>
    <cellStyle name="Suma 2 11 24" xfId="30008"/>
    <cellStyle name="Suma 2 11 24 2" xfId="30009"/>
    <cellStyle name="Suma 2 11 24 3" xfId="30010"/>
    <cellStyle name="Suma 2 11 25" xfId="30011"/>
    <cellStyle name="Suma 2 11 25 2" xfId="30012"/>
    <cellStyle name="Suma 2 11 25 3" xfId="30013"/>
    <cellStyle name="Suma 2 11 26" xfId="30014"/>
    <cellStyle name="Suma 2 11 26 2" xfId="30015"/>
    <cellStyle name="Suma 2 11 26 3" xfId="30016"/>
    <cellStyle name="Suma 2 11 27" xfId="30017"/>
    <cellStyle name="Suma 2 11 27 2" xfId="30018"/>
    <cellStyle name="Suma 2 11 27 3" xfId="30019"/>
    <cellStyle name="Suma 2 11 28" xfId="30020"/>
    <cellStyle name="Suma 2 11 28 2" xfId="30021"/>
    <cellStyle name="Suma 2 11 28 3" xfId="30022"/>
    <cellStyle name="Suma 2 11 29" xfId="30023"/>
    <cellStyle name="Suma 2 11 29 2" xfId="30024"/>
    <cellStyle name="Suma 2 11 29 3" xfId="30025"/>
    <cellStyle name="Suma 2 11 3" xfId="30026"/>
    <cellStyle name="Suma 2 11 3 2" xfId="30027"/>
    <cellStyle name="Suma 2 11 3 3" xfId="30028"/>
    <cellStyle name="Suma 2 11 3 4" xfId="30029"/>
    <cellStyle name="Suma 2 11 30" xfId="30030"/>
    <cellStyle name="Suma 2 11 30 2" xfId="30031"/>
    <cellStyle name="Suma 2 11 30 3" xfId="30032"/>
    <cellStyle name="Suma 2 11 31" xfId="30033"/>
    <cellStyle name="Suma 2 11 31 2" xfId="30034"/>
    <cellStyle name="Suma 2 11 31 3" xfId="30035"/>
    <cellStyle name="Suma 2 11 32" xfId="30036"/>
    <cellStyle name="Suma 2 11 32 2" xfId="30037"/>
    <cellStyle name="Suma 2 11 32 3" xfId="30038"/>
    <cellStyle name="Suma 2 11 33" xfId="30039"/>
    <cellStyle name="Suma 2 11 33 2" xfId="30040"/>
    <cellStyle name="Suma 2 11 33 3" xfId="30041"/>
    <cellStyle name="Suma 2 11 34" xfId="30042"/>
    <cellStyle name="Suma 2 11 34 2" xfId="30043"/>
    <cellStyle name="Suma 2 11 34 3" xfId="30044"/>
    <cellStyle name="Suma 2 11 35" xfId="30045"/>
    <cellStyle name="Suma 2 11 35 2" xfId="30046"/>
    <cellStyle name="Suma 2 11 35 3" xfId="30047"/>
    <cellStyle name="Suma 2 11 36" xfId="30048"/>
    <cellStyle name="Suma 2 11 36 2" xfId="30049"/>
    <cellStyle name="Suma 2 11 36 3" xfId="30050"/>
    <cellStyle name="Suma 2 11 37" xfId="30051"/>
    <cellStyle name="Suma 2 11 37 2" xfId="30052"/>
    <cellStyle name="Suma 2 11 37 3" xfId="30053"/>
    <cellStyle name="Suma 2 11 38" xfId="30054"/>
    <cellStyle name="Suma 2 11 38 2" xfId="30055"/>
    <cellStyle name="Suma 2 11 38 3" xfId="30056"/>
    <cellStyle name="Suma 2 11 39" xfId="30057"/>
    <cellStyle name="Suma 2 11 39 2" xfId="30058"/>
    <cellStyle name="Suma 2 11 39 3" xfId="30059"/>
    <cellStyle name="Suma 2 11 4" xfId="30060"/>
    <cellStyle name="Suma 2 11 4 2" xfId="30061"/>
    <cellStyle name="Suma 2 11 4 3" xfId="30062"/>
    <cellStyle name="Suma 2 11 4 4" xfId="30063"/>
    <cellStyle name="Suma 2 11 40" xfId="30064"/>
    <cellStyle name="Suma 2 11 40 2" xfId="30065"/>
    <cellStyle name="Suma 2 11 40 3" xfId="30066"/>
    <cellStyle name="Suma 2 11 41" xfId="30067"/>
    <cellStyle name="Suma 2 11 41 2" xfId="30068"/>
    <cellStyle name="Suma 2 11 41 3" xfId="30069"/>
    <cellStyle name="Suma 2 11 42" xfId="30070"/>
    <cellStyle name="Suma 2 11 42 2" xfId="30071"/>
    <cellStyle name="Suma 2 11 42 3" xfId="30072"/>
    <cellStyle name="Suma 2 11 43" xfId="30073"/>
    <cellStyle name="Suma 2 11 43 2" xfId="30074"/>
    <cellStyle name="Suma 2 11 43 3" xfId="30075"/>
    <cellStyle name="Suma 2 11 44" xfId="30076"/>
    <cellStyle name="Suma 2 11 44 2" xfId="30077"/>
    <cellStyle name="Suma 2 11 44 3" xfId="30078"/>
    <cellStyle name="Suma 2 11 45" xfId="30079"/>
    <cellStyle name="Suma 2 11 45 2" xfId="30080"/>
    <cellStyle name="Suma 2 11 45 3" xfId="30081"/>
    <cellStyle name="Suma 2 11 46" xfId="30082"/>
    <cellStyle name="Suma 2 11 46 2" xfId="30083"/>
    <cellStyle name="Suma 2 11 46 3" xfId="30084"/>
    <cellStyle name="Suma 2 11 47" xfId="30085"/>
    <cellStyle name="Suma 2 11 47 2" xfId="30086"/>
    <cellStyle name="Suma 2 11 47 3" xfId="30087"/>
    <cellStyle name="Suma 2 11 48" xfId="30088"/>
    <cellStyle name="Suma 2 11 48 2" xfId="30089"/>
    <cellStyle name="Suma 2 11 48 3" xfId="30090"/>
    <cellStyle name="Suma 2 11 49" xfId="30091"/>
    <cellStyle name="Suma 2 11 49 2" xfId="30092"/>
    <cellStyle name="Suma 2 11 49 3" xfId="30093"/>
    <cellStyle name="Suma 2 11 5" xfId="30094"/>
    <cellStyle name="Suma 2 11 5 2" xfId="30095"/>
    <cellStyle name="Suma 2 11 5 3" xfId="30096"/>
    <cellStyle name="Suma 2 11 5 4" xfId="30097"/>
    <cellStyle name="Suma 2 11 50" xfId="30098"/>
    <cellStyle name="Suma 2 11 50 2" xfId="30099"/>
    <cellStyle name="Suma 2 11 50 3" xfId="30100"/>
    <cellStyle name="Suma 2 11 51" xfId="30101"/>
    <cellStyle name="Suma 2 11 51 2" xfId="30102"/>
    <cellStyle name="Suma 2 11 51 3" xfId="30103"/>
    <cellStyle name="Suma 2 11 52" xfId="30104"/>
    <cellStyle name="Suma 2 11 52 2" xfId="30105"/>
    <cellStyle name="Suma 2 11 52 3" xfId="30106"/>
    <cellStyle name="Suma 2 11 53" xfId="30107"/>
    <cellStyle name="Suma 2 11 53 2" xfId="30108"/>
    <cellStyle name="Suma 2 11 53 3" xfId="30109"/>
    <cellStyle name="Suma 2 11 54" xfId="30110"/>
    <cellStyle name="Suma 2 11 54 2" xfId="30111"/>
    <cellStyle name="Suma 2 11 54 3" xfId="30112"/>
    <cellStyle name="Suma 2 11 55" xfId="30113"/>
    <cellStyle name="Suma 2 11 55 2" xfId="30114"/>
    <cellStyle name="Suma 2 11 55 3" xfId="30115"/>
    <cellStyle name="Suma 2 11 56" xfId="30116"/>
    <cellStyle name="Suma 2 11 56 2" xfId="30117"/>
    <cellStyle name="Suma 2 11 56 3" xfId="30118"/>
    <cellStyle name="Suma 2 11 57" xfId="30119"/>
    <cellStyle name="Suma 2 11 58" xfId="30120"/>
    <cellStyle name="Suma 2 11 6" xfId="30121"/>
    <cellStyle name="Suma 2 11 6 2" xfId="30122"/>
    <cellStyle name="Suma 2 11 6 3" xfId="30123"/>
    <cellStyle name="Suma 2 11 6 4" xfId="30124"/>
    <cellStyle name="Suma 2 11 7" xfId="30125"/>
    <cellStyle name="Suma 2 11 7 2" xfId="30126"/>
    <cellStyle name="Suma 2 11 7 3" xfId="30127"/>
    <cellStyle name="Suma 2 11 7 4" xfId="30128"/>
    <cellStyle name="Suma 2 11 8" xfId="30129"/>
    <cellStyle name="Suma 2 11 8 2" xfId="30130"/>
    <cellStyle name="Suma 2 11 8 3" xfId="30131"/>
    <cellStyle name="Suma 2 11 8 4" xfId="30132"/>
    <cellStyle name="Suma 2 11 9" xfId="30133"/>
    <cellStyle name="Suma 2 11 9 2" xfId="30134"/>
    <cellStyle name="Suma 2 11 9 3" xfId="30135"/>
    <cellStyle name="Suma 2 11 9 4" xfId="30136"/>
    <cellStyle name="Suma 2 12" xfId="30137"/>
    <cellStyle name="Suma 2 12 10" xfId="30138"/>
    <cellStyle name="Suma 2 12 10 2" xfId="30139"/>
    <cellStyle name="Suma 2 12 10 3" xfId="30140"/>
    <cellStyle name="Suma 2 12 10 4" xfId="30141"/>
    <cellStyle name="Suma 2 12 11" xfId="30142"/>
    <cellStyle name="Suma 2 12 11 2" xfId="30143"/>
    <cellStyle name="Suma 2 12 11 3" xfId="30144"/>
    <cellStyle name="Suma 2 12 11 4" xfId="30145"/>
    <cellStyle name="Suma 2 12 12" xfId="30146"/>
    <cellStyle name="Suma 2 12 12 2" xfId="30147"/>
    <cellStyle name="Suma 2 12 12 3" xfId="30148"/>
    <cellStyle name="Suma 2 12 12 4" xfId="30149"/>
    <cellStyle name="Suma 2 12 13" xfId="30150"/>
    <cellStyle name="Suma 2 12 13 2" xfId="30151"/>
    <cellStyle name="Suma 2 12 13 3" xfId="30152"/>
    <cellStyle name="Suma 2 12 13 4" xfId="30153"/>
    <cellStyle name="Suma 2 12 14" xfId="30154"/>
    <cellStyle name="Suma 2 12 14 2" xfId="30155"/>
    <cellStyle name="Suma 2 12 14 3" xfId="30156"/>
    <cellStyle name="Suma 2 12 14 4" xfId="30157"/>
    <cellStyle name="Suma 2 12 15" xfId="30158"/>
    <cellStyle name="Suma 2 12 15 2" xfId="30159"/>
    <cellStyle name="Suma 2 12 15 3" xfId="30160"/>
    <cellStyle name="Suma 2 12 15 4" xfId="30161"/>
    <cellStyle name="Suma 2 12 16" xfId="30162"/>
    <cellStyle name="Suma 2 12 16 2" xfId="30163"/>
    <cellStyle name="Suma 2 12 16 3" xfId="30164"/>
    <cellStyle name="Suma 2 12 16 4" xfId="30165"/>
    <cellStyle name="Suma 2 12 17" xfId="30166"/>
    <cellStyle name="Suma 2 12 17 2" xfId="30167"/>
    <cellStyle name="Suma 2 12 17 3" xfId="30168"/>
    <cellStyle name="Suma 2 12 17 4" xfId="30169"/>
    <cellStyle name="Suma 2 12 18" xfId="30170"/>
    <cellStyle name="Suma 2 12 18 2" xfId="30171"/>
    <cellStyle name="Suma 2 12 18 3" xfId="30172"/>
    <cellStyle name="Suma 2 12 18 4" xfId="30173"/>
    <cellStyle name="Suma 2 12 19" xfId="30174"/>
    <cellStyle name="Suma 2 12 19 2" xfId="30175"/>
    <cellStyle name="Suma 2 12 19 3" xfId="30176"/>
    <cellStyle name="Suma 2 12 19 4" xfId="30177"/>
    <cellStyle name="Suma 2 12 2" xfId="30178"/>
    <cellStyle name="Suma 2 12 2 2" xfId="30179"/>
    <cellStyle name="Suma 2 12 2 3" xfId="30180"/>
    <cellStyle name="Suma 2 12 2 4" xfId="30181"/>
    <cellStyle name="Suma 2 12 20" xfId="30182"/>
    <cellStyle name="Suma 2 12 20 2" xfId="30183"/>
    <cellStyle name="Suma 2 12 20 3" xfId="30184"/>
    <cellStyle name="Suma 2 12 20 4" xfId="30185"/>
    <cellStyle name="Suma 2 12 21" xfId="30186"/>
    <cellStyle name="Suma 2 12 21 2" xfId="30187"/>
    <cellStyle name="Suma 2 12 21 3" xfId="30188"/>
    <cellStyle name="Suma 2 12 22" xfId="30189"/>
    <cellStyle name="Suma 2 12 22 2" xfId="30190"/>
    <cellStyle name="Suma 2 12 22 3" xfId="30191"/>
    <cellStyle name="Suma 2 12 23" xfId="30192"/>
    <cellStyle name="Suma 2 12 23 2" xfId="30193"/>
    <cellStyle name="Suma 2 12 23 3" xfId="30194"/>
    <cellStyle name="Suma 2 12 24" xfId="30195"/>
    <cellStyle name="Suma 2 12 24 2" xfId="30196"/>
    <cellStyle name="Suma 2 12 24 3" xfId="30197"/>
    <cellStyle name="Suma 2 12 25" xfId="30198"/>
    <cellStyle name="Suma 2 12 25 2" xfId="30199"/>
    <cellStyle name="Suma 2 12 25 3" xfId="30200"/>
    <cellStyle name="Suma 2 12 26" xfId="30201"/>
    <cellStyle name="Suma 2 12 26 2" xfId="30202"/>
    <cellStyle name="Suma 2 12 26 3" xfId="30203"/>
    <cellStyle name="Suma 2 12 27" xfId="30204"/>
    <cellStyle name="Suma 2 12 27 2" xfId="30205"/>
    <cellStyle name="Suma 2 12 27 3" xfId="30206"/>
    <cellStyle name="Suma 2 12 28" xfId="30207"/>
    <cellStyle name="Suma 2 12 28 2" xfId="30208"/>
    <cellStyle name="Suma 2 12 28 3" xfId="30209"/>
    <cellStyle name="Suma 2 12 29" xfId="30210"/>
    <cellStyle name="Suma 2 12 29 2" xfId="30211"/>
    <cellStyle name="Suma 2 12 29 3" xfId="30212"/>
    <cellStyle name="Suma 2 12 3" xfId="30213"/>
    <cellStyle name="Suma 2 12 3 2" xfId="30214"/>
    <cellStyle name="Suma 2 12 3 3" xfId="30215"/>
    <cellStyle name="Suma 2 12 3 4" xfId="30216"/>
    <cellStyle name="Suma 2 12 30" xfId="30217"/>
    <cellStyle name="Suma 2 12 30 2" xfId="30218"/>
    <cellStyle name="Suma 2 12 30 3" xfId="30219"/>
    <cellStyle name="Suma 2 12 31" xfId="30220"/>
    <cellStyle name="Suma 2 12 31 2" xfId="30221"/>
    <cellStyle name="Suma 2 12 31 3" xfId="30222"/>
    <cellStyle name="Suma 2 12 32" xfId="30223"/>
    <cellStyle name="Suma 2 12 32 2" xfId="30224"/>
    <cellStyle name="Suma 2 12 32 3" xfId="30225"/>
    <cellStyle name="Suma 2 12 33" xfId="30226"/>
    <cellStyle name="Suma 2 12 33 2" xfId="30227"/>
    <cellStyle name="Suma 2 12 33 3" xfId="30228"/>
    <cellStyle name="Suma 2 12 34" xfId="30229"/>
    <cellStyle name="Suma 2 12 34 2" xfId="30230"/>
    <cellStyle name="Suma 2 12 34 3" xfId="30231"/>
    <cellStyle name="Suma 2 12 35" xfId="30232"/>
    <cellStyle name="Suma 2 12 35 2" xfId="30233"/>
    <cellStyle name="Suma 2 12 35 3" xfId="30234"/>
    <cellStyle name="Suma 2 12 36" xfId="30235"/>
    <cellStyle name="Suma 2 12 36 2" xfId="30236"/>
    <cellStyle name="Suma 2 12 36 3" xfId="30237"/>
    <cellStyle name="Suma 2 12 37" xfId="30238"/>
    <cellStyle name="Suma 2 12 37 2" xfId="30239"/>
    <cellStyle name="Suma 2 12 37 3" xfId="30240"/>
    <cellStyle name="Suma 2 12 38" xfId="30241"/>
    <cellStyle name="Suma 2 12 38 2" xfId="30242"/>
    <cellStyle name="Suma 2 12 38 3" xfId="30243"/>
    <cellStyle name="Suma 2 12 39" xfId="30244"/>
    <cellStyle name="Suma 2 12 39 2" xfId="30245"/>
    <cellStyle name="Suma 2 12 39 3" xfId="30246"/>
    <cellStyle name="Suma 2 12 4" xfId="30247"/>
    <cellStyle name="Suma 2 12 4 2" xfId="30248"/>
    <cellStyle name="Suma 2 12 4 3" xfId="30249"/>
    <cellStyle name="Suma 2 12 4 4" xfId="30250"/>
    <cellStyle name="Suma 2 12 40" xfId="30251"/>
    <cellStyle name="Suma 2 12 40 2" xfId="30252"/>
    <cellStyle name="Suma 2 12 40 3" xfId="30253"/>
    <cellStyle name="Suma 2 12 41" xfId="30254"/>
    <cellStyle name="Suma 2 12 41 2" xfId="30255"/>
    <cellStyle name="Suma 2 12 41 3" xfId="30256"/>
    <cellStyle name="Suma 2 12 42" xfId="30257"/>
    <cellStyle name="Suma 2 12 42 2" xfId="30258"/>
    <cellStyle name="Suma 2 12 42 3" xfId="30259"/>
    <cellStyle name="Suma 2 12 43" xfId="30260"/>
    <cellStyle name="Suma 2 12 43 2" xfId="30261"/>
    <cellStyle name="Suma 2 12 43 3" xfId="30262"/>
    <cellStyle name="Suma 2 12 44" xfId="30263"/>
    <cellStyle name="Suma 2 12 44 2" xfId="30264"/>
    <cellStyle name="Suma 2 12 44 3" xfId="30265"/>
    <cellStyle name="Suma 2 12 45" xfId="30266"/>
    <cellStyle name="Suma 2 12 45 2" xfId="30267"/>
    <cellStyle name="Suma 2 12 45 3" xfId="30268"/>
    <cellStyle name="Suma 2 12 46" xfId="30269"/>
    <cellStyle name="Suma 2 12 46 2" xfId="30270"/>
    <cellStyle name="Suma 2 12 46 3" xfId="30271"/>
    <cellStyle name="Suma 2 12 47" xfId="30272"/>
    <cellStyle name="Suma 2 12 47 2" xfId="30273"/>
    <cellStyle name="Suma 2 12 47 3" xfId="30274"/>
    <cellStyle name="Suma 2 12 48" xfId="30275"/>
    <cellStyle name="Suma 2 12 48 2" xfId="30276"/>
    <cellStyle name="Suma 2 12 48 3" xfId="30277"/>
    <cellStyle name="Suma 2 12 49" xfId="30278"/>
    <cellStyle name="Suma 2 12 49 2" xfId="30279"/>
    <cellStyle name="Suma 2 12 49 3" xfId="30280"/>
    <cellStyle name="Suma 2 12 5" xfId="30281"/>
    <cellStyle name="Suma 2 12 5 2" xfId="30282"/>
    <cellStyle name="Suma 2 12 5 3" xfId="30283"/>
    <cellStyle name="Suma 2 12 5 4" xfId="30284"/>
    <cellStyle name="Suma 2 12 50" xfId="30285"/>
    <cellStyle name="Suma 2 12 50 2" xfId="30286"/>
    <cellStyle name="Suma 2 12 50 3" xfId="30287"/>
    <cellStyle name="Suma 2 12 51" xfId="30288"/>
    <cellStyle name="Suma 2 12 51 2" xfId="30289"/>
    <cellStyle name="Suma 2 12 51 3" xfId="30290"/>
    <cellStyle name="Suma 2 12 52" xfId="30291"/>
    <cellStyle name="Suma 2 12 52 2" xfId="30292"/>
    <cellStyle name="Suma 2 12 52 3" xfId="30293"/>
    <cellStyle name="Suma 2 12 53" xfId="30294"/>
    <cellStyle name="Suma 2 12 53 2" xfId="30295"/>
    <cellStyle name="Suma 2 12 53 3" xfId="30296"/>
    <cellStyle name="Suma 2 12 54" xfId="30297"/>
    <cellStyle name="Suma 2 12 54 2" xfId="30298"/>
    <cellStyle name="Suma 2 12 54 3" xfId="30299"/>
    <cellStyle name="Suma 2 12 55" xfId="30300"/>
    <cellStyle name="Suma 2 12 55 2" xfId="30301"/>
    <cellStyle name="Suma 2 12 55 3" xfId="30302"/>
    <cellStyle name="Suma 2 12 56" xfId="30303"/>
    <cellStyle name="Suma 2 12 56 2" xfId="30304"/>
    <cellStyle name="Suma 2 12 56 3" xfId="30305"/>
    <cellStyle name="Suma 2 12 57" xfId="30306"/>
    <cellStyle name="Suma 2 12 58" xfId="30307"/>
    <cellStyle name="Suma 2 12 6" xfId="30308"/>
    <cellStyle name="Suma 2 12 6 2" xfId="30309"/>
    <cellStyle name="Suma 2 12 6 3" xfId="30310"/>
    <cellStyle name="Suma 2 12 6 4" xfId="30311"/>
    <cellStyle name="Suma 2 12 7" xfId="30312"/>
    <cellStyle name="Suma 2 12 7 2" xfId="30313"/>
    <cellStyle name="Suma 2 12 7 3" xfId="30314"/>
    <cellStyle name="Suma 2 12 7 4" xfId="30315"/>
    <cellStyle name="Suma 2 12 8" xfId="30316"/>
    <cellStyle name="Suma 2 12 8 2" xfId="30317"/>
    <cellStyle name="Suma 2 12 8 3" xfId="30318"/>
    <cellStyle name="Suma 2 12 8 4" xfId="30319"/>
    <cellStyle name="Suma 2 12 9" xfId="30320"/>
    <cellStyle name="Suma 2 12 9 2" xfId="30321"/>
    <cellStyle name="Suma 2 12 9 3" xfId="30322"/>
    <cellStyle name="Suma 2 12 9 4" xfId="30323"/>
    <cellStyle name="Suma 2 13" xfId="30324"/>
    <cellStyle name="Suma 2 13 10" xfId="30325"/>
    <cellStyle name="Suma 2 13 10 2" xfId="30326"/>
    <cellStyle name="Suma 2 13 10 3" xfId="30327"/>
    <cellStyle name="Suma 2 13 10 4" xfId="30328"/>
    <cellStyle name="Suma 2 13 11" xfId="30329"/>
    <cellStyle name="Suma 2 13 11 2" xfId="30330"/>
    <cellStyle name="Suma 2 13 11 3" xfId="30331"/>
    <cellStyle name="Suma 2 13 11 4" xfId="30332"/>
    <cellStyle name="Suma 2 13 12" xfId="30333"/>
    <cellStyle name="Suma 2 13 12 2" xfId="30334"/>
    <cellStyle name="Suma 2 13 12 3" xfId="30335"/>
    <cellStyle name="Suma 2 13 12 4" xfId="30336"/>
    <cellStyle name="Suma 2 13 13" xfId="30337"/>
    <cellStyle name="Suma 2 13 13 2" xfId="30338"/>
    <cellStyle name="Suma 2 13 13 3" xfId="30339"/>
    <cellStyle name="Suma 2 13 13 4" xfId="30340"/>
    <cellStyle name="Suma 2 13 14" xfId="30341"/>
    <cellStyle name="Suma 2 13 14 2" xfId="30342"/>
    <cellStyle name="Suma 2 13 14 3" xfId="30343"/>
    <cellStyle name="Suma 2 13 14 4" xfId="30344"/>
    <cellStyle name="Suma 2 13 15" xfId="30345"/>
    <cellStyle name="Suma 2 13 15 2" xfId="30346"/>
    <cellStyle name="Suma 2 13 15 3" xfId="30347"/>
    <cellStyle name="Suma 2 13 15 4" xfId="30348"/>
    <cellStyle name="Suma 2 13 16" xfId="30349"/>
    <cellStyle name="Suma 2 13 16 2" xfId="30350"/>
    <cellStyle name="Suma 2 13 16 3" xfId="30351"/>
    <cellStyle name="Suma 2 13 16 4" xfId="30352"/>
    <cellStyle name="Suma 2 13 17" xfId="30353"/>
    <cellStyle name="Suma 2 13 17 2" xfId="30354"/>
    <cellStyle name="Suma 2 13 17 3" xfId="30355"/>
    <cellStyle name="Suma 2 13 17 4" xfId="30356"/>
    <cellStyle name="Suma 2 13 18" xfId="30357"/>
    <cellStyle name="Suma 2 13 18 2" xfId="30358"/>
    <cellStyle name="Suma 2 13 18 3" xfId="30359"/>
    <cellStyle name="Suma 2 13 18 4" xfId="30360"/>
    <cellStyle name="Suma 2 13 19" xfId="30361"/>
    <cellStyle name="Suma 2 13 19 2" xfId="30362"/>
    <cellStyle name="Suma 2 13 19 3" xfId="30363"/>
    <cellStyle name="Suma 2 13 19 4" xfId="30364"/>
    <cellStyle name="Suma 2 13 2" xfId="30365"/>
    <cellStyle name="Suma 2 13 2 2" xfId="30366"/>
    <cellStyle name="Suma 2 13 2 3" xfId="30367"/>
    <cellStyle name="Suma 2 13 2 4" xfId="30368"/>
    <cellStyle name="Suma 2 13 20" xfId="30369"/>
    <cellStyle name="Suma 2 13 20 2" xfId="30370"/>
    <cellStyle name="Suma 2 13 20 3" xfId="30371"/>
    <cellStyle name="Suma 2 13 20 4" xfId="30372"/>
    <cellStyle name="Suma 2 13 21" xfId="30373"/>
    <cellStyle name="Suma 2 13 21 2" xfId="30374"/>
    <cellStyle name="Suma 2 13 21 3" xfId="30375"/>
    <cellStyle name="Suma 2 13 22" xfId="30376"/>
    <cellStyle name="Suma 2 13 22 2" xfId="30377"/>
    <cellStyle name="Suma 2 13 22 3" xfId="30378"/>
    <cellStyle name="Suma 2 13 23" xfId="30379"/>
    <cellStyle name="Suma 2 13 23 2" xfId="30380"/>
    <cellStyle name="Suma 2 13 23 3" xfId="30381"/>
    <cellStyle name="Suma 2 13 24" xfId="30382"/>
    <cellStyle name="Suma 2 13 24 2" xfId="30383"/>
    <cellStyle name="Suma 2 13 24 3" xfId="30384"/>
    <cellStyle name="Suma 2 13 25" xfId="30385"/>
    <cellStyle name="Suma 2 13 25 2" xfId="30386"/>
    <cellStyle name="Suma 2 13 25 3" xfId="30387"/>
    <cellStyle name="Suma 2 13 26" xfId="30388"/>
    <cellStyle name="Suma 2 13 26 2" xfId="30389"/>
    <cellStyle name="Suma 2 13 26 3" xfId="30390"/>
    <cellStyle name="Suma 2 13 27" xfId="30391"/>
    <cellStyle name="Suma 2 13 27 2" xfId="30392"/>
    <cellStyle name="Suma 2 13 27 3" xfId="30393"/>
    <cellStyle name="Suma 2 13 28" xfId="30394"/>
    <cellStyle name="Suma 2 13 28 2" xfId="30395"/>
    <cellStyle name="Suma 2 13 28 3" xfId="30396"/>
    <cellStyle name="Suma 2 13 29" xfId="30397"/>
    <cellStyle name="Suma 2 13 29 2" xfId="30398"/>
    <cellStyle name="Suma 2 13 29 3" xfId="30399"/>
    <cellStyle name="Suma 2 13 3" xfId="30400"/>
    <cellStyle name="Suma 2 13 3 2" xfId="30401"/>
    <cellStyle name="Suma 2 13 3 3" xfId="30402"/>
    <cellStyle name="Suma 2 13 3 4" xfId="30403"/>
    <cellStyle name="Suma 2 13 30" xfId="30404"/>
    <cellStyle name="Suma 2 13 30 2" xfId="30405"/>
    <cellStyle name="Suma 2 13 30 3" xfId="30406"/>
    <cellStyle name="Suma 2 13 31" xfId="30407"/>
    <cellStyle name="Suma 2 13 31 2" xfId="30408"/>
    <cellStyle name="Suma 2 13 31 3" xfId="30409"/>
    <cellStyle name="Suma 2 13 32" xfId="30410"/>
    <cellStyle name="Suma 2 13 32 2" xfId="30411"/>
    <cellStyle name="Suma 2 13 32 3" xfId="30412"/>
    <cellStyle name="Suma 2 13 33" xfId="30413"/>
    <cellStyle name="Suma 2 13 33 2" xfId="30414"/>
    <cellStyle name="Suma 2 13 33 3" xfId="30415"/>
    <cellStyle name="Suma 2 13 34" xfId="30416"/>
    <cellStyle name="Suma 2 13 34 2" xfId="30417"/>
    <cellStyle name="Suma 2 13 34 3" xfId="30418"/>
    <cellStyle name="Suma 2 13 35" xfId="30419"/>
    <cellStyle name="Suma 2 13 35 2" xfId="30420"/>
    <cellStyle name="Suma 2 13 35 3" xfId="30421"/>
    <cellStyle name="Suma 2 13 36" xfId="30422"/>
    <cellStyle name="Suma 2 13 36 2" xfId="30423"/>
    <cellStyle name="Suma 2 13 36 3" xfId="30424"/>
    <cellStyle name="Suma 2 13 37" xfId="30425"/>
    <cellStyle name="Suma 2 13 37 2" xfId="30426"/>
    <cellStyle name="Suma 2 13 37 3" xfId="30427"/>
    <cellStyle name="Suma 2 13 38" xfId="30428"/>
    <cellStyle name="Suma 2 13 38 2" xfId="30429"/>
    <cellStyle name="Suma 2 13 38 3" xfId="30430"/>
    <cellStyle name="Suma 2 13 39" xfId="30431"/>
    <cellStyle name="Suma 2 13 39 2" xfId="30432"/>
    <cellStyle name="Suma 2 13 39 3" xfId="30433"/>
    <cellStyle name="Suma 2 13 4" xfId="30434"/>
    <cellStyle name="Suma 2 13 4 2" xfId="30435"/>
    <cellStyle name="Suma 2 13 4 3" xfId="30436"/>
    <cellStyle name="Suma 2 13 4 4" xfId="30437"/>
    <cellStyle name="Suma 2 13 40" xfId="30438"/>
    <cellStyle name="Suma 2 13 40 2" xfId="30439"/>
    <cellStyle name="Suma 2 13 40 3" xfId="30440"/>
    <cellStyle name="Suma 2 13 41" xfId="30441"/>
    <cellStyle name="Suma 2 13 41 2" xfId="30442"/>
    <cellStyle name="Suma 2 13 41 3" xfId="30443"/>
    <cellStyle name="Suma 2 13 42" xfId="30444"/>
    <cellStyle name="Suma 2 13 42 2" xfId="30445"/>
    <cellStyle name="Suma 2 13 42 3" xfId="30446"/>
    <cellStyle name="Suma 2 13 43" xfId="30447"/>
    <cellStyle name="Suma 2 13 43 2" xfId="30448"/>
    <cellStyle name="Suma 2 13 43 3" xfId="30449"/>
    <cellStyle name="Suma 2 13 44" xfId="30450"/>
    <cellStyle name="Suma 2 13 44 2" xfId="30451"/>
    <cellStyle name="Suma 2 13 44 3" xfId="30452"/>
    <cellStyle name="Suma 2 13 45" xfId="30453"/>
    <cellStyle name="Suma 2 13 45 2" xfId="30454"/>
    <cellStyle name="Suma 2 13 45 3" xfId="30455"/>
    <cellStyle name="Suma 2 13 46" xfId="30456"/>
    <cellStyle name="Suma 2 13 46 2" xfId="30457"/>
    <cellStyle name="Suma 2 13 46 3" xfId="30458"/>
    <cellStyle name="Suma 2 13 47" xfId="30459"/>
    <cellStyle name="Suma 2 13 47 2" xfId="30460"/>
    <cellStyle name="Suma 2 13 47 3" xfId="30461"/>
    <cellStyle name="Suma 2 13 48" xfId="30462"/>
    <cellStyle name="Suma 2 13 48 2" xfId="30463"/>
    <cellStyle name="Suma 2 13 48 3" xfId="30464"/>
    <cellStyle name="Suma 2 13 49" xfId="30465"/>
    <cellStyle name="Suma 2 13 49 2" xfId="30466"/>
    <cellStyle name="Suma 2 13 49 3" xfId="30467"/>
    <cellStyle name="Suma 2 13 5" xfId="30468"/>
    <cellStyle name="Suma 2 13 5 2" xfId="30469"/>
    <cellStyle name="Suma 2 13 5 3" xfId="30470"/>
    <cellStyle name="Suma 2 13 5 4" xfId="30471"/>
    <cellStyle name="Suma 2 13 50" xfId="30472"/>
    <cellStyle name="Suma 2 13 50 2" xfId="30473"/>
    <cellStyle name="Suma 2 13 50 3" xfId="30474"/>
    <cellStyle name="Suma 2 13 51" xfId="30475"/>
    <cellStyle name="Suma 2 13 51 2" xfId="30476"/>
    <cellStyle name="Suma 2 13 51 3" xfId="30477"/>
    <cellStyle name="Suma 2 13 52" xfId="30478"/>
    <cellStyle name="Suma 2 13 52 2" xfId="30479"/>
    <cellStyle name="Suma 2 13 52 3" xfId="30480"/>
    <cellStyle name="Suma 2 13 53" xfId="30481"/>
    <cellStyle name="Suma 2 13 53 2" xfId="30482"/>
    <cellStyle name="Suma 2 13 53 3" xfId="30483"/>
    <cellStyle name="Suma 2 13 54" xfId="30484"/>
    <cellStyle name="Suma 2 13 54 2" xfId="30485"/>
    <cellStyle name="Suma 2 13 54 3" xfId="30486"/>
    <cellStyle name="Suma 2 13 55" xfId="30487"/>
    <cellStyle name="Suma 2 13 55 2" xfId="30488"/>
    <cellStyle name="Suma 2 13 55 3" xfId="30489"/>
    <cellStyle name="Suma 2 13 56" xfId="30490"/>
    <cellStyle name="Suma 2 13 56 2" xfId="30491"/>
    <cellStyle name="Suma 2 13 56 3" xfId="30492"/>
    <cellStyle name="Suma 2 13 57" xfId="30493"/>
    <cellStyle name="Suma 2 13 58" xfId="30494"/>
    <cellStyle name="Suma 2 13 6" xfId="30495"/>
    <cellStyle name="Suma 2 13 6 2" xfId="30496"/>
    <cellStyle name="Suma 2 13 6 3" xfId="30497"/>
    <cellStyle name="Suma 2 13 6 4" xfId="30498"/>
    <cellStyle name="Suma 2 13 7" xfId="30499"/>
    <cellStyle name="Suma 2 13 7 2" xfId="30500"/>
    <cellStyle name="Suma 2 13 7 3" xfId="30501"/>
    <cellStyle name="Suma 2 13 7 4" xfId="30502"/>
    <cellStyle name="Suma 2 13 8" xfId="30503"/>
    <cellStyle name="Suma 2 13 8 2" xfId="30504"/>
    <cellStyle name="Suma 2 13 8 3" xfId="30505"/>
    <cellStyle name="Suma 2 13 8 4" xfId="30506"/>
    <cellStyle name="Suma 2 13 9" xfId="30507"/>
    <cellStyle name="Suma 2 13 9 2" xfId="30508"/>
    <cellStyle name="Suma 2 13 9 3" xfId="30509"/>
    <cellStyle name="Suma 2 13 9 4" xfId="30510"/>
    <cellStyle name="Suma 2 14" xfId="30511"/>
    <cellStyle name="Suma 2 14 10" xfId="30512"/>
    <cellStyle name="Suma 2 14 10 2" xfId="30513"/>
    <cellStyle name="Suma 2 14 10 3" xfId="30514"/>
    <cellStyle name="Suma 2 14 10 4" xfId="30515"/>
    <cellStyle name="Suma 2 14 11" xfId="30516"/>
    <cellStyle name="Suma 2 14 11 2" xfId="30517"/>
    <cellStyle name="Suma 2 14 11 3" xfId="30518"/>
    <cellStyle name="Suma 2 14 11 4" xfId="30519"/>
    <cellStyle name="Suma 2 14 12" xfId="30520"/>
    <cellStyle name="Suma 2 14 12 2" xfId="30521"/>
    <cellStyle name="Suma 2 14 12 3" xfId="30522"/>
    <cellStyle name="Suma 2 14 12 4" xfId="30523"/>
    <cellStyle name="Suma 2 14 13" xfId="30524"/>
    <cellStyle name="Suma 2 14 13 2" xfId="30525"/>
    <cellStyle name="Suma 2 14 13 3" xfId="30526"/>
    <cellStyle name="Suma 2 14 13 4" xfId="30527"/>
    <cellStyle name="Suma 2 14 14" xfId="30528"/>
    <cellStyle name="Suma 2 14 14 2" xfId="30529"/>
    <cellStyle name="Suma 2 14 14 3" xfId="30530"/>
    <cellStyle name="Suma 2 14 14 4" xfId="30531"/>
    <cellStyle name="Suma 2 14 15" xfId="30532"/>
    <cellStyle name="Suma 2 14 15 2" xfId="30533"/>
    <cellStyle name="Suma 2 14 15 3" xfId="30534"/>
    <cellStyle name="Suma 2 14 15 4" xfId="30535"/>
    <cellStyle name="Suma 2 14 16" xfId="30536"/>
    <cellStyle name="Suma 2 14 16 2" xfId="30537"/>
    <cellStyle name="Suma 2 14 16 3" xfId="30538"/>
    <cellStyle name="Suma 2 14 16 4" xfId="30539"/>
    <cellStyle name="Suma 2 14 17" xfId="30540"/>
    <cellStyle name="Suma 2 14 17 2" xfId="30541"/>
    <cellStyle name="Suma 2 14 17 3" xfId="30542"/>
    <cellStyle name="Suma 2 14 17 4" xfId="30543"/>
    <cellStyle name="Suma 2 14 18" xfId="30544"/>
    <cellStyle name="Suma 2 14 18 2" xfId="30545"/>
    <cellStyle name="Suma 2 14 18 3" xfId="30546"/>
    <cellStyle name="Suma 2 14 18 4" xfId="30547"/>
    <cellStyle name="Suma 2 14 19" xfId="30548"/>
    <cellStyle name="Suma 2 14 19 2" xfId="30549"/>
    <cellStyle name="Suma 2 14 19 3" xfId="30550"/>
    <cellStyle name="Suma 2 14 19 4" xfId="30551"/>
    <cellStyle name="Suma 2 14 2" xfId="30552"/>
    <cellStyle name="Suma 2 14 2 2" xfId="30553"/>
    <cellStyle name="Suma 2 14 2 3" xfId="30554"/>
    <cellStyle name="Suma 2 14 2 4" xfId="30555"/>
    <cellStyle name="Suma 2 14 20" xfId="30556"/>
    <cellStyle name="Suma 2 14 20 2" xfId="30557"/>
    <cellStyle name="Suma 2 14 20 3" xfId="30558"/>
    <cellStyle name="Suma 2 14 20 4" xfId="30559"/>
    <cellStyle name="Suma 2 14 21" xfId="30560"/>
    <cellStyle name="Suma 2 14 21 2" xfId="30561"/>
    <cellStyle name="Suma 2 14 21 3" xfId="30562"/>
    <cellStyle name="Suma 2 14 22" xfId="30563"/>
    <cellStyle name="Suma 2 14 22 2" xfId="30564"/>
    <cellStyle name="Suma 2 14 22 3" xfId="30565"/>
    <cellStyle name="Suma 2 14 23" xfId="30566"/>
    <cellStyle name="Suma 2 14 23 2" xfId="30567"/>
    <cellStyle name="Suma 2 14 23 3" xfId="30568"/>
    <cellStyle name="Suma 2 14 24" xfId="30569"/>
    <cellStyle name="Suma 2 14 24 2" xfId="30570"/>
    <cellStyle name="Suma 2 14 24 3" xfId="30571"/>
    <cellStyle name="Suma 2 14 25" xfId="30572"/>
    <cellStyle name="Suma 2 14 25 2" xfId="30573"/>
    <cellStyle name="Suma 2 14 25 3" xfId="30574"/>
    <cellStyle name="Suma 2 14 26" xfId="30575"/>
    <cellStyle name="Suma 2 14 26 2" xfId="30576"/>
    <cellStyle name="Suma 2 14 26 3" xfId="30577"/>
    <cellStyle name="Suma 2 14 27" xfId="30578"/>
    <cellStyle name="Suma 2 14 27 2" xfId="30579"/>
    <cellStyle name="Suma 2 14 27 3" xfId="30580"/>
    <cellStyle name="Suma 2 14 28" xfId="30581"/>
    <cellStyle name="Suma 2 14 28 2" xfId="30582"/>
    <cellStyle name="Suma 2 14 28 3" xfId="30583"/>
    <cellStyle name="Suma 2 14 29" xfId="30584"/>
    <cellStyle name="Suma 2 14 29 2" xfId="30585"/>
    <cellStyle name="Suma 2 14 29 3" xfId="30586"/>
    <cellStyle name="Suma 2 14 3" xfId="30587"/>
    <cellStyle name="Suma 2 14 3 2" xfId="30588"/>
    <cellStyle name="Suma 2 14 3 3" xfId="30589"/>
    <cellStyle name="Suma 2 14 3 4" xfId="30590"/>
    <cellStyle name="Suma 2 14 30" xfId="30591"/>
    <cellStyle name="Suma 2 14 30 2" xfId="30592"/>
    <cellStyle name="Suma 2 14 30 3" xfId="30593"/>
    <cellStyle name="Suma 2 14 31" xfId="30594"/>
    <cellStyle name="Suma 2 14 31 2" xfId="30595"/>
    <cellStyle name="Suma 2 14 31 3" xfId="30596"/>
    <cellStyle name="Suma 2 14 32" xfId="30597"/>
    <cellStyle name="Suma 2 14 32 2" xfId="30598"/>
    <cellStyle name="Suma 2 14 32 3" xfId="30599"/>
    <cellStyle name="Suma 2 14 33" xfId="30600"/>
    <cellStyle name="Suma 2 14 33 2" xfId="30601"/>
    <cellStyle name="Suma 2 14 33 3" xfId="30602"/>
    <cellStyle name="Suma 2 14 34" xfId="30603"/>
    <cellStyle name="Suma 2 14 34 2" xfId="30604"/>
    <cellStyle name="Suma 2 14 34 3" xfId="30605"/>
    <cellStyle name="Suma 2 14 35" xfId="30606"/>
    <cellStyle name="Suma 2 14 35 2" xfId="30607"/>
    <cellStyle name="Suma 2 14 35 3" xfId="30608"/>
    <cellStyle name="Suma 2 14 36" xfId="30609"/>
    <cellStyle name="Suma 2 14 36 2" xfId="30610"/>
    <cellStyle name="Suma 2 14 36 3" xfId="30611"/>
    <cellStyle name="Suma 2 14 37" xfId="30612"/>
    <cellStyle name="Suma 2 14 37 2" xfId="30613"/>
    <cellStyle name="Suma 2 14 37 3" xfId="30614"/>
    <cellStyle name="Suma 2 14 38" xfId="30615"/>
    <cellStyle name="Suma 2 14 38 2" xfId="30616"/>
    <cellStyle name="Suma 2 14 38 3" xfId="30617"/>
    <cellStyle name="Suma 2 14 39" xfId="30618"/>
    <cellStyle name="Suma 2 14 39 2" xfId="30619"/>
    <cellStyle name="Suma 2 14 39 3" xfId="30620"/>
    <cellStyle name="Suma 2 14 4" xfId="30621"/>
    <cellStyle name="Suma 2 14 4 2" xfId="30622"/>
    <cellStyle name="Suma 2 14 4 3" xfId="30623"/>
    <cellStyle name="Suma 2 14 4 4" xfId="30624"/>
    <cellStyle name="Suma 2 14 40" xfId="30625"/>
    <cellStyle name="Suma 2 14 40 2" xfId="30626"/>
    <cellStyle name="Suma 2 14 40 3" xfId="30627"/>
    <cellStyle name="Suma 2 14 41" xfId="30628"/>
    <cellStyle name="Suma 2 14 41 2" xfId="30629"/>
    <cellStyle name="Suma 2 14 41 3" xfId="30630"/>
    <cellStyle name="Suma 2 14 42" xfId="30631"/>
    <cellStyle name="Suma 2 14 42 2" xfId="30632"/>
    <cellStyle name="Suma 2 14 42 3" xfId="30633"/>
    <cellStyle name="Suma 2 14 43" xfId="30634"/>
    <cellStyle name="Suma 2 14 43 2" xfId="30635"/>
    <cellStyle name="Suma 2 14 43 3" xfId="30636"/>
    <cellStyle name="Suma 2 14 44" xfId="30637"/>
    <cellStyle name="Suma 2 14 44 2" xfId="30638"/>
    <cellStyle name="Suma 2 14 44 3" xfId="30639"/>
    <cellStyle name="Suma 2 14 45" xfId="30640"/>
    <cellStyle name="Suma 2 14 45 2" xfId="30641"/>
    <cellStyle name="Suma 2 14 45 3" xfId="30642"/>
    <cellStyle name="Suma 2 14 46" xfId="30643"/>
    <cellStyle name="Suma 2 14 46 2" xfId="30644"/>
    <cellStyle name="Suma 2 14 46 3" xfId="30645"/>
    <cellStyle name="Suma 2 14 47" xfId="30646"/>
    <cellStyle name="Suma 2 14 47 2" xfId="30647"/>
    <cellStyle name="Suma 2 14 47 3" xfId="30648"/>
    <cellStyle name="Suma 2 14 48" xfId="30649"/>
    <cellStyle name="Suma 2 14 48 2" xfId="30650"/>
    <cellStyle name="Suma 2 14 48 3" xfId="30651"/>
    <cellStyle name="Suma 2 14 49" xfId="30652"/>
    <cellStyle name="Suma 2 14 49 2" xfId="30653"/>
    <cellStyle name="Suma 2 14 49 3" xfId="30654"/>
    <cellStyle name="Suma 2 14 5" xfId="30655"/>
    <cellStyle name="Suma 2 14 5 2" xfId="30656"/>
    <cellStyle name="Suma 2 14 5 3" xfId="30657"/>
    <cellStyle name="Suma 2 14 5 4" xfId="30658"/>
    <cellStyle name="Suma 2 14 50" xfId="30659"/>
    <cellStyle name="Suma 2 14 50 2" xfId="30660"/>
    <cellStyle name="Suma 2 14 50 3" xfId="30661"/>
    <cellStyle name="Suma 2 14 51" xfId="30662"/>
    <cellStyle name="Suma 2 14 51 2" xfId="30663"/>
    <cellStyle name="Suma 2 14 51 3" xfId="30664"/>
    <cellStyle name="Suma 2 14 52" xfId="30665"/>
    <cellStyle name="Suma 2 14 52 2" xfId="30666"/>
    <cellStyle name="Suma 2 14 52 3" xfId="30667"/>
    <cellStyle name="Suma 2 14 53" xfId="30668"/>
    <cellStyle name="Suma 2 14 53 2" xfId="30669"/>
    <cellStyle name="Suma 2 14 53 3" xfId="30670"/>
    <cellStyle name="Suma 2 14 54" xfId="30671"/>
    <cellStyle name="Suma 2 14 54 2" xfId="30672"/>
    <cellStyle name="Suma 2 14 54 3" xfId="30673"/>
    <cellStyle name="Suma 2 14 55" xfId="30674"/>
    <cellStyle name="Suma 2 14 55 2" xfId="30675"/>
    <cellStyle name="Suma 2 14 55 3" xfId="30676"/>
    <cellStyle name="Suma 2 14 56" xfId="30677"/>
    <cellStyle name="Suma 2 14 56 2" xfId="30678"/>
    <cellStyle name="Suma 2 14 56 3" xfId="30679"/>
    <cellStyle name="Suma 2 14 57" xfId="30680"/>
    <cellStyle name="Suma 2 14 58" xfId="30681"/>
    <cellStyle name="Suma 2 14 6" xfId="30682"/>
    <cellStyle name="Suma 2 14 6 2" xfId="30683"/>
    <cellStyle name="Suma 2 14 6 3" xfId="30684"/>
    <cellStyle name="Suma 2 14 6 4" xfId="30685"/>
    <cellStyle name="Suma 2 14 7" xfId="30686"/>
    <cellStyle name="Suma 2 14 7 2" xfId="30687"/>
    <cellStyle name="Suma 2 14 7 3" xfId="30688"/>
    <cellStyle name="Suma 2 14 7 4" xfId="30689"/>
    <cellStyle name="Suma 2 14 8" xfId="30690"/>
    <cellStyle name="Suma 2 14 8 2" xfId="30691"/>
    <cellStyle name="Suma 2 14 8 3" xfId="30692"/>
    <cellStyle name="Suma 2 14 8 4" xfId="30693"/>
    <cellStyle name="Suma 2 14 9" xfId="30694"/>
    <cellStyle name="Suma 2 14 9 2" xfId="30695"/>
    <cellStyle name="Suma 2 14 9 3" xfId="30696"/>
    <cellStyle name="Suma 2 14 9 4" xfId="30697"/>
    <cellStyle name="Suma 2 15" xfId="30698"/>
    <cellStyle name="Suma 2 15 10" xfId="30699"/>
    <cellStyle name="Suma 2 15 10 2" xfId="30700"/>
    <cellStyle name="Suma 2 15 10 3" xfId="30701"/>
    <cellStyle name="Suma 2 15 10 4" xfId="30702"/>
    <cellStyle name="Suma 2 15 11" xfId="30703"/>
    <cellStyle name="Suma 2 15 11 2" xfId="30704"/>
    <cellStyle name="Suma 2 15 11 3" xfId="30705"/>
    <cellStyle name="Suma 2 15 11 4" xfId="30706"/>
    <cellStyle name="Suma 2 15 12" xfId="30707"/>
    <cellStyle name="Suma 2 15 12 2" xfId="30708"/>
    <cellStyle name="Suma 2 15 12 3" xfId="30709"/>
    <cellStyle name="Suma 2 15 12 4" xfId="30710"/>
    <cellStyle name="Suma 2 15 13" xfId="30711"/>
    <cellStyle name="Suma 2 15 13 2" xfId="30712"/>
    <cellStyle name="Suma 2 15 13 3" xfId="30713"/>
    <cellStyle name="Suma 2 15 13 4" xfId="30714"/>
    <cellStyle name="Suma 2 15 14" xfId="30715"/>
    <cellStyle name="Suma 2 15 14 2" xfId="30716"/>
    <cellStyle name="Suma 2 15 14 3" xfId="30717"/>
    <cellStyle name="Suma 2 15 14 4" xfId="30718"/>
    <cellStyle name="Suma 2 15 15" xfId="30719"/>
    <cellStyle name="Suma 2 15 15 2" xfId="30720"/>
    <cellStyle name="Suma 2 15 15 3" xfId="30721"/>
    <cellStyle name="Suma 2 15 15 4" xfId="30722"/>
    <cellStyle name="Suma 2 15 16" xfId="30723"/>
    <cellStyle name="Suma 2 15 16 2" xfId="30724"/>
    <cellStyle name="Suma 2 15 16 3" xfId="30725"/>
    <cellStyle name="Suma 2 15 16 4" xfId="30726"/>
    <cellStyle name="Suma 2 15 17" xfId="30727"/>
    <cellStyle name="Suma 2 15 17 2" xfId="30728"/>
    <cellStyle name="Suma 2 15 17 3" xfId="30729"/>
    <cellStyle name="Suma 2 15 17 4" xfId="30730"/>
    <cellStyle name="Suma 2 15 18" xfId="30731"/>
    <cellStyle name="Suma 2 15 18 2" xfId="30732"/>
    <cellStyle name="Suma 2 15 18 3" xfId="30733"/>
    <cellStyle name="Suma 2 15 18 4" xfId="30734"/>
    <cellStyle name="Suma 2 15 19" xfId="30735"/>
    <cellStyle name="Suma 2 15 19 2" xfId="30736"/>
    <cellStyle name="Suma 2 15 19 3" xfId="30737"/>
    <cellStyle name="Suma 2 15 19 4" xfId="30738"/>
    <cellStyle name="Suma 2 15 2" xfId="30739"/>
    <cellStyle name="Suma 2 15 2 2" xfId="30740"/>
    <cellStyle name="Suma 2 15 2 3" xfId="30741"/>
    <cellStyle name="Suma 2 15 2 4" xfId="30742"/>
    <cellStyle name="Suma 2 15 20" xfId="30743"/>
    <cellStyle name="Suma 2 15 20 2" xfId="30744"/>
    <cellStyle name="Suma 2 15 20 3" xfId="30745"/>
    <cellStyle name="Suma 2 15 20 4" xfId="30746"/>
    <cellStyle name="Suma 2 15 21" xfId="30747"/>
    <cellStyle name="Suma 2 15 21 2" xfId="30748"/>
    <cellStyle name="Suma 2 15 21 3" xfId="30749"/>
    <cellStyle name="Suma 2 15 22" xfId="30750"/>
    <cellStyle name="Suma 2 15 22 2" xfId="30751"/>
    <cellStyle name="Suma 2 15 22 3" xfId="30752"/>
    <cellStyle name="Suma 2 15 23" xfId="30753"/>
    <cellStyle name="Suma 2 15 23 2" xfId="30754"/>
    <cellStyle name="Suma 2 15 23 3" xfId="30755"/>
    <cellStyle name="Suma 2 15 24" xfId="30756"/>
    <cellStyle name="Suma 2 15 24 2" xfId="30757"/>
    <cellStyle name="Suma 2 15 24 3" xfId="30758"/>
    <cellStyle name="Suma 2 15 25" xfId="30759"/>
    <cellStyle name="Suma 2 15 25 2" xfId="30760"/>
    <cellStyle name="Suma 2 15 25 3" xfId="30761"/>
    <cellStyle name="Suma 2 15 26" xfId="30762"/>
    <cellStyle name="Suma 2 15 26 2" xfId="30763"/>
    <cellStyle name="Suma 2 15 26 3" xfId="30764"/>
    <cellStyle name="Suma 2 15 27" xfId="30765"/>
    <cellStyle name="Suma 2 15 27 2" xfId="30766"/>
    <cellStyle name="Suma 2 15 27 3" xfId="30767"/>
    <cellStyle name="Suma 2 15 28" xfId="30768"/>
    <cellStyle name="Suma 2 15 28 2" xfId="30769"/>
    <cellStyle name="Suma 2 15 28 3" xfId="30770"/>
    <cellStyle name="Suma 2 15 29" xfId="30771"/>
    <cellStyle name="Suma 2 15 29 2" xfId="30772"/>
    <cellStyle name="Suma 2 15 29 3" xfId="30773"/>
    <cellStyle name="Suma 2 15 3" xfId="30774"/>
    <cellStyle name="Suma 2 15 3 2" xfId="30775"/>
    <cellStyle name="Suma 2 15 3 3" xfId="30776"/>
    <cellStyle name="Suma 2 15 3 4" xfId="30777"/>
    <cellStyle name="Suma 2 15 30" xfId="30778"/>
    <cellStyle name="Suma 2 15 30 2" xfId="30779"/>
    <cellStyle name="Suma 2 15 30 3" xfId="30780"/>
    <cellStyle name="Suma 2 15 31" xfId="30781"/>
    <cellStyle name="Suma 2 15 31 2" xfId="30782"/>
    <cellStyle name="Suma 2 15 31 3" xfId="30783"/>
    <cellStyle name="Suma 2 15 32" xfId="30784"/>
    <cellStyle name="Suma 2 15 32 2" xfId="30785"/>
    <cellStyle name="Suma 2 15 32 3" xfId="30786"/>
    <cellStyle name="Suma 2 15 33" xfId="30787"/>
    <cellStyle name="Suma 2 15 33 2" xfId="30788"/>
    <cellStyle name="Suma 2 15 33 3" xfId="30789"/>
    <cellStyle name="Suma 2 15 34" xfId="30790"/>
    <cellStyle name="Suma 2 15 34 2" xfId="30791"/>
    <cellStyle name="Suma 2 15 34 3" xfId="30792"/>
    <cellStyle name="Suma 2 15 35" xfId="30793"/>
    <cellStyle name="Suma 2 15 35 2" xfId="30794"/>
    <cellStyle name="Suma 2 15 35 3" xfId="30795"/>
    <cellStyle name="Suma 2 15 36" xfId="30796"/>
    <cellStyle name="Suma 2 15 36 2" xfId="30797"/>
    <cellStyle name="Suma 2 15 36 3" xfId="30798"/>
    <cellStyle name="Suma 2 15 37" xfId="30799"/>
    <cellStyle name="Suma 2 15 37 2" xfId="30800"/>
    <cellStyle name="Suma 2 15 37 3" xfId="30801"/>
    <cellStyle name="Suma 2 15 38" xfId="30802"/>
    <cellStyle name="Suma 2 15 38 2" xfId="30803"/>
    <cellStyle name="Suma 2 15 38 3" xfId="30804"/>
    <cellStyle name="Suma 2 15 39" xfId="30805"/>
    <cellStyle name="Suma 2 15 39 2" xfId="30806"/>
    <cellStyle name="Suma 2 15 39 3" xfId="30807"/>
    <cellStyle name="Suma 2 15 4" xfId="30808"/>
    <cellStyle name="Suma 2 15 4 2" xfId="30809"/>
    <cellStyle name="Suma 2 15 4 3" xfId="30810"/>
    <cellStyle name="Suma 2 15 4 4" xfId="30811"/>
    <cellStyle name="Suma 2 15 40" xfId="30812"/>
    <cellStyle name="Suma 2 15 40 2" xfId="30813"/>
    <cellStyle name="Suma 2 15 40 3" xfId="30814"/>
    <cellStyle name="Suma 2 15 41" xfId="30815"/>
    <cellStyle name="Suma 2 15 41 2" xfId="30816"/>
    <cellStyle name="Suma 2 15 41 3" xfId="30817"/>
    <cellStyle name="Suma 2 15 42" xfId="30818"/>
    <cellStyle name="Suma 2 15 42 2" xfId="30819"/>
    <cellStyle name="Suma 2 15 42 3" xfId="30820"/>
    <cellStyle name="Suma 2 15 43" xfId="30821"/>
    <cellStyle name="Suma 2 15 43 2" xfId="30822"/>
    <cellStyle name="Suma 2 15 43 3" xfId="30823"/>
    <cellStyle name="Suma 2 15 44" xfId="30824"/>
    <cellStyle name="Suma 2 15 44 2" xfId="30825"/>
    <cellStyle name="Suma 2 15 44 3" xfId="30826"/>
    <cellStyle name="Suma 2 15 45" xfId="30827"/>
    <cellStyle name="Suma 2 15 45 2" xfId="30828"/>
    <cellStyle name="Suma 2 15 45 3" xfId="30829"/>
    <cellStyle name="Suma 2 15 46" xfId="30830"/>
    <cellStyle name="Suma 2 15 46 2" xfId="30831"/>
    <cellStyle name="Suma 2 15 46 3" xfId="30832"/>
    <cellStyle name="Suma 2 15 47" xfId="30833"/>
    <cellStyle name="Suma 2 15 47 2" xfId="30834"/>
    <cellStyle name="Suma 2 15 47 3" xfId="30835"/>
    <cellStyle name="Suma 2 15 48" xfId="30836"/>
    <cellStyle name="Suma 2 15 48 2" xfId="30837"/>
    <cellStyle name="Suma 2 15 48 3" xfId="30838"/>
    <cellStyle name="Suma 2 15 49" xfId="30839"/>
    <cellStyle name="Suma 2 15 49 2" xfId="30840"/>
    <cellStyle name="Suma 2 15 49 3" xfId="30841"/>
    <cellStyle name="Suma 2 15 5" xfId="30842"/>
    <cellStyle name="Suma 2 15 5 2" xfId="30843"/>
    <cellStyle name="Suma 2 15 5 3" xfId="30844"/>
    <cellStyle name="Suma 2 15 5 4" xfId="30845"/>
    <cellStyle name="Suma 2 15 50" xfId="30846"/>
    <cellStyle name="Suma 2 15 50 2" xfId="30847"/>
    <cellStyle name="Suma 2 15 50 3" xfId="30848"/>
    <cellStyle name="Suma 2 15 51" xfId="30849"/>
    <cellStyle name="Suma 2 15 51 2" xfId="30850"/>
    <cellStyle name="Suma 2 15 51 3" xfId="30851"/>
    <cellStyle name="Suma 2 15 52" xfId="30852"/>
    <cellStyle name="Suma 2 15 52 2" xfId="30853"/>
    <cellStyle name="Suma 2 15 52 3" xfId="30854"/>
    <cellStyle name="Suma 2 15 53" xfId="30855"/>
    <cellStyle name="Suma 2 15 53 2" xfId="30856"/>
    <cellStyle name="Suma 2 15 53 3" xfId="30857"/>
    <cellStyle name="Suma 2 15 54" xfId="30858"/>
    <cellStyle name="Suma 2 15 54 2" xfId="30859"/>
    <cellStyle name="Suma 2 15 54 3" xfId="30860"/>
    <cellStyle name="Suma 2 15 55" xfId="30861"/>
    <cellStyle name="Suma 2 15 55 2" xfId="30862"/>
    <cellStyle name="Suma 2 15 55 3" xfId="30863"/>
    <cellStyle name="Suma 2 15 56" xfId="30864"/>
    <cellStyle name="Suma 2 15 56 2" xfId="30865"/>
    <cellStyle name="Suma 2 15 56 3" xfId="30866"/>
    <cellStyle name="Suma 2 15 57" xfId="30867"/>
    <cellStyle name="Suma 2 15 58" xfId="30868"/>
    <cellStyle name="Suma 2 15 6" xfId="30869"/>
    <cellStyle name="Suma 2 15 6 2" xfId="30870"/>
    <cellStyle name="Suma 2 15 6 3" xfId="30871"/>
    <cellStyle name="Suma 2 15 6 4" xfId="30872"/>
    <cellStyle name="Suma 2 15 7" xfId="30873"/>
    <cellStyle name="Suma 2 15 7 2" xfId="30874"/>
    <cellStyle name="Suma 2 15 7 3" xfId="30875"/>
    <cellStyle name="Suma 2 15 7 4" xfId="30876"/>
    <cellStyle name="Suma 2 15 8" xfId="30877"/>
    <cellStyle name="Suma 2 15 8 2" xfId="30878"/>
    <cellStyle name="Suma 2 15 8 3" xfId="30879"/>
    <cellStyle name="Suma 2 15 8 4" xfId="30880"/>
    <cellStyle name="Suma 2 15 9" xfId="30881"/>
    <cellStyle name="Suma 2 15 9 2" xfId="30882"/>
    <cellStyle name="Suma 2 15 9 3" xfId="30883"/>
    <cellStyle name="Suma 2 15 9 4" xfId="30884"/>
    <cellStyle name="Suma 2 16" xfId="30885"/>
    <cellStyle name="Suma 2 16 10" xfId="30886"/>
    <cellStyle name="Suma 2 16 10 2" xfId="30887"/>
    <cellStyle name="Suma 2 16 10 3" xfId="30888"/>
    <cellStyle name="Suma 2 16 10 4" xfId="30889"/>
    <cellStyle name="Suma 2 16 11" xfId="30890"/>
    <cellStyle name="Suma 2 16 11 2" xfId="30891"/>
    <cellStyle name="Suma 2 16 11 3" xfId="30892"/>
    <cellStyle name="Suma 2 16 11 4" xfId="30893"/>
    <cellStyle name="Suma 2 16 12" xfId="30894"/>
    <cellStyle name="Suma 2 16 12 2" xfId="30895"/>
    <cellStyle name="Suma 2 16 12 3" xfId="30896"/>
    <cellStyle name="Suma 2 16 12 4" xfId="30897"/>
    <cellStyle name="Suma 2 16 13" xfId="30898"/>
    <cellStyle name="Suma 2 16 13 2" xfId="30899"/>
    <cellStyle name="Suma 2 16 13 3" xfId="30900"/>
    <cellStyle name="Suma 2 16 13 4" xfId="30901"/>
    <cellStyle name="Suma 2 16 14" xfId="30902"/>
    <cellStyle name="Suma 2 16 14 2" xfId="30903"/>
    <cellStyle name="Suma 2 16 14 3" xfId="30904"/>
    <cellStyle name="Suma 2 16 14 4" xfId="30905"/>
    <cellStyle name="Suma 2 16 15" xfId="30906"/>
    <cellStyle name="Suma 2 16 15 2" xfId="30907"/>
    <cellStyle name="Suma 2 16 15 3" xfId="30908"/>
    <cellStyle name="Suma 2 16 15 4" xfId="30909"/>
    <cellStyle name="Suma 2 16 16" xfId="30910"/>
    <cellStyle name="Suma 2 16 16 2" xfId="30911"/>
    <cellStyle name="Suma 2 16 16 3" xfId="30912"/>
    <cellStyle name="Suma 2 16 16 4" xfId="30913"/>
    <cellStyle name="Suma 2 16 17" xfId="30914"/>
    <cellStyle name="Suma 2 16 17 2" xfId="30915"/>
    <cellStyle name="Suma 2 16 17 3" xfId="30916"/>
    <cellStyle name="Suma 2 16 17 4" xfId="30917"/>
    <cellStyle name="Suma 2 16 18" xfId="30918"/>
    <cellStyle name="Suma 2 16 18 2" xfId="30919"/>
    <cellStyle name="Suma 2 16 18 3" xfId="30920"/>
    <cellStyle name="Suma 2 16 18 4" xfId="30921"/>
    <cellStyle name="Suma 2 16 19" xfId="30922"/>
    <cellStyle name="Suma 2 16 19 2" xfId="30923"/>
    <cellStyle name="Suma 2 16 19 3" xfId="30924"/>
    <cellStyle name="Suma 2 16 19 4" xfId="30925"/>
    <cellStyle name="Suma 2 16 2" xfId="30926"/>
    <cellStyle name="Suma 2 16 2 2" xfId="30927"/>
    <cellStyle name="Suma 2 16 2 3" xfId="30928"/>
    <cellStyle name="Suma 2 16 2 4" xfId="30929"/>
    <cellStyle name="Suma 2 16 20" xfId="30930"/>
    <cellStyle name="Suma 2 16 20 2" xfId="30931"/>
    <cellStyle name="Suma 2 16 20 3" xfId="30932"/>
    <cellStyle name="Suma 2 16 20 4" xfId="30933"/>
    <cellStyle name="Suma 2 16 21" xfId="30934"/>
    <cellStyle name="Suma 2 16 21 2" xfId="30935"/>
    <cellStyle name="Suma 2 16 21 3" xfId="30936"/>
    <cellStyle name="Suma 2 16 22" xfId="30937"/>
    <cellStyle name="Suma 2 16 22 2" xfId="30938"/>
    <cellStyle name="Suma 2 16 22 3" xfId="30939"/>
    <cellStyle name="Suma 2 16 23" xfId="30940"/>
    <cellStyle name="Suma 2 16 23 2" xfId="30941"/>
    <cellStyle name="Suma 2 16 23 3" xfId="30942"/>
    <cellStyle name="Suma 2 16 24" xfId="30943"/>
    <cellStyle name="Suma 2 16 24 2" xfId="30944"/>
    <cellStyle name="Suma 2 16 24 3" xfId="30945"/>
    <cellStyle name="Suma 2 16 25" xfId="30946"/>
    <cellStyle name="Suma 2 16 25 2" xfId="30947"/>
    <cellStyle name="Suma 2 16 25 3" xfId="30948"/>
    <cellStyle name="Suma 2 16 26" xfId="30949"/>
    <cellStyle name="Suma 2 16 26 2" xfId="30950"/>
    <cellStyle name="Suma 2 16 26 3" xfId="30951"/>
    <cellStyle name="Suma 2 16 27" xfId="30952"/>
    <cellStyle name="Suma 2 16 27 2" xfId="30953"/>
    <cellStyle name="Suma 2 16 27 3" xfId="30954"/>
    <cellStyle name="Suma 2 16 28" xfId="30955"/>
    <cellStyle name="Suma 2 16 28 2" xfId="30956"/>
    <cellStyle name="Suma 2 16 28 3" xfId="30957"/>
    <cellStyle name="Suma 2 16 29" xfId="30958"/>
    <cellStyle name="Suma 2 16 29 2" xfId="30959"/>
    <cellStyle name="Suma 2 16 29 3" xfId="30960"/>
    <cellStyle name="Suma 2 16 3" xfId="30961"/>
    <cellStyle name="Suma 2 16 3 2" xfId="30962"/>
    <cellStyle name="Suma 2 16 3 3" xfId="30963"/>
    <cellStyle name="Suma 2 16 3 4" xfId="30964"/>
    <cellStyle name="Suma 2 16 30" xfId="30965"/>
    <cellStyle name="Suma 2 16 30 2" xfId="30966"/>
    <cellStyle name="Suma 2 16 30 3" xfId="30967"/>
    <cellStyle name="Suma 2 16 31" xfId="30968"/>
    <cellStyle name="Suma 2 16 31 2" xfId="30969"/>
    <cellStyle name="Suma 2 16 31 3" xfId="30970"/>
    <cellStyle name="Suma 2 16 32" xfId="30971"/>
    <cellStyle name="Suma 2 16 32 2" xfId="30972"/>
    <cellStyle name="Suma 2 16 32 3" xfId="30973"/>
    <cellStyle name="Suma 2 16 33" xfId="30974"/>
    <cellStyle name="Suma 2 16 33 2" xfId="30975"/>
    <cellStyle name="Suma 2 16 33 3" xfId="30976"/>
    <cellStyle name="Suma 2 16 34" xfId="30977"/>
    <cellStyle name="Suma 2 16 34 2" xfId="30978"/>
    <cellStyle name="Suma 2 16 34 3" xfId="30979"/>
    <cellStyle name="Suma 2 16 35" xfId="30980"/>
    <cellStyle name="Suma 2 16 35 2" xfId="30981"/>
    <cellStyle name="Suma 2 16 35 3" xfId="30982"/>
    <cellStyle name="Suma 2 16 36" xfId="30983"/>
    <cellStyle name="Suma 2 16 36 2" xfId="30984"/>
    <cellStyle name="Suma 2 16 36 3" xfId="30985"/>
    <cellStyle name="Suma 2 16 37" xfId="30986"/>
    <cellStyle name="Suma 2 16 37 2" xfId="30987"/>
    <cellStyle name="Suma 2 16 37 3" xfId="30988"/>
    <cellStyle name="Suma 2 16 38" xfId="30989"/>
    <cellStyle name="Suma 2 16 38 2" xfId="30990"/>
    <cellStyle name="Suma 2 16 38 3" xfId="30991"/>
    <cellStyle name="Suma 2 16 39" xfId="30992"/>
    <cellStyle name="Suma 2 16 39 2" xfId="30993"/>
    <cellStyle name="Suma 2 16 39 3" xfId="30994"/>
    <cellStyle name="Suma 2 16 4" xfId="30995"/>
    <cellStyle name="Suma 2 16 4 2" xfId="30996"/>
    <cellStyle name="Suma 2 16 4 3" xfId="30997"/>
    <cellStyle name="Suma 2 16 4 4" xfId="30998"/>
    <cellStyle name="Suma 2 16 40" xfId="30999"/>
    <cellStyle name="Suma 2 16 40 2" xfId="31000"/>
    <cellStyle name="Suma 2 16 40 3" xfId="31001"/>
    <cellStyle name="Suma 2 16 41" xfId="31002"/>
    <cellStyle name="Suma 2 16 41 2" xfId="31003"/>
    <cellStyle name="Suma 2 16 41 3" xfId="31004"/>
    <cellStyle name="Suma 2 16 42" xfId="31005"/>
    <cellStyle name="Suma 2 16 42 2" xfId="31006"/>
    <cellStyle name="Suma 2 16 42 3" xfId="31007"/>
    <cellStyle name="Suma 2 16 43" xfId="31008"/>
    <cellStyle name="Suma 2 16 43 2" xfId="31009"/>
    <cellStyle name="Suma 2 16 43 3" xfId="31010"/>
    <cellStyle name="Suma 2 16 44" xfId="31011"/>
    <cellStyle name="Suma 2 16 44 2" xfId="31012"/>
    <cellStyle name="Suma 2 16 44 3" xfId="31013"/>
    <cellStyle name="Suma 2 16 45" xfId="31014"/>
    <cellStyle name="Suma 2 16 45 2" xfId="31015"/>
    <cellStyle name="Suma 2 16 45 3" xfId="31016"/>
    <cellStyle name="Suma 2 16 46" xfId="31017"/>
    <cellStyle name="Suma 2 16 46 2" xfId="31018"/>
    <cellStyle name="Suma 2 16 46 3" xfId="31019"/>
    <cellStyle name="Suma 2 16 47" xfId="31020"/>
    <cellStyle name="Suma 2 16 47 2" xfId="31021"/>
    <cellStyle name="Suma 2 16 47 3" xfId="31022"/>
    <cellStyle name="Suma 2 16 48" xfId="31023"/>
    <cellStyle name="Suma 2 16 48 2" xfId="31024"/>
    <cellStyle name="Suma 2 16 48 3" xfId="31025"/>
    <cellStyle name="Suma 2 16 49" xfId="31026"/>
    <cellStyle name="Suma 2 16 49 2" xfId="31027"/>
    <cellStyle name="Suma 2 16 49 3" xfId="31028"/>
    <cellStyle name="Suma 2 16 5" xfId="31029"/>
    <cellStyle name="Suma 2 16 5 2" xfId="31030"/>
    <cellStyle name="Suma 2 16 5 3" xfId="31031"/>
    <cellStyle name="Suma 2 16 5 4" xfId="31032"/>
    <cellStyle name="Suma 2 16 50" xfId="31033"/>
    <cellStyle name="Suma 2 16 50 2" xfId="31034"/>
    <cellStyle name="Suma 2 16 50 3" xfId="31035"/>
    <cellStyle name="Suma 2 16 51" xfId="31036"/>
    <cellStyle name="Suma 2 16 51 2" xfId="31037"/>
    <cellStyle name="Suma 2 16 51 3" xfId="31038"/>
    <cellStyle name="Suma 2 16 52" xfId="31039"/>
    <cellStyle name="Suma 2 16 52 2" xfId="31040"/>
    <cellStyle name="Suma 2 16 52 3" xfId="31041"/>
    <cellStyle name="Suma 2 16 53" xfId="31042"/>
    <cellStyle name="Suma 2 16 53 2" xfId="31043"/>
    <cellStyle name="Suma 2 16 53 3" xfId="31044"/>
    <cellStyle name="Suma 2 16 54" xfId="31045"/>
    <cellStyle name="Suma 2 16 54 2" xfId="31046"/>
    <cellStyle name="Suma 2 16 54 3" xfId="31047"/>
    <cellStyle name="Suma 2 16 55" xfId="31048"/>
    <cellStyle name="Suma 2 16 55 2" xfId="31049"/>
    <cellStyle name="Suma 2 16 55 3" xfId="31050"/>
    <cellStyle name="Suma 2 16 56" xfId="31051"/>
    <cellStyle name="Suma 2 16 56 2" xfId="31052"/>
    <cellStyle name="Suma 2 16 56 3" xfId="31053"/>
    <cellStyle name="Suma 2 16 57" xfId="31054"/>
    <cellStyle name="Suma 2 16 58" xfId="31055"/>
    <cellStyle name="Suma 2 16 6" xfId="31056"/>
    <cellStyle name="Suma 2 16 6 2" xfId="31057"/>
    <cellStyle name="Suma 2 16 6 3" xfId="31058"/>
    <cellStyle name="Suma 2 16 6 4" xfId="31059"/>
    <cellStyle name="Suma 2 16 7" xfId="31060"/>
    <cellStyle name="Suma 2 16 7 2" xfId="31061"/>
    <cellStyle name="Suma 2 16 7 3" xfId="31062"/>
    <cellStyle name="Suma 2 16 7 4" xfId="31063"/>
    <cellStyle name="Suma 2 16 8" xfId="31064"/>
    <cellStyle name="Suma 2 16 8 2" xfId="31065"/>
    <cellStyle name="Suma 2 16 8 3" xfId="31066"/>
    <cellStyle name="Suma 2 16 8 4" xfId="31067"/>
    <cellStyle name="Suma 2 16 9" xfId="31068"/>
    <cellStyle name="Suma 2 16 9 2" xfId="31069"/>
    <cellStyle name="Suma 2 16 9 3" xfId="31070"/>
    <cellStyle name="Suma 2 16 9 4" xfId="31071"/>
    <cellStyle name="Suma 2 17" xfId="31072"/>
    <cellStyle name="Suma 2 17 10" xfId="31073"/>
    <cellStyle name="Suma 2 17 10 2" xfId="31074"/>
    <cellStyle name="Suma 2 17 10 3" xfId="31075"/>
    <cellStyle name="Suma 2 17 10 4" xfId="31076"/>
    <cellStyle name="Suma 2 17 11" xfId="31077"/>
    <cellStyle name="Suma 2 17 11 2" xfId="31078"/>
    <cellStyle name="Suma 2 17 11 3" xfId="31079"/>
    <cellStyle name="Suma 2 17 11 4" xfId="31080"/>
    <cellStyle name="Suma 2 17 12" xfId="31081"/>
    <cellStyle name="Suma 2 17 12 2" xfId="31082"/>
    <cellStyle name="Suma 2 17 12 3" xfId="31083"/>
    <cellStyle name="Suma 2 17 12 4" xfId="31084"/>
    <cellStyle name="Suma 2 17 13" xfId="31085"/>
    <cellStyle name="Suma 2 17 13 2" xfId="31086"/>
    <cellStyle name="Suma 2 17 13 3" xfId="31087"/>
    <cellStyle name="Suma 2 17 13 4" xfId="31088"/>
    <cellStyle name="Suma 2 17 14" xfId="31089"/>
    <cellStyle name="Suma 2 17 14 2" xfId="31090"/>
    <cellStyle name="Suma 2 17 14 3" xfId="31091"/>
    <cellStyle name="Suma 2 17 14 4" xfId="31092"/>
    <cellStyle name="Suma 2 17 15" xfId="31093"/>
    <cellStyle name="Suma 2 17 15 2" xfId="31094"/>
    <cellStyle name="Suma 2 17 15 3" xfId="31095"/>
    <cellStyle name="Suma 2 17 15 4" xfId="31096"/>
    <cellStyle name="Suma 2 17 16" xfId="31097"/>
    <cellStyle name="Suma 2 17 16 2" xfId="31098"/>
    <cellStyle name="Suma 2 17 16 3" xfId="31099"/>
    <cellStyle name="Suma 2 17 16 4" xfId="31100"/>
    <cellStyle name="Suma 2 17 17" xfId="31101"/>
    <cellStyle name="Suma 2 17 17 2" xfId="31102"/>
    <cellStyle name="Suma 2 17 17 3" xfId="31103"/>
    <cellStyle name="Suma 2 17 17 4" xfId="31104"/>
    <cellStyle name="Suma 2 17 18" xfId="31105"/>
    <cellStyle name="Suma 2 17 18 2" xfId="31106"/>
    <cellStyle name="Suma 2 17 18 3" xfId="31107"/>
    <cellStyle name="Suma 2 17 18 4" xfId="31108"/>
    <cellStyle name="Suma 2 17 19" xfId="31109"/>
    <cellStyle name="Suma 2 17 19 2" xfId="31110"/>
    <cellStyle name="Suma 2 17 19 3" xfId="31111"/>
    <cellStyle name="Suma 2 17 19 4" xfId="31112"/>
    <cellStyle name="Suma 2 17 2" xfId="31113"/>
    <cellStyle name="Suma 2 17 2 2" xfId="31114"/>
    <cellStyle name="Suma 2 17 2 3" xfId="31115"/>
    <cellStyle name="Suma 2 17 2 4" xfId="31116"/>
    <cellStyle name="Suma 2 17 20" xfId="31117"/>
    <cellStyle name="Suma 2 17 20 2" xfId="31118"/>
    <cellStyle name="Suma 2 17 20 3" xfId="31119"/>
    <cellStyle name="Suma 2 17 20 4" xfId="31120"/>
    <cellStyle name="Suma 2 17 21" xfId="31121"/>
    <cellStyle name="Suma 2 17 21 2" xfId="31122"/>
    <cellStyle name="Suma 2 17 21 3" xfId="31123"/>
    <cellStyle name="Suma 2 17 22" xfId="31124"/>
    <cellStyle name="Suma 2 17 22 2" xfId="31125"/>
    <cellStyle name="Suma 2 17 22 3" xfId="31126"/>
    <cellStyle name="Suma 2 17 23" xfId="31127"/>
    <cellStyle name="Suma 2 17 23 2" xfId="31128"/>
    <cellStyle name="Suma 2 17 23 3" xfId="31129"/>
    <cellStyle name="Suma 2 17 24" xfId="31130"/>
    <cellStyle name="Suma 2 17 24 2" xfId="31131"/>
    <cellStyle name="Suma 2 17 24 3" xfId="31132"/>
    <cellStyle name="Suma 2 17 25" xfId="31133"/>
    <cellStyle name="Suma 2 17 25 2" xfId="31134"/>
    <cellStyle name="Suma 2 17 25 3" xfId="31135"/>
    <cellStyle name="Suma 2 17 26" xfId="31136"/>
    <cellStyle name="Suma 2 17 26 2" xfId="31137"/>
    <cellStyle name="Suma 2 17 26 3" xfId="31138"/>
    <cellStyle name="Suma 2 17 27" xfId="31139"/>
    <cellStyle name="Suma 2 17 27 2" xfId="31140"/>
    <cellStyle name="Suma 2 17 27 3" xfId="31141"/>
    <cellStyle name="Suma 2 17 28" xfId="31142"/>
    <cellStyle name="Suma 2 17 28 2" xfId="31143"/>
    <cellStyle name="Suma 2 17 28 3" xfId="31144"/>
    <cellStyle name="Suma 2 17 29" xfId="31145"/>
    <cellStyle name="Suma 2 17 29 2" xfId="31146"/>
    <cellStyle name="Suma 2 17 29 3" xfId="31147"/>
    <cellStyle name="Suma 2 17 3" xfId="31148"/>
    <cellStyle name="Suma 2 17 3 2" xfId="31149"/>
    <cellStyle name="Suma 2 17 3 3" xfId="31150"/>
    <cellStyle name="Suma 2 17 3 4" xfId="31151"/>
    <cellStyle name="Suma 2 17 30" xfId="31152"/>
    <cellStyle name="Suma 2 17 30 2" xfId="31153"/>
    <cellStyle name="Suma 2 17 30 3" xfId="31154"/>
    <cellStyle name="Suma 2 17 31" xfId="31155"/>
    <cellStyle name="Suma 2 17 31 2" xfId="31156"/>
    <cellStyle name="Suma 2 17 31 3" xfId="31157"/>
    <cellStyle name="Suma 2 17 32" xfId="31158"/>
    <cellStyle name="Suma 2 17 32 2" xfId="31159"/>
    <cellStyle name="Suma 2 17 32 3" xfId="31160"/>
    <cellStyle name="Suma 2 17 33" xfId="31161"/>
    <cellStyle name="Suma 2 17 33 2" xfId="31162"/>
    <cellStyle name="Suma 2 17 33 3" xfId="31163"/>
    <cellStyle name="Suma 2 17 34" xfId="31164"/>
    <cellStyle name="Suma 2 17 34 2" xfId="31165"/>
    <cellStyle name="Suma 2 17 34 3" xfId="31166"/>
    <cellStyle name="Suma 2 17 35" xfId="31167"/>
    <cellStyle name="Suma 2 17 35 2" xfId="31168"/>
    <cellStyle name="Suma 2 17 35 3" xfId="31169"/>
    <cellStyle name="Suma 2 17 36" xfId="31170"/>
    <cellStyle name="Suma 2 17 36 2" xfId="31171"/>
    <cellStyle name="Suma 2 17 36 3" xfId="31172"/>
    <cellStyle name="Suma 2 17 37" xfId="31173"/>
    <cellStyle name="Suma 2 17 37 2" xfId="31174"/>
    <cellStyle name="Suma 2 17 37 3" xfId="31175"/>
    <cellStyle name="Suma 2 17 38" xfId="31176"/>
    <cellStyle name="Suma 2 17 38 2" xfId="31177"/>
    <cellStyle name="Suma 2 17 38 3" xfId="31178"/>
    <cellStyle name="Suma 2 17 39" xfId="31179"/>
    <cellStyle name="Suma 2 17 39 2" xfId="31180"/>
    <cellStyle name="Suma 2 17 39 3" xfId="31181"/>
    <cellStyle name="Suma 2 17 4" xfId="31182"/>
    <cellStyle name="Suma 2 17 4 2" xfId="31183"/>
    <cellStyle name="Suma 2 17 4 3" xfId="31184"/>
    <cellStyle name="Suma 2 17 4 4" xfId="31185"/>
    <cellStyle name="Suma 2 17 40" xfId="31186"/>
    <cellStyle name="Suma 2 17 40 2" xfId="31187"/>
    <cellStyle name="Suma 2 17 40 3" xfId="31188"/>
    <cellStyle name="Suma 2 17 41" xfId="31189"/>
    <cellStyle name="Suma 2 17 41 2" xfId="31190"/>
    <cellStyle name="Suma 2 17 41 3" xfId="31191"/>
    <cellStyle name="Suma 2 17 42" xfId="31192"/>
    <cellStyle name="Suma 2 17 42 2" xfId="31193"/>
    <cellStyle name="Suma 2 17 42 3" xfId="31194"/>
    <cellStyle name="Suma 2 17 43" xfId="31195"/>
    <cellStyle name="Suma 2 17 43 2" xfId="31196"/>
    <cellStyle name="Suma 2 17 43 3" xfId="31197"/>
    <cellStyle name="Suma 2 17 44" xfId="31198"/>
    <cellStyle name="Suma 2 17 44 2" xfId="31199"/>
    <cellStyle name="Suma 2 17 44 3" xfId="31200"/>
    <cellStyle name="Suma 2 17 45" xfId="31201"/>
    <cellStyle name="Suma 2 17 45 2" xfId="31202"/>
    <cellStyle name="Suma 2 17 45 3" xfId="31203"/>
    <cellStyle name="Suma 2 17 46" xfId="31204"/>
    <cellStyle name="Suma 2 17 46 2" xfId="31205"/>
    <cellStyle name="Suma 2 17 46 3" xfId="31206"/>
    <cellStyle name="Suma 2 17 47" xfId="31207"/>
    <cellStyle name="Suma 2 17 47 2" xfId="31208"/>
    <cellStyle name="Suma 2 17 47 3" xfId="31209"/>
    <cellStyle name="Suma 2 17 48" xfId="31210"/>
    <cellStyle name="Suma 2 17 48 2" xfId="31211"/>
    <cellStyle name="Suma 2 17 48 3" xfId="31212"/>
    <cellStyle name="Suma 2 17 49" xfId="31213"/>
    <cellStyle name="Suma 2 17 49 2" xfId="31214"/>
    <cellStyle name="Suma 2 17 49 3" xfId="31215"/>
    <cellStyle name="Suma 2 17 5" xfId="31216"/>
    <cellStyle name="Suma 2 17 5 2" xfId="31217"/>
    <cellStyle name="Suma 2 17 5 3" xfId="31218"/>
    <cellStyle name="Suma 2 17 5 4" xfId="31219"/>
    <cellStyle name="Suma 2 17 50" xfId="31220"/>
    <cellStyle name="Suma 2 17 50 2" xfId="31221"/>
    <cellStyle name="Suma 2 17 50 3" xfId="31222"/>
    <cellStyle name="Suma 2 17 51" xfId="31223"/>
    <cellStyle name="Suma 2 17 51 2" xfId="31224"/>
    <cellStyle name="Suma 2 17 51 3" xfId="31225"/>
    <cellStyle name="Suma 2 17 52" xfId="31226"/>
    <cellStyle name="Suma 2 17 52 2" xfId="31227"/>
    <cellStyle name="Suma 2 17 52 3" xfId="31228"/>
    <cellStyle name="Suma 2 17 53" xfId="31229"/>
    <cellStyle name="Suma 2 17 53 2" xfId="31230"/>
    <cellStyle name="Suma 2 17 53 3" xfId="31231"/>
    <cellStyle name="Suma 2 17 54" xfId="31232"/>
    <cellStyle name="Suma 2 17 54 2" xfId="31233"/>
    <cellStyle name="Suma 2 17 54 3" xfId="31234"/>
    <cellStyle name="Suma 2 17 55" xfId="31235"/>
    <cellStyle name="Suma 2 17 55 2" xfId="31236"/>
    <cellStyle name="Suma 2 17 55 3" xfId="31237"/>
    <cellStyle name="Suma 2 17 56" xfId="31238"/>
    <cellStyle name="Suma 2 17 56 2" xfId="31239"/>
    <cellStyle name="Suma 2 17 56 3" xfId="31240"/>
    <cellStyle name="Suma 2 17 57" xfId="31241"/>
    <cellStyle name="Suma 2 17 58" xfId="31242"/>
    <cellStyle name="Suma 2 17 6" xfId="31243"/>
    <cellStyle name="Suma 2 17 6 2" xfId="31244"/>
    <cellStyle name="Suma 2 17 6 3" xfId="31245"/>
    <cellStyle name="Suma 2 17 6 4" xfId="31246"/>
    <cellStyle name="Suma 2 17 7" xfId="31247"/>
    <cellStyle name="Suma 2 17 7 2" xfId="31248"/>
    <cellStyle name="Suma 2 17 7 3" xfId="31249"/>
    <cellStyle name="Suma 2 17 7 4" xfId="31250"/>
    <cellStyle name="Suma 2 17 8" xfId="31251"/>
    <cellStyle name="Suma 2 17 8 2" xfId="31252"/>
    <cellStyle name="Suma 2 17 8 3" xfId="31253"/>
    <cellStyle name="Suma 2 17 8 4" xfId="31254"/>
    <cellStyle name="Suma 2 17 9" xfId="31255"/>
    <cellStyle name="Suma 2 17 9 2" xfId="31256"/>
    <cellStyle name="Suma 2 17 9 3" xfId="31257"/>
    <cellStyle name="Suma 2 17 9 4" xfId="31258"/>
    <cellStyle name="Suma 2 18" xfId="31259"/>
    <cellStyle name="Suma 2 18 10" xfId="31260"/>
    <cellStyle name="Suma 2 18 10 2" xfId="31261"/>
    <cellStyle name="Suma 2 18 10 3" xfId="31262"/>
    <cellStyle name="Suma 2 18 10 4" xfId="31263"/>
    <cellStyle name="Suma 2 18 11" xfId="31264"/>
    <cellStyle name="Suma 2 18 11 2" xfId="31265"/>
    <cellStyle name="Suma 2 18 11 3" xfId="31266"/>
    <cellStyle name="Suma 2 18 11 4" xfId="31267"/>
    <cellStyle name="Suma 2 18 12" xfId="31268"/>
    <cellStyle name="Suma 2 18 12 2" xfId="31269"/>
    <cellStyle name="Suma 2 18 12 3" xfId="31270"/>
    <cellStyle name="Suma 2 18 12 4" xfId="31271"/>
    <cellStyle name="Suma 2 18 13" xfId="31272"/>
    <cellStyle name="Suma 2 18 13 2" xfId="31273"/>
    <cellStyle name="Suma 2 18 13 3" xfId="31274"/>
    <cellStyle name="Suma 2 18 13 4" xfId="31275"/>
    <cellStyle name="Suma 2 18 14" xfId="31276"/>
    <cellStyle name="Suma 2 18 14 2" xfId="31277"/>
    <cellStyle name="Suma 2 18 14 3" xfId="31278"/>
    <cellStyle name="Suma 2 18 14 4" xfId="31279"/>
    <cellStyle name="Suma 2 18 15" xfId="31280"/>
    <cellStyle name="Suma 2 18 15 2" xfId="31281"/>
    <cellStyle name="Suma 2 18 15 3" xfId="31282"/>
    <cellStyle name="Suma 2 18 15 4" xfId="31283"/>
    <cellStyle name="Suma 2 18 16" xfId="31284"/>
    <cellStyle name="Suma 2 18 16 2" xfId="31285"/>
    <cellStyle name="Suma 2 18 16 3" xfId="31286"/>
    <cellStyle name="Suma 2 18 16 4" xfId="31287"/>
    <cellStyle name="Suma 2 18 17" xfId="31288"/>
    <cellStyle name="Suma 2 18 17 2" xfId="31289"/>
    <cellStyle name="Suma 2 18 17 3" xfId="31290"/>
    <cellStyle name="Suma 2 18 17 4" xfId="31291"/>
    <cellStyle name="Suma 2 18 18" xfId="31292"/>
    <cellStyle name="Suma 2 18 18 2" xfId="31293"/>
    <cellStyle name="Suma 2 18 18 3" xfId="31294"/>
    <cellStyle name="Suma 2 18 18 4" xfId="31295"/>
    <cellStyle name="Suma 2 18 19" xfId="31296"/>
    <cellStyle name="Suma 2 18 19 2" xfId="31297"/>
    <cellStyle name="Suma 2 18 19 3" xfId="31298"/>
    <cellStyle name="Suma 2 18 19 4" xfId="31299"/>
    <cellStyle name="Suma 2 18 2" xfId="31300"/>
    <cellStyle name="Suma 2 18 2 2" xfId="31301"/>
    <cellStyle name="Suma 2 18 2 3" xfId="31302"/>
    <cellStyle name="Suma 2 18 2 4" xfId="31303"/>
    <cellStyle name="Suma 2 18 20" xfId="31304"/>
    <cellStyle name="Suma 2 18 20 2" xfId="31305"/>
    <cellStyle name="Suma 2 18 20 3" xfId="31306"/>
    <cellStyle name="Suma 2 18 20 4" xfId="31307"/>
    <cellStyle name="Suma 2 18 21" xfId="31308"/>
    <cellStyle name="Suma 2 18 21 2" xfId="31309"/>
    <cellStyle name="Suma 2 18 21 3" xfId="31310"/>
    <cellStyle name="Suma 2 18 22" xfId="31311"/>
    <cellStyle name="Suma 2 18 22 2" xfId="31312"/>
    <cellStyle name="Suma 2 18 22 3" xfId="31313"/>
    <cellStyle name="Suma 2 18 23" xfId="31314"/>
    <cellStyle name="Suma 2 18 23 2" xfId="31315"/>
    <cellStyle name="Suma 2 18 23 3" xfId="31316"/>
    <cellStyle name="Suma 2 18 24" xfId="31317"/>
    <cellStyle name="Suma 2 18 24 2" xfId="31318"/>
    <cellStyle name="Suma 2 18 24 3" xfId="31319"/>
    <cellStyle name="Suma 2 18 25" xfId="31320"/>
    <cellStyle name="Suma 2 18 25 2" xfId="31321"/>
    <cellStyle name="Suma 2 18 25 3" xfId="31322"/>
    <cellStyle name="Suma 2 18 26" xfId="31323"/>
    <cellStyle name="Suma 2 18 26 2" xfId="31324"/>
    <cellStyle name="Suma 2 18 26 3" xfId="31325"/>
    <cellStyle name="Suma 2 18 27" xfId="31326"/>
    <cellStyle name="Suma 2 18 27 2" xfId="31327"/>
    <cellStyle name="Suma 2 18 27 3" xfId="31328"/>
    <cellStyle name="Suma 2 18 28" xfId="31329"/>
    <cellStyle name="Suma 2 18 28 2" xfId="31330"/>
    <cellStyle name="Suma 2 18 28 3" xfId="31331"/>
    <cellStyle name="Suma 2 18 29" xfId="31332"/>
    <cellStyle name="Suma 2 18 29 2" xfId="31333"/>
    <cellStyle name="Suma 2 18 29 3" xfId="31334"/>
    <cellStyle name="Suma 2 18 3" xfId="31335"/>
    <cellStyle name="Suma 2 18 3 2" xfId="31336"/>
    <cellStyle name="Suma 2 18 3 3" xfId="31337"/>
    <cellStyle name="Suma 2 18 3 4" xfId="31338"/>
    <cellStyle name="Suma 2 18 30" xfId="31339"/>
    <cellStyle name="Suma 2 18 30 2" xfId="31340"/>
    <cellStyle name="Suma 2 18 30 3" xfId="31341"/>
    <cellStyle name="Suma 2 18 31" xfId="31342"/>
    <cellStyle name="Suma 2 18 31 2" xfId="31343"/>
    <cellStyle name="Suma 2 18 31 3" xfId="31344"/>
    <cellStyle name="Suma 2 18 32" xfId="31345"/>
    <cellStyle name="Suma 2 18 32 2" xfId="31346"/>
    <cellStyle name="Suma 2 18 32 3" xfId="31347"/>
    <cellStyle name="Suma 2 18 33" xfId="31348"/>
    <cellStyle name="Suma 2 18 33 2" xfId="31349"/>
    <cellStyle name="Suma 2 18 33 3" xfId="31350"/>
    <cellStyle name="Suma 2 18 34" xfId="31351"/>
    <cellStyle name="Suma 2 18 34 2" xfId="31352"/>
    <cellStyle name="Suma 2 18 34 3" xfId="31353"/>
    <cellStyle name="Suma 2 18 35" xfId="31354"/>
    <cellStyle name="Suma 2 18 35 2" xfId="31355"/>
    <cellStyle name="Suma 2 18 35 3" xfId="31356"/>
    <cellStyle name="Suma 2 18 36" xfId="31357"/>
    <cellStyle name="Suma 2 18 36 2" xfId="31358"/>
    <cellStyle name="Suma 2 18 36 3" xfId="31359"/>
    <cellStyle name="Suma 2 18 37" xfId="31360"/>
    <cellStyle name="Suma 2 18 37 2" xfId="31361"/>
    <cellStyle name="Suma 2 18 37 3" xfId="31362"/>
    <cellStyle name="Suma 2 18 38" xfId="31363"/>
    <cellStyle name="Suma 2 18 38 2" xfId="31364"/>
    <cellStyle name="Suma 2 18 38 3" xfId="31365"/>
    <cellStyle name="Suma 2 18 39" xfId="31366"/>
    <cellStyle name="Suma 2 18 39 2" xfId="31367"/>
    <cellStyle name="Suma 2 18 39 3" xfId="31368"/>
    <cellStyle name="Suma 2 18 4" xfId="31369"/>
    <cellStyle name="Suma 2 18 4 2" xfId="31370"/>
    <cellStyle name="Suma 2 18 4 3" xfId="31371"/>
    <cellStyle name="Suma 2 18 4 4" xfId="31372"/>
    <cellStyle name="Suma 2 18 40" xfId="31373"/>
    <cellStyle name="Suma 2 18 40 2" xfId="31374"/>
    <cellStyle name="Suma 2 18 40 3" xfId="31375"/>
    <cellStyle name="Suma 2 18 41" xfId="31376"/>
    <cellStyle name="Suma 2 18 41 2" xfId="31377"/>
    <cellStyle name="Suma 2 18 41 3" xfId="31378"/>
    <cellStyle name="Suma 2 18 42" xfId="31379"/>
    <cellStyle name="Suma 2 18 42 2" xfId="31380"/>
    <cellStyle name="Suma 2 18 42 3" xfId="31381"/>
    <cellStyle name="Suma 2 18 43" xfId="31382"/>
    <cellStyle name="Suma 2 18 43 2" xfId="31383"/>
    <cellStyle name="Suma 2 18 43 3" xfId="31384"/>
    <cellStyle name="Suma 2 18 44" xfId="31385"/>
    <cellStyle name="Suma 2 18 44 2" xfId="31386"/>
    <cellStyle name="Suma 2 18 44 3" xfId="31387"/>
    <cellStyle name="Suma 2 18 45" xfId="31388"/>
    <cellStyle name="Suma 2 18 45 2" xfId="31389"/>
    <cellStyle name="Suma 2 18 45 3" xfId="31390"/>
    <cellStyle name="Suma 2 18 46" xfId="31391"/>
    <cellStyle name="Suma 2 18 46 2" xfId="31392"/>
    <cellStyle name="Suma 2 18 46 3" xfId="31393"/>
    <cellStyle name="Suma 2 18 47" xfId="31394"/>
    <cellStyle name="Suma 2 18 47 2" xfId="31395"/>
    <cellStyle name="Suma 2 18 47 3" xfId="31396"/>
    <cellStyle name="Suma 2 18 48" xfId="31397"/>
    <cellStyle name="Suma 2 18 48 2" xfId="31398"/>
    <cellStyle name="Suma 2 18 48 3" xfId="31399"/>
    <cellStyle name="Suma 2 18 49" xfId="31400"/>
    <cellStyle name="Suma 2 18 49 2" xfId="31401"/>
    <cellStyle name="Suma 2 18 49 3" xfId="31402"/>
    <cellStyle name="Suma 2 18 5" xfId="31403"/>
    <cellStyle name="Suma 2 18 5 2" xfId="31404"/>
    <cellStyle name="Suma 2 18 5 3" xfId="31405"/>
    <cellStyle name="Suma 2 18 5 4" xfId="31406"/>
    <cellStyle name="Suma 2 18 50" xfId="31407"/>
    <cellStyle name="Suma 2 18 50 2" xfId="31408"/>
    <cellStyle name="Suma 2 18 50 3" xfId="31409"/>
    <cellStyle name="Suma 2 18 51" xfId="31410"/>
    <cellStyle name="Suma 2 18 51 2" xfId="31411"/>
    <cellStyle name="Suma 2 18 51 3" xfId="31412"/>
    <cellStyle name="Suma 2 18 52" xfId="31413"/>
    <cellStyle name="Suma 2 18 52 2" xfId="31414"/>
    <cellStyle name="Suma 2 18 52 3" xfId="31415"/>
    <cellStyle name="Suma 2 18 53" xfId="31416"/>
    <cellStyle name="Suma 2 18 53 2" xfId="31417"/>
    <cellStyle name="Suma 2 18 53 3" xfId="31418"/>
    <cellStyle name="Suma 2 18 54" xfId="31419"/>
    <cellStyle name="Suma 2 18 54 2" xfId="31420"/>
    <cellStyle name="Suma 2 18 54 3" xfId="31421"/>
    <cellStyle name="Suma 2 18 55" xfId="31422"/>
    <cellStyle name="Suma 2 18 55 2" xfId="31423"/>
    <cellStyle name="Suma 2 18 55 3" xfId="31424"/>
    <cellStyle name="Suma 2 18 56" xfId="31425"/>
    <cellStyle name="Suma 2 18 56 2" xfId="31426"/>
    <cellStyle name="Suma 2 18 56 3" xfId="31427"/>
    <cellStyle name="Suma 2 18 57" xfId="31428"/>
    <cellStyle name="Suma 2 18 58" xfId="31429"/>
    <cellStyle name="Suma 2 18 6" xfId="31430"/>
    <cellStyle name="Suma 2 18 6 2" xfId="31431"/>
    <cellStyle name="Suma 2 18 6 3" xfId="31432"/>
    <cellStyle name="Suma 2 18 6 4" xfId="31433"/>
    <cellStyle name="Suma 2 18 7" xfId="31434"/>
    <cellStyle name="Suma 2 18 7 2" xfId="31435"/>
    <cellStyle name="Suma 2 18 7 3" xfId="31436"/>
    <cellStyle name="Suma 2 18 7 4" xfId="31437"/>
    <cellStyle name="Suma 2 18 8" xfId="31438"/>
    <cellStyle name="Suma 2 18 8 2" xfId="31439"/>
    <cellStyle name="Suma 2 18 8 3" xfId="31440"/>
    <cellStyle name="Suma 2 18 8 4" xfId="31441"/>
    <cellStyle name="Suma 2 18 9" xfId="31442"/>
    <cellStyle name="Suma 2 18 9 2" xfId="31443"/>
    <cellStyle name="Suma 2 18 9 3" xfId="31444"/>
    <cellStyle name="Suma 2 18 9 4" xfId="31445"/>
    <cellStyle name="Suma 2 19" xfId="31446"/>
    <cellStyle name="Suma 2 19 10" xfId="31447"/>
    <cellStyle name="Suma 2 19 10 2" xfId="31448"/>
    <cellStyle name="Suma 2 19 10 3" xfId="31449"/>
    <cellStyle name="Suma 2 19 10 4" xfId="31450"/>
    <cellStyle name="Suma 2 19 11" xfId="31451"/>
    <cellStyle name="Suma 2 19 11 2" xfId="31452"/>
    <cellStyle name="Suma 2 19 11 3" xfId="31453"/>
    <cellStyle name="Suma 2 19 11 4" xfId="31454"/>
    <cellStyle name="Suma 2 19 12" xfId="31455"/>
    <cellStyle name="Suma 2 19 12 2" xfId="31456"/>
    <cellStyle name="Suma 2 19 12 3" xfId="31457"/>
    <cellStyle name="Suma 2 19 12 4" xfId="31458"/>
    <cellStyle name="Suma 2 19 13" xfId="31459"/>
    <cellStyle name="Suma 2 19 13 2" xfId="31460"/>
    <cellStyle name="Suma 2 19 13 3" xfId="31461"/>
    <cellStyle name="Suma 2 19 13 4" xfId="31462"/>
    <cellStyle name="Suma 2 19 14" xfId="31463"/>
    <cellStyle name="Suma 2 19 14 2" xfId="31464"/>
    <cellStyle name="Suma 2 19 14 3" xfId="31465"/>
    <cellStyle name="Suma 2 19 14 4" xfId="31466"/>
    <cellStyle name="Suma 2 19 15" xfId="31467"/>
    <cellStyle name="Suma 2 19 15 2" xfId="31468"/>
    <cellStyle name="Suma 2 19 15 3" xfId="31469"/>
    <cellStyle name="Suma 2 19 15 4" xfId="31470"/>
    <cellStyle name="Suma 2 19 16" xfId="31471"/>
    <cellStyle name="Suma 2 19 16 2" xfId="31472"/>
    <cellStyle name="Suma 2 19 16 3" xfId="31473"/>
    <cellStyle name="Suma 2 19 16 4" xfId="31474"/>
    <cellStyle name="Suma 2 19 17" xfId="31475"/>
    <cellStyle name="Suma 2 19 17 2" xfId="31476"/>
    <cellStyle name="Suma 2 19 17 3" xfId="31477"/>
    <cellStyle name="Suma 2 19 17 4" xfId="31478"/>
    <cellStyle name="Suma 2 19 18" xfId="31479"/>
    <cellStyle name="Suma 2 19 18 2" xfId="31480"/>
    <cellStyle name="Suma 2 19 18 3" xfId="31481"/>
    <cellStyle name="Suma 2 19 18 4" xfId="31482"/>
    <cellStyle name="Suma 2 19 19" xfId="31483"/>
    <cellStyle name="Suma 2 19 19 2" xfId="31484"/>
    <cellStyle name="Suma 2 19 19 3" xfId="31485"/>
    <cellStyle name="Suma 2 19 19 4" xfId="31486"/>
    <cellStyle name="Suma 2 19 2" xfId="31487"/>
    <cellStyle name="Suma 2 19 2 2" xfId="31488"/>
    <cellStyle name="Suma 2 19 2 3" xfId="31489"/>
    <cellStyle name="Suma 2 19 2 4" xfId="31490"/>
    <cellStyle name="Suma 2 19 20" xfId="31491"/>
    <cellStyle name="Suma 2 19 20 2" xfId="31492"/>
    <cellStyle name="Suma 2 19 20 3" xfId="31493"/>
    <cellStyle name="Suma 2 19 20 4" xfId="31494"/>
    <cellStyle name="Suma 2 19 21" xfId="31495"/>
    <cellStyle name="Suma 2 19 21 2" xfId="31496"/>
    <cellStyle name="Suma 2 19 21 3" xfId="31497"/>
    <cellStyle name="Suma 2 19 22" xfId="31498"/>
    <cellStyle name="Suma 2 19 22 2" xfId="31499"/>
    <cellStyle name="Suma 2 19 22 3" xfId="31500"/>
    <cellStyle name="Suma 2 19 23" xfId="31501"/>
    <cellStyle name="Suma 2 19 23 2" xfId="31502"/>
    <cellStyle name="Suma 2 19 23 3" xfId="31503"/>
    <cellStyle name="Suma 2 19 24" xfId="31504"/>
    <cellStyle name="Suma 2 19 24 2" xfId="31505"/>
    <cellStyle name="Suma 2 19 24 3" xfId="31506"/>
    <cellStyle name="Suma 2 19 25" xfId="31507"/>
    <cellStyle name="Suma 2 19 25 2" xfId="31508"/>
    <cellStyle name="Suma 2 19 25 3" xfId="31509"/>
    <cellStyle name="Suma 2 19 26" xfId="31510"/>
    <cellStyle name="Suma 2 19 26 2" xfId="31511"/>
    <cellStyle name="Suma 2 19 26 3" xfId="31512"/>
    <cellStyle name="Suma 2 19 27" xfId="31513"/>
    <cellStyle name="Suma 2 19 27 2" xfId="31514"/>
    <cellStyle name="Suma 2 19 27 3" xfId="31515"/>
    <cellStyle name="Suma 2 19 28" xfId="31516"/>
    <cellStyle name="Suma 2 19 28 2" xfId="31517"/>
    <cellStyle name="Suma 2 19 28 3" xfId="31518"/>
    <cellStyle name="Suma 2 19 29" xfId="31519"/>
    <cellStyle name="Suma 2 19 29 2" xfId="31520"/>
    <cellStyle name="Suma 2 19 29 3" xfId="31521"/>
    <cellStyle name="Suma 2 19 3" xfId="31522"/>
    <cellStyle name="Suma 2 19 3 2" xfId="31523"/>
    <cellStyle name="Suma 2 19 3 3" xfId="31524"/>
    <cellStyle name="Suma 2 19 3 4" xfId="31525"/>
    <cellStyle name="Suma 2 19 30" xfId="31526"/>
    <cellStyle name="Suma 2 19 30 2" xfId="31527"/>
    <cellStyle name="Suma 2 19 30 3" xfId="31528"/>
    <cellStyle name="Suma 2 19 31" xfId="31529"/>
    <cellStyle name="Suma 2 19 31 2" xfId="31530"/>
    <cellStyle name="Suma 2 19 31 3" xfId="31531"/>
    <cellStyle name="Suma 2 19 32" xfId="31532"/>
    <cellStyle name="Suma 2 19 32 2" xfId="31533"/>
    <cellStyle name="Suma 2 19 32 3" xfId="31534"/>
    <cellStyle name="Suma 2 19 33" xfId="31535"/>
    <cellStyle name="Suma 2 19 33 2" xfId="31536"/>
    <cellStyle name="Suma 2 19 33 3" xfId="31537"/>
    <cellStyle name="Suma 2 19 34" xfId="31538"/>
    <cellStyle name="Suma 2 19 34 2" xfId="31539"/>
    <cellStyle name="Suma 2 19 34 3" xfId="31540"/>
    <cellStyle name="Suma 2 19 35" xfId="31541"/>
    <cellStyle name="Suma 2 19 35 2" xfId="31542"/>
    <cellStyle name="Suma 2 19 35 3" xfId="31543"/>
    <cellStyle name="Suma 2 19 36" xfId="31544"/>
    <cellStyle name="Suma 2 19 36 2" xfId="31545"/>
    <cellStyle name="Suma 2 19 36 3" xfId="31546"/>
    <cellStyle name="Suma 2 19 37" xfId="31547"/>
    <cellStyle name="Suma 2 19 37 2" xfId="31548"/>
    <cellStyle name="Suma 2 19 37 3" xfId="31549"/>
    <cellStyle name="Suma 2 19 38" xfId="31550"/>
    <cellStyle name="Suma 2 19 38 2" xfId="31551"/>
    <cellStyle name="Suma 2 19 38 3" xfId="31552"/>
    <cellStyle name="Suma 2 19 39" xfId="31553"/>
    <cellStyle name="Suma 2 19 39 2" xfId="31554"/>
    <cellStyle name="Suma 2 19 39 3" xfId="31555"/>
    <cellStyle name="Suma 2 19 4" xfId="31556"/>
    <cellStyle name="Suma 2 19 4 2" xfId="31557"/>
    <cellStyle name="Suma 2 19 4 3" xfId="31558"/>
    <cellStyle name="Suma 2 19 4 4" xfId="31559"/>
    <cellStyle name="Suma 2 19 40" xfId="31560"/>
    <cellStyle name="Suma 2 19 40 2" xfId="31561"/>
    <cellStyle name="Suma 2 19 40 3" xfId="31562"/>
    <cellStyle name="Suma 2 19 41" xfId="31563"/>
    <cellStyle name="Suma 2 19 41 2" xfId="31564"/>
    <cellStyle name="Suma 2 19 41 3" xfId="31565"/>
    <cellStyle name="Suma 2 19 42" xfId="31566"/>
    <cellStyle name="Suma 2 19 42 2" xfId="31567"/>
    <cellStyle name="Suma 2 19 42 3" xfId="31568"/>
    <cellStyle name="Suma 2 19 43" xfId="31569"/>
    <cellStyle name="Suma 2 19 43 2" xfId="31570"/>
    <cellStyle name="Suma 2 19 43 3" xfId="31571"/>
    <cellStyle name="Suma 2 19 44" xfId="31572"/>
    <cellStyle name="Suma 2 19 44 2" xfId="31573"/>
    <cellStyle name="Suma 2 19 44 3" xfId="31574"/>
    <cellStyle name="Suma 2 19 45" xfId="31575"/>
    <cellStyle name="Suma 2 19 45 2" xfId="31576"/>
    <cellStyle name="Suma 2 19 45 3" xfId="31577"/>
    <cellStyle name="Suma 2 19 46" xfId="31578"/>
    <cellStyle name="Suma 2 19 46 2" xfId="31579"/>
    <cellStyle name="Suma 2 19 46 3" xfId="31580"/>
    <cellStyle name="Suma 2 19 47" xfId="31581"/>
    <cellStyle name="Suma 2 19 47 2" xfId="31582"/>
    <cellStyle name="Suma 2 19 47 3" xfId="31583"/>
    <cellStyle name="Suma 2 19 48" xfId="31584"/>
    <cellStyle name="Suma 2 19 48 2" xfId="31585"/>
    <cellStyle name="Suma 2 19 48 3" xfId="31586"/>
    <cellStyle name="Suma 2 19 49" xfId="31587"/>
    <cellStyle name="Suma 2 19 49 2" xfId="31588"/>
    <cellStyle name="Suma 2 19 49 3" xfId="31589"/>
    <cellStyle name="Suma 2 19 5" xfId="31590"/>
    <cellStyle name="Suma 2 19 5 2" xfId="31591"/>
    <cellStyle name="Suma 2 19 5 3" xfId="31592"/>
    <cellStyle name="Suma 2 19 5 4" xfId="31593"/>
    <cellStyle name="Suma 2 19 50" xfId="31594"/>
    <cellStyle name="Suma 2 19 50 2" xfId="31595"/>
    <cellStyle name="Suma 2 19 50 3" xfId="31596"/>
    <cellStyle name="Suma 2 19 51" xfId="31597"/>
    <cellStyle name="Suma 2 19 51 2" xfId="31598"/>
    <cellStyle name="Suma 2 19 51 3" xfId="31599"/>
    <cellStyle name="Suma 2 19 52" xfId="31600"/>
    <cellStyle name="Suma 2 19 52 2" xfId="31601"/>
    <cellStyle name="Suma 2 19 52 3" xfId="31602"/>
    <cellStyle name="Suma 2 19 53" xfId="31603"/>
    <cellStyle name="Suma 2 19 53 2" xfId="31604"/>
    <cellStyle name="Suma 2 19 53 3" xfId="31605"/>
    <cellStyle name="Suma 2 19 54" xfId="31606"/>
    <cellStyle name="Suma 2 19 54 2" xfId="31607"/>
    <cellStyle name="Suma 2 19 54 3" xfId="31608"/>
    <cellStyle name="Suma 2 19 55" xfId="31609"/>
    <cellStyle name="Suma 2 19 55 2" xfId="31610"/>
    <cellStyle name="Suma 2 19 55 3" xfId="31611"/>
    <cellStyle name="Suma 2 19 56" xfId="31612"/>
    <cellStyle name="Suma 2 19 56 2" xfId="31613"/>
    <cellStyle name="Suma 2 19 56 3" xfId="31614"/>
    <cellStyle name="Suma 2 19 57" xfId="31615"/>
    <cellStyle name="Suma 2 19 58" xfId="31616"/>
    <cellStyle name="Suma 2 19 6" xfId="31617"/>
    <cellStyle name="Suma 2 19 6 2" xfId="31618"/>
    <cellStyle name="Suma 2 19 6 3" xfId="31619"/>
    <cellStyle name="Suma 2 19 6 4" xfId="31620"/>
    <cellStyle name="Suma 2 19 7" xfId="31621"/>
    <cellStyle name="Suma 2 19 7 2" xfId="31622"/>
    <cellStyle name="Suma 2 19 7 3" xfId="31623"/>
    <cellStyle name="Suma 2 19 7 4" xfId="31624"/>
    <cellStyle name="Suma 2 19 8" xfId="31625"/>
    <cellStyle name="Suma 2 19 8 2" xfId="31626"/>
    <cellStyle name="Suma 2 19 8 3" xfId="31627"/>
    <cellStyle name="Suma 2 19 8 4" xfId="31628"/>
    <cellStyle name="Suma 2 19 9" xfId="31629"/>
    <cellStyle name="Suma 2 19 9 2" xfId="31630"/>
    <cellStyle name="Suma 2 19 9 3" xfId="31631"/>
    <cellStyle name="Suma 2 19 9 4" xfId="31632"/>
    <cellStyle name="Suma 2 2" xfId="31633"/>
    <cellStyle name="Suma 2 2 10" xfId="31634"/>
    <cellStyle name="Suma 2 2 10 2" xfId="31635"/>
    <cellStyle name="Suma 2 2 10 3" xfId="31636"/>
    <cellStyle name="Suma 2 2 10 4" xfId="31637"/>
    <cellStyle name="Suma 2 2 11" xfId="31638"/>
    <cellStyle name="Suma 2 2 11 2" xfId="31639"/>
    <cellStyle name="Suma 2 2 11 3" xfId="31640"/>
    <cellStyle name="Suma 2 2 11 4" xfId="31641"/>
    <cellStyle name="Suma 2 2 12" xfId="31642"/>
    <cellStyle name="Suma 2 2 12 2" xfId="31643"/>
    <cellStyle name="Suma 2 2 12 3" xfId="31644"/>
    <cellStyle name="Suma 2 2 12 4" xfId="31645"/>
    <cellStyle name="Suma 2 2 13" xfId="31646"/>
    <cellStyle name="Suma 2 2 13 2" xfId="31647"/>
    <cellStyle name="Suma 2 2 13 3" xfId="31648"/>
    <cellStyle name="Suma 2 2 13 4" xfId="31649"/>
    <cellStyle name="Suma 2 2 14" xfId="31650"/>
    <cellStyle name="Suma 2 2 14 2" xfId="31651"/>
    <cellStyle name="Suma 2 2 14 3" xfId="31652"/>
    <cellStyle name="Suma 2 2 14 4" xfId="31653"/>
    <cellStyle name="Suma 2 2 15" xfId="31654"/>
    <cellStyle name="Suma 2 2 15 2" xfId="31655"/>
    <cellStyle name="Suma 2 2 15 3" xfId="31656"/>
    <cellStyle name="Suma 2 2 15 4" xfId="31657"/>
    <cellStyle name="Suma 2 2 16" xfId="31658"/>
    <cellStyle name="Suma 2 2 16 2" xfId="31659"/>
    <cellStyle name="Suma 2 2 16 3" xfId="31660"/>
    <cellStyle name="Suma 2 2 16 4" xfId="31661"/>
    <cellStyle name="Suma 2 2 17" xfId="31662"/>
    <cellStyle name="Suma 2 2 17 2" xfId="31663"/>
    <cellStyle name="Suma 2 2 17 3" xfId="31664"/>
    <cellStyle name="Suma 2 2 17 4" xfId="31665"/>
    <cellStyle name="Suma 2 2 18" xfId="31666"/>
    <cellStyle name="Suma 2 2 18 2" xfId="31667"/>
    <cellStyle name="Suma 2 2 18 3" xfId="31668"/>
    <cellStyle name="Suma 2 2 18 4" xfId="31669"/>
    <cellStyle name="Suma 2 2 19" xfId="31670"/>
    <cellStyle name="Suma 2 2 19 2" xfId="31671"/>
    <cellStyle name="Suma 2 2 19 3" xfId="31672"/>
    <cellStyle name="Suma 2 2 19 4" xfId="31673"/>
    <cellStyle name="Suma 2 2 2" xfId="31674"/>
    <cellStyle name="Suma 2 2 2 2" xfId="31675"/>
    <cellStyle name="Suma 2 2 2 3" xfId="31676"/>
    <cellStyle name="Suma 2 2 2 4" xfId="31677"/>
    <cellStyle name="Suma 2 2 20" xfId="31678"/>
    <cellStyle name="Suma 2 2 20 2" xfId="31679"/>
    <cellStyle name="Suma 2 2 20 3" xfId="31680"/>
    <cellStyle name="Suma 2 2 20 4" xfId="31681"/>
    <cellStyle name="Suma 2 2 21" xfId="31682"/>
    <cellStyle name="Suma 2 2 21 2" xfId="31683"/>
    <cellStyle name="Suma 2 2 21 3" xfId="31684"/>
    <cellStyle name="Suma 2 2 22" xfId="31685"/>
    <cellStyle name="Suma 2 2 22 2" xfId="31686"/>
    <cellStyle name="Suma 2 2 22 3" xfId="31687"/>
    <cellStyle name="Suma 2 2 23" xfId="31688"/>
    <cellStyle name="Suma 2 2 23 2" xfId="31689"/>
    <cellStyle name="Suma 2 2 23 3" xfId="31690"/>
    <cellStyle name="Suma 2 2 24" xfId="31691"/>
    <cellStyle name="Suma 2 2 24 2" xfId="31692"/>
    <cellStyle name="Suma 2 2 24 3" xfId="31693"/>
    <cellStyle name="Suma 2 2 25" xfId="31694"/>
    <cellStyle name="Suma 2 2 25 2" xfId="31695"/>
    <cellStyle name="Suma 2 2 25 3" xfId="31696"/>
    <cellStyle name="Suma 2 2 26" xfId="31697"/>
    <cellStyle name="Suma 2 2 26 2" xfId="31698"/>
    <cellStyle name="Suma 2 2 26 3" xfId="31699"/>
    <cellStyle name="Suma 2 2 27" xfId="31700"/>
    <cellStyle name="Suma 2 2 27 2" xfId="31701"/>
    <cellStyle name="Suma 2 2 27 3" xfId="31702"/>
    <cellStyle name="Suma 2 2 28" xfId="31703"/>
    <cellStyle name="Suma 2 2 28 2" xfId="31704"/>
    <cellStyle name="Suma 2 2 28 3" xfId="31705"/>
    <cellStyle name="Suma 2 2 29" xfId="31706"/>
    <cellStyle name="Suma 2 2 29 2" xfId="31707"/>
    <cellStyle name="Suma 2 2 29 3" xfId="31708"/>
    <cellStyle name="Suma 2 2 3" xfId="31709"/>
    <cellStyle name="Suma 2 2 3 2" xfId="31710"/>
    <cellStyle name="Suma 2 2 3 3" xfId="31711"/>
    <cellStyle name="Suma 2 2 3 4" xfId="31712"/>
    <cellStyle name="Suma 2 2 30" xfId="31713"/>
    <cellStyle name="Suma 2 2 30 2" xfId="31714"/>
    <cellStyle name="Suma 2 2 30 3" xfId="31715"/>
    <cellStyle name="Suma 2 2 31" xfId="31716"/>
    <cellStyle name="Suma 2 2 31 2" xfId="31717"/>
    <cellStyle name="Suma 2 2 31 3" xfId="31718"/>
    <cellStyle name="Suma 2 2 32" xfId="31719"/>
    <cellStyle name="Suma 2 2 32 2" xfId="31720"/>
    <cellStyle name="Suma 2 2 32 3" xfId="31721"/>
    <cellStyle name="Suma 2 2 33" xfId="31722"/>
    <cellStyle name="Suma 2 2 33 2" xfId="31723"/>
    <cellStyle name="Suma 2 2 33 3" xfId="31724"/>
    <cellStyle name="Suma 2 2 34" xfId="31725"/>
    <cellStyle name="Suma 2 2 34 2" xfId="31726"/>
    <cellStyle name="Suma 2 2 34 3" xfId="31727"/>
    <cellStyle name="Suma 2 2 35" xfId="31728"/>
    <cellStyle name="Suma 2 2 35 2" xfId="31729"/>
    <cellStyle name="Suma 2 2 35 3" xfId="31730"/>
    <cellStyle name="Suma 2 2 36" xfId="31731"/>
    <cellStyle name="Suma 2 2 36 2" xfId="31732"/>
    <cellStyle name="Suma 2 2 36 3" xfId="31733"/>
    <cellStyle name="Suma 2 2 37" xfId="31734"/>
    <cellStyle name="Suma 2 2 37 2" xfId="31735"/>
    <cellStyle name="Suma 2 2 37 3" xfId="31736"/>
    <cellStyle name="Suma 2 2 38" xfId="31737"/>
    <cellStyle name="Suma 2 2 38 2" xfId="31738"/>
    <cellStyle name="Suma 2 2 38 3" xfId="31739"/>
    <cellStyle name="Suma 2 2 39" xfId="31740"/>
    <cellStyle name="Suma 2 2 39 2" xfId="31741"/>
    <cellStyle name="Suma 2 2 39 3" xfId="31742"/>
    <cellStyle name="Suma 2 2 4" xfId="31743"/>
    <cellStyle name="Suma 2 2 4 2" xfId="31744"/>
    <cellStyle name="Suma 2 2 4 3" xfId="31745"/>
    <cellStyle name="Suma 2 2 4 4" xfId="31746"/>
    <cellStyle name="Suma 2 2 40" xfId="31747"/>
    <cellStyle name="Suma 2 2 40 2" xfId="31748"/>
    <cellStyle name="Suma 2 2 40 3" xfId="31749"/>
    <cellStyle name="Suma 2 2 41" xfId="31750"/>
    <cellStyle name="Suma 2 2 41 2" xfId="31751"/>
    <cellStyle name="Suma 2 2 41 3" xfId="31752"/>
    <cellStyle name="Suma 2 2 42" xfId="31753"/>
    <cellStyle name="Suma 2 2 42 2" xfId="31754"/>
    <cellStyle name="Suma 2 2 42 3" xfId="31755"/>
    <cellStyle name="Suma 2 2 43" xfId="31756"/>
    <cellStyle name="Suma 2 2 43 2" xfId="31757"/>
    <cellStyle name="Suma 2 2 43 3" xfId="31758"/>
    <cellStyle name="Suma 2 2 44" xfId="31759"/>
    <cellStyle name="Suma 2 2 44 2" xfId="31760"/>
    <cellStyle name="Suma 2 2 44 3" xfId="31761"/>
    <cellStyle name="Suma 2 2 45" xfId="31762"/>
    <cellStyle name="Suma 2 2 45 2" xfId="31763"/>
    <cellStyle name="Suma 2 2 45 3" xfId="31764"/>
    <cellStyle name="Suma 2 2 46" xfId="31765"/>
    <cellStyle name="Suma 2 2 46 2" xfId="31766"/>
    <cellStyle name="Suma 2 2 46 3" xfId="31767"/>
    <cellStyle name="Suma 2 2 47" xfId="31768"/>
    <cellStyle name="Suma 2 2 47 2" xfId="31769"/>
    <cellStyle name="Suma 2 2 47 3" xfId="31770"/>
    <cellStyle name="Suma 2 2 48" xfId="31771"/>
    <cellStyle name="Suma 2 2 48 2" xfId="31772"/>
    <cellStyle name="Suma 2 2 48 3" xfId="31773"/>
    <cellStyle name="Suma 2 2 49" xfId="31774"/>
    <cellStyle name="Suma 2 2 49 2" xfId="31775"/>
    <cellStyle name="Suma 2 2 49 3" xfId="31776"/>
    <cellStyle name="Suma 2 2 5" xfId="31777"/>
    <cellStyle name="Suma 2 2 5 2" xfId="31778"/>
    <cellStyle name="Suma 2 2 5 3" xfId="31779"/>
    <cellStyle name="Suma 2 2 5 4" xfId="31780"/>
    <cellStyle name="Suma 2 2 50" xfId="31781"/>
    <cellStyle name="Suma 2 2 50 2" xfId="31782"/>
    <cellStyle name="Suma 2 2 50 3" xfId="31783"/>
    <cellStyle name="Suma 2 2 51" xfId="31784"/>
    <cellStyle name="Suma 2 2 51 2" xfId="31785"/>
    <cellStyle name="Suma 2 2 51 3" xfId="31786"/>
    <cellStyle name="Suma 2 2 52" xfId="31787"/>
    <cellStyle name="Suma 2 2 52 2" xfId="31788"/>
    <cellStyle name="Suma 2 2 52 3" xfId="31789"/>
    <cellStyle name="Suma 2 2 53" xfId="31790"/>
    <cellStyle name="Suma 2 2 53 2" xfId="31791"/>
    <cellStyle name="Suma 2 2 53 3" xfId="31792"/>
    <cellStyle name="Suma 2 2 54" xfId="31793"/>
    <cellStyle name="Suma 2 2 54 2" xfId="31794"/>
    <cellStyle name="Suma 2 2 54 3" xfId="31795"/>
    <cellStyle name="Suma 2 2 55" xfId="31796"/>
    <cellStyle name="Suma 2 2 55 2" xfId="31797"/>
    <cellStyle name="Suma 2 2 55 3" xfId="31798"/>
    <cellStyle name="Suma 2 2 56" xfId="31799"/>
    <cellStyle name="Suma 2 2 56 2" xfId="31800"/>
    <cellStyle name="Suma 2 2 56 3" xfId="31801"/>
    <cellStyle name="Suma 2 2 57" xfId="31802"/>
    <cellStyle name="Suma 2 2 58" xfId="31803"/>
    <cellStyle name="Suma 2 2 59" xfId="31804"/>
    <cellStyle name="Suma 2 2 6" xfId="31805"/>
    <cellStyle name="Suma 2 2 6 2" xfId="31806"/>
    <cellStyle name="Suma 2 2 6 3" xfId="31807"/>
    <cellStyle name="Suma 2 2 6 4" xfId="31808"/>
    <cellStyle name="Suma 2 2 7" xfId="31809"/>
    <cellStyle name="Suma 2 2 7 2" xfId="31810"/>
    <cellStyle name="Suma 2 2 7 3" xfId="31811"/>
    <cellStyle name="Suma 2 2 7 4" xfId="31812"/>
    <cellStyle name="Suma 2 2 8" xfId="31813"/>
    <cellStyle name="Suma 2 2 8 2" xfId="31814"/>
    <cellStyle name="Suma 2 2 8 3" xfId="31815"/>
    <cellStyle name="Suma 2 2 8 4" xfId="31816"/>
    <cellStyle name="Suma 2 2 9" xfId="31817"/>
    <cellStyle name="Suma 2 2 9 2" xfId="31818"/>
    <cellStyle name="Suma 2 2 9 3" xfId="31819"/>
    <cellStyle name="Suma 2 2 9 4" xfId="31820"/>
    <cellStyle name="Suma 2 20" xfId="31821"/>
    <cellStyle name="Suma 2 20 10" xfId="31822"/>
    <cellStyle name="Suma 2 20 10 2" xfId="31823"/>
    <cellStyle name="Suma 2 20 10 3" xfId="31824"/>
    <cellStyle name="Suma 2 20 10 4" xfId="31825"/>
    <cellStyle name="Suma 2 20 11" xfId="31826"/>
    <cellStyle name="Suma 2 20 11 2" xfId="31827"/>
    <cellStyle name="Suma 2 20 11 3" xfId="31828"/>
    <cellStyle name="Suma 2 20 11 4" xfId="31829"/>
    <cellStyle name="Suma 2 20 12" xfId="31830"/>
    <cellStyle name="Suma 2 20 12 2" xfId="31831"/>
    <cellStyle name="Suma 2 20 12 3" xfId="31832"/>
    <cellStyle name="Suma 2 20 12 4" xfId="31833"/>
    <cellStyle name="Suma 2 20 13" xfId="31834"/>
    <cellStyle name="Suma 2 20 13 2" xfId="31835"/>
    <cellStyle name="Suma 2 20 13 3" xfId="31836"/>
    <cellStyle name="Suma 2 20 13 4" xfId="31837"/>
    <cellStyle name="Suma 2 20 14" xfId="31838"/>
    <cellStyle name="Suma 2 20 14 2" xfId="31839"/>
    <cellStyle name="Suma 2 20 14 3" xfId="31840"/>
    <cellStyle name="Suma 2 20 14 4" xfId="31841"/>
    <cellStyle name="Suma 2 20 15" xfId="31842"/>
    <cellStyle name="Suma 2 20 15 2" xfId="31843"/>
    <cellStyle name="Suma 2 20 15 3" xfId="31844"/>
    <cellStyle name="Suma 2 20 15 4" xfId="31845"/>
    <cellStyle name="Suma 2 20 16" xfId="31846"/>
    <cellStyle name="Suma 2 20 16 2" xfId="31847"/>
    <cellStyle name="Suma 2 20 16 3" xfId="31848"/>
    <cellStyle name="Suma 2 20 16 4" xfId="31849"/>
    <cellStyle name="Suma 2 20 17" xfId="31850"/>
    <cellStyle name="Suma 2 20 17 2" xfId="31851"/>
    <cellStyle name="Suma 2 20 17 3" xfId="31852"/>
    <cellStyle name="Suma 2 20 17 4" xfId="31853"/>
    <cellStyle name="Suma 2 20 18" xfId="31854"/>
    <cellStyle name="Suma 2 20 18 2" xfId="31855"/>
    <cellStyle name="Suma 2 20 18 3" xfId="31856"/>
    <cellStyle name="Suma 2 20 18 4" xfId="31857"/>
    <cellStyle name="Suma 2 20 19" xfId="31858"/>
    <cellStyle name="Suma 2 20 19 2" xfId="31859"/>
    <cellStyle name="Suma 2 20 19 3" xfId="31860"/>
    <cellStyle name="Suma 2 20 19 4" xfId="31861"/>
    <cellStyle name="Suma 2 20 2" xfId="31862"/>
    <cellStyle name="Suma 2 20 2 2" xfId="31863"/>
    <cellStyle name="Suma 2 20 2 3" xfId="31864"/>
    <cellStyle name="Suma 2 20 2 4" xfId="31865"/>
    <cellStyle name="Suma 2 20 20" xfId="31866"/>
    <cellStyle name="Suma 2 20 20 2" xfId="31867"/>
    <cellStyle name="Suma 2 20 20 3" xfId="31868"/>
    <cellStyle name="Suma 2 20 20 4" xfId="31869"/>
    <cellStyle name="Suma 2 20 21" xfId="31870"/>
    <cellStyle name="Suma 2 20 21 2" xfId="31871"/>
    <cellStyle name="Suma 2 20 21 3" xfId="31872"/>
    <cellStyle name="Suma 2 20 22" xfId="31873"/>
    <cellStyle name="Suma 2 20 22 2" xfId="31874"/>
    <cellStyle name="Suma 2 20 22 3" xfId="31875"/>
    <cellStyle name="Suma 2 20 23" xfId="31876"/>
    <cellStyle name="Suma 2 20 23 2" xfId="31877"/>
    <cellStyle name="Suma 2 20 23 3" xfId="31878"/>
    <cellStyle name="Suma 2 20 24" xfId="31879"/>
    <cellStyle name="Suma 2 20 24 2" xfId="31880"/>
    <cellStyle name="Suma 2 20 24 3" xfId="31881"/>
    <cellStyle name="Suma 2 20 25" xfId="31882"/>
    <cellStyle name="Suma 2 20 25 2" xfId="31883"/>
    <cellStyle name="Suma 2 20 25 3" xfId="31884"/>
    <cellStyle name="Suma 2 20 26" xfId="31885"/>
    <cellStyle name="Suma 2 20 26 2" xfId="31886"/>
    <cellStyle name="Suma 2 20 26 3" xfId="31887"/>
    <cellStyle name="Suma 2 20 27" xfId="31888"/>
    <cellStyle name="Suma 2 20 27 2" xfId="31889"/>
    <cellStyle name="Suma 2 20 27 3" xfId="31890"/>
    <cellStyle name="Suma 2 20 28" xfId="31891"/>
    <cellStyle name="Suma 2 20 28 2" xfId="31892"/>
    <cellStyle name="Suma 2 20 28 3" xfId="31893"/>
    <cellStyle name="Suma 2 20 29" xfId="31894"/>
    <cellStyle name="Suma 2 20 29 2" xfId="31895"/>
    <cellStyle name="Suma 2 20 29 3" xfId="31896"/>
    <cellStyle name="Suma 2 20 3" xfId="31897"/>
    <cellStyle name="Suma 2 20 3 2" xfId="31898"/>
    <cellStyle name="Suma 2 20 3 3" xfId="31899"/>
    <cellStyle name="Suma 2 20 3 4" xfId="31900"/>
    <cellStyle name="Suma 2 20 30" xfId="31901"/>
    <cellStyle name="Suma 2 20 30 2" xfId="31902"/>
    <cellStyle name="Suma 2 20 30 3" xfId="31903"/>
    <cellStyle name="Suma 2 20 31" xfId="31904"/>
    <cellStyle name="Suma 2 20 31 2" xfId="31905"/>
    <cellStyle name="Suma 2 20 31 3" xfId="31906"/>
    <cellStyle name="Suma 2 20 32" xfId="31907"/>
    <cellStyle name="Suma 2 20 32 2" xfId="31908"/>
    <cellStyle name="Suma 2 20 32 3" xfId="31909"/>
    <cellStyle name="Suma 2 20 33" xfId="31910"/>
    <cellStyle name="Suma 2 20 33 2" xfId="31911"/>
    <cellStyle name="Suma 2 20 33 3" xfId="31912"/>
    <cellStyle name="Suma 2 20 34" xfId="31913"/>
    <cellStyle name="Suma 2 20 34 2" xfId="31914"/>
    <cellStyle name="Suma 2 20 34 3" xfId="31915"/>
    <cellStyle name="Suma 2 20 35" xfId="31916"/>
    <cellStyle name="Suma 2 20 35 2" xfId="31917"/>
    <cellStyle name="Suma 2 20 35 3" xfId="31918"/>
    <cellStyle name="Suma 2 20 36" xfId="31919"/>
    <cellStyle name="Suma 2 20 36 2" xfId="31920"/>
    <cellStyle name="Suma 2 20 36 3" xfId="31921"/>
    <cellStyle name="Suma 2 20 37" xfId="31922"/>
    <cellStyle name="Suma 2 20 37 2" xfId="31923"/>
    <cellStyle name="Suma 2 20 37 3" xfId="31924"/>
    <cellStyle name="Suma 2 20 38" xfId="31925"/>
    <cellStyle name="Suma 2 20 38 2" xfId="31926"/>
    <cellStyle name="Suma 2 20 38 3" xfId="31927"/>
    <cellStyle name="Suma 2 20 39" xfId="31928"/>
    <cellStyle name="Suma 2 20 39 2" xfId="31929"/>
    <cellStyle name="Suma 2 20 39 3" xfId="31930"/>
    <cellStyle name="Suma 2 20 4" xfId="31931"/>
    <cellStyle name="Suma 2 20 4 2" xfId="31932"/>
    <cellStyle name="Suma 2 20 4 3" xfId="31933"/>
    <cellStyle name="Suma 2 20 4 4" xfId="31934"/>
    <cellStyle name="Suma 2 20 40" xfId="31935"/>
    <cellStyle name="Suma 2 20 40 2" xfId="31936"/>
    <cellStyle name="Suma 2 20 40 3" xfId="31937"/>
    <cellStyle name="Suma 2 20 41" xfId="31938"/>
    <cellStyle name="Suma 2 20 41 2" xfId="31939"/>
    <cellStyle name="Suma 2 20 41 3" xfId="31940"/>
    <cellStyle name="Suma 2 20 42" xfId="31941"/>
    <cellStyle name="Suma 2 20 42 2" xfId="31942"/>
    <cellStyle name="Suma 2 20 42 3" xfId="31943"/>
    <cellStyle name="Suma 2 20 43" xfId="31944"/>
    <cellStyle name="Suma 2 20 43 2" xfId="31945"/>
    <cellStyle name="Suma 2 20 43 3" xfId="31946"/>
    <cellStyle name="Suma 2 20 44" xfId="31947"/>
    <cellStyle name="Suma 2 20 44 2" xfId="31948"/>
    <cellStyle name="Suma 2 20 44 3" xfId="31949"/>
    <cellStyle name="Suma 2 20 45" xfId="31950"/>
    <cellStyle name="Suma 2 20 45 2" xfId="31951"/>
    <cellStyle name="Suma 2 20 45 3" xfId="31952"/>
    <cellStyle name="Suma 2 20 46" xfId="31953"/>
    <cellStyle name="Suma 2 20 46 2" xfId="31954"/>
    <cellStyle name="Suma 2 20 46 3" xfId="31955"/>
    <cellStyle name="Suma 2 20 47" xfId="31956"/>
    <cellStyle name="Suma 2 20 47 2" xfId="31957"/>
    <cellStyle name="Suma 2 20 47 3" xfId="31958"/>
    <cellStyle name="Suma 2 20 48" xfId="31959"/>
    <cellStyle name="Suma 2 20 48 2" xfId="31960"/>
    <cellStyle name="Suma 2 20 48 3" xfId="31961"/>
    <cellStyle name="Suma 2 20 49" xfId="31962"/>
    <cellStyle name="Suma 2 20 49 2" xfId="31963"/>
    <cellStyle name="Suma 2 20 49 3" xfId="31964"/>
    <cellStyle name="Suma 2 20 5" xfId="31965"/>
    <cellStyle name="Suma 2 20 5 2" xfId="31966"/>
    <cellStyle name="Suma 2 20 5 3" xfId="31967"/>
    <cellStyle name="Suma 2 20 5 4" xfId="31968"/>
    <cellStyle name="Suma 2 20 50" xfId="31969"/>
    <cellStyle name="Suma 2 20 50 2" xfId="31970"/>
    <cellStyle name="Suma 2 20 50 3" xfId="31971"/>
    <cellStyle name="Suma 2 20 51" xfId="31972"/>
    <cellStyle name="Suma 2 20 51 2" xfId="31973"/>
    <cellStyle name="Suma 2 20 51 3" xfId="31974"/>
    <cellStyle name="Suma 2 20 52" xfId="31975"/>
    <cellStyle name="Suma 2 20 52 2" xfId="31976"/>
    <cellStyle name="Suma 2 20 52 3" xfId="31977"/>
    <cellStyle name="Suma 2 20 53" xfId="31978"/>
    <cellStyle name="Suma 2 20 53 2" xfId="31979"/>
    <cellStyle name="Suma 2 20 53 3" xfId="31980"/>
    <cellStyle name="Suma 2 20 54" xfId="31981"/>
    <cellStyle name="Suma 2 20 54 2" xfId="31982"/>
    <cellStyle name="Suma 2 20 54 3" xfId="31983"/>
    <cellStyle name="Suma 2 20 55" xfId="31984"/>
    <cellStyle name="Suma 2 20 55 2" xfId="31985"/>
    <cellStyle name="Suma 2 20 55 3" xfId="31986"/>
    <cellStyle name="Suma 2 20 56" xfId="31987"/>
    <cellStyle name="Suma 2 20 56 2" xfId="31988"/>
    <cellStyle name="Suma 2 20 56 3" xfId="31989"/>
    <cellStyle name="Suma 2 20 57" xfId="31990"/>
    <cellStyle name="Suma 2 20 58" xfId="31991"/>
    <cellStyle name="Suma 2 20 6" xfId="31992"/>
    <cellStyle name="Suma 2 20 6 2" xfId="31993"/>
    <cellStyle name="Suma 2 20 6 3" xfId="31994"/>
    <cellStyle name="Suma 2 20 6 4" xfId="31995"/>
    <cellStyle name="Suma 2 20 7" xfId="31996"/>
    <cellStyle name="Suma 2 20 7 2" xfId="31997"/>
    <cellStyle name="Suma 2 20 7 3" xfId="31998"/>
    <cellStyle name="Suma 2 20 7 4" xfId="31999"/>
    <cellStyle name="Suma 2 20 8" xfId="32000"/>
    <cellStyle name="Suma 2 20 8 2" xfId="32001"/>
    <cellStyle name="Suma 2 20 8 3" xfId="32002"/>
    <cellStyle name="Suma 2 20 8 4" xfId="32003"/>
    <cellStyle name="Suma 2 20 9" xfId="32004"/>
    <cellStyle name="Suma 2 20 9 2" xfId="32005"/>
    <cellStyle name="Suma 2 20 9 3" xfId="32006"/>
    <cellStyle name="Suma 2 20 9 4" xfId="32007"/>
    <cellStyle name="Suma 2 21" xfId="32008"/>
    <cellStyle name="Suma 2 21 10" xfId="32009"/>
    <cellStyle name="Suma 2 21 10 2" xfId="32010"/>
    <cellStyle name="Suma 2 21 10 3" xfId="32011"/>
    <cellStyle name="Suma 2 21 10 4" xfId="32012"/>
    <cellStyle name="Suma 2 21 11" xfId="32013"/>
    <cellStyle name="Suma 2 21 11 2" xfId="32014"/>
    <cellStyle name="Suma 2 21 11 3" xfId="32015"/>
    <cellStyle name="Suma 2 21 11 4" xfId="32016"/>
    <cellStyle name="Suma 2 21 12" xfId="32017"/>
    <cellStyle name="Suma 2 21 12 2" xfId="32018"/>
    <cellStyle name="Suma 2 21 12 3" xfId="32019"/>
    <cellStyle name="Suma 2 21 12 4" xfId="32020"/>
    <cellStyle name="Suma 2 21 13" xfId="32021"/>
    <cellStyle name="Suma 2 21 13 2" xfId="32022"/>
    <cellStyle name="Suma 2 21 13 3" xfId="32023"/>
    <cellStyle name="Suma 2 21 13 4" xfId="32024"/>
    <cellStyle name="Suma 2 21 14" xfId="32025"/>
    <cellStyle name="Suma 2 21 14 2" xfId="32026"/>
    <cellStyle name="Suma 2 21 14 3" xfId="32027"/>
    <cellStyle name="Suma 2 21 14 4" xfId="32028"/>
    <cellStyle name="Suma 2 21 15" xfId="32029"/>
    <cellStyle name="Suma 2 21 15 2" xfId="32030"/>
    <cellStyle name="Suma 2 21 15 3" xfId="32031"/>
    <cellStyle name="Suma 2 21 15 4" xfId="32032"/>
    <cellStyle name="Suma 2 21 16" xfId="32033"/>
    <cellStyle name="Suma 2 21 16 2" xfId="32034"/>
    <cellStyle name="Suma 2 21 16 3" xfId="32035"/>
    <cellStyle name="Suma 2 21 16 4" xfId="32036"/>
    <cellStyle name="Suma 2 21 17" xfId="32037"/>
    <cellStyle name="Suma 2 21 17 2" xfId="32038"/>
    <cellStyle name="Suma 2 21 17 3" xfId="32039"/>
    <cellStyle name="Suma 2 21 17 4" xfId="32040"/>
    <cellStyle name="Suma 2 21 18" xfId="32041"/>
    <cellStyle name="Suma 2 21 18 2" xfId="32042"/>
    <cellStyle name="Suma 2 21 18 3" xfId="32043"/>
    <cellStyle name="Suma 2 21 18 4" xfId="32044"/>
    <cellStyle name="Suma 2 21 19" xfId="32045"/>
    <cellStyle name="Suma 2 21 19 2" xfId="32046"/>
    <cellStyle name="Suma 2 21 19 3" xfId="32047"/>
    <cellStyle name="Suma 2 21 19 4" xfId="32048"/>
    <cellStyle name="Suma 2 21 2" xfId="32049"/>
    <cellStyle name="Suma 2 21 2 2" xfId="32050"/>
    <cellStyle name="Suma 2 21 2 3" xfId="32051"/>
    <cellStyle name="Suma 2 21 2 4" xfId="32052"/>
    <cellStyle name="Suma 2 21 20" xfId="32053"/>
    <cellStyle name="Suma 2 21 20 2" xfId="32054"/>
    <cellStyle name="Suma 2 21 20 3" xfId="32055"/>
    <cellStyle name="Suma 2 21 20 4" xfId="32056"/>
    <cellStyle name="Suma 2 21 21" xfId="32057"/>
    <cellStyle name="Suma 2 21 21 2" xfId="32058"/>
    <cellStyle name="Suma 2 21 21 3" xfId="32059"/>
    <cellStyle name="Suma 2 21 22" xfId="32060"/>
    <cellStyle name="Suma 2 21 22 2" xfId="32061"/>
    <cellStyle name="Suma 2 21 22 3" xfId="32062"/>
    <cellStyle name="Suma 2 21 23" xfId="32063"/>
    <cellStyle name="Suma 2 21 23 2" xfId="32064"/>
    <cellStyle name="Suma 2 21 23 3" xfId="32065"/>
    <cellStyle name="Suma 2 21 24" xfId="32066"/>
    <cellStyle name="Suma 2 21 24 2" xfId="32067"/>
    <cellStyle name="Suma 2 21 24 3" xfId="32068"/>
    <cellStyle name="Suma 2 21 25" xfId="32069"/>
    <cellStyle name="Suma 2 21 25 2" xfId="32070"/>
    <cellStyle name="Suma 2 21 25 3" xfId="32071"/>
    <cellStyle name="Suma 2 21 26" xfId="32072"/>
    <cellStyle name="Suma 2 21 26 2" xfId="32073"/>
    <cellStyle name="Suma 2 21 26 3" xfId="32074"/>
    <cellStyle name="Suma 2 21 27" xfId="32075"/>
    <cellStyle name="Suma 2 21 27 2" xfId="32076"/>
    <cellStyle name="Suma 2 21 27 3" xfId="32077"/>
    <cellStyle name="Suma 2 21 28" xfId="32078"/>
    <cellStyle name="Suma 2 21 28 2" xfId="32079"/>
    <cellStyle name="Suma 2 21 28 3" xfId="32080"/>
    <cellStyle name="Suma 2 21 29" xfId="32081"/>
    <cellStyle name="Suma 2 21 29 2" xfId="32082"/>
    <cellStyle name="Suma 2 21 29 3" xfId="32083"/>
    <cellStyle name="Suma 2 21 3" xfId="32084"/>
    <cellStyle name="Suma 2 21 3 2" xfId="32085"/>
    <cellStyle name="Suma 2 21 3 3" xfId="32086"/>
    <cellStyle name="Suma 2 21 3 4" xfId="32087"/>
    <cellStyle name="Suma 2 21 30" xfId="32088"/>
    <cellStyle name="Suma 2 21 30 2" xfId="32089"/>
    <cellStyle name="Suma 2 21 30 3" xfId="32090"/>
    <cellStyle name="Suma 2 21 31" xfId="32091"/>
    <cellStyle name="Suma 2 21 31 2" xfId="32092"/>
    <cellStyle name="Suma 2 21 31 3" xfId="32093"/>
    <cellStyle name="Suma 2 21 32" xfId="32094"/>
    <cellStyle name="Suma 2 21 32 2" xfId="32095"/>
    <cellStyle name="Suma 2 21 32 3" xfId="32096"/>
    <cellStyle name="Suma 2 21 33" xfId="32097"/>
    <cellStyle name="Suma 2 21 33 2" xfId="32098"/>
    <cellStyle name="Suma 2 21 33 3" xfId="32099"/>
    <cellStyle name="Suma 2 21 34" xfId="32100"/>
    <cellStyle name="Suma 2 21 34 2" xfId="32101"/>
    <cellStyle name="Suma 2 21 34 3" xfId="32102"/>
    <cellStyle name="Suma 2 21 35" xfId="32103"/>
    <cellStyle name="Suma 2 21 35 2" xfId="32104"/>
    <cellStyle name="Suma 2 21 35 3" xfId="32105"/>
    <cellStyle name="Suma 2 21 36" xfId="32106"/>
    <cellStyle name="Suma 2 21 36 2" xfId="32107"/>
    <cellStyle name="Suma 2 21 36 3" xfId="32108"/>
    <cellStyle name="Suma 2 21 37" xfId="32109"/>
    <cellStyle name="Suma 2 21 37 2" xfId="32110"/>
    <cellStyle name="Suma 2 21 37 3" xfId="32111"/>
    <cellStyle name="Suma 2 21 38" xfId="32112"/>
    <cellStyle name="Suma 2 21 38 2" xfId="32113"/>
    <cellStyle name="Suma 2 21 38 3" xfId="32114"/>
    <cellStyle name="Suma 2 21 39" xfId="32115"/>
    <cellStyle name="Suma 2 21 39 2" xfId="32116"/>
    <cellStyle name="Suma 2 21 39 3" xfId="32117"/>
    <cellStyle name="Suma 2 21 4" xfId="32118"/>
    <cellStyle name="Suma 2 21 4 2" xfId="32119"/>
    <cellStyle name="Suma 2 21 4 3" xfId="32120"/>
    <cellStyle name="Suma 2 21 4 4" xfId="32121"/>
    <cellStyle name="Suma 2 21 40" xfId="32122"/>
    <cellStyle name="Suma 2 21 40 2" xfId="32123"/>
    <cellStyle name="Suma 2 21 40 3" xfId="32124"/>
    <cellStyle name="Suma 2 21 41" xfId="32125"/>
    <cellStyle name="Suma 2 21 41 2" xfId="32126"/>
    <cellStyle name="Suma 2 21 41 3" xfId="32127"/>
    <cellStyle name="Suma 2 21 42" xfId="32128"/>
    <cellStyle name="Suma 2 21 42 2" xfId="32129"/>
    <cellStyle name="Suma 2 21 42 3" xfId="32130"/>
    <cellStyle name="Suma 2 21 43" xfId="32131"/>
    <cellStyle name="Suma 2 21 43 2" xfId="32132"/>
    <cellStyle name="Suma 2 21 43 3" xfId="32133"/>
    <cellStyle name="Suma 2 21 44" xfId="32134"/>
    <cellStyle name="Suma 2 21 44 2" xfId="32135"/>
    <cellStyle name="Suma 2 21 44 3" xfId="32136"/>
    <cellStyle name="Suma 2 21 45" xfId="32137"/>
    <cellStyle name="Suma 2 21 45 2" xfId="32138"/>
    <cellStyle name="Suma 2 21 45 3" xfId="32139"/>
    <cellStyle name="Suma 2 21 46" xfId="32140"/>
    <cellStyle name="Suma 2 21 46 2" xfId="32141"/>
    <cellStyle name="Suma 2 21 46 3" xfId="32142"/>
    <cellStyle name="Suma 2 21 47" xfId="32143"/>
    <cellStyle name="Suma 2 21 47 2" xfId="32144"/>
    <cellStyle name="Suma 2 21 47 3" xfId="32145"/>
    <cellStyle name="Suma 2 21 48" xfId="32146"/>
    <cellStyle name="Suma 2 21 48 2" xfId="32147"/>
    <cellStyle name="Suma 2 21 48 3" xfId="32148"/>
    <cellStyle name="Suma 2 21 49" xfId="32149"/>
    <cellStyle name="Suma 2 21 49 2" xfId="32150"/>
    <cellStyle name="Suma 2 21 49 3" xfId="32151"/>
    <cellStyle name="Suma 2 21 5" xfId="32152"/>
    <cellStyle name="Suma 2 21 5 2" xfId="32153"/>
    <cellStyle name="Suma 2 21 5 3" xfId="32154"/>
    <cellStyle name="Suma 2 21 5 4" xfId="32155"/>
    <cellStyle name="Suma 2 21 50" xfId="32156"/>
    <cellStyle name="Suma 2 21 50 2" xfId="32157"/>
    <cellStyle name="Suma 2 21 50 3" xfId="32158"/>
    <cellStyle name="Suma 2 21 51" xfId="32159"/>
    <cellStyle name="Suma 2 21 51 2" xfId="32160"/>
    <cellStyle name="Suma 2 21 51 3" xfId="32161"/>
    <cellStyle name="Suma 2 21 52" xfId="32162"/>
    <cellStyle name="Suma 2 21 52 2" xfId="32163"/>
    <cellStyle name="Suma 2 21 52 3" xfId="32164"/>
    <cellStyle name="Suma 2 21 53" xfId="32165"/>
    <cellStyle name="Suma 2 21 53 2" xfId="32166"/>
    <cellStyle name="Suma 2 21 53 3" xfId="32167"/>
    <cellStyle name="Suma 2 21 54" xfId="32168"/>
    <cellStyle name="Suma 2 21 54 2" xfId="32169"/>
    <cellStyle name="Suma 2 21 54 3" xfId="32170"/>
    <cellStyle name="Suma 2 21 55" xfId="32171"/>
    <cellStyle name="Suma 2 21 55 2" xfId="32172"/>
    <cellStyle name="Suma 2 21 55 3" xfId="32173"/>
    <cellStyle name="Suma 2 21 56" xfId="32174"/>
    <cellStyle name="Suma 2 21 56 2" xfId="32175"/>
    <cellStyle name="Suma 2 21 56 3" xfId="32176"/>
    <cellStyle name="Suma 2 21 57" xfId="32177"/>
    <cellStyle name="Suma 2 21 58" xfId="32178"/>
    <cellStyle name="Suma 2 21 6" xfId="32179"/>
    <cellStyle name="Suma 2 21 6 2" xfId="32180"/>
    <cellStyle name="Suma 2 21 6 3" xfId="32181"/>
    <cellStyle name="Suma 2 21 6 4" xfId="32182"/>
    <cellStyle name="Suma 2 21 7" xfId="32183"/>
    <cellStyle name="Suma 2 21 7 2" xfId="32184"/>
    <cellStyle name="Suma 2 21 7 3" xfId="32185"/>
    <cellStyle name="Suma 2 21 7 4" xfId="32186"/>
    <cellStyle name="Suma 2 21 8" xfId="32187"/>
    <cellStyle name="Suma 2 21 8 2" xfId="32188"/>
    <cellStyle name="Suma 2 21 8 3" xfId="32189"/>
    <cellStyle name="Suma 2 21 8 4" xfId="32190"/>
    <cellStyle name="Suma 2 21 9" xfId="32191"/>
    <cellStyle name="Suma 2 21 9 2" xfId="32192"/>
    <cellStyle name="Suma 2 21 9 3" xfId="32193"/>
    <cellStyle name="Suma 2 21 9 4" xfId="32194"/>
    <cellStyle name="Suma 2 22" xfId="32195"/>
    <cellStyle name="Suma 2 22 10" xfId="32196"/>
    <cellStyle name="Suma 2 22 10 2" xfId="32197"/>
    <cellStyle name="Suma 2 22 10 3" xfId="32198"/>
    <cellStyle name="Suma 2 22 10 4" xfId="32199"/>
    <cellStyle name="Suma 2 22 11" xfId="32200"/>
    <cellStyle name="Suma 2 22 11 2" xfId="32201"/>
    <cellStyle name="Suma 2 22 11 3" xfId="32202"/>
    <cellStyle name="Suma 2 22 11 4" xfId="32203"/>
    <cellStyle name="Suma 2 22 12" xfId="32204"/>
    <cellStyle name="Suma 2 22 12 2" xfId="32205"/>
    <cellStyle name="Suma 2 22 12 3" xfId="32206"/>
    <cellStyle name="Suma 2 22 12 4" xfId="32207"/>
    <cellStyle name="Suma 2 22 13" xfId="32208"/>
    <cellStyle name="Suma 2 22 13 2" xfId="32209"/>
    <cellStyle name="Suma 2 22 13 3" xfId="32210"/>
    <cellStyle name="Suma 2 22 13 4" xfId="32211"/>
    <cellStyle name="Suma 2 22 14" xfId="32212"/>
    <cellStyle name="Suma 2 22 14 2" xfId="32213"/>
    <cellStyle name="Suma 2 22 14 3" xfId="32214"/>
    <cellStyle name="Suma 2 22 14 4" xfId="32215"/>
    <cellStyle name="Suma 2 22 15" xfId="32216"/>
    <cellStyle name="Suma 2 22 15 2" xfId="32217"/>
    <cellStyle name="Suma 2 22 15 3" xfId="32218"/>
    <cellStyle name="Suma 2 22 15 4" xfId="32219"/>
    <cellStyle name="Suma 2 22 16" xfId="32220"/>
    <cellStyle name="Suma 2 22 16 2" xfId="32221"/>
    <cellStyle name="Suma 2 22 16 3" xfId="32222"/>
    <cellStyle name="Suma 2 22 16 4" xfId="32223"/>
    <cellStyle name="Suma 2 22 17" xfId="32224"/>
    <cellStyle name="Suma 2 22 17 2" xfId="32225"/>
    <cellStyle name="Suma 2 22 17 3" xfId="32226"/>
    <cellStyle name="Suma 2 22 17 4" xfId="32227"/>
    <cellStyle name="Suma 2 22 18" xfId="32228"/>
    <cellStyle name="Suma 2 22 18 2" xfId="32229"/>
    <cellStyle name="Suma 2 22 18 3" xfId="32230"/>
    <cellStyle name="Suma 2 22 18 4" xfId="32231"/>
    <cellStyle name="Suma 2 22 19" xfId="32232"/>
    <cellStyle name="Suma 2 22 19 2" xfId="32233"/>
    <cellStyle name="Suma 2 22 19 3" xfId="32234"/>
    <cellStyle name="Suma 2 22 19 4" xfId="32235"/>
    <cellStyle name="Suma 2 22 2" xfId="32236"/>
    <cellStyle name="Suma 2 22 2 2" xfId="32237"/>
    <cellStyle name="Suma 2 22 2 3" xfId="32238"/>
    <cellStyle name="Suma 2 22 2 4" xfId="32239"/>
    <cellStyle name="Suma 2 22 20" xfId="32240"/>
    <cellStyle name="Suma 2 22 20 2" xfId="32241"/>
    <cellStyle name="Suma 2 22 20 3" xfId="32242"/>
    <cellStyle name="Suma 2 22 20 4" xfId="32243"/>
    <cellStyle name="Suma 2 22 21" xfId="32244"/>
    <cellStyle name="Suma 2 22 21 2" xfId="32245"/>
    <cellStyle name="Suma 2 22 21 3" xfId="32246"/>
    <cellStyle name="Suma 2 22 22" xfId="32247"/>
    <cellStyle name="Suma 2 22 22 2" xfId="32248"/>
    <cellStyle name="Suma 2 22 22 3" xfId="32249"/>
    <cellStyle name="Suma 2 22 23" xfId="32250"/>
    <cellStyle name="Suma 2 22 23 2" xfId="32251"/>
    <cellStyle name="Suma 2 22 23 3" xfId="32252"/>
    <cellStyle name="Suma 2 22 24" xfId="32253"/>
    <cellStyle name="Suma 2 22 24 2" xfId="32254"/>
    <cellStyle name="Suma 2 22 24 3" xfId="32255"/>
    <cellStyle name="Suma 2 22 25" xfId="32256"/>
    <cellStyle name="Suma 2 22 25 2" xfId="32257"/>
    <cellStyle name="Suma 2 22 25 3" xfId="32258"/>
    <cellStyle name="Suma 2 22 26" xfId="32259"/>
    <cellStyle name="Suma 2 22 26 2" xfId="32260"/>
    <cellStyle name="Suma 2 22 26 3" xfId="32261"/>
    <cellStyle name="Suma 2 22 27" xfId="32262"/>
    <cellStyle name="Suma 2 22 27 2" xfId="32263"/>
    <cellStyle name="Suma 2 22 27 3" xfId="32264"/>
    <cellStyle name="Suma 2 22 28" xfId="32265"/>
    <cellStyle name="Suma 2 22 28 2" xfId="32266"/>
    <cellStyle name="Suma 2 22 28 3" xfId="32267"/>
    <cellStyle name="Suma 2 22 29" xfId="32268"/>
    <cellStyle name="Suma 2 22 29 2" xfId="32269"/>
    <cellStyle name="Suma 2 22 29 3" xfId="32270"/>
    <cellStyle name="Suma 2 22 3" xfId="32271"/>
    <cellStyle name="Suma 2 22 3 2" xfId="32272"/>
    <cellStyle name="Suma 2 22 3 3" xfId="32273"/>
    <cellStyle name="Suma 2 22 3 4" xfId="32274"/>
    <cellStyle name="Suma 2 22 30" xfId="32275"/>
    <cellStyle name="Suma 2 22 30 2" xfId="32276"/>
    <cellStyle name="Suma 2 22 30 3" xfId="32277"/>
    <cellStyle name="Suma 2 22 31" xfId="32278"/>
    <cellStyle name="Suma 2 22 31 2" xfId="32279"/>
    <cellStyle name="Suma 2 22 31 3" xfId="32280"/>
    <cellStyle name="Suma 2 22 32" xfId="32281"/>
    <cellStyle name="Suma 2 22 32 2" xfId="32282"/>
    <cellStyle name="Suma 2 22 32 3" xfId="32283"/>
    <cellStyle name="Suma 2 22 33" xfId="32284"/>
    <cellStyle name="Suma 2 22 33 2" xfId="32285"/>
    <cellStyle name="Suma 2 22 33 3" xfId="32286"/>
    <cellStyle name="Suma 2 22 34" xfId="32287"/>
    <cellStyle name="Suma 2 22 34 2" xfId="32288"/>
    <cellStyle name="Suma 2 22 34 3" xfId="32289"/>
    <cellStyle name="Suma 2 22 35" xfId="32290"/>
    <cellStyle name="Suma 2 22 35 2" xfId="32291"/>
    <cellStyle name="Suma 2 22 35 3" xfId="32292"/>
    <cellStyle name="Suma 2 22 36" xfId="32293"/>
    <cellStyle name="Suma 2 22 36 2" xfId="32294"/>
    <cellStyle name="Suma 2 22 36 3" xfId="32295"/>
    <cellStyle name="Suma 2 22 37" xfId="32296"/>
    <cellStyle name="Suma 2 22 37 2" xfId="32297"/>
    <cellStyle name="Suma 2 22 37 3" xfId="32298"/>
    <cellStyle name="Suma 2 22 38" xfId="32299"/>
    <cellStyle name="Suma 2 22 38 2" xfId="32300"/>
    <cellStyle name="Suma 2 22 38 3" xfId="32301"/>
    <cellStyle name="Suma 2 22 39" xfId="32302"/>
    <cellStyle name="Suma 2 22 39 2" xfId="32303"/>
    <cellStyle name="Suma 2 22 39 3" xfId="32304"/>
    <cellStyle name="Suma 2 22 4" xfId="32305"/>
    <cellStyle name="Suma 2 22 4 2" xfId="32306"/>
    <cellStyle name="Suma 2 22 4 3" xfId="32307"/>
    <cellStyle name="Suma 2 22 4 4" xfId="32308"/>
    <cellStyle name="Suma 2 22 40" xfId="32309"/>
    <cellStyle name="Suma 2 22 40 2" xfId="32310"/>
    <cellStyle name="Suma 2 22 40 3" xfId="32311"/>
    <cellStyle name="Suma 2 22 41" xfId="32312"/>
    <cellStyle name="Suma 2 22 41 2" xfId="32313"/>
    <cellStyle name="Suma 2 22 41 3" xfId="32314"/>
    <cellStyle name="Suma 2 22 42" xfId="32315"/>
    <cellStyle name="Suma 2 22 42 2" xfId="32316"/>
    <cellStyle name="Suma 2 22 42 3" xfId="32317"/>
    <cellStyle name="Suma 2 22 43" xfId="32318"/>
    <cellStyle name="Suma 2 22 43 2" xfId="32319"/>
    <cellStyle name="Suma 2 22 43 3" xfId="32320"/>
    <cellStyle name="Suma 2 22 44" xfId="32321"/>
    <cellStyle name="Suma 2 22 44 2" xfId="32322"/>
    <cellStyle name="Suma 2 22 44 3" xfId="32323"/>
    <cellStyle name="Suma 2 22 45" xfId="32324"/>
    <cellStyle name="Suma 2 22 45 2" xfId="32325"/>
    <cellStyle name="Suma 2 22 45 3" xfId="32326"/>
    <cellStyle name="Suma 2 22 46" xfId="32327"/>
    <cellStyle name="Suma 2 22 46 2" xfId="32328"/>
    <cellStyle name="Suma 2 22 46 3" xfId="32329"/>
    <cellStyle name="Suma 2 22 47" xfId="32330"/>
    <cellStyle name="Suma 2 22 47 2" xfId="32331"/>
    <cellStyle name="Suma 2 22 47 3" xfId="32332"/>
    <cellStyle name="Suma 2 22 48" xfId="32333"/>
    <cellStyle name="Suma 2 22 48 2" xfId="32334"/>
    <cellStyle name="Suma 2 22 48 3" xfId="32335"/>
    <cellStyle name="Suma 2 22 49" xfId="32336"/>
    <cellStyle name="Suma 2 22 49 2" xfId="32337"/>
    <cellStyle name="Suma 2 22 49 3" xfId="32338"/>
    <cellStyle name="Suma 2 22 5" xfId="32339"/>
    <cellStyle name="Suma 2 22 5 2" xfId="32340"/>
    <cellStyle name="Suma 2 22 5 3" xfId="32341"/>
    <cellStyle name="Suma 2 22 5 4" xfId="32342"/>
    <cellStyle name="Suma 2 22 50" xfId="32343"/>
    <cellStyle name="Suma 2 22 50 2" xfId="32344"/>
    <cellStyle name="Suma 2 22 50 3" xfId="32345"/>
    <cellStyle name="Suma 2 22 51" xfId="32346"/>
    <cellStyle name="Suma 2 22 51 2" xfId="32347"/>
    <cellStyle name="Suma 2 22 51 3" xfId="32348"/>
    <cellStyle name="Suma 2 22 52" xfId="32349"/>
    <cellStyle name="Suma 2 22 52 2" xfId="32350"/>
    <cellStyle name="Suma 2 22 52 3" xfId="32351"/>
    <cellStyle name="Suma 2 22 53" xfId="32352"/>
    <cellStyle name="Suma 2 22 53 2" xfId="32353"/>
    <cellStyle name="Suma 2 22 53 3" xfId="32354"/>
    <cellStyle name="Suma 2 22 54" xfId="32355"/>
    <cellStyle name="Suma 2 22 54 2" xfId="32356"/>
    <cellStyle name="Suma 2 22 54 3" xfId="32357"/>
    <cellStyle name="Suma 2 22 55" xfId="32358"/>
    <cellStyle name="Suma 2 22 55 2" xfId="32359"/>
    <cellStyle name="Suma 2 22 55 3" xfId="32360"/>
    <cellStyle name="Suma 2 22 56" xfId="32361"/>
    <cellStyle name="Suma 2 22 56 2" xfId="32362"/>
    <cellStyle name="Suma 2 22 56 3" xfId="32363"/>
    <cellStyle name="Suma 2 22 57" xfId="32364"/>
    <cellStyle name="Suma 2 22 58" xfId="32365"/>
    <cellStyle name="Suma 2 22 6" xfId="32366"/>
    <cellStyle name="Suma 2 22 6 2" xfId="32367"/>
    <cellStyle name="Suma 2 22 6 3" xfId="32368"/>
    <cellStyle name="Suma 2 22 6 4" xfId="32369"/>
    <cellStyle name="Suma 2 22 7" xfId="32370"/>
    <cellStyle name="Suma 2 22 7 2" xfId="32371"/>
    <cellStyle name="Suma 2 22 7 3" xfId="32372"/>
    <cellStyle name="Suma 2 22 7 4" xfId="32373"/>
    <cellStyle name="Suma 2 22 8" xfId="32374"/>
    <cellStyle name="Suma 2 22 8 2" xfId="32375"/>
    <cellStyle name="Suma 2 22 8 3" xfId="32376"/>
    <cellStyle name="Suma 2 22 8 4" xfId="32377"/>
    <cellStyle name="Suma 2 22 9" xfId="32378"/>
    <cellStyle name="Suma 2 22 9 2" xfId="32379"/>
    <cellStyle name="Suma 2 22 9 3" xfId="32380"/>
    <cellStyle name="Suma 2 22 9 4" xfId="32381"/>
    <cellStyle name="Suma 2 23" xfId="32382"/>
    <cellStyle name="Suma 2 23 10" xfId="32383"/>
    <cellStyle name="Suma 2 23 10 2" xfId="32384"/>
    <cellStyle name="Suma 2 23 10 3" xfId="32385"/>
    <cellStyle name="Suma 2 23 10 4" xfId="32386"/>
    <cellStyle name="Suma 2 23 11" xfId="32387"/>
    <cellStyle name="Suma 2 23 11 2" xfId="32388"/>
    <cellStyle name="Suma 2 23 11 3" xfId="32389"/>
    <cellStyle name="Suma 2 23 11 4" xfId="32390"/>
    <cellStyle name="Suma 2 23 12" xfId="32391"/>
    <cellStyle name="Suma 2 23 12 2" xfId="32392"/>
    <cellStyle name="Suma 2 23 12 3" xfId="32393"/>
    <cellStyle name="Suma 2 23 12 4" xfId="32394"/>
    <cellStyle name="Suma 2 23 13" xfId="32395"/>
    <cellStyle name="Suma 2 23 13 2" xfId="32396"/>
    <cellStyle name="Suma 2 23 13 3" xfId="32397"/>
    <cellStyle name="Suma 2 23 13 4" xfId="32398"/>
    <cellStyle name="Suma 2 23 14" xfId="32399"/>
    <cellStyle name="Suma 2 23 14 2" xfId="32400"/>
    <cellStyle name="Suma 2 23 14 3" xfId="32401"/>
    <cellStyle name="Suma 2 23 14 4" xfId="32402"/>
    <cellStyle name="Suma 2 23 15" xfId="32403"/>
    <cellStyle name="Suma 2 23 15 2" xfId="32404"/>
    <cellStyle name="Suma 2 23 15 3" xfId="32405"/>
    <cellStyle name="Suma 2 23 15 4" xfId="32406"/>
    <cellStyle name="Suma 2 23 16" xfId="32407"/>
    <cellStyle name="Suma 2 23 16 2" xfId="32408"/>
    <cellStyle name="Suma 2 23 16 3" xfId="32409"/>
    <cellStyle name="Suma 2 23 16 4" xfId="32410"/>
    <cellStyle name="Suma 2 23 17" xfId="32411"/>
    <cellStyle name="Suma 2 23 17 2" xfId="32412"/>
    <cellStyle name="Suma 2 23 17 3" xfId="32413"/>
    <cellStyle name="Suma 2 23 17 4" xfId="32414"/>
    <cellStyle name="Suma 2 23 18" xfId="32415"/>
    <cellStyle name="Suma 2 23 18 2" xfId="32416"/>
    <cellStyle name="Suma 2 23 18 3" xfId="32417"/>
    <cellStyle name="Suma 2 23 18 4" xfId="32418"/>
    <cellStyle name="Suma 2 23 19" xfId="32419"/>
    <cellStyle name="Suma 2 23 19 2" xfId="32420"/>
    <cellStyle name="Suma 2 23 19 3" xfId="32421"/>
    <cellStyle name="Suma 2 23 19 4" xfId="32422"/>
    <cellStyle name="Suma 2 23 2" xfId="32423"/>
    <cellStyle name="Suma 2 23 2 2" xfId="32424"/>
    <cellStyle name="Suma 2 23 2 3" xfId="32425"/>
    <cellStyle name="Suma 2 23 2 4" xfId="32426"/>
    <cellStyle name="Suma 2 23 20" xfId="32427"/>
    <cellStyle name="Suma 2 23 20 2" xfId="32428"/>
    <cellStyle name="Suma 2 23 20 3" xfId="32429"/>
    <cellStyle name="Suma 2 23 20 4" xfId="32430"/>
    <cellStyle name="Suma 2 23 21" xfId="32431"/>
    <cellStyle name="Suma 2 23 21 2" xfId="32432"/>
    <cellStyle name="Suma 2 23 21 3" xfId="32433"/>
    <cellStyle name="Suma 2 23 22" xfId="32434"/>
    <cellStyle name="Suma 2 23 22 2" xfId="32435"/>
    <cellStyle name="Suma 2 23 22 3" xfId="32436"/>
    <cellStyle name="Suma 2 23 23" xfId="32437"/>
    <cellStyle name="Suma 2 23 23 2" xfId="32438"/>
    <cellStyle name="Suma 2 23 23 3" xfId="32439"/>
    <cellStyle name="Suma 2 23 24" xfId="32440"/>
    <cellStyle name="Suma 2 23 24 2" xfId="32441"/>
    <cellStyle name="Suma 2 23 24 3" xfId="32442"/>
    <cellStyle name="Suma 2 23 25" xfId="32443"/>
    <cellStyle name="Suma 2 23 25 2" xfId="32444"/>
    <cellStyle name="Suma 2 23 25 3" xfId="32445"/>
    <cellStyle name="Suma 2 23 26" xfId="32446"/>
    <cellStyle name="Suma 2 23 26 2" xfId="32447"/>
    <cellStyle name="Suma 2 23 26 3" xfId="32448"/>
    <cellStyle name="Suma 2 23 27" xfId="32449"/>
    <cellStyle name="Suma 2 23 27 2" xfId="32450"/>
    <cellStyle name="Suma 2 23 27 3" xfId="32451"/>
    <cellStyle name="Suma 2 23 28" xfId="32452"/>
    <cellStyle name="Suma 2 23 28 2" xfId="32453"/>
    <cellStyle name="Suma 2 23 28 3" xfId="32454"/>
    <cellStyle name="Suma 2 23 29" xfId="32455"/>
    <cellStyle name="Suma 2 23 29 2" xfId="32456"/>
    <cellStyle name="Suma 2 23 29 3" xfId="32457"/>
    <cellStyle name="Suma 2 23 3" xfId="32458"/>
    <cellStyle name="Suma 2 23 3 2" xfId="32459"/>
    <cellStyle name="Suma 2 23 3 3" xfId="32460"/>
    <cellStyle name="Suma 2 23 3 4" xfId="32461"/>
    <cellStyle name="Suma 2 23 30" xfId="32462"/>
    <cellStyle name="Suma 2 23 30 2" xfId="32463"/>
    <cellStyle name="Suma 2 23 30 3" xfId="32464"/>
    <cellStyle name="Suma 2 23 31" xfId="32465"/>
    <cellStyle name="Suma 2 23 31 2" xfId="32466"/>
    <cellStyle name="Suma 2 23 31 3" xfId="32467"/>
    <cellStyle name="Suma 2 23 32" xfId="32468"/>
    <cellStyle name="Suma 2 23 32 2" xfId="32469"/>
    <cellStyle name="Suma 2 23 32 3" xfId="32470"/>
    <cellStyle name="Suma 2 23 33" xfId="32471"/>
    <cellStyle name="Suma 2 23 33 2" xfId="32472"/>
    <cellStyle name="Suma 2 23 33 3" xfId="32473"/>
    <cellStyle name="Suma 2 23 34" xfId="32474"/>
    <cellStyle name="Suma 2 23 34 2" xfId="32475"/>
    <cellStyle name="Suma 2 23 34 3" xfId="32476"/>
    <cellStyle name="Suma 2 23 35" xfId="32477"/>
    <cellStyle name="Suma 2 23 35 2" xfId="32478"/>
    <cellStyle name="Suma 2 23 35 3" xfId="32479"/>
    <cellStyle name="Suma 2 23 36" xfId="32480"/>
    <cellStyle name="Suma 2 23 36 2" xfId="32481"/>
    <cellStyle name="Suma 2 23 36 3" xfId="32482"/>
    <cellStyle name="Suma 2 23 37" xfId="32483"/>
    <cellStyle name="Suma 2 23 37 2" xfId="32484"/>
    <cellStyle name="Suma 2 23 37 3" xfId="32485"/>
    <cellStyle name="Suma 2 23 38" xfId="32486"/>
    <cellStyle name="Suma 2 23 38 2" xfId="32487"/>
    <cellStyle name="Suma 2 23 38 3" xfId="32488"/>
    <cellStyle name="Suma 2 23 39" xfId="32489"/>
    <cellStyle name="Suma 2 23 39 2" xfId="32490"/>
    <cellStyle name="Suma 2 23 39 3" xfId="32491"/>
    <cellStyle name="Suma 2 23 4" xfId="32492"/>
    <cellStyle name="Suma 2 23 4 2" xfId="32493"/>
    <cellStyle name="Suma 2 23 4 3" xfId="32494"/>
    <cellStyle name="Suma 2 23 4 4" xfId="32495"/>
    <cellStyle name="Suma 2 23 40" xfId="32496"/>
    <cellStyle name="Suma 2 23 40 2" xfId="32497"/>
    <cellStyle name="Suma 2 23 40 3" xfId="32498"/>
    <cellStyle name="Suma 2 23 41" xfId="32499"/>
    <cellStyle name="Suma 2 23 41 2" xfId="32500"/>
    <cellStyle name="Suma 2 23 41 3" xfId="32501"/>
    <cellStyle name="Suma 2 23 42" xfId="32502"/>
    <cellStyle name="Suma 2 23 42 2" xfId="32503"/>
    <cellStyle name="Suma 2 23 42 3" xfId="32504"/>
    <cellStyle name="Suma 2 23 43" xfId="32505"/>
    <cellStyle name="Suma 2 23 43 2" xfId="32506"/>
    <cellStyle name="Suma 2 23 43 3" xfId="32507"/>
    <cellStyle name="Suma 2 23 44" xfId="32508"/>
    <cellStyle name="Suma 2 23 44 2" xfId="32509"/>
    <cellStyle name="Suma 2 23 44 3" xfId="32510"/>
    <cellStyle name="Suma 2 23 45" xfId="32511"/>
    <cellStyle name="Suma 2 23 45 2" xfId="32512"/>
    <cellStyle name="Suma 2 23 45 3" xfId="32513"/>
    <cellStyle name="Suma 2 23 46" xfId="32514"/>
    <cellStyle name="Suma 2 23 46 2" xfId="32515"/>
    <cellStyle name="Suma 2 23 46 3" xfId="32516"/>
    <cellStyle name="Suma 2 23 47" xfId="32517"/>
    <cellStyle name="Suma 2 23 47 2" xfId="32518"/>
    <cellStyle name="Suma 2 23 47 3" xfId="32519"/>
    <cellStyle name="Suma 2 23 48" xfId="32520"/>
    <cellStyle name="Suma 2 23 48 2" xfId="32521"/>
    <cellStyle name="Suma 2 23 48 3" xfId="32522"/>
    <cellStyle name="Suma 2 23 49" xfId="32523"/>
    <cellStyle name="Suma 2 23 49 2" xfId="32524"/>
    <cellStyle name="Suma 2 23 49 3" xfId="32525"/>
    <cellStyle name="Suma 2 23 5" xfId="32526"/>
    <cellStyle name="Suma 2 23 5 2" xfId="32527"/>
    <cellStyle name="Suma 2 23 5 3" xfId="32528"/>
    <cellStyle name="Suma 2 23 5 4" xfId="32529"/>
    <cellStyle name="Suma 2 23 50" xfId="32530"/>
    <cellStyle name="Suma 2 23 50 2" xfId="32531"/>
    <cellStyle name="Suma 2 23 50 3" xfId="32532"/>
    <cellStyle name="Suma 2 23 51" xfId="32533"/>
    <cellStyle name="Suma 2 23 51 2" xfId="32534"/>
    <cellStyle name="Suma 2 23 51 3" xfId="32535"/>
    <cellStyle name="Suma 2 23 52" xfId="32536"/>
    <cellStyle name="Suma 2 23 52 2" xfId="32537"/>
    <cellStyle name="Suma 2 23 52 3" xfId="32538"/>
    <cellStyle name="Suma 2 23 53" xfId="32539"/>
    <cellStyle name="Suma 2 23 53 2" xfId="32540"/>
    <cellStyle name="Suma 2 23 53 3" xfId="32541"/>
    <cellStyle name="Suma 2 23 54" xfId="32542"/>
    <cellStyle name="Suma 2 23 54 2" xfId="32543"/>
    <cellStyle name="Suma 2 23 54 3" xfId="32544"/>
    <cellStyle name="Suma 2 23 55" xfId="32545"/>
    <cellStyle name="Suma 2 23 55 2" xfId="32546"/>
    <cellStyle name="Suma 2 23 55 3" xfId="32547"/>
    <cellStyle name="Suma 2 23 56" xfId="32548"/>
    <cellStyle name="Suma 2 23 56 2" xfId="32549"/>
    <cellStyle name="Suma 2 23 56 3" xfId="32550"/>
    <cellStyle name="Suma 2 23 57" xfId="32551"/>
    <cellStyle name="Suma 2 23 58" xfId="32552"/>
    <cellStyle name="Suma 2 23 6" xfId="32553"/>
    <cellStyle name="Suma 2 23 6 2" xfId="32554"/>
    <cellStyle name="Suma 2 23 6 3" xfId="32555"/>
    <cellStyle name="Suma 2 23 6 4" xfId="32556"/>
    <cellStyle name="Suma 2 23 7" xfId="32557"/>
    <cellStyle name="Suma 2 23 7 2" xfId="32558"/>
    <cellStyle name="Suma 2 23 7 3" xfId="32559"/>
    <cellStyle name="Suma 2 23 7 4" xfId="32560"/>
    <cellStyle name="Suma 2 23 8" xfId="32561"/>
    <cellStyle name="Suma 2 23 8 2" xfId="32562"/>
    <cellStyle name="Suma 2 23 8 3" xfId="32563"/>
    <cellStyle name="Suma 2 23 8 4" xfId="32564"/>
    <cellStyle name="Suma 2 23 9" xfId="32565"/>
    <cellStyle name="Suma 2 23 9 2" xfId="32566"/>
    <cellStyle name="Suma 2 23 9 3" xfId="32567"/>
    <cellStyle name="Suma 2 23 9 4" xfId="32568"/>
    <cellStyle name="Suma 2 24" xfId="32569"/>
    <cellStyle name="Suma 2 24 10" xfId="32570"/>
    <cellStyle name="Suma 2 24 10 2" xfId="32571"/>
    <cellStyle name="Suma 2 24 10 3" xfId="32572"/>
    <cellStyle name="Suma 2 24 10 4" xfId="32573"/>
    <cellStyle name="Suma 2 24 11" xfId="32574"/>
    <cellStyle name="Suma 2 24 11 2" xfId="32575"/>
    <cellStyle name="Suma 2 24 11 3" xfId="32576"/>
    <cellStyle name="Suma 2 24 11 4" xfId="32577"/>
    <cellStyle name="Suma 2 24 12" xfId="32578"/>
    <cellStyle name="Suma 2 24 12 2" xfId="32579"/>
    <cellStyle name="Suma 2 24 12 3" xfId="32580"/>
    <cellStyle name="Suma 2 24 12 4" xfId="32581"/>
    <cellStyle name="Suma 2 24 13" xfId="32582"/>
    <cellStyle name="Suma 2 24 13 2" xfId="32583"/>
    <cellStyle name="Suma 2 24 13 3" xfId="32584"/>
    <cellStyle name="Suma 2 24 13 4" xfId="32585"/>
    <cellStyle name="Suma 2 24 14" xfId="32586"/>
    <cellStyle name="Suma 2 24 14 2" xfId="32587"/>
    <cellStyle name="Suma 2 24 14 3" xfId="32588"/>
    <cellStyle name="Suma 2 24 14 4" xfId="32589"/>
    <cellStyle name="Suma 2 24 15" xfId="32590"/>
    <cellStyle name="Suma 2 24 15 2" xfId="32591"/>
    <cellStyle name="Suma 2 24 15 3" xfId="32592"/>
    <cellStyle name="Suma 2 24 15 4" xfId="32593"/>
    <cellStyle name="Suma 2 24 16" xfId="32594"/>
    <cellStyle name="Suma 2 24 16 2" xfId="32595"/>
    <cellStyle name="Suma 2 24 16 3" xfId="32596"/>
    <cellStyle name="Suma 2 24 16 4" xfId="32597"/>
    <cellStyle name="Suma 2 24 17" xfId="32598"/>
    <cellStyle name="Suma 2 24 17 2" xfId="32599"/>
    <cellStyle name="Suma 2 24 17 3" xfId="32600"/>
    <cellStyle name="Suma 2 24 17 4" xfId="32601"/>
    <cellStyle name="Suma 2 24 18" xfId="32602"/>
    <cellStyle name="Suma 2 24 18 2" xfId="32603"/>
    <cellStyle name="Suma 2 24 18 3" xfId="32604"/>
    <cellStyle name="Suma 2 24 18 4" xfId="32605"/>
    <cellStyle name="Suma 2 24 19" xfId="32606"/>
    <cellStyle name="Suma 2 24 19 2" xfId="32607"/>
    <cellStyle name="Suma 2 24 19 3" xfId="32608"/>
    <cellStyle name="Suma 2 24 19 4" xfId="32609"/>
    <cellStyle name="Suma 2 24 2" xfId="32610"/>
    <cellStyle name="Suma 2 24 2 2" xfId="32611"/>
    <cellStyle name="Suma 2 24 2 3" xfId="32612"/>
    <cellStyle name="Suma 2 24 2 4" xfId="32613"/>
    <cellStyle name="Suma 2 24 20" xfId="32614"/>
    <cellStyle name="Suma 2 24 20 2" xfId="32615"/>
    <cellStyle name="Suma 2 24 20 3" xfId="32616"/>
    <cellStyle name="Suma 2 24 20 4" xfId="32617"/>
    <cellStyle name="Suma 2 24 21" xfId="32618"/>
    <cellStyle name="Suma 2 24 21 2" xfId="32619"/>
    <cellStyle name="Suma 2 24 21 3" xfId="32620"/>
    <cellStyle name="Suma 2 24 22" xfId="32621"/>
    <cellStyle name="Suma 2 24 22 2" xfId="32622"/>
    <cellStyle name="Suma 2 24 22 3" xfId="32623"/>
    <cellStyle name="Suma 2 24 23" xfId="32624"/>
    <cellStyle name="Suma 2 24 23 2" xfId="32625"/>
    <cellStyle name="Suma 2 24 23 3" xfId="32626"/>
    <cellStyle name="Suma 2 24 24" xfId="32627"/>
    <cellStyle name="Suma 2 24 24 2" xfId="32628"/>
    <cellStyle name="Suma 2 24 24 3" xfId="32629"/>
    <cellStyle name="Suma 2 24 25" xfId="32630"/>
    <cellStyle name="Suma 2 24 25 2" xfId="32631"/>
    <cellStyle name="Suma 2 24 25 3" xfId="32632"/>
    <cellStyle name="Suma 2 24 26" xfId="32633"/>
    <cellStyle name="Suma 2 24 26 2" xfId="32634"/>
    <cellStyle name="Suma 2 24 26 3" xfId="32635"/>
    <cellStyle name="Suma 2 24 27" xfId="32636"/>
    <cellStyle name="Suma 2 24 27 2" xfId="32637"/>
    <cellStyle name="Suma 2 24 27 3" xfId="32638"/>
    <cellStyle name="Suma 2 24 28" xfId="32639"/>
    <cellStyle name="Suma 2 24 28 2" xfId="32640"/>
    <cellStyle name="Suma 2 24 28 3" xfId="32641"/>
    <cellStyle name="Suma 2 24 29" xfId="32642"/>
    <cellStyle name="Suma 2 24 29 2" xfId="32643"/>
    <cellStyle name="Suma 2 24 29 3" xfId="32644"/>
    <cellStyle name="Suma 2 24 3" xfId="32645"/>
    <cellStyle name="Suma 2 24 3 2" xfId="32646"/>
    <cellStyle name="Suma 2 24 3 3" xfId="32647"/>
    <cellStyle name="Suma 2 24 3 4" xfId="32648"/>
    <cellStyle name="Suma 2 24 30" xfId="32649"/>
    <cellStyle name="Suma 2 24 30 2" xfId="32650"/>
    <cellStyle name="Suma 2 24 30 3" xfId="32651"/>
    <cellStyle name="Suma 2 24 31" xfId="32652"/>
    <cellStyle name="Suma 2 24 31 2" xfId="32653"/>
    <cellStyle name="Suma 2 24 31 3" xfId="32654"/>
    <cellStyle name="Suma 2 24 32" xfId="32655"/>
    <cellStyle name="Suma 2 24 32 2" xfId="32656"/>
    <cellStyle name="Suma 2 24 32 3" xfId="32657"/>
    <cellStyle name="Suma 2 24 33" xfId="32658"/>
    <cellStyle name="Suma 2 24 33 2" xfId="32659"/>
    <cellStyle name="Suma 2 24 33 3" xfId="32660"/>
    <cellStyle name="Suma 2 24 34" xfId="32661"/>
    <cellStyle name="Suma 2 24 34 2" xfId="32662"/>
    <cellStyle name="Suma 2 24 34 3" xfId="32663"/>
    <cellStyle name="Suma 2 24 35" xfId="32664"/>
    <cellStyle name="Suma 2 24 35 2" xfId="32665"/>
    <cellStyle name="Suma 2 24 35 3" xfId="32666"/>
    <cellStyle name="Suma 2 24 36" xfId="32667"/>
    <cellStyle name="Suma 2 24 36 2" xfId="32668"/>
    <cellStyle name="Suma 2 24 36 3" xfId="32669"/>
    <cellStyle name="Suma 2 24 37" xfId="32670"/>
    <cellStyle name="Suma 2 24 37 2" xfId="32671"/>
    <cellStyle name="Suma 2 24 37 3" xfId="32672"/>
    <cellStyle name="Suma 2 24 38" xfId="32673"/>
    <cellStyle name="Suma 2 24 38 2" xfId="32674"/>
    <cellStyle name="Suma 2 24 38 3" xfId="32675"/>
    <cellStyle name="Suma 2 24 39" xfId="32676"/>
    <cellStyle name="Suma 2 24 39 2" xfId="32677"/>
    <cellStyle name="Suma 2 24 39 3" xfId="32678"/>
    <cellStyle name="Suma 2 24 4" xfId="32679"/>
    <cellStyle name="Suma 2 24 4 2" xfId="32680"/>
    <cellStyle name="Suma 2 24 4 3" xfId="32681"/>
    <cellStyle name="Suma 2 24 4 4" xfId="32682"/>
    <cellStyle name="Suma 2 24 40" xfId="32683"/>
    <cellStyle name="Suma 2 24 40 2" xfId="32684"/>
    <cellStyle name="Suma 2 24 40 3" xfId="32685"/>
    <cellStyle name="Suma 2 24 41" xfId="32686"/>
    <cellStyle name="Suma 2 24 41 2" xfId="32687"/>
    <cellStyle name="Suma 2 24 41 3" xfId="32688"/>
    <cellStyle name="Suma 2 24 42" xfId="32689"/>
    <cellStyle name="Suma 2 24 42 2" xfId="32690"/>
    <cellStyle name="Suma 2 24 42 3" xfId="32691"/>
    <cellStyle name="Suma 2 24 43" xfId="32692"/>
    <cellStyle name="Suma 2 24 43 2" xfId="32693"/>
    <cellStyle name="Suma 2 24 43 3" xfId="32694"/>
    <cellStyle name="Suma 2 24 44" xfId="32695"/>
    <cellStyle name="Suma 2 24 44 2" xfId="32696"/>
    <cellStyle name="Suma 2 24 44 3" xfId="32697"/>
    <cellStyle name="Suma 2 24 45" xfId="32698"/>
    <cellStyle name="Suma 2 24 45 2" xfId="32699"/>
    <cellStyle name="Suma 2 24 45 3" xfId="32700"/>
    <cellStyle name="Suma 2 24 46" xfId="32701"/>
    <cellStyle name="Suma 2 24 46 2" xfId="32702"/>
    <cellStyle name="Suma 2 24 46 3" xfId="32703"/>
    <cellStyle name="Suma 2 24 47" xfId="32704"/>
    <cellStyle name="Suma 2 24 47 2" xfId="32705"/>
    <cellStyle name="Suma 2 24 47 3" xfId="32706"/>
    <cellStyle name="Suma 2 24 48" xfId="32707"/>
    <cellStyle name="Suma 2 24 48 2" xfId="32708"/>
    <cellStyle name="Suma 2 24 48 3" xfId="32709"/>
    <cellStyle name="Suma 2 24 49" xfId="32710"/>
    <cellStyle name="Suma 2 24 49 2" xfId="32711"/>
    <cellStyle name="Suma 2 24 49 3" xfId="32712"/>
    <cellStyle name="Suma 2 24 5" xfId="32713"/>
    <cellStyle name="Suma 2 24 5 2" xfId="32714"/>
    <cellStyle name="Suma 2 24 5 3" xfId="32715"/>
    <cellStyle name="Suma 2 24 5 4" xfId="32716"/>
    <cellStyle name="Suma 2 24 50" xfId="32717"/>
    <cellStyle name="Suma 2 24 50 2" xfId="32718"/>
    <cellStyle name="Suma 2 24 50 3" xfId="32719"/>
    <cellStyle name="Suma 2 24 51" xfId="32720"/>
    <cellStyle name="Suma 2 24 51 2" xfId="32721"/>
    <cellStyle name="Suma 2 24 51 3" xfId="32722"/>
    <cellStyle name="Suma 2 24 52" xfId="32723"/>
    <cellStyle name="Suma 2 24 52 2" xfId="32724"/>
    <cellStyle name="Suma 2 24 52 3" xfId="32725"/>
    <cellStyle name="Suma 2 24 53" xfId="32726"/>
    <cellStyle name="Suma 2 24 53 2" xfId="32727"/>
    <cellStyle name="Suma 2 24 53 3" xfId="32728"/>
    <cellStyle name="Suma 2 24 54" xfId="32729"/>
    <cellStyle name="Suma 2 24 54 2" xfId="32730"/>
    <cellStyle name="Suma 2 24 54 3" xfId="32731"/>
    <cellStyle name="Suma 2 24 55" xfId="32732"/>
    <cellStyle name="Suma 2 24 55 2" xfId="32733"/>
    <cellStyle name="Suma 2 24 55 3" xfId="32734"/>
    <cellStyle name="Suma 2 24 56" xfId="32735"/>
    <cellStyle name="Suma 2 24 56 2" xfId="32736"/>
    <cellStyle name="Suma 2 24 56 3" xfId="32737"/>
    <cellStyle name="Suma 2 24 57" xfId="32738"/>
    <cellStyle name="Suma 2 24 58" xfId="32739"/>
    <cellStyle name="Suma 2 24 6" xfId="32740"/>
    <cellStyle name="Suma 2 24 6 2" xfId="32741"/>
    <cellStyle name="Suma 2 24 6 3" xfId="32742"/>
    <cellStyle name="Suma 2 24 6 4" xfId="32743"/>
    <cellStyle name="Suma 2 24 7" xfId="32744"/>
    <cellStyle name="Suma 2 24 7 2" xfId="32745"/>
    <cellStyle name="Suma 2 24 7 3" xfId="32746"/>
    <cellStyle name="Suma 2 24 7 4" xfId="32747"/>
    <cellStyle name="Suma 2 24 8" xfId="32748"/>
    <cellStyle name="Suma 2 24 8 2" xfId="32749"/>
    <cellStyle name="Suma 2 24 8 3" xfId="32750"/>
    <cellStyle name="Suma 2 24 8 4" xfId="32751"/>
    <cellStyle name="Suma 2 24 9" xfId="32752"/>
    <cellStyle name="Suma 2 24 9 2" xfId="32753"/>
    <cellStyle name="Suma 2 24 9 3" xfId="32754"/>
    <cellStyle name="Suma 2 24 9 4" xfId="32755"/>
    <cellStyle name="Suma 2 25" xfId="32756"/>
    <cellStyle name="Suma 2 25 10" xfId="32757"/>
    <cellStyle name="Suma 2 25 10 2" xfId="32758"/>
    <cellStyle name="Suma 2 25 10 3" xfId="32759"/>
    <cellStyle name="Suma 2 25 10 4" xfId="32760"/>
    <cellStyle name="Suma 2 25 11" xfId="32761"/>
    <cellStyle name="Suma 2 25 11 2" xfId="32762"/>
    <cellStyle name="Suma 2 25 11 3" xfId="32763"/>
    <cellStyle name="Suma 2 25 11 4" xfId="32764"/>
    <cellStyle name="Suma 2 25 12" xfId="32765"/>
    <cellStyle name="Suma 2 25 12 2" xfId="32766"/>
    <cellStyle name="Suma 2 25 12 3" xfId="32767"/>
    <cellStyle name="Suma 2 25 12 4" xfId="32768"/>
    <cellStyle name="Suma 2 25 13" xfId="32769"/>
    <cellStyle name="Suma 2 25 13 2" xfId="32770"/>
    <cellStyle name="Suma 2 25 13 3" xfId="32771"/>
    <cellStyle name="Suma 2 25 13 4" xfId="32772"/>
    <cellStyle name="Suma 2 25 14" xfId="32773"/>
    <cellStyle name="Suma 2 25 14 2" xfId="32774"/>
    <cellStyle name="Suma 2 25 14 3" xfId="32775"/>
    <cellStyle name="Suma 2 25 14 4" xfId="32776"/>
    <cellStyle name="Suma 2 25 15" xfId="32777"/>
    <cellStyle name="Suma 2 25 15 2" xfId="32778"/>
    <cellStyle name="Suma 2 25 15 3" xfId="32779"/>
    <cellStyle name="Suma 2 25 15 4" xfId="32780"/>
    <cellStyle name="Suma 2 25 16" xfId="32781"/>
    <cellStyle name="Suma 2 25 16 2" xfId="32782"/>
    <cellStyle name="Suma 2 25 16 3" xfId="32783"/>
    <cellStyle name="Suma 2 25 16 4" xfId="32784"/>
    <cellStyle name="Suma 2 25 17" xfId="32785"/>
    <cellStyle name="Suma 2 25 17 2" xfId="32786"/>
    <cellStyle name="Suma 2 25 17 3" xfId="32787"/>
    <cellStyle name="Suma 2 25 17 4" xfId="32788"/>
    <cellStyle name="Suma 2 25 18" xfId="32789"/>
    <cellStyle name="Suma 2 25 18 2" xfId="32790"/>
    <cellStyle name="Suma 2 25 18 3" xfId="32791"/>
    <cellStyle name="Suma 2 25 18 4" xfId="32792"/>
    <cellStyle name="Suma 2 25 19" xfId="32793"/>
    <cellStyle name="Suma 2 25 19 2" xfId="32794"/>
    <cellStyle name="Suma 2 25 19 3" xfId="32795"/>
    <cellStyle name="Suma 2 25 19 4" xfId="32796"/>
    <cellStyle name="Suma 2 25 2" xfId="32797"/>
    <cellStyle name="Suma 2 25 2 2" xfId="32798"/>
    <cellStyle name="Suma 2 25 2 3" xfId="32799"/>
    <cellStyle name="Suma 2 25 2 4" xfId="32800"/>
    <cellStyle name="Suma 2 25 20" xfId="32801"/>
    <cellStyle name="Suma 2 25 20 2" xfId="32802"/>
    <cellStyle name="Suma 2 25 20 3" xfId="32803"/>
    <cellStyle name="Suma 2 25 20 4" xfId="32804"/>
    <cellStyle name="Suma 2 25 21" xfId="32805"/>
    <cellStyle name="Suma 2 25 21 2" xfId="32806"/>
    <cellStyle name="Suma 2 25 21 3" xfId="32807"/>
    <cellStyle name="Suma 2 25 22" xfId="32808"/>
    <cellStyle name="Suma 2 25 22 2" xfId="32809"/>
    <cellStyle name="Suma 2 25 22 3" xfId="32810"/>
    <cellStyle name="Suma 2 25 23" xfId="32811"/>
    <cellStyle name="Suma 2 25 23 2" xfId="32812"/>
    <cellStyle name="Suma 2 25 23 3" xfId="32813"/>
    <cellStyle name="Suma 2 25 24" xfId="32814"/>
    <cellStyle name="Suma 2 25 24 2" xfId="32815"/>
    <cellStyle name="Suma 2 25 24 3" xfId="32816"/>
    <cellStyle name="Suma 2 25 25" xfId="32817"/>
    <cellStyle name="Suma 2 25 25 2" xfId="32818"/>
    <cellStyle name="Suma 2 25 25 3" xfId="32819"/>
    <cellStyle name="Suma 2 25 26" xfId="32820"/>
    <cellStyle name="Suma 2 25 26 2" xfId="32821"/>
    <cellStyle name="Suma 2 25 26 3" xfId="32822"/>
    <cellStyle name="Suma 2 25 27" xfId="32823"/>
    <cellStyle name="Suma 2 25 27 2" xfId="32824"/>
    <cellStyle name="Suma 2 25 27 3" xfId="32825"/>
    <cellStyle name="Suma 2 25 28" xfId="32826"/>
    <cellStyle name="Suma 2 25 28 2" xfId="32827"/>
    <cellStyle name="Suma 2 25 28 3" xfId="32828"/>
    <cellStyle name="Suma 2 25 29" xfId="32829"/>
    <cellStyle name="Suma 2 25 29 2" xfId="32830"/>
    <cellStyle name="Suma 2 25 29 3" xfId="32831"/>
    <cellStyle name="Suma 2 25 3" xfId="32832"/>
    <cellStyle name="Suma 2 25 3 2" xfId="32833"/>
    <cellStyle name="Suma 2 25 3 3" xfId="32834"/>
    <cellStyle name="Suma 2 25 3 4" xfId="32835"/>
    <cellStyle name="Suma 2 25 30" xfId="32836"/>
    <cellStyle name="Suma 2 25 30 2" xfId="32837"/>
    <cellStyle name="Suma 2 25 30 3" xfId="32838"/>
    <cellStyle name="Suma 2 25 31" xfId="32839"/>
    <cellStyle name="Suma 2 25 31 2" xfId="32840"/>
    <cellStyle name="Suma 2 25 31 3" xfId="32841"/>
    <cellStyle name="Suma 2 25 32" xfId="32842"/>
    <cellStyle name="Suma 2 25 32 2" xfId="32843"/>
    <cellStyle name="Suma 2 25 32 3" xfId="32844"/>
    <cellStyle name="Suma 2 25 33" xfId="32845"/>
    <cellStyle name="Suma 2 25 33 2" xfId="32846"/>
    <cellStyle name="Suma 2 25 33 3" xfId="32847"/>
    <cellStyle name="Suma 2 25 34" xfId="32848"/>
    <cellStyle name="Suma 2 25 34 2" xfId="32849"/>
    <cellStyle name="Suma 2 25 34 3" xfId="32850"/>
    <cellStyle name="Suma 2 25 35" xfId="32851"/>
    <cellStyle name="Suma 2 25 35 2" xfId="32852"/>
    <cellStyle name="Suma 2 25 35 3" xfId="32853"/>
    <cellStyle name="Suma 2 25 36" xfId="32854"/>
    <cellStyle name="Suma 2 25 36 2" xfId="32855"/>
    <cellStyle name="Suma 2 25 36 3" xfId="32856"/>
    <cellStyle name="Suma 2 25 37" xfId="32857"/>
    <cellStyle name="Suma 2 25 37 2" xfId="32858"/>
    <cellStyle name="Suma 2 25 37 3" xfId="32859"/>
    <cellStyle name="Suma 2 25 38" xfId="32860"/>
    <cellStyle name="Suma 2 25 38 2" xfId="32861"/>
    <cellStyle name="Suma 2 25 38 3" xfId="32862"/>
    <cellStyle name="Suma 2 25 39" xfId="32863"/>
    <cellStyle name="Suma 2 25 39 2" xfId="32864"/>
    <cellStyle name="Suma 2 25 39 3" xfId="32865"/>
    <cellStyle name="Suma 2 25 4" xfId="32866"/>
    <cellStyle name="Suma 2 25 4 2" xfId="32867"/>
    <cellStyle name="Suma 2 25 4 3" xfId="32868"/>
    <cellStyle name="Suma 2 25 4 4" xfId="32869"/>
    <cellStyle name="Suma 2 25 40" xfId="32870"/>
    <cellStyle name="Suma 2 25 40 2" xfId="32871"/>
    <cellStyle name="Suma 2 25 40 3" xfId="32872"/>
    <cellStyle name="Suma 2 25 41" xfId="32873"/>
    <cellStyle name="Suma 2 25 41 2" xfId="32874"/>
    <cellStyle name="Suma 2 25 41 3" xfId="32875"/>
    <cellStyle name="Suma 2 25 42" xfId="32876"/>
    <cellStyle name="Suma 2 25 42 2" xfId="32877"/>
    <cellStyle name="Suma 2 25 42 3" xfId="32878"/>
    <cellStyle name="Suma 2 25 43" xfId="32879"/>
    <cellStyle name="Suma 2 25 43 2" xfId="32880"/>
    <cellStyle name="Suma 2 25 43 3" xfId="32881"/>
    <cellStyle name="Suma 2 25 44" xfId="32882"/>
    <cellStyle name="Suma 2 25 44 2" xfId="32883"/>
    <cellStyle name="Suma 2 25 44 3" xfId="32884"/>
    <cellStyle name="Suma 2 25 45" xfId="32885"/>
    <cellStyle name="Suma 2 25 45 2" xfId="32886"/>
    <cellStyle name="Suma 2 25 45 3" xfId="32887"/>
    <cellStyle name="Suma 2 25 46" xfId="32888"/>
    <cellStyle name="Suma 2 25 46 2" xfId="32889"/>
    <cellStyle name="Suma 2 25 46 3" xfId="32890"/>
    <cellStyle name="Suma 2 25 47" xfId="32891"/>
    <cellStyle name="Suma 2 25 47 2" xfId="32892"/>
    <cellStyle name="Suma 2 25 47 3" xfId="32893"/>
    <cellStyle name="Suma 2 25 48" xfId="32894"/>
    <cellStyle name="Suma 2 25 48 2" xfId="32895"/>
    <cellStyle name="Suma 2 25 48 3" xfId="32896"/>
    <cellStyle name="Suma 2 25 49" xfId="32897"/>
    <cellStyle name="Suma 2 25 49 2" xfId="32898"/>
    <cellStyle name="Suma 2 25 49 3" xfId="32899"/>
    <cellStyle name="Suma 2 25 5" xfId="32900"/>
    <cellStyle name="Suma 2 25 5 2" xfId="32901"/>
    <cellStyle name="Suma 2 25 5 3" xfId="32902"/>
    <cellStyle name="Suma 2 25 5 4" xfId="32903"/>
    <cellStyle name="Suma 2 25 50" xfId="32904"/>
    <cellStyle name="Suma 2 25 50 2" xfId="32905"/>
    <cellStyle name="Suma 2 25 50 3" xfId="32906"/>
    <cellStyle name="Suma 2 25 51" xfId="32907"/>
    <cellStyle name="Suma 2 25 51 2" xfId="32908"/>
    <cellStyle name="Suma 2 25 51 3" xfId="32909"/>
    <cellStyle name="Suma 2 25 52" xfId="32910"/>
    <cellStyle name="Suma 2 25 52 2" xfId="32911"/>
    <cellStyle name="Suma 2 25 52 3" xfId="32912"/>
    <cellStyle name="Suma 2 25 53" xfId="32913"/>
    <cellStyle name="Suma 2 25 53 2" xfId="32914"/>
    <cellStyle name="Suma 2 25 53 3" xfId="32915"/>
    <cellStyle name="Suma 2 25 54" xfId="32916"/>
    <cellStyle name="Suma 2 25 54 2" xfId="32917"/>
    <cellStyle name="Suma 2 25 54 3" xfId="32918"/>
    <cellStyle name="Suma 2 25 55" xfId="32919"/>
    <cellStyle name="Suma 2 25 55 2" xfId="32920"/>
    <cellStyle name="Suma 2 25 55 3" xfId="32921"/>
    <cellStyle name="Suma 2 25 56" xfId="32922"/>
    <cellStyle name="Suma 2 25 56 2" xfId="32923"/>
    <cellStyle name="Suma 2 25 56 3" xfId="32924"/>
    <cellStyle name="Suma 2 25 57" xfId="32925"/>
    <cellStyle name="Suma 2 25 58" xfId="32926"/>
    <cellStyle name="Suma 2 25 6" xfId="32927"/>
    <cellStyle name="Suma 2 25 6 2" xfId="32928"/>
    <cellStyle name="Suma 2 25 6 3" xfId="32929"/>
    <cellStyle name="Suma 2 25 6 4" xfId="32930"/>
    <cellStyle name="Suma 2 25 7" xfId="32931"/>
    <cellStyle name="Suma 2 25 7 2" xfId="32932"/>
    <cellStyle name="Suma 2 25 7 3" xfId="32933"/>
    <cellStyle name="Suma 2 25 7 4" xfId="32934"/>
    <cellStyle name="Suma 2 25 8" xfId="32935"/>
    <cellStyle name="Suma 2 25 8 2" xfId="32936"/>
    <cellStyle name="Suma 2 25 8 3" xfId="32937"/>
    <cellStyle name="Suma 2 25 8 4" xfId="32938"/>
    <cellStyle name="Suma 2 25 9" xfId="32939"/>
    <cellStyle name="Suma 2 25 9 2" xfId="32940"/>
    <cellStyle name="Suma 2 25 9 3" xfId="32941"/>
    <cellStyle name="Suma 2 25 9 4" xfId="32942"/>
    <cellStyle name="Suma 2 26" xfId="32943"/>
    <cellStyle name="Suma 2 26 10" xfId="32944"/>
    <cellStyle name="Suma 2 26 10 2" xfId="32945"/>
    <cellStyle name="Suma 2 26 10 3" xfId="32946"/>
    <cellStyle name="Suma 2 26 10 4" xfId="32947"/>
    <cellStyle name="Suma 2 26 11" xfId="32948"/>
    <cellStyle name="Suma 2 26 11 2" xfId="32949"/>
    <cellStyle name="Suma 2 26 11 3" xfId="32950"/>
    <cellStyle name="Suma 2 26 11 4" xfId="32951"/>
    <cellStyle name="Suma 2 26 12" xfId="32952"/>
    <cellStyle name="Suma 2 26 12 2" xfId="32953"/>
    <cellStyle name="Suma 2 26 12 3" xfId="32954"/>
    <cellStyle name="Suma 2 26 12 4" xfId="32955"/>
    <cellStyle name="Suma 2 26 13" xfId="32956"/>
    <cellStyle name="Suma 2 26 13 2" xfId="32957"/>
    <cellStyle name="Suma 2 26 13 3" xfId="32958"/>
    <cellStyle name="Suma 2 26 13 4" xfId="32959"/>
    <cellStyle name="Suma 2 26 14" xfId="32960"/>
    <cellStyle name="Suma 2 26 14 2" xfId="32961"/>
    <cellStyle name="Suma 2 26 14 3" xfId="32962"/>
    <cellStyle name="Suma 2 26 14 4" xfId="32963"/>
    <cellStyle name="Suma 2 26 15" xfId="32964"/>
    <cellStyle name="Suma 2 26 15 2" xfId="32965"/>
    <cellStyle name="Suma 2 26 15 3" xfId="32966"/>
    <cellStyle name="Suma 2 26 15 4" xfId="32967"/>
    <cellStyle name="Suma 2 26 16" xfId="32968"/>
    <cellStyle name="Suma 2 26 16 2" xfId="32969"/>
    <cellStyle name="Suma 2 26 16 3" xfId="32970"/>
    <cellStyle name="Suma 2 26 16 4" xfId="32971"/>
    <cellStyle name="Suma 2 26 17" xfId="32972"/>
    <cellStyle name="Suma 2 26 17 2" xfId="32973"/>
    <cellStyle name="Suma 2 26 17 3" xfId="32974"/>
    <cellStyle name="Suma 2 26 17 4" xfId="32975"/>
    <cellStyle name="Suma 2 26 18" xfId="32976"/>
    <cellStyle name="Suma 2 26 18 2" xfId="32977"/>
    <cellStyle name="Suma 2 26 18 3" xfId="32978"/>
    <cellStyle name="Suma 2 26 18 4" xfId="32979"/>
    <cellStyle name="Suma 2 26 19" xfId="32980"/>
    <cellStyle name="Suma 2 26 19 2" xfId="32981"/>
    <cellStyle name="Suma 2 26 19 3" xfId="32982"/>
    <cellStyle name="Suma 2 26 19 4" xfId="32983"/>
    <cellStyle name="Suma 2 26 2" xfId="32984"/>
    <cellStyle name="Suma 2 26 2 2" xfId="32985"/>
    <cellStyle name="Suma 2 26 2 3" xfId="32986"/>
    <cellStyle name="Suma 2 26 2 4" xfId="32987"/>
    <cellStyle name="Suma 2 26 20" xfId="32988"/>
    <cellStyle name="Suma 2 26 20 2" xfId="32989"/>
    <cellStyle name="Suma 2 26 20 3" xfId="32990"/>
    <cellStyle name="Suma 2 26 20 4" xfId="32991"/>
    <cellStyle name="Suma 2 26 21" xfId="32992"/>
    <cellStyle name="Suma 2 26 21 2" xfId="32993"/>
    <cellStyle name="Suma 2 26 21 3" xfId="32994"/>
    <cellStyle name="Suma 2 26 22" xfId="32995"/>
    <cellStyle name="Suma 2 26 22 2" xfId="32996"/>
    <cellStyle name="Suma 2 26 22 3" xfId="32997"/>
    <cellStyle name="Suma 2 26 23" xfId="32998"/>
    <cellStyle name="Suma 2 26 23 2" xfId="32999"/>
    <cellStyle name="Suma 2 26 23 3" xfId="33000"/>
    <cellStyle name="Suma 2 26 24" xfId="33001"/>
    <cellStyle name="Suma 2 26 24 2" xfId="33002"/>
    <cellStyle name="Suma 2 26 24 3" xfId="33003"/>
    <cellStyle name="Suma 2 26 25" xfId="33004"/>
    <cellStyle name="Suma 2 26 25 2" xfId="33005"/>
    <cellStyle name="Suma 2 26 25 3" xfId="33006"/>
    <cellStyle name="Suma 2 26 26" xfId="33007"/>
    <cellStyle name="Suma 2 26 26 2" xfId="33008"/>
    <cellStyle name="Suma 2 26 26 3" xfId="33009"/>
    <cellStyle name="Suma 2 26 27" xfId="33010"/>
    <cellStyle name="Suma 2 26 27 2" xfId="33011"/>
    <cellStyle name="Suma 2 26 27 3" xfId="33012"/>
    <cellStyle name="Suma 2 26 28" xfId="33013"/>
    <cellStyle name="Suma 2 26 28 2" xfId="33014"/>
    <cellStyle name="Suma 2 26 28 3" xfId="33015"/>
    <cellStyle name="Suma 2 26 29" xfId="33016"/>
    <cellStyle name="Suma 2 26 29 2" xfId="33017"/>
    <cellStyle name="Suma 2 26 29 3" xfId="33018"/>
    <cellStyle name="Suma 2 26 3" xfId="33019"/>
    <cellStyle name="Suma 2 26 3 2" xfId="33020"/>
    <cellStyle name="Suma 2 26 3 3" xfId="33021"/>
    <cellStyle name="Suma 2 26 3 4" xfId="33022"/>
    <cellStyle name="Suma 2 26 30" xfId="33023"/>
    <cellStyle name="Suma 2 26 30 2" xfId="33024"/>
    <cellStyle name="Suma 2 26 30 3" xfId="33025"/>
    <cellStyle name="Suma 2 26 31" xfId="33026"/>
    <cellStyle name="Suma 2 26 31 2" xfId="33027"/>
    <cellStyle name="Suma 2 26 31 3" xfId="33028"/>
    <cellStyle name="Suma 2 26 32" xfId="33029"/>
    <cellStyle name="Suma 2 26 32 2" xfId="33030"/>
    <cellStyle name="Suma 2 26 32 3" xfId="33031"/>
    <cellStyle name="Suma 2 26 33" xfId="33032"/>
    <cellStyle name="Suma 2 26 33 2" xfId="33033"/>
    <cellStyle name="Suma 2 26 33 3" xfId="33034"/>
    <cellStyle name="Suma 2 26 34" xfId="33035"/>
    <cellStyle name="Suma 2 26 34 2" xfId="33036"/>
    <cellStyle name="Suma 2 26 34 3" xfId="33037"/>
    <cellStyle name="Suma 2 26 35" xfId="33038"/>
    <cellStyle name="Suma 2 26 35 2" xfId="33039"/>
    <cellStyle name="Suma 2 26 35 3" xfId="33040"/>
    <cellStyle name="Suma 2 26 36" xfId="33041"/>
    <cellStyle name="Suma 2 26 36 2" xfId="33042"/>
    <cellStyle name="Suma 2 26 36 3" xfId="33043"/>
    <cellStyle name="Suma 2 26 37" xfId="33044"/>
    <cellStyle name="Suma 2 26 37 2" xfId="33045"/>
    <cellStyle name="Suma 2 26 37 3" xfId="33046"/>
    <cellStyle name="Suma 2 26 38" xfId="33047"/>
    <cellStyle name="Suma 2 26 38 2" xfId="33048"/>
    <cellStyle name="Suma 2 26 38 3" xfId="33049"/>
    <cellStyle name="Suma 2 26 39" xfId="33050"/>
    <cellStyle name="Suma 2 26 39 2" xfId="33051"/>
    <cellStyle name="Suma 2 26 39 3" xfId="33052"/>
    <cellStyle name="Suma 2 26 4" xfId="33053"/>
    <cellStyle name="Suma 2 26 4 2" xfId="33054"/>
    <cellStyle name="Suma 2 26 4 3" xfId="33055"/>
    <cellStyle name="Suma 2 26 4 4" xfId="33056"/>
    <cellStyle name="Suma 2 26 40" xfId="33057"/>
    <cellStyle name="Suma 2 26 40 2" xfId="33058"/>
    <cellStyle name="Suma 2 26 40 3" xfId="33059"/>
    <cellStyle name="Suma 2 26 41" xfId="33060"/>
    <cellStyle name="Suma 2 26 41 2" xfId="33061"/>
    <cellStyle name="Suma 2 26 41 3" xfId="33062"/>
    <cellStyle name="Suma 2 26 42" xfId="33063"/>
    <cellStyle name="Suma 2 26 42 2" xfId="33064"/>
    <cellStyle name="Suma 2 26 42 3" xfId="33065"/>
    <cellStyle name="Suma 2 26 43" xfId="33066"/>
    <cellStyle name="Suma 2 26 43 2" xfId="33067"/>
    <cellStyle name="Suma 2 26 43 3" xfId="33068"/>
    <cellStyle name="Suma 2 26 44" xfId="33069"/>
    <cellStyle name="Suma 2 26 44 2" xfId="33070"/>
    <cellStyle name="Suma 2 26 44 3" xfId="33071"/>
    <cellStyle name="Suma 2 26 45" xfId="33072"/>
    <cellStyle name="Suma 2 26 45 2" xfId="33073"/>
    <cellStyle name="Suma 2 26 45 3" xfId="33074"/>
    <cellStyle name="Suma 2 26 46" xfId="33075"/>
    <cellStyle name="Suma 2 26 46 2" xfId="33076"/>
    <cellStyle name="Suma 2 26 46 3" xfId="33077"/>
    <cellStyle name="Suma 2 26 47" xfId="33078"/>
    <cellStyle name="Suma 2 26 47 2" xfId="33079"/>
    <cellStyle name="Suma 2 26 47 3" xfId="33080"/>
    <cellStyle name="Suma 2 26 48" xfId="33081"/>
    <cellStyle name="Suma 2 26 48 2" xfId="33082"/>
    <cellStyle name="Suma 2 26 48 3" xfId="33083"/>
    <cellStyle name="Suma 2 26 49" xfId="33084"/>
    <cellStyle name="Suma 2 26 49 2" xfId="33085"/>
    <cellStyle name="Suma 2 26 49 3" xfId="33086"/>
    <cellStyle name="Suma 2 26 5" xfId="33087"/>
    <cellStyle name="Suma 2 26 5 2" xfId="33088"/>
    <cellStyle name="Suma 2 26 5 3" xfId="33089"/>
    <cellStyle name="Suma 2 26 5 4" xfId="33090"/>
    <cellStyle name="Suma 2 26 50" xfId="33091"/>
    <cellStyle name="Suma 2 26 50 2" xfId="33092"/>
    <cellStyle name="Suma 2 26 50 3" xfId="33093"/>
    <cellStyle name="Suma 2 26 51" xfId="33094"/>
    <cellStyle name="Suma 2 26 51 2" xfId="33095"/>
    <cellStyle name="Suma 2 26 51 3" xfId="33096"/>
    <cellStyle name="Suma 2 26 52" xfId="33097"/>
    <cellStyle name="Suma 2 26 52 2" xfId="33098"/>
    <cellStyle name="Suma 2 26 52 3" xfId="33099"/>
    <cellStyle name="Suma 2 26 53" xfId="33100"/>
    <cellStyle name="Suma 2 26 53 2" xfId="33101"/>
    <cellStyle name="Suma 2 26 53 3" xfId="33102"/>
    <cellStyle name="Suma 2 26 54" xfId="33103"/>
    <cellStyle name="Suma 2 26 54 2" xfId="33104"/>
    <cellStyle name="Suma 2 26 54 3" xfId="33105"/>
    <cellStyle name="Suma 2 26 55" xfId="33106"/>
    <cellStyle name="Suma 2 26 55 2" xfId="33107"/>
    <cellStyle name="Suma 2 26 55 3" xfId="33108"/>
    <cellStyle name="Suma 2 26 56" xfId="33109"/>
    <cellStyle name="Suma 2 26 56 2" xfId="33110"/>
    <cellStyle name="Suma 2 26 56 3" xfId="33111"/>
    <cellStyle name="Suma 2 26 57" xfId="33112"/>
    <cellStyle name="Suma 2 26 58" xfId="33113"/>
    <cellStyle name="Suma 2 26 6" xfId="33114"/>
    <cellStyle name="Suma 2 26 6 2" xfId="33115"/>
    <cellStyle name="Suma 2 26 6 3" xfId="33116"/>
    <cellStyle name="Suma 2 26 6 4" xfId="33117"/>
    <cellStyle name="Suma 2 26 7" xfId="33118"/>
    <cellStyle name="Suma 2 26 7 2" xfId="33119"/>
    <cellStyle name="Suma 2 26 7 3" xfId="33120"/>
    <cellStyle name="Suma 2 26 7 4" xfId="33121"/>
    <cellStyle name="Suma 2 26 8" xfId="33122"/>
    <cellStyle name="Suma 2 26 8 2" xfId="33123"/>
    <cellStyle name="Suma 2 26 8 3" xfId="33124"/>
    <cellStyle name="Suma 2 26 8 4" xfId="33125"/>
    <cellStyle name="Suma 2 26 9" xfId="33126"/>
    <cellStyle name="Suma 2 26 9 2" xfId="33127"/>
    <cellStyle name="Suma 2 26 9 3" xfId="33128"/>
    <cellStyle name="Suma 2 26 9 4" xfId="33129"/>
    <cellStyle name="Suma 2 27" xfId="33130"/>
    <cellStyle name="Suma 2 27 10" xfId="33131"/>
    <cellStyle name="Suma 2 27 10 2" xfId="33132"/>
    <cellStyle name="Suma 2 27 10 3" xfId="33133"/>
    <cellStyle name="Suma 2 27 10 4" xfId="33134"/>
    <cellStyle name="Suma 2 27 11" xfId="33135"/>
    <cellStyle name="Suma 2 27 11 2" xfId="33136"/>
    <cellStyle name="Suma 2 27 11 3" xfId="33137"/>
    <cellStyle name="Suma 2 27 11 4" xfId="33138"/>
    <cellStyle name="Suma 2 27 12" xfId="33139"/>
    <cellStyle name="Suma 2 27 12 2" xfId="33140"/>
    <cellStyle name="Suma 2 27 12 3" xfId="33141"/>
    <cellStyle name="Suma 2 27 12 4" xfId="33142"/>
    <cellStyle name="Suma 2 27 13" xfId="33143"/>
    <cellStyle name="Suma 2 27 13 2" xfId="33144"/>
    <cellStyle name="Suma 2 27 13 3" xfId="33145"/>
    <cellStyle name="Suma 2 27 13 4" xfId="33146"/>
    <cellStyle name="Suma 2 27 14" xfId="33147"/>
    <cellStyle name="Suma 2 27 14 2" xfId="33148"/>
    <cellStyle name="Suma 2 27 14 3" xfId="33149"/>
    <cellStyle name="Suma 2 27 14 4" xfId="33150"/>
    <cellStyle name="Suma 2 27 15" xfId="33151"/>
    <cellStyle name="Suma 2 27 15 2" xfId="33152"/>
    <cellStyle name="Suma 2 27 15 3" xfId="33153"/>
    <cellStyle name="Suma 2 27 15 4" xfId="33154"/>
    <cellStyle name="Suma 2 27 16" xfId="33155"/>
    <cellStyle name="Suma 2 27 16 2" xfId="33156"/>
    <cellStyle name="Suma 2 27 16 3" xfId="33157"/>
    <cellStyle name="Suma 2 27 16 4" xfId="33158"/>
    <cellStyle name="Suma 2 27 17" xfId="33159"/>
    <cellStyle name="Suma 2 27 17 2" xfId="33160"/>
    <cellStyle name="Suma 2 27 17 3" xfId="33161"/>
    <cellStyle name="Suma 2 27 17 4" xfId="33162"/>
    <cellStyle name="Suma 2 27 18" xfId="33163"/>
    <cellStyle name="Suma 2 27 18 2" xfId="33164"/>
    <cellStyle name="Suma 2 27 18 3" xfId="33165"/>
    <cellStyle name="Suma 2 27 18 4" xfId="33166"/>
    <cellStyle name="Suma 2 27 19" xfId="33167"/>
    <cellStyle name="Suma 2 27 19 2" xfId="33168"/>
    <cellStyle name="Suma 2 27 19 3" xfId="33169"/>
    <cellStyle name="Suma 2 27 19 4" xfId="33170"/>
    <cellStyle name="Suma 2 27 2" xfId="33171"/>
    <cellStyle name="Suma 2 27 2 2" xfId="33172"/>
    <cellStyle name="Suma 2 27 2 3" xfId="33173"/>
    <cellStyle name="Suma 2 27 2 4" xfId="33174"/>
    <cellStyle name="Suma 2 27 20" xfId="33175"/>
    <cellStyle name="Suma 2 27 20 2" xfId="33176"/>
    <cellStyle name="Suma 2 27 20 3" xfId="33177"/>
    <cellStyle name="Suma 2 27 20 4" xfId="33178"/>
    <cellStyle name="Suma 2 27 21" xfId="33179"/>
    <cellStyle name="Suma 2 27 21 2" xfId="33180"/>
    <cellStyle name="Suma 2 27 21 3" xfId="33181"/>
    <cellStyle name="Suma 2 27 22" xfId="33182"/>
    <cellStyle name="Suma 2 27 22 2" xfId="33183"/>
    <cellStyle name="Suma 2 27 22 3" xfId="33184"/>
    <cellStyle name="Suma 2 27 23" xfId="33185"/>
    <cellStyle name="Suma 2 27 23 2" xfId="33186"/>
    <cellStyle name="Suma 2 27 23 3" xfId="33187"/>
    <cellStyle name="Suma 2 27 24" xfId="33188"/>
    <cellStyle name="Suma 2 27 24 2" xfId="33189"/>
    <cellStyle name="Suma 2 27 24 3" xfId="33190"/>
    <cellStyle name="Suma 2 27 25" xfId="33191"/>
    <cellStyle name="Suma 2 27 25 2" xfId="33192"/>
    <cellStyle name="Suma 2 27 25 3" xfId="33193"/>
    <cellStyle name="Suma 2 27 26" xfId="33194"/>
    <cellStyle name="Suma 2 27 26 2" xfId="33195"/>
    <cellStyle name="Suma 2 27 26 3" xfId="33196"/>
    <cellStyle name="Suma 2 27 27" xfId="33197"/>
    <cellStyle name="Suma 2 27 27 2" xfId="33198"/>
    <cellStyle name="Suma 2 27 27 3" xfId="33199"/>
    <cellStyle name="Suma 2 27 28" xfId="33200"/>
    <cellStyle name="Suma 2 27 28 2" xfId="33201"/>
    <cellStyle name="Suma 2 27 28 3" xfId="33202"/>
    <cellStyle name="Suma 2 27 29" xfId="33203"/>
    <cellStyle name="Suma 2 27 29 2" xfId="33204"/>
    <cellStyle name="Suma 2 27 29 3" xfId="33205"/>
    <cellStyle name="Suma 2 27 3" xfId="33206"/>
    <cellStyle name="Suma 2 27 3 2" xfId="33207"/>
    <cellStyle name="Suma 2 27 3 3" xfId="33208"/>
    <cellStyle name="Suma 2 27 3 4" xfId="33209"/>
    <cellStyle name="Suma 2 27 30" xfId="33210"/>
    <cellStyle name="Suma 2 27 30 2" xfId="33211"/>
    <cellStyle name="Suma 2 27 30 3" xfId="33212"/>
    <cellStyle name="Suma 2 27 31" xfId="33213"/>
    <cellStyle name="Suma 2 27 31 2" xfId="33214"/>
    <cellStyle name="Suma 2 27 31 3" xfId="33215"/>
    <cellStyle name="Suma 2 27 32" xfId="33216"/>
    <cellStyle name="Suma 2 27 32 2" xfId="33217"/>
    <cellStyle name="Suma 2 27 32 3" xfId="33218"/>
    <cellStyle name="Suma 2 27 33" xfId="33219"/>
    <cellStyle name="Suma 2 27 33 2" xfId="33220"/>
    <cellStyle name="Suma 2 27 33 3" xfId="33221"/>
    <cellStyle name="Suma 2 27 34" xfId="33222"/>
    <cellStyle name="Suma 2 27 34 2" xfId="33223"/>
    <cellStyle name="Suma 2 27 34 3" xfId="33224"/>
    <cellStyle name="Suma 2 27 35" xfId="33225"/>
    <cellStyle name="Suma 2 27 35 2" xfId="33226"/>
    <cellStyle name="Suma 2 27 35 3" xfId="33227"/>
    <cellStyle name="Suma 2 27 36" xfId="33228"/>
    <cellStyle name="Suma 2 27 36 2" xfId="33229"/>
    <cellStyle name="Suma 2 27 36 3" xfId="33230"/>
    <cellStyle name="Suma 2 27 37" xfId="33231"/>
    <cellStyle name="Suma 2 27 37 2" xfId="33232"/>
    <cellStyle name="Suma 2 27 37 3" xfId="33233"/>
    <cellStyle name="Suma 2 27 38" xfId="33234"/>
    <cellStyle name="Suma 2 27 38 2" xfId="33235"/>
    <cellStyle name="Suma 2 27 38 3" xfId="33236"/>
    <cellStyle name="Suma 2 27 39" xfId="33237"/>
    <cellStyle name="Suma 2 27 39 2" xfId="33238"/>
    <cellStyle name="Suma 2 27 39 3" xfId="33239"/>
    <cellStyle name="Suma 2 27 4" xfId="33240"/>
    <cellStyle name="Suma 2 27 4 2" xfId="33241"/>
    <cellStyle name="Suma 2 27 4 3" xfId="33242"/>
    <cellStyle name="Suma 2 27 4 4" xfId="33243"/>
    <cellStyle name="Suma 2 27 40" xfId="33244"/>
    <cellStyle name="Suma 2 27 40 2" xfId="33245"/>
    <cellStyle name="Suma 2 27 40 3" xfId="33246"/>
    <cellStyle name="Suma 2 27 41" xfId="33247"/>
    <cellStyle name="Suma 2 27 41 2" xfId="33248"/>
    <cellStyle name="Suma 2 27 41 3" xfId="33249"/>
    <cellStyle name="Suma 2 27 42" xfId="33250"/>
    <cellStyle name="Suma 2 27 42 2" xfId="33251"/>
    <cellStyle name="Suma 2 27 42 3" xfId="33252"/>
    <cellStyle name="Suma 2 27 43" xfId="33253"/>
    <cellStyle name="Suma 2 27 43 2" xfId="33254"/>
    <cellStyle name="Suma 2 27 43 3" xfId="33255"/>
    <cellStyle name="Suma 2 27 44" xfId="33256"/>
    <cellStyle name="Suma 2 27 44 2" xfId="33257"/>
    <cellStyle name="Suma 2 27 44 3" xfId="33258"/>
    <cellStyle name="Suma 2 27 45" xfId="33259"/>
    <cellStyle name="Suma 2 27 45 2" xfId="33260"/>
    <cellStyle name="Suma 2 27 45 3" xfId="33261"/>
    <cellStyle name="Suma 2 27 46" xfId="33262"/>
    <cellStyle name="Suma 2 27 46 2" xfId="33263"/>
    <cellStyle name="Suma 2 27 46 3" xfId="33264"/>
    <cellStyle name="Suma 2 27 47" xfId="33265"/>
    <cellStyle name="Suma 2 27 47 2" xfId="33266"/>
    <cellStyle name="Suma 2 27 47 3" xfId="33267"/>
    <cellStyle name="Suma 2 27 48" xfId="33268"/>
    <cellStyle name="Suma 2 27 48 2" xfId="33269"/>
    <cellStyle name="Suma 2 27 48 3" xfId="33270"/>
    <cellStyle name="Suma 2 27 49" xfId="33271"/>
    <cellStyle name="Suma 2 27 49 2" xfId="33272"/>
    <cellStyle name="Suma 2 27 49 3" xfId="33273"/>
    <cellStyle name="Suma 2 27 5" xfId="33274"/>
    <cellStyle name="Suma 2 27 5 2" xfId="33275"/>
    <cellStyle name="Suma 2 27 5 3" xfId="33276"/>
    <cellStyle name="Suma 2 27 5 4" xfId="33277"/>
    <cellStyle name="Suma 2 27 50" xfId="33278"/>
    <cellStyle name="Suma 2 27 50 2" xfId="33279"/>
    <cellStyle name="Suma 2 27 50 3" xfId="33280"/>
    <cellStyle name="Suma 2 27 51" xfId="33281"/>
    <cellStyle name="Suma 2 27 51 2" xfId="33282"/>
    <cellStyle name="Suma 2 27 51 3" xfId="33283"/>
    <cellStyle name="Suma 2 27 52" xfId="33284"/>
    <cellStyle name="Suma 2 27 52 2" xfId="33285"/>
    <cellStyle name="Suma 2 27 52 3" xfId="33286"/>
    <cellStyle name="Suma 2 27 53" xfId="33287"/>
    <cellStyle name="Suma 2 27 53 2" xfId="33288"/>
    <cellStyle name="Suma 2 27 53 3" xfId="33289"/>
    <cellStyle name="Suma 2 27 54" xfId="33290"/>
    <cellStyle name="Suma 2 27 54 2" xfId="33291"/>
    <cellStyle name="Suma 2 27 54 3" xfId="33292"/>
    <cellStyle name="Suma 2 27 55" xfId="33293"/>
    <cellStyle name="Suma 2 27 55 2" xfId="33294"/>
    <cellStyle name="Suma 2 27 55 3" xfId="33295"/>
    <cellStyle name="Suma 2 27 56" xfId="33296"/>
    <cellStyle name="Suma 2 27 56 2" xfId="33297"/>
    <cellStyle name="Suma 2 27 56 3" xfId="33298"/>
    <cellStyle name="Suma 2 27 57" xfId="33299"/>
    <cellStyle name="Suma 2 27 58" xfId="33300"/>
    <cellStyle name="Suma 2 27 6" xfId="33301"/>
    <cellStyle name="Suma 2 27 6 2" xfId="33302"/>
    <cellStyle name="Suma 2 27 6 3" xfId="33303"/>
    <cellStyle name="Suma 2 27 6 4" xfId="33304"/>
    <cellStyle name="Suma 2 27 7" xfId="33305"/>
    <cellStyle name="Suma 2 27 7 2" xfId="33306"/>
    <cellStyle name="Suma 2 27 7 3" xfId="33307"/>
    <cellStyle name="Suma 2 27 7 4" xfId="33308"/>
    <cellStyle name="Suma 2 27 8" xfId="33309"/>
    <cellStyle name="Suma 2 27 8 2" xfId="33310"/>
    <cellStyle name="Suma 2 27 8 3" xfId="33311"/>
    <cellStyle name="Suma 2 27 8 4" xfId="33312"/>
    <cellStyle name="Suma 2 27 9" xfId="33313"/>
    <cellStyle name="Suma 2 27 9 2" xfId="33314"/>
    <cellStyle name="Suma 2 27 9 3" xfId="33315"/>
    <cellStyle name="Suma 2 27 9 4" xfId="33316"/>
    <cellStyle name="Suma 2 28" xfId="33317"/>
    <cellStyle name="Suma 2 28 10" xfId="33318"/>
    <cellStyle name="Suma 2 28 10 2" xfId="33319"/>
    <cellStyle name="Suma 2 28 10 3" xfId="33320"/>
    <cellStyle name="Suma 2 28 10 4" xfId="33321"/>
    <cellStyle name="Suma 2 28 11" xfId="33322"/>
    <cellStyle name="Suma 2 28 11 2" xfId="33323"/>
    <cellStyle name="Suma 2 28 11 3" xfId="33324"/>
    <cellStyle name="Suma 2 28 11 4" xfId="33325"/>
    <cellStyle name="Suma 2 28 12" xfId="33326"/>
    <cellStyle name="Suma 2 28 12 2" xfId="33327"/>
    <cellStyle name="Suma 2 28 12 3" xfId="33328"/>
    <cellStyle name="Suma 2 28 12 4" xfId="33329"/>
    <cellStyle name="Suma 2 28 13" xfId="33330"/>
    <cellStyle name="Suma 2 28 13 2" xfId="33331"/>
    <cellStyle name="Suma 2 28 13 3" xfId="33332"/>
    <cellStyle name="Suma 2 28 13 4" xfId="33333"/>
    <cellStyle name="Suma 2 28 14" xfId="33334"/>
    <cellStyle name="Suma 2 28 14 2" xfId="33335"/>
    <cellStyle name="Suma 2 28 14 3" xfId="33336"/>
    <cellStyle name="Suma 2 28 14 4" xfId="33337"/>
    <cellStyle name="Suma 2 28 15" xfId="33338"/>
    <cellStyle name="Suma 2 28 15 2" xfId="33339"/>
    <cellStyle name="Suma 2 28 15 3" xfId="33340"/>
    <cellStyle name="Suma 2 28 15 4" xfId="33341"/>
    <cellStyle name="Suma 2 28 16" xfId="33342"/>
    <cellStyle name="Suma 2 28 16 2" xfId="33343"/>
    <cellStyle name="Suma 2 28 16 3" xfId="33344"/>
    <cellStyle name="Suma 2 28 16 4" xfId="33345"/>
    <cellStyle name="Suma 2 28 17" xfId="33346"/>
    <cellStyle name="Suma 2 28 17 2" xfId="33347"/>
    <cellStyle name="Suma 2 28 17 3" xfId="33348"/>
    <cellStyle name="Suma 2 28 17 4" xfId="33349"/>
    <cellStyle name="Suma 2 28 18" xfId="33350"/>
    <cellStyle name="Suma 2 28 18 2" xfId="33351"/>
    <cellStyle name="Suma 2 28 18 3" xfId="33352"/>
    <cellStyle name="Suma 2 28 18 4" xfId="33353"/>
    <cellStyle name="Suma 2 28 19" xfId="33354"/>
    <cellStyle name="Suma 2 28 19 2" xfId="33355"/>
    <cellStyle name="Suma 2 28 19 3" xfId="33356"/>
    <cellStyle name="Suma 2 28 19 4" xfId="33357"/>
    <cellStyle name="Suma 2 28 2" xfId="33358"/>
    <cellStyle name="Suma 2 28 2 2" xfId="33359"/>
    <cellStyle name="Suma 2 28 2 3" xfId="33360"/>
    <cellStyle name="Suma 2 28 2 4" xfId="33361"/>
    <cellStyle name="Suma 2 28 20" xfId="33362"/>
    <cellStyle name="Suma 2 28 20 2" xfId="33363"/>
    <cellStyle name="Suma 2 28 20 3" xfId="33364"/>
    <cellStyle name="Suma 2 28 20 4" xfId="33365"/>
    <cellStyle name="Suma 2 28 21" xfId="33366"/>
    <cellStyle name="Suma 2 28 21 2" xfId="33367"/>
    <cellStyle name="Suma 2 28 21 3" xfId="33368"/>
    <cellStyle name="Suma 2 28 22" xfId="33369"/>
    <cellStyle name="Suma 2 28 22 2" xfId="33370"/>
    <cellStyle name="Suma 2 28 22 3" xfId="33371"/>
    <cellStyle name="Suma 2 28 23" xfId="33372"/>
    <cellStyle name="Suma 2 28 23 2" xfId="33373"/>
    <cellStyle name="Suma 2 28 23 3" xfId="33374"/>
    <cellStyle name="Suma 2 28 24" xfId="33375"/>
    <cellStyle name="Suma 2 28 24 2" xfId="33376"/>
    <cellStyle name="Suma 2 28 24 3" xfId="33377"/>
    <cellStyle name="Suma 2 28 25" xfId="33378"/>
    <cellStyle name="Suma 2 28 25 2" xfId="33379"/>
    <cellStyle name="Suma 2 28 25 3" xfId="33380"/>
    <cellStyle name="Suma 2 28 26" xfId="33381"/>
    <cellStyle name="Suma 2 28 26 2" xfId="33382"/>
    <cellStyle name="Suma 2 28 26 3" xfId="33383"/>
    <cellStyle name="Suma 2 28 27" xfId="33384"/>
    <cellStyle name="Suma 2 28 27 2" xfId="33385"/>
    <cellStyle name="Suma 2 28 27 3" xfId="33386"/>
    <cellStyle name="Suma 2 28 28" xfId="33387"/>
    <cellStyle name="Suma 2 28 28 2" xfId="33388"/>
    <cellStyle name="Suma 2 28 28 3" xfId="33389"/>
    <cellStyle name="Suma 2 28 29" xfId="33390"/>
    <cellStyle name="Suma 2 28 29 2" xfId="33391"/>
    <cellStyle name="Suma 2 28 29 3" xfId="33392"/>
    <cellStyle name="Suma 2 28 3" xfId="33393"/>
    <cellStyle name="Suma 2 28 3 2" xfId="33394"/>
    <cellStyle name="Suma 2 28 3 3" xfId="33395"/>
    <cellStyle name="Suma 2 28 3 4" xfId="33396"/>
    <cellStyle name="Suma 2 28 30" xfId="33397"/>
    <cellStyle name="Suma 2 28 30 2" xfId="33398"/>
    <cellStyle name="Suma 2 28 30 3" xfId="33399"/>
    <cellStyle name="Suma 2 28 31" xfId="33400"/>
    <cellStyle name="Suma 2 28 31 2" xfId="33401"/>
    <cellStyle name="Suma 2 28 31 3" xfId="33402"/>
    <cellStyle name="Suma 2 28 32" xfId="33403"/>
    <cellStyle name="Suma 2 28 32 2" xfId="33404"/>
    <cellStyle name="Suma 2 28 32 3" xfId="33405"/>
    <cellStyle name="Suma 2 28 33" xfId="33406"/>
    <cellStyle name="Suma 2 28 33 2" xfId="33407"/>
    <cellStyle name="Suma 2 28 33 3" xfId="33408"/>
    <cellStyle name="Suma 2 28 34" xfId="33409"/>
    <cellStyle name="Suma 2 28 34 2" xfId="33410"/>
    <cellStyle name="Suma 2 28 34 3" xfId="33411"/>
    <cellStyle name="Suma 2 28 35" xfId="33412"/>
    <cellStyle name="Suma 2 28 35 2" xfId="33413"/>
    <cellStyle name="Suma 2 28 35 3" xfId="33414"/>
    <cellStyle name="Suma 2 28 36" xfId="33415"/>
    <cellStyle name="Suma 2 28 36 2" xfId="33416"/>
    <cellStyle name="Suma 2 28 36 3" xfId="33417"/>
    <cellStyle name="Suma 2 28 37" xfId="33418"/>
    <cellStyle name="Suma 2 28 37 2" xfId="33419"/>
    <cellStyle name="Suma 2 28 37 3" xfId="33420"/>
    <cellStyle name="Suma 2 28 38" xfId="33421"/>
    <cellStyle name="Suma 2 28 38 2" xfId="33422"/>
    <cellStyle name="Suma 2 28 38 3" xfId="33423"/>
    <cellStyle name="Suma 2 28 39" xfId="33424"/>
    <cellStyle name="Suma 2 28 39 2" xfId="33425"/>
    <cellStyle name="Suma 2 28 39 3" xfId="33426"/>
    <cellStyle name="Suma 2 28 4" xfId="33427"/>
    <cellStyle name="Suma 2 28 4 2" xfId="33428"/>
    <cellStyle name="Suma 2 28 4 3" xfId="33429"/>
    <cellStyle name="Suma 2 28 4 4" xfId="33430"/>
    <cellStyle name="Suma 2 28 40" xfId="33431"/>
    <cellStyle name="Suma 2 28 40 2" xfId="33432"/>
    <cellStyle name="Suma 2 28 40 3" xfId="33433"/>
    <cellStyle name="Suma 2 28 41" xfId="33434"/>
    <cellStyle name="Suma 2 28 41 2" xfId="33435"/>
    <cellStyle name="Suma 2 28 41 3" xfId="33436"/>
    <cellStyle name="Suma 2 28 42" xfId="33437"/>
    <cellStyle name="Suma 2 28 42 2" xfId="33438"/>
    <cellStyle name="Suma 2 28 42 3" xfId="33439"/>
    <cellStyle name="Suma 2 28 43" xfId="33440"/>
    <cellStyle name="Suma 2 28 43 2" xfId="33441"/>
    <cellStyle name="Suma 2 28 43 3" xfId="33442"/>
    <cellStyle name="Suma 2 28 44" xfId="33443"/>
    <cellStyle name="Suma 2 28 44 2" xfId="33444"/>
    <cellStyle name="Suma 2 28 44 3" xfId="33445"/>
    <cellStyle name="Suma 2 28 45" xfId="33446"/>
    <cellStyle name="Suma 2 28 45 2" xfId="33447"/>
    <cellStyle name="Suma 2 28 45 3" xfId="33448"/>
    <cellStyle name="Suma 2 28 46" xfId="33449"/>
    <cellStyle name="Suma 2 28 46 2" xfId="33450"/>
    <cellStyle name="Suma 2 28 46 3" xfId="33451"/>
    <cellStyle name="Suma 2 28 47" xfId="33452"/>
    <cellStyle name="Suma 2 28 47 2" xfId="33453"/>
    <cellStyle name="Suma 2 28 47 3" xfId="33454"/>
    <cellStyle name="Suma 2 28 48" xfId="33455"/>
    <cellStyle name="Suma 2 28 48 2" xfId="33456"/>
    <cellStyle name="Suma 2 28 48 3" xfId="33457"/>
    <cellStyle name="Suma 2 28 49" xfId="33458"/>
    <cellStyle name="Suma 2 28 49 2" xfId="33459"/>
    <cellStyle name="Suma 2 28 49 3" xfId="33460"/>
    <cellStyle name="Suma 2 28 5" xfId="33461"/>
    <cellStyle name="Suma 2 28 5 2" xfId="33462"/>
    <cellStyle name="Suma 2 28 5 3" xfId="33463"/>
    <cellStyle name="Suma 2 28 5 4" xfId="33464"/>
    <cellStyle name="Suma 2 28 50" xfId="33465"/>
    <cellStyle name="Suma 2 28 50 2" xfId="33466"/>
    <cellStyle name="Suma 2 28 50 3" xfId="33467"/>
    <cellStyle name="Suma 2 28 51" xfId="33468"/>
    <cellStyle name="Suma 2 28 51 2" xfId="33469"/>
    <cellStyle name="Suma 2 28 51 3" xfId="33470"/>
    <cellStyle name="Suma 2 28 52" xfId="33471"/>
    <cellStyle name="Suma 2 28 52 2" xfId="33472"/>
    <cellStyle name="Suma 2 28 52 3" xfId="33473"/>
    <cellStyle name="Suma 2 28 53" xfId="33474"/>
    <cellStyle name="Suma 2 28 53 2" xfId="33475"/>
    <cellStyle name="Suma 2 28 53 3" xfId="33476"/>
    <cellStyle name="Suma 2 28 54" xfId="33477"/>
    <cellStyle name="Suma 2 28 54 2" xfId="33478"/>
    <cellStyle name="Suma 2 28 54 3" xfId="33479"/>
    <cellStyle name="Suma 2 28 55" xfId="33480"/>
    <cellStyle name="Suma 2 28 55 2" xfId="33481"/>
    <cellStyle name="Suma 2 28 55 3" xfId="33482"/>
    <cellStyle name="Suma 2 28 56" xfId="33483"/>
    <cellStyle name="Suma 2 28 56 2" xfId="33484"/>
    <cellStyle name="Suma 2 28 56 3" xfId="33485"/>
    <cellStyle name="Suma 2 28 57" xfId="33486"/>
    <cellStyle name="Suma 2 28 58" xfId="33487"/>
    <cellStyle name="Suma 2 28 6" xfId="33488"/>
    <cellStyle name="Suma 2 28 6 2" xfId="33489"/>
    <cellStyle name="Suma 2 28 6 3" xfId="33490"/>
    <cellStyle name="Suma 2 28 6 4" xfId="33491"/>
    <cellStyle name="Suma 2 28 7" xfId="33492"/>
    <cellStyle name="Suma 2 28 7 2" xfId="33493"/>
    <cellStyle name="Suma 2 28 7 3" xfId="33494"/>
    <cellStyle name="Suma 2 28 7 4" xfId="33495"/>
    <cellStyle name="Suma 2 28 8" xfId="33496"/>
    <cellStyle name="Suma 2 28 8 2" xfId="33497"/>
    <cellStyle name="Suma 2 28 8 3" xfId="33498"/>
    <cellStyle name="Suma 2 28 8 4" xfId="33499"/>
    <cellStyle name="Suma 2 28 9" xfId="33500"/>
    <cellStyle name="Suma 2 28 9 2" xfId="33501"/>
    <cellStyle name="Suma 2 28 9 3" xfId="33502"/>
    <cellStyle name="Suma 2 28 9 4" xfId="33503"/>
    <cellStyle name="Suma 2 29" xfId="33504"/>
    <cellStyle name="Suma 2 29 2" xfId="33505"/>
    <cellStyle name="Suma 2 29 3" xfId="33506"/>
    <cellStyle name="Suma 2 29 4" xfId="33507"/>
    <cellStyle name="Suma 2 3" xfId="33508"/>
    <cellStyle name="Suma 2 3 10" xfId="33509"/>
    <cellStyle name="Suma 2 3 10 2" xfId="33510"/>
    <cellStyle name="Suma 2 3 10 3" xfId="33511"/>
    <cellStyle name="Suma 2 3 10 4" xfId="33512"/>
    <cellStyle name="Suma 2 3 11" xfId="33513"/>
    <cellStyle name="Suma 2 3 11 2" xfId="33514"/>
    <cellStyle name="Suma 2 3 11 3" xfId="33515"/>
    <cellStyle name="Suma 2 3 11 4" xfId="33516"/>
    <cellStyle name="Suma 2 3 12" xfId="33517"/>
    <cellStyle name="Suma 2 3 12 2" xfId="33518"/>
    <cellStyle name="Suma 2 3 12 3" xfId="33519"/>
    <cellStyle name="Suma 2 3 12 4" xfId="33520"/>
    <cellStyle name="Suma 2 3 13" xfId="33521"/>
    <cellStyle name="Suma 2 3 13 2" xfId="33522"/>
    <cellStyle name="Suma 2 3 13 3" xfId="33523"/>
    <cellStyle name="Suma 2 3 13 4" xfId="33524"/>
    <cellStyle name="Suma 2 3 14" xfId="33525"/>
    <cellStyle name="Suma 2 3 14 2" xfId="33526"/>
    <cellStyle name="Suma 2 3 14 3" xfId="33527"/>
    <cellStyle name="Suma 2 3 14 4" xfId="33528"/>
    <cellStyle name="Suma 2 3 15" xfId="33529"/>
    <cellStyle name="Suma 2 3 15 2" xfId="33530"/>
    <cellStyle name="Suma 2 3 15 3" xfId="33531"/>
    <cellStyle name="Suma 2 3 15 4" xfId="33532"/>
    <cellStyle name="Suma 2 3 16" xfId="33533"/>
    <cellStyle name="Suma 2 3 16 2" xfId="33534"/>
    <cellStyle name="Suma 2 3 16 3" xfId="33535"/>
    <cellStyle name="Suma 2 3 16 4" xfId="33536"/>
    <cellStyle name="Suma 2 3 17" xfId="33537"/>
    <cellStyle name="Suma 2 3 17 2" xfId="33538"/>
    <cellStyle name="Suma 2 3 17 3" xfId="33539"/>
    <cellStyle name="Suma 2 3 17 4" xfId="33540"/>
    <cellStyle name="Suma 2 3 18" xfId="33541"/>
    <cellStyle name="Suma 2 3 18 2" xfId="33542"/>
    <cellStyle name="Suma 2 3 18 3" xfId="33543"/>
    <cellStyle name="Suma 2 3 18 4" xfId="33544"/>
    <cellStyle name="Suma 2 3 19" xfId="33545"/>
    <cellStyle name="Suma 2 3 19 2" xfId="33546"/>
    <cellStyle name="Suma 2 3 19 3" xfId="33547"/>
    <cellStyle name="Suma 2 3 19 4" xfId="33548"/>
    <cellStyle name="Suma 2 3 2" xfId="33549"/>
    <cellStyle name="Suma 2 3 2 2" xfId="33550"/>
    <cellStyle name="Suma 2 3 2 3" xfId="33551"/>
    <cellStyle name="Suma 2 3 2 4" xfId="33552"/>
    <cellStyle name="Suma 2 3 20" xfId="33553"/>
    <cellStyle name="Suma 2 3 20 2" xfId="33554"/>
    <cellStyle name="Suma 2 3 20 3" xfId="33555"/>
    <cellStyle name="Suma 2 3 20 4" xfId="33556"/>
    <cellStyle name="Suma 2 3 21" xfId="33557"/>
    <cellStyle name="Suma 2 3 21 2" xfId="33558"/>
    <cellStyle name="Suma 2 3 21 3" xfId="33559"/>
    <cellStyle name="Suma 2 3 22" xfId="33560"/>
    <cellStyle name="Suma 2 3 22 2" xfId="33561"/>
    <cellStyle name="Suma 2 3 22 3" xfId="33562"/>
    <cellStyle name="Suma 2 3 23" xfId="33563"/>
    <cellStyle name="Suma 2 3 23 2" xfId="33564"/>
    <cellStyle name="Suma 2 3 23 3" xfId="33565"/>
    <cellStyle name="Suma 2 3 24" xfId="33566"/>
    <cellStyle name="Suma 2 3 24 2" xfId="33567"/>
    <cellStyle name="Suma 2 3 24 3" xfId="33568"/>
    <cellStyle name="Suma 2 3 25" xfId="33569"/>
    <cellStyle name="Suma 2 3 25 2" xfId="33570"/>
    <cellStyle name="Suma 2 3 25 3" xfId="33571"/>
    <cellStyle name="Suma 2 3 26" xfId="33572"/>
    <cellStyle name="Suma 2 3 26 2" xfId="33573"/>
    <cellStyle name="Suma 2 3 26 3" xfId="33574"/>
    <cellStyle name="Suma 2 3 27" xfId="33575"/>
    <cellStyle name="Suma 2 3 27 2" xfId="33576"/>
    <cellStyle name="Suma 2 3 27 3" xfId="33577"/>
    <cellStyle name="Suma 2 3 28" xfId="33578"/>
    <cellStyle name="Suma 2 3 28 2" xfId="33579"/>
    <cellStyle name="Suma 2 3 28 3" xfId="33580"/>
    <cellStyle name="Suma 2 3 29" xfId="33581"/>
    <cellStyle name="Suma 2 3 29 2" xfId="33582"/>
    <cellStyle name="Suma 2 3 29 3" xfId="33583"/>
    <cellStyle name="Suma 2 3 3" xfId="33584"/>
    <cellStyle name="Suma 2 3 3 2" xfId="33585"/>
    <cellStyle name="Suma 2 3 3 3" xfId="33586"/>
    <cellStyle name="Suma 2 3 3 4" xfId="33587"/>
    <cellStyle name="Suma 2 3 30" xfId="33588"/>
    <cellStyle name="Suma 2 3 30 2" xfId="33589"/>
    <cellStyle name="Suma 2 3 30 3" xfId="33590"/>
    <cellStyle name="Suma 2 3 31" xfId="33591"/>
    <cellStyle name="Suma 2 3 31 2" xfId="33592"/>
    <cellStyle name="Suma 2 3 31 3" xfId="33593"/>
    <cellStyle name="Suma 2 3 32" xfId="33594"/>
    <cellStyle name="Suma 2 3 32 2" xfId="33595"/>
    <cellStyle name="Suma 2 3 32 3" xfId="33596"/>
    <cellStyle name="Suma 2 3 33" xfId="33597"/>
    <cellStyle name="Suma 2 3 33 2" xfId="33598"/>
    <cellStyle name="Suma 2 3 33 3" xfId="33599"/>
    <cellStyle name="Suma 2 3 34" xfId="33600"/>
    <cellStyle name="Suma 2 3 34 2" xfId="33601"/>
    <cellStyle name="Suma 2 3 34 3" xfId="33602"/>
    <cellStyle name="Suma 2 3 35" xfId="33603"/>
    <cellStyle name="Suma 2 3 35 2" xfId="33604"/>
    <cellStyle name="Suma 2 3 35 3" xfId="33605"/>
    <cellStyle name="Suma 2 3 36" xfId="33606"/>
    <cellStyle name="Suma 2 3 36 2" xfId="33607"/>
    <cellStyle name="Suma 2 3 36 3" xfId="33608"/>
    <cellStyle name="Suma 2 3 37" xfId="33609"/>
    <cellStyle name="Suma 2 3 37 2" xfId="33610"/>
    <cellStyle name="Suma 2 3 37 3" xfId="33611"/>
    <cellStyle name="Suma 2 3 38" xfId="33612"/>
    <cellStyle name="Suma 2 3 38 2" xfId="33613"/>
    <cellStyle name="Suma 2 3 38 3" xfId="33614"/>
    <cellStyle name="Suma 2 3 39" xfId="33615"/>
    <cellStyle name="Suma 2 3 39 2" xfId="33616"/>
    <cellStyle name="Suma 2 3 39 3" xfId="33617"/>
    <cellStyle name="Suma 2 3 4" xfId="33618"/>
    <cellStyle name="Suma 2 3 4 2" xfId="33619"/>
    <cellStyle name="Suma 2 3 4 3" xfId="33620"/>
    <cellStyle name="Suma 2 3 4 4" xfId="33621"/>
    <cellStyle name="Suma 2 3 40" xfId="33622"/>
    <cellStyle name="Suma 2 3 40 2" xfId="33623"/>
    <cellStyle name="Suma 2 3 40 3" xfId="33624"/>
    <cellStyle name="Suma 2 3 41" xfId="33625"/>
    <cellStyle name="Suma 2 3 41 2" xfId="33626"/>
    <cellStyle name="Suma 2 3 41 3" xfId="33627"/>
    <cellStyle name="Suma 2 3 42" xfId="33628"/>
    <cellStyle name="Suma 2 3 42 2" xfId="33629"/>
    <cellStyle name="Suma 2 3 42 3" xfId="33630"/>
    <cellStyle name="Suma 2 3 43" xfId="33631"/>
    <cellStyle name="Suma 2 3 43 2" xfId="33632"/>
    <cellStyle name="Suma 2 3 43 3" xfId="33633"/>
    <cellStyle name="Suma 2 3 44" xfId="33634"/>
    <cellStyle name="Suma 2 3 44 2" xfId="33635"/>
    <cellStyle name="Suma 2 3 44 3" xfId="33636"/>
    <cellStyle name="Suma 2 3 45" xfId="33637"/>
    <cellStyle name="Suma 2 3 45 2" xfId="33638"/>
    <cellStyle name="Suma 2 3 45 3" xfId="33639"/>
    <cellStyle name="Suma 2 3 46" xfId="33640"/>
    <cellStyle name="Suma 2 3 46 2" xfId="33641"/>
    <cellStyle name="Suma 2 3 46 3" xfId="33642"/>
    <cellStyle name="Suma 2 3 47" xfId="33643"/>
    <cellStyle name="Suma 2 3 47 2" xfId="33644"/>
    <cellStyle name="Suma 2 3 47 3" xfId="33645"/>
    <cellStyle name="Suma 2 3 48" xfId="33646"/>
    <cellStyle name="Suma 2 3 48 2" xfId="33647"/>
    <cellStyle name="Suma 2 3 48 3" xfId="33648"/>
    <cellStyle name="Suma 2 3 49" xfId="33649"/>
    <cellStyle name="Suma 2 3 49 2" xfId="33650"/>
    <cellStyle name="Suma 2 3 49 3" xfId="33651"/>
    <cellStyle name="Suma 2 3 5" xfId="33652"/>
    <cellStyle name="Suma 2 3 5 2" xfId="33653"/>
    <cellStyle name="Suma 2 3 5 3" xfId="33654"/>
    <cellStyle name="Suma 2 3 5 4" xfId="33655"/>
    <cellStyle name="Suma 2 3 50" xfId="33656"/>
    <cellStyle name="Suma 2 3 50 2" xfId="33657"/>
    <cellStyle name="Suma 2 3 50 3" xfId="33658"/>
    <cellStyle name="Suma 2 3 51" xfId="33659"/>
    <cellStyle name="Suma 2 3 51 2" xfId="33660"/>
    <cellStyle name="Suma 2 3 51 3" xfId="33661"/>
    <cellStyle name="Suma 2 3 52" xfId="33662"/>
    <cellStyle name="Suma 2 3 52 2" xfId="33663"/>
    <cellStyle name="Suma 2 3 52 3" xfId="33664"/>
    <cellStyle name="Suma 2 3 53" xfId="33665"/>
    <cellStyle name="Suma 2 3 53 2" xfId="33666"/>
    <cellStyle name="Suma 2 3 53 3" xfId="33667"/>
    <cellStyle name="Suma 2 3 54" xfId="33668"/>
    <cellStyle name="Suma 2 3 54 2" xfId="33669"/>
    <cellStyle name="Suma 2 3 54 3" xfId="33670"/>
    <cellStyle name="Suma 2 3 55" xfId="33671"/>
    <cellStyle name="Suma 2 3 55 2" xfId="33672"/>
    <cellStyle name="Suma 2 3 55 3" xfId="33673"/>
    <cellStyle name="Suma 2 3 56" xfId="33674"/>
    <cellStyle name="Suma 2 3 56 2" xfId="33675"/>
    <cellStyle name="Suma 2 3 56 3" xfId="33676"/>
    <cellStyle name="Suma 2 3 57" xfId="33677"/>
    <cellStyle name="Suma 2 3 58" xfId="33678"/>
    <cellStyle name="Suma 2 3 6" xfId="33679"/>
    <cellStyle name="Suma 2 3 6 2" xfId="33680"/>
    <cellStyle name="Suma 2 3 6 3" xfId="33681"/>
    <cellStyle name="Suma 2 3 6 4" xfId="33682"/>
    <cellStyle name="Suma 2 3 7" xfId="33683"/>
    <cellStyle name="Suma 2 3 7 2" xfId="33684"/>
    <cellStyle name="Suma 2 3 7 3" xfId="33685"/>
    <cellStyle name="Suma 2 3 7 4" xfId="33686"/>
    <cellStyle name="Suma 2 3 8" xfId="33687"/>
    <cellStyle name="Suma 2 3 8 2" xfId="33688"/>
    <cellStyle name="Suma 2 3 8 3" xfId="33689"/>
    <cellStyle name="Suma 2 3 8 4" xfId="33690"/>
    <cellStyle name="Suma 2 3 9" xfId="33691"/>
    <cellStyle name="Suma 2 3 9 2" xfId="33692"/>
    <cellStyle name="Suma 2 3 9 3" xfId="33693"/>
    <cellStyle name="Suma 2 3 9 4" xfId="33694"/>
    <cellStyle name="Suma 2 30" xfId="33695"/>
    <cellStyle name="Suma 2 30 2" xfId="33696"/>
    <cellStyle name="Suma 2 30 3" xfId="33697"/>
    <cellStyle name="Suma 2 30 4" xfId="33698"/>
    <cellStyle name="Suma 2 31" xfId="33699"/>
    <cellStyle name="Suma 2 31 2" xfId="33700"/>
    <cellStyle name="Suma 2 31 3" xfId="33701"/>
    <cellStyle name="Suma 2 31 4" xfId="33702"/>
    <cellStyle name="Suma 2 32" xfId="33703"/>
    <cellStyle name="Suma 2 32 2" xfId="33704"/>
    <cellStyle name="Suma 2 32 3" xfId="33705"/>
    <cellStyle name="Suma 2 32 4" xfId="33706"/>
    <cellStyle name="Suma 2 33" xfId="33707"/>
    <cellStyle name="Suma 2 33 2" xfId="33708"/>
    <cellStyle name="Suma 2 33 3" xfId="33709"/>
    <cellStyle name="Suma 2 33 4" xfId="33710"/>
    <cellStyle name="Suma 2 34" xfId="33711"/>
    <cellStyle name="Suma 2 34 2" xfId="33712"/>
    <cellStyle name="Suma 2 34 3" xfId="33713"/>
    <cellStyle name="Suma 2 34 4" xfId="33714"/>
    <cellStyle name="Suma 2 35" xfId="33715"/>
    <cellStyle name="Suma 2 35 2" xfId="33716"/>
    <cellStyle name="Suma 2 35 3" xfId="33717"/>
    <cellStyle name="Suma 2 35 4" xfId="33718"/>
    <cellStyle name="Suma 2 36" xfId="33719"/>
    <cellStyle name="Suma 2 36 2" xfId="33720"/>
    <cellStyle name="Suma 2 36 3" xfId="33721"/>
    <cellStyle name="Suma 2 36 4" xfId="33722"/>
    <cellStyle name="Suma 2 37" xfId="33723"/>
    <cellStyle name="Suma 2 37 2" xfId="33724"/>
    <cellStyle name="Suma 2 37 3" xfId="33725"/>
    <cellStyle name="Suma 2 37 4" xfId="33726"/>
    <cellStyle name="Suma 2 38" xfId="33727"/>
    <cellStyle name="Suma 2 38 2" xfId="33728"/>
    <cellStyle name="Suma 2 38 3" xfId="33729"/>
    <cellStyle name="Suma 2 38 4" xfId="33730"/>
    <cellStyle name="Suma 2 39" xfId="33731"/>
    <cellStyle name="Suma 2 39 2" xfId="33732"/>
    <cellStyle name="Suma 2 39 3" xfId="33733"/>
    <cellStyle name="Suma 2 39 4" xfId="33734"/>
    <cellStyle name="Suma 2 4" xfId="33735"/>
    <cellStyle name="Suma 2 4 10" xfId="33736"/>
    <cellStyle name="Suma 2 4 10 2" xfId="33737"/>
    <cellStyle name="Suma 2 4 10 3" xfId="33738"/>
    <cellStyle name="Suma 2 4 10 4" xfId="33739"/>
    <cellStyle name="Suma 2 4 11" xfId="33740"/>
    <cellStyle name="Suma 2 4 11 2" xfId="33741"/>
    <cellStyle name="Suma 2 4 11 3" xfId="33742"/>
    <cellStyle name="Suma 2 4 11 4" xfId="33743"/>
    <cellStyle name="Suma 2 4 12" xfId="33744"/>
    <cellStyle name="Suma 2 4 12 2" xfId="33745"/>
    <cellStyle name="Suma 2 4 12 3" xfId="33746"/>
    <cellStyle name="Suma 2 4 12 4" xfId="33747"/>
    <cellStyle name="Suma 2 4 13" xfId="33748"/>
    <cellStyle name="Suma 2 4 13 2" xfId="33749"/>
    <cellStyle name="Suma 2 4 13 3" xfId="33750"/>
    <cellStyle name="Suma 2 4 13 4" xfId="33751"/>
    <cellStyle name="Suma 2 4 14" xfId="33752"/>
    <cellStyle name="Suma 2 4 14 2" xfId="33753"/>
    <cellStyle name="Suma 2 4 14 3" xfId="33754"/>
    <cellStyle name="Suma 2 4 14 4" xfId="33755"/>
    <cellStyle name="Suma 2 4 15" xfId="33756"/>
    <cellStyle name="Suma 2 4 15 2" xfId="33757"/>
    <cellStyle name="Suma 2 4 15 3" xfId="33758"/>
    <cellStyle name="Suma 2 4 15 4" xfId="33759"/>
    <cellStyle name="Suma 2 4 16" xfId="33760"/>
    <cellStyle name="Suma 2 4 16 2" xfId="33761"/>
    <cellStyle name="Suma 2 4 16 3" xfId="33762"/>
    <cellStyle name="Suma 2 4 16 4" xfId="33763"/>
    <cellStyle name="Suma 2 4 17" xfId="33764"/>
    <cellStyle name="Suma 2 4 17 2" xfId="33765"/>
    <cellStyle name="Suma 2 4 17 3" xfId="33766"/>
    <cellStyle name="Suma 2 4 17 4" xfId="33767"/>
    <cellStyle name="Suma 2 4 18" xfId="33768"/>
    <cellStyle name="Suma 2 4 18 2" xfId="33769"/>
    <cellStyle name="Suma 2 4 18 3" xfId="33770"/>
    <cellStyle name="Suma 2 4 18 4" xfId="33771"/>
    <cellStyle name="Suma 2 4 19" xfId="33772"/>
    <cellStyle name="Suma 2 4 19 2" xfId="33773"/>
    <cellStyle name="Suma 2 4 19 3" xfId="33774"/>
    <cellStyle name="Suma 2 4 19 4" xfId="33775"/>
    <cellStyle name="Suma 2 4 2" xfId="33776"/>
    <cellStyle name="Suma 2 4 2 2" xfId="33777"/>
    <cellStyle name="Suma 2 4 2 3" xfId="33778"/>
    <cellStyle name="Suma 2 4 2 4" xfId="33779"/>
    <cellStyle name="Suma 2 4 20" xfId="33780"/>
    <cellStyle name="Suma 2 4 20 2" xfId="33781"/>
    <cellStyle name="Suma 2 4 20 3" xfId="33782"/>
    <cellStyle name="Suma 2 4 20 4" xfId="33783"/>
    <cellStyle name="Suma 2 4 21" xfId="33784"/>
    <cellStyle name="Suma 2 4 21 2" xfId="33785"/>
    <cellStyle name="Suma 2 4 21 3" xfId="33786"/>
    <cellStyle name="Suma 2 4 22" xfId="33787"/>
    <cellStyle name="Suma 2 4 22 2" xfId="33788"/>
    <cellStyle name="Suma 2 4 22 3" xfId="33789"/>
    <cellStyle name="Suma 2 4 23" xfId="33790"/>
    <cellStyle name="Suma 2 4 23 2" xfId="33791"/>
    <cellStyle name="Suma 2 4 23 3" xfId="33792"/>
    <cellStyle name="Suma 2 4 24" xfId="33793"/>
    <cellStyle name="Suma 2 4 24 2" xfId="33794"/>
    <cellStyle name="Suma 2 4 24 3" xfId="33795"/>
    <cellStyle name="Suma 2 4 25" xfId="33796"/>
    <cellStyle name="Suma 2 4 25 2" xfId="33797"/>
    <cellStyle name="Suma 2 4 25 3" xfId="33798"/>
    <cellStyle name="Suma 2 4 26" xfId="33799"/>
    <cellStyle name="Suma 2 4 26 2" xfId="33800"/>
    <cellStyle name="Suma 2 4 26 3" xfId="33801"/>
    <cellStyle name="Suma 2 4 27" xfId="33802"/>
    <cellStyle name="Suma 2 4 27 2" xfId="33803"/>
    <cellStyle name="Suma 2 4 27 3" xfId="33804"/>
    <cellStyle name="Suma 2 4 28" xfId="33805"/>
    <cellStyle name="Suma 2 4 28 2" xfId="33806"/>
    <cellStyle name="Suma 2 4 28 3" xfId="33807"/>
    <cellStyle name="Suma 2 4 29" xfId="33808"/>
    <cellStyle name="Suma 2 4 29 2" xfId="33809"/>
    <cellStyle name="Suma 2 4 29 3" xfId="33810"/>
    <cellStyle name="Suma 2 4 3" xfId="33811"/>
    <cellStyle name="Suma 2 4 3 2" xfId="33812"/>
    <cellStyle name="Suma 2 4 3 3" xfId="33813"/>
    <cellStyle name="Suma 2 4 3 4" xfId="33814"/>
    <cellStyle name="Suma 2 4 30" xfId="33815"/>
    <cellStyle name="Suma 2 4 30 2" xfId="33816"/>
    <cellStyle name="Suma 2 4 30 3" xfId="33817"/>
    <cellStyle name="Suma 2 4 31" xfId="33818"/>
    <cellStyle name="Suma 2 4 31 2" xfId="33819"/>
    <cellStyle name="Suma 2 4 31 3" xfId="33820"/>
    <cellStyle name="Suma 2 4 32" xfId="33821"/>
    <cellStyle name="Suma 2 4 32 2" xfId="33822"/>
    <cellStyle name="Suma 2 4 32 3" xfId="33823"/>
    <cellStyle name="Suma 2 4 33" xfId="33824"/>
    <cellStyle name="Suma 2 4 33 2" xfId="33825"/>
    <cellStyle name="Suma 2 4 33 3" xfId="33826"/>
    <cellStyle name="Suma 2 4 34" xfId="33827"/>
    <cellStyle name="Suma 2 4 34 2" xfId="33828"/>
    <cellStyle name="Suma 2 4 34 3" xfId="33829"/>
    <cellStyle name="Suma 2 4 35" xfId="33830"/>
    <cellStyle name="Suma 2 4 35 2" xfId="33831"/>
    <cellStyle name="Suma 2 4 35 3" xfId="33832"/>
    <cellStyle name="Suma 2 4 36" xfId="33833"/>
    <cellStyle name="Suma 2 4 36 2" xfId="33834"/>
    <cellStyle name="Suma 2 4 36 3" xfId="33835"/>
    <cellStyle name="Suma 2 4 37" xfId="33836"/>
    <cellStyle name="Suma 2 4 37 2" xfId="33837"/>
    <cellStyle name="Suma 2 4 37 3" xfId="33838"/>
    <cellStyle name="Suma 2 4 38" xfId="33839"/>
    <cellStyle name="Suma 2 4 38 2" xfId="33840"/>
    <cellStyle name="Suma 2 4 38 3" xfId="33841"/>
    <cellStyle name="Suma 2 4 39" xfId="33842"/>
    <cellStyle name="Suma 2 4 39 2" xfId="33843"/>
    <cellStyle name="Suma 2 4 39 3" xfId="33844"/>
    <cellStyle name="Suma 2 4 4" xfId="33845"/>
    <cellStyle name="Suma 2 4 4 2" xfId="33846"/>
    <cellStyle name="Suma 2 4 4 3" xfId="33847"/>
    <cellStyle name="Suma 2 4 4 4" xfId="33848"/>
    <cellStyle name="Suma 2 4 40" xfId="33849"/>
    <cellStyle name="Suma 2 4 40 2" xfId="33850"/>
    <cellStyle name="Suma 2 4 40 3" xfId="33851"/>
    <cellStyle name="Suma 2 4 41" xfId="33852"/>
    <cellStyle name="Suma 2 4 41 2" xfId="33853"/>
    <cellStyle name="Suma 2 4 41 3" xfId="33854"/>
    <cellStyle name="Suma 2 4 42" xfId="33855"/>
    <cellStyle name="Suma 2 4 42 2" xfId="33856"/>
    <cellStyle name="Suma 2 4 42 3" xfId="33857"/>
    <cellStyle name="Suma 2 4 43" xfId="33858"/>
    <cellStyle name="Suma 2 4 43 2" xfId="33859"/>
    <cellStyle name="Suma 2 4 43 3" xfId="33860"/>
    <cellStyle name="Suma 2 4 44" xfId="33861"/>
    <cellStyle name="Suma 2 4 44 2" xfId="33862"/>
    <cellStyle name="Suma 2 4 44 3" xfId="33863"/>
    <cellStyle name="Suma 2 4 45" xfId="33864"/>
    <cellStyle name="Suma 2 4 45 2" xfId="33865"/>
    <cellStyle name="Suma 2 4 45 3" xfId="33866"/>
    <cellStyle name="Suma 2 4 46" xfId="33867"/>
    <cellStyle name="Suma 2 4 46 2" xfId="33868"/>
    <cellStyle name="Suma 2 4 46 3" xfId="33869"/>
    <cellStyle name="Suma 2 4 47" xfId="33870"/>
    <cellStyle name="Suma 2 4 47 2" xfId="33871"/>
    <cellStyle name="Suma 2 4 47 3" xfId="33872"/>
    <cellStyle name="Suma 2 4 48" xfId="33873"/>
    <cellStyle name="Suma 2 4 48 2" xfId="33874"/>
    <cellStyle name="Suma 2 4 48 3" xfId="33875"/>
    <cellStyle name="Suma 2 4 49" xfId="33876"/>
    <cellStyle name="Suma 2 4 49 2" xfId="33877"/>
    <cellStyle name="Suma 2 4 49 3" xfId="33878"/>
    <cellStyle name="Suma 2 4 5" xfId="33879"/>
    <cellStyle name="Suma 2 4 5 2" xfId="33880"/>
    <cellStyle name="Suma 2 4 5 3" xfId="33881"/>
    <cellStyle name="Suma 2 4 5 4" xfId="33882"/>
    <cellStyle name="Suma 2 4 50" xfId="33883"/>
    <cellStyle name="Suma 2 4 50 2" xfId="33884"/>
    <cellStyle name="Suma 2 4 50 3" xfId="33885"/>
    <cellStyle name="Suma 2 4 51" xfId="33886"/>
    <cellStyle name="Suma 2 4 51 2" xfId="33887"/>
    <cellStyle name="Suma 2 4 51 3" xfId="33888"/>
    <cellStyle name="Suma 2 4 52" xfId="33889"/>
    <cellStyle name="Suma 2 4 52 2" xfId="33890"/>
    <cellStyle name="Suma 2 4 52 3" xfId="33891"/>
    <cellStyle name="Suma 2 4 53" xfId="33892"/>
    <cellStyle name="Suma 2 4 53 2" xfId="33893"/>
    <cellStyle name="Suma 2 4 53 3" xfId="33894"/>
    <cellStyle name="Suma 2 4 54" xfId="33895"/>
    <cellStyle name="Suma 2 4 54 2" xfId="33896"/>
    <cellStyle name="Suma 2 4 54 3" xfId="33897"/>
    <cellStyle name="Suma 2 4 55" xfId="33898"/>
    <cellStyle name="Suma 2 4 55 2" xfId="33899"/>
    <cellStyle name="Suma 2 4 55 3" xfId="33900"/>
    <cellStyle name="Suma 2 4 56" xfId="33901"/>
    <cellStyle name="Suma 2 4 56 2" xfId="33902"/>
    <cellStyle name="Suma 2 4 56 3" xfId="33903"/>
    <cellStyle name="Suma 2 4 57" xfId="33904"/>
    <cellStyle name="Suma 2 4 58" xfId="33905"/>
    <cellStyle name="Suma 2 4 6" xfId="33906"/>
    <cellStyle name="Suma 2 4 6 2" xfId="33907"/>
    <cellStyle name="Suma 2 4 6 3" xfId="33908"/>
    <cellStyle name="Suma 2 4 6 4" xfId="33909"/>
    <cellStyle name="Suma 2 4 7" xfId="33910"/>
    <cellStyle name="Suma 2 4 7 2" xfId="33911"/>
    <cellStyle name="Suma 2 4 7 3" xfId="33912"/>
    <cellStyle name="Suma 2 4 7 4" xfId="33913"/>
    <cellStyle name="Suma 2 4 8" xfId="33914"/>
    <cellStyle name="Suma 2 4 8 2" xfId="33915"/>
    <cellStyle name="Suma 2 4 8 3" xfId="33916"/>
    <cellStyle name="Suma 2 4 8 4" xfId="33917"/>
    <cellStyle name="Suma 2 4 9" xfId="33918"/>
    <cellStyle name="Suma 2 4 9 2" xfId="33919"/>
    <cellStyle name="Suma 2 4 9 3" xfId="33920"/>
    <cellStyle name="Suma 2 4 9 4" xfId="33921"/>
    <cellStyle name="Suma 2 40" xfId="33922"/>
    <cellStyle name="Suma 2 40 2" xfId="33923"/>
    <cellStyle name="Suma 2 40 3" xfId="33924"/>
    <cellStyle name="Suma 2 40 4" xfId="33925"/>
    <cellStyle name="Suma 2 41" xfId="33926"/>
    <cellStyle name="Suma 2 41 2" xfId="33927"/>
    <cellStyle name="Suma 2 41 3" xfId="33928"/>
    <cellStyle name="Suma 2 41 4" xfId="33929"/>
    <cellStyle name="Suma 2 42" xfId="33930"/>
    <cellStyle name="Suma 2 42 2" xfId="33931"/>
    <cellStyle name="Suma 2 42 3" xfId="33932"/>
    <cellStyle name="Suma 2 42 4" xfId="33933"/>
    <cellStyle name="Suma 2 43" xfId="33934"/>
    <cellStyle name="Suma 2 43 2" xfId="33935"/>
    <cellStyle name="Suma 2 43 3" xfId="33936"/>
    <cellStyle name="Suma 2 43 4" xfId="33937"/>
    <cellStyle name="Suma 2 44" xfId="33938"/>
    <cellStyle name="Suma 2 44 2" xfId="33939"/>
    <cellStyle name="Suma 2 44 3" xfId="33940"/>
    <cellStyle name="Suma 2 44 4" xfId="33941"/>
    <cellStyle name="Suma 2 45" xfId="33942"/>
    <cellStyle name="Suma 2 45 2" xfId="33943"/>
    <cellStyle name="Suma 2 45 3" xfId="33944"/>
    <cellStyle name="Suma 2 45 4" xfId="33945"/>
    <cellStyle name="Suma 2 46" xfId="33946"/>
    <cellStyle name="Suma 2 46 2" xfId="33947"/>
    <cellStyle name="Suma 2 46 3" xfId="33948"/>
    <cellStyle name="Suma 2 46 4" xfId="33949"/>
    <cellStyle name="Suma 2 47" xfId="33950"/>
    <cellStyle name="Suma 2 47 2" xfId="33951"/>
    <cellStyle name="Suma 2 47 3" xfId="33952"/>
    <cellStyle name="Suma 2 47 4" xfId="33953"/>
    <cellStyle name="Suma 2 48" xfId="33954"/>
    <cellStyle name="Suma 2 48 2" xfId="33955"/>
    <cellStyle name="Suma 2 48 3" xfId="33956"/>
    <cellStyle name="Suma 2 48 4" xfId="33957"/>
    <cellStyle name="Suma 2 49" xfId="33958"/>
    <cellStyle name="Suma 2 49 2" xfId="33959"/>
    <cellStyle name="Suma 2 49 3" xfId="33960"/>
    <cellStyle name="Suma 2 49 4" xfId="33961"/>
    <cellStyle name="Suma 2 5" xfId="33962"/>
    <cellStyle name="Suma 2 5 10" xfId="33963"/>
    <cellStyle name="Suma 2 5 10 2" xfId="33964"/>
    <cellStyle name="Suma 2 5 10 3" xfId="33965"/>
    <cellStyle name="Suma 2 5 10 4" xfId="33966"/>
    <cellStyle name="Suma 2 5 11" xfId="33967"/>
    <cellStyle name="Suma 2 5 11 2" xfId="33968"/>
    <cellStyle name="Suma 2 5 11 3" xfId="33969"/>
    <cellStyle name="Suma 2 5 11 4" xfId="33970"/>
    <cellStyle name="Suma 2 5 12" xfId="33971"/>
    <cellStyle name="Suma 2 5 12 2" xfId="33972"/>
    <cellStyle name="Suma 2 5 12 3" xfId="33973"/>
    <cellStyle name="Suma 2 5 12 4" xfId="33974"/>
    <cellStyle name="Suma 2 5 13" xfId="33975"/>
    <cellStyle name="Suma 2 5 13 2" xfId="33976"/>
    <cellStyle name="Suma 2 5 13 3" xfId="33977"/>
    <cellStyle name="Suma 2 5 13 4" xfId="33978"/>
    <cellStyle name="Suma 2 5 14" xfId="33979"/>
    <cellStyle name="Suma 2 5 14 2" xfId="33980"/>
    <cellStyle name="Suma 2 5 14 3" xfId="33981"/>
    <cellStyle name="Suma 2 5 14 4" xfId="33982"/>
    <cellStyle name="Suma 2 5 15" xfId="33983"/>
    <cellStyle name="Suma 2 5 15 2" xfId="33984"/>
    <cellStyle name="Suma 2 5 15 3" xfId="33985"/>
    <cellStyle name="Suma 2 5 15 4" xfId="33986"/>
    <cellStyle name="Suma 2 5 16" xfId="33987"/>
    <cellStyle name="Suma 2 5 16 2" xfId="33988"/>
    <cellStyle name="Suma 2 5 16 3" xfId="33989"/>
    <cellStyle name="Suma 2 5 16 4" xfId="33990"/>
    <cellStyle name="Suma 2 5 17" xfId="33991"/>
    <cellStyle name="Suma 2 5 17 2" xfId="33992"/>
    <cellStyle name="Suma 2 5 17 3" xfId="33993"/>
    <cellStyle name="Suma 2 5 17 4" xfId="33994"/>
    <cellStyle name="Suma 2 5 18" xfId="33995"/>
    <cellStyle name="Suma 2 5 18 2" xfId="33996"/>
    <cellStyle name="Suma 2 5 18 3" xfId="33997"/>
    <cellStyle name="Suma 2 5 18 4" xfId="33998"/>
    <cellStyle name="Suma 2 5 19" xfId="33999"/>
    <cellStyle name="Suma 2 5 19 2" xfId="34000"/>
    <cellStyle name="Suma 2 5 19 3" xfId="34001"/>
    <cellStyle name="Suma 2 5 19 4" xfId="34002"/>
    <cellStyle name="Suma 2 5 2" xfId="34003"/>
    <cellStyle name="Suma 2 5 2 2" xfId="34004"/>
    <cellStyle name="Suma 2 5 2 3" xfId="34005"/>
    <cellStyle name="Suma 2 5 2 4" xfId="34006"/>
    <cellStyle name="Suma 2 5 20" xfId="34007"/>
    <cellStyle name="Suma 2 5 20 2" xfId="34008"/>
    <cellStyle name="Suma 2 5 20 3" xfId="34009"/>
    <cellStyle name="Suma 2 5 20 4" xfId="34010"/>
    <cellStyle name="Suma 2 5 21" xfId="34011"/>
    <cellStyle name="Suma 2 5 21 2" xfId="34012"/>
    <cellStyle name="Suma 2 5 21 3" xfId="34013"/>
    <cellStyle name="Suma 2 5 22" xfId="34014"/>
    <cellStyle name="Suma 2 5 22 2" xfId="34015"/>
    <cellStyle name="Suma 2 5 22 3" xfId="34016"/>
    <cellStyle name="Suma 2 5 23" xfId="34017"/>
    <cellStyle name="Suma 2 5 23 2" xfId="34018"/>
    <cellStyle name="Suma 2 5 23 3" xfId="34019"/>
    <cellStyle name="Suma 2 5 24" xfId="34020"/>
    <cellStyle name="Suma 2 5 24 2" xfId="34021"/>
    <cellStyle name="Suma 2 5 24 3" xfId="34022"/>
    <cellStyle name="Suma 2 5 25" xfId="34023"/>
    <cellStyle name="Suma 2 5 25 2" xfId="34024"/>
    <cellStyle name="Suma 2 5 25 3" xfId="34025"/>
    <cellStyle name="Suma 2 5 26" xfId="34026"/>
    <cellStyle name="Suma 2 5 26 2" xfId="34027"/>
    <cellStyle name="Suma 2 5 26 3" xfId="34028"/>
    <cellStyle name="Suma 2 5 27" xfId="34029"/>
    <cellStyle name="Suma 2 5 27 2" xfId="34030"/>
    <cellStyle name="Suma 2 5 27 3" xfId="34031"/>
    <cellStyle name="Suma 2 5 28" xfId="34032"/>
    <cellStyle name="Suma 2 5 28 2" xfId="34033"/>
    <cellStyle name="Suma 2 5 28 3" xfId="34034"/>
    <cellStyle name="Suma 2 5 29" xfId="34035"/>
    <cellStyle name="Suma 2 5 29 2" xfId="34036"/>
    <cellStyle name="Suma 2 5 29 3" xfId="34037"/>
    <cellStyle name="Suma 2 5 3" xfId="34038"/>
    <cellStyle name="Suma 2 5 3 2" xfId="34039"/>
    <cellStyle name="Suma 2 5 3 3" xfId="34040"/>
    <cellStyle name="Suma 2 5 3 4" xfId="34041"/>
    <cellStyle name="Suma 2 5 30" xfId="34042"/>
    <cellStyle name="Suma 2 5 30 2" xfId="34043"/>
    <cellStyle name="Suma 2 5 30 3" xfId="34044"/>
    <cellStyle name="Suma 2 5 31" xfId="34045"/>
    <cellStyle name="Suma 2 5 31 2" xfId="34046"/>
    <cellStyle name="Suma 2 5 31 3" xfId="34047"/>
    <cellStyle name="Suma 2 5 32" xfId="34048"/>
    <cellStyle name="Suma 2 5 32 2" xfId="34049"/>
    <cellStyle name="Suma 2 5 32 3" xfId="34050"/>
    <cellStyle name="Suma 2 5 33" xfId="34051"/>
    <cellStyle name="Suma 2 5 33 2" xfId="34052"/>
    <cellStyle name="Suma 2 5 33 3" xfId="34053"/>
    <cellStyle name="Suma 2 5 34" xfId="34054"/>
    <cellStyle name="Suma 2 5 34 2" xfId="34055"/>
    <cellStyle name="Suma 2 5 34 3" xfId="34056"/>
    <cellStyle name="Suma 2 5 35" xfId="34057"/>
    <cellStyle name="Suma 2 5 35 2" xfId="34058"/>
    <cellStyle name="Suma 2 5 35 3" xfId="34059"/>
    <cellStyle name="Suma 2 5 36" xfId="34060"/>
    <cellStyle name="Suma 2 5 36 2" xfId="34061"/>
    <cellStyle name="Suma 2 5 36 3" xfId="34062"/>
    <cellStyle name="Suma 2 5 37" xfId="34063"/>
    <cellStyle name="Suma 2 5 37 2" xfId="34064"/>
    <cellStyle name="Suma 2 5 37 3" xfId="34065"/>
    <cellStyle name="Suma 2 5 38" xfId="34066"/>
    <cellStyle name="Suma 2 5 38 2" xfId="34067"/>
    <cellStyle name="Suma 2 5 38 3" xfId="34068"/>
    <cellStyle name="Suma 2 5 39" xfId="34069"/>
    <cellStyle name="Suma 2 5 39 2" xfId="34070"/>
    <cellStyle name="Suma 2 5 39 3" xfId="34071"/>
    <cellStyle name="Suma 2 5 4" xfId="34072"/>
    <cellStyle name="Suma 2 5 4 2" xfId="34073"/>
    <cellStyle name="Suma 2 5 4 3" xfId="34074"/>
    <cellStyle name="Suma 2 5 4 4" xfId="34075"/>
    <cellStyle name="Suma 2 5 40" xfId="34076"/>
    <cellStyle name="Suma 2 5 40 2" xfId="34077"/>
    <cellStyle name="Suma 2 5 40 3" xfId="34078"/>
    <cellStyle name="Suma 2 5 41" xfId="34079"/>
    <cellStyle name="Suma 2 5 41 2" xfId="34080"/>
    <cellStyle name="Suma 2 5 41 3" xfId="34081"/>
    <cellStyle name="Suma 2 5 42" xfId="34082"/>
    <cellStyle name="Suma 2 5 42 2" xfId="34083"/>
    <cellStyle name="Suma 2 5 42 3" xfId="34084"/>
    <cellStyle name="Suma 2 5 43" xfId="34085"/>
    <cellStyle name="Suma 2 5 43 2" xfId="34086"/>
    <cellStyle name="Suma 2 5 43 3" xfId="34087"/>
    <cellStyle name="Suma 2 5 44" xfId="34088"/>
    <cellStyle name="Suma 2 5 44 2" xfId="34089"/>
    <cellStyle name="Suma 2 5 44 3" xfId="34090"/>
    <cellStyle name="Suma 2 5 45" xfId="34091"/>
    <cellStyle name="Suma 2 5 45 2" xfId="34092"/>
    <cellStyle name="Suma 2 5 45 3" xfId="34093"/>
    <cellStyle name="Suma 2 5 46" xfId="34094"/>
    <cellStyle name="Suma 2 5 46 2" xfId="34095"/>
    <cellStyle name="Suma 2 5 46 3" xfId="34096"/>
    <cellStyle name="Suma 2 5 47" xfId="34097"/>
    <cellStyle name="Suma 2 5 47 2" xfId="34098"/>
    <cellStyle name="Suma 2 5 47 3" xfId="34099"/>
    <cellStyle name="Suma 2 5 48" xfId="34100"/>
    <cellStyle name="Suma 2 5 48 2" xfId="34101"/>
    <cellStyle name="Suma 2 5 48 3" xfId="34102"/>
    <cellStyle name="Suma 2 5 49" xfId="34103"/>
    <cellStyle name="Suma 2 5 49 2" xfId="34104"/>
    <cellStyle name="Suma 2 5 49 3" xfId="34105"/>
    <cellStyle name="Suma 2 5 5" xfId="34106"/>
    <cellStyle name="Suma 2 5 5 2" xfId="34107"/>
    <cellStyle name="Suma 2 5 5 3" xfId="34108"/>
    <cellStyle name="Suma 2 5 5 4" xfId="34109"/>
    <cellStyle name="Suma 2 5 50" xfId="34110"/>
    <cellStyle name="Suma 2 5 50 2" xfId="34111"/>
    <cellStyle name="Suma 2 5 50 3" xfId="34112"/>
    <cellStyle name="Suma 2 5 51" xfId="34113"/>
    <cellStyle name="Suma 2 5 51 2" xfId="34114"/>
    <cellStyle name="Suma 2 5 51 3" xfId="34115"/>
    <cellStyle name="Suma 2 5 52" xfId="34116"/>
    <cellStyle name="Suma 2 5 52 2" xfId="34117"/>
    <cellStyle name="Suma 2 5 52 3" xfId="34118"/>
    <cellStyle name="Suma 2 5 53" xfId="34119"/>
    <cellStyle name="Suma 2 5 53 2" xfId="34120"/>
    <cellStyle name="Suma 2 5 53 3" xfId="34121"/>
    <cellStyle name="Suma 2 5 54" xfId="34122"/>
    <cellStyle name="Suma 2 5 54 2" xfId="34123"/>
    <cellStyle name="Suma 2 5 54 3" xfId="34124"/>
    <cellStyle name="Suma 2 5 55" xfId="34125"/>
    <cellStyle name="Suma 2 5 55 2" xfId="34126"/>
    <cellStyle name="Suma 2 5 55 3" xfId="34127"/>
    <cellStyle name="Suma 2 5 56" xfId="34128"/>
    <cellStyle name="Suma 2 5 56 2" xfId="34129"/>
    <cellStyle name="Suma 2 5 56 3" xfId="34130"/>
    <cellStyle name="Suma 2 5 57" xfId="34131"/>
    <cellStyle name="Suma 2 5 58" xfId="34132"/>
    <cellStyle name="Suma 2 5 6" xfId="34133"/>
    <cellStyle name="Suma 2 5 6 2" xfId="34134"/>
    <cellStyle name="Suma 2 5 6 3" xfId="34135"/>
    <cellStyle name="Suma 2 5 6 4" xfId="34136"/>
    <cellStyle name="Suma 2 5 7" xfId="34137"/>
    <cellStyle name="Suma 2 5 7 2" xfId="34138"/>
    <cellStyle name="Suma 2 5 7 3" xfId="34139"/>
    <cellStyle name="Suma 2 5 7 4" xfId="34140"/>
    <cellStyle name="Suma 2 5 8" xfId="34141"/>
    <cellStyle name="Suma 2 5 8 2" xfId="34142"/>
    <cellStyle name="Suma 2 5 8 3" xfId="34143"/>
    <cellStyle name="Suma 2 5 8 4" xfId="34144"/>
    <cellStyle name="Suma 2 5 9" xfId="34145"/>
    <cellStyle name="Suma 2 5 9 2" xfId="34146"/>
    <cellStyle name="Suma 2 5 9 3" xfId="34147"/>
    <cellStyle name="Suma 2 5 9 4" xfId="34148"/>
    <cellStyle name="Suma 2 50" xfId="34149"/>
    <cellStyle name="Suma 2 50 2" xfId="34150"/>
    <cellStyle name="Suma 2 50 3" xfId="34151"/>
    <cellStyle name="Suma 2 50 4" xfId="34152"/>
    <cellStyle name="Suma 2 51" xfId="34153"/>
    <cellStyle name="Suma 2 51 2" xfId="34154"/>
    <cellStyle name="Suma 2 51 3" xfId="34155"/>
    <cellStyle name="Suma 2 51 4" xfId="34156"/>
    <cellStyle name="Suma 2 52" xfId="34157"/>
    <cellStyle name="Suma 2 52 2" xfId="34158"/>
    <cellStyle name="Suma 2 52 3" xfId="34159"/>
    <cellStyle name="Suma 2 52 4" xfId="34160"/>
    <cellStyle name="Suma 2 53" xfId="34161"/>
    <cellStyle name="Suma 2 53 2" xfId="34162"/>
    <cellStyle name="Suma 2 53 3" xfId="34163"/>
    <cellStyle name="Suma 2 53 4" xfId="34164"/>
    <cellStyle name="Suma 2 54" xfId="34165"/>
    <cellStyle name="Suma 2 54 2" xfId="34166"/>
    <cellStyle name="Suma 2 54 3" xfId="34167"/>
    <cellStyle name="Suma 2 54 4" xfId="34168"/>
    <cellStyle name="Suma 2 55" xfId="34169"/>
    <cellStyle name="Suma 2 55 2" xfId="34170"/>
    <cellStyle name="Suma 2 55 3" xfId="34171"/>
    <cellStyle name="Suma 2 55 4" xfId="34172"/>
    <cellStyle name="Suma 2 56" xfId="34173"/>
    <cellStyle name="Suma 2 56 2" xfId="34174"/>
    <cellStyle name="Suma 2 56 3" xfId="34175"/>
    <cellStyle name="Suma 2 56 4" xfId="34176"/>
    <cellStyle name="Suma 2 57" xfId="34177"/>
    <cellStyle name="Suma 2 57 2" xfId="34178"/>
    <cellStyle name="Suma 2 57 3" xfId="34179"/>
    <cellStyle name="Suma 2 57 4" xfId="34180"/>
    <cellStyle name="Suma 2 58" xfId="34181"/>
    <cellStyle name="Suma 2 58 2" xfId="34182"/>
    <cellStyle name="Suma 2 58 3" xfId="34183"/>
    <cellStyle name="Suma 2 58 4" xfId="34184"/>
    <cellStyle name="Suma 2 59" xfId="34185"/>
    <cellStyle name="Suma 2 59 2" xfId="34186"/>
    <cellStyle name="Suma 2 59 3" xfId="34187"/>
    <cellStyle name="Suma 2 59 4" xfId="34188"/>
    <cellStyle name="Suma 2 6" xfId="34189"/>
    <cellStyle name="Suma 2 6 10" xfId="34190"/>
    <cellStyle name="Suma 2 6 10 2" xfId="34191"/>
    <cellStyle name="Suma 2 6 10 3" xfId="34192"/>
    <cellStyle name="Suma 2 6 10 4" xfId="34193"/>
    <cellStyle name="Suma 2 6 11" xfId="34194"/>
    <cellStyle name="Suma 2 6 11 2" xfId="34195"/>
    <cellStyle name="Suma 2 6 11 3" xfId="34196"/>
    <cellStyle name="Suma 2 6 11 4" xfId="34197"/>
    <cellStyle name="Suma 2 6 12" xfId="34198"/>
    <cellStyle name="Suma 2 6 12 2" xfId="34199"/>
    <cellStyle name="Suma 2 6 12 3" xfId="34200"/>
    <cellStyle name="Suma 2 6 12 4" xfId="34201"/>
    <cellStyle name="Suma 2 6 13" xfId="34202"/>
    <cellStyle name="Suma 2 6 13 2" xfId="34203"/>
    <cellStyle name="Suma 2 6 13 3" xfId="34204"/>
    <cellStyle name="Suma 2 6 13 4" xfId="34205"/>
    <cellStyle name="Suma 2 6 14" xfId="34206"/>
    <cellStyle name="Suma 2 6 14 2" xfId="34207"/>
    <cellStyle name="Suma 2 6 14 3" xfId="34208"/>
    <cellStyle name="Suma 2 6 14 4" xfId="34209"/>
    <cellStyle name="Suma 2 6 15" xfId="34210"/>
    <cellStyle name="Suma 2 6 15 2" xfId="34211"/>
    <cellStyle name="Suma 2 6 15 3" xfId="34212"/>
    <cellStyle name="Suma 2 6 15 4" xfId="34213"/>
    <cellStyle name="Suma 2 6 16" xfId="34214"/>
    <cellStyle name="Suma 2 6 16 2" xfId="34215"/>
    <cellStyle name="Suma 2 6 16 3" xfId="34216"/>
    <cellStyle name="Suma 2 6 16 4" xfId="34217"/>
    <cellStyle name="Suma 2 6 17" xfId="34218"/>
    <cellStyle name="Suma 2 6 17 2" xfId="34219"/>
    <cellStyle name="Suma 2 6 17 3" xfId="34220"/>
    <cellStyle name="Suma 2 6 17 4" xfId="34221"/>
    <cellStyle name="Suma 2 6 18" xfId="34222"/>
    <cellStyle name="Suma 2 6 18 2" xfId="34223"/>
    <cellStyle name="Suma 2 6 18 3" xfId="34224"/>
    <cellStyle name="Suma 2 6 18 4" xfId="34225"/>
    <cellStyle name="Suma 2 6 19" xfId="34226"/>
    <cellStyle name="Suma 2 6 19 2" xfId="34227"/>
    <cellStyle name="Suma 2 6 19 3" xfId="34228"/>
    <cellStyle name="Suma 2 6 19 4" xfId="34229"/>
    <cellStyle name="Suma 2 6 2" xfId="34230"/>
    <cellStyle name="Suma 2 6 2 2" xfId="34231"/>
    <cellStyle name="Suma 2 6 2 3" xfId="34232"/>
    <cellStyle name="Suma 2 6 2 4" xfId="34233"/>
    <cellStyle name="Suma 2 6 20" xfId="34234"/>
    <cellStyle name="Suma 2 6 20 2" xfId="34235"/>
    <cellStyle name="Suma 2 6 20 3" xfId="34236"/>
    <cellStyle name="Suma 2 6 20 4" xfId="34237"/>
    <cellStyle name="Suma 2 6 21" xfId="34238"/>
    <cellStyle name="Suma 2 6 21 2" xfId="34239"/>
    <cellStyle name="Suma 2 6 21 3" xfId="34240"/>
    <cellStyle name="Suma 2 6 22" xfId="34241"/>
    <cellStyle name="Suma 2 6 22 2" xfId="34242"/>
    <cellStyle name="Suma 2 6 22 3" xfId="34243"/>
    <cellStyle name="Suma 2 6 23" xfId="34244"/>
    <cellStyle name="Suma 2 6 23 2" xfId="34245"/>
    <cellStyle name="Suma 2 6 23 3" xfId="34246"/>
    <cellStyle name="Suma 2 6 24" xfId="34247"/>
    <cellStyle name="Suma 2 6 24 2" xfId="34248"/>
    <cellStyle name="Suma 2 6 24 3" xfId="34249"/>
    <cellStyle name="Suma 2 6 25" xfId="34250"/>
    <cellStyle name="Suma 2 6 25 2" xfId="34251"/>
    <cellStyle name="Suma 2 6 25 3" xfId="34252"/>
    <cellStyle name="Suma 2 6 26" xfId="34253"/>
    <cellStyle name="Suma 2 6 26 2" xfId="34254"/>
    <cellStyle name="Suma 2 6 26 3" xfId="34255"/>
    <cellStyle name="Suma 2 6 27" xfId="34256"/>
    <cellStyle name="Suma 2 6 27 2" xfId="34257"/>
    <cellStyle name="Suma 2 6 27 3" xfId="34258"/>
    <cellStyle name="Suma 2 6 28" xfId="34259"/>
    <cellStyle name="Suma 2 6 28 2" xfId="34260"/>
    <cellStyle name="Suma 2 6 28 3" xfId="34261"/>
    <cellStyle name="Suma 2 6 29" xfId="34262"/>
    <cellStyle name="Suma 2 6 29 2" xfId="34263"/>
    <cellStyle name="Suma 2 6 29 3" xfId="34264"/>
    <cellStyle name="Suma 2 6 3" xfId="34265"/>
    <cellStyle name="Suma 2 6 3 2" xfId="34266"/>
    <cellStyle name="Suma 2 6 3 3" xfId="34267"/>
    <cellStyle name="Suma 2 6 3 4" xfId="34268"/>
    <cellStyle name="Suma 2 6 30" xfId="34269"/>
    <cellStyle name="Suma 2 6 30 2" xfId="34270"/>
    <cellStyle name="Suma 2 6 30 3" xfId="34271"/>
    <cellStyle name="Suma 2 6 31" xfId="34272"/>
    <cellStyle name="Suma 2 6 31 2" xfId="34273"/>
    <cellStyle name="Suma 2 6 31 3" xfId="34274"/>
    <cellStyle name="Suma 2 6 32" xfId="34275"/>
    <cellStyle name="Suma 2 6 32 2" xfId="34276"/>
    <cellStyle name="Suma 2 6 32 3" xfId="34277"/>
    <cellStyle name="Suma 2 6 33" xfId="34278"/>
    <cellStyle name="Suma 2 6 33 2" xfId="34279"/>
    <cellStyle name="Suma 2 6 33 3" xfId="34280"/>
    <cellStyle name="Suma 2 6 34" xfId="34281"/>
    <cellStyle name="Suma 2 6 34 2" xfId="34282"/>
    <cellStyle name="Suma 2 6 34 3" xfId="34283"/>
    <cellStyle name="Suma 2 6 35" xfId="34284"/>
    <cellStyle name="Suma 2 6 35 2" xfId="34285"/>
    <cellStyle name="Suma 2 6 35 3" xfId="34286"/>
    <cellStyle name="Suma 2 6 36" xfId="34287"/>
    <cellStyle name="Suma 2 6 36 2" xfId="34288"/>
    <cellStyle name="Suma 2 6 36 3" xfId="34289"/>
    <cellStyle name="Suma 2 6 37" xfId="34290"/>
    <cellStyle name="Suma 2 6 37 2" xfId="34291"/>
    <cellStyle name="Suma 2 6 37 3" xfId="34292"/>
    <cellStyle name="Suma 2 6 38" xfId="34293"/>
    <cellStyle name="Suma 2 6 38 2" xfId="34294"/>
    <cellStyle name="Suma 2 6 38 3" xfId="34295"/>
    <cellStyle name="Suma 2 6 39" xfId="34296"/>
    <cellStyle name="Suma 2 6 39 2" xfId="34297"/>
    <cellStyle name="Suma 2 6 39 3" xfId="34298"/>
    <cellStyle name="Suma 2 6 4" xfId="34299"/>
    <cellStyle name="Suma 2 6 4 2" xfId="34300"/>
    <cellStyle name="Suma 2 6 4 3" xfId="34301"/>
    <cellStyle name="Suma 2 6 4 4" xfId="34302"/>
    <cellStyle name="Suma 2 6 40" xfId="34303"/>
    <cellStyle name="Suma 2 6 40 2" xfId="34304"/>
    <cellStyle name="Suma 2 6 40 3" xfId="34305"/>
    <cellStyle name="Suma 2 6 41" xfId="34306"/>
    <cellStyle name="Suma 2 6 41 2" xfId="34307"/>
    <cellStyle name="Suma 2 6 41 3" xfId="34308"/>
    <cellStyle name="Suma 2 6 42" xfId="34309"/>
    <cellStyle name="Suma 2 6 42 2" xfId="34310"/>
    <cellStyle name="Suma 2 6 42 3" xfId="34311"/>
    <cellStyle name="Suma 2 6 43" xfId="34312"/>
    <cellStyle name="Suma 2 6 43 2" xfId="34313"/>
    <cellStyle name="Suma 2 6 43 3" xfId="34314"/>
    <cellStyle name="Suma 2 6 44" xfId="34315"/>
    <cellStyle name="Suma 2 6 44 2" xfId="34316"/>
    <cellStyle name="Suma 2 6 44 3" xfId="34317"/>
    <cellStyle name="Suma 2 6 45" xfId="34318"/>
    <cellStyle name="Suma 2 6 45 2" xfId="34319"/>
    <cellStyle name="Suma 2 6 45 3" xfId="34320"/>
    <cellStyle name="Suma 2 6 46" xfId="34321"/>
    <cellStyle name="Suma 2 6 46 2" xfId="34322"/>
    <cellStyle name="Suma 2 6 46 3" xfId="34323"/>
    <cellStyle name="Suma 2 6 47" xfId="34324"/>
    <cellStyle name="Suma 2 6 47 2" xfId="34325"/>
    <cellStyle name="Suma 2 6 47 3" xfId="34326"/>
    <cellStyle name="Suma 2 6 48" xfId="34327"/>
    <cellStyle name="Suma 2 6 48 2" xfId="34328"/>
    <cellStyle name="Suma 2 6 48 3" xfId="34329"/>
    <cellStyle name="Suma 2 6 49" xfId="34330"/>
    <cellStyle name="Suma 2 6 49 2" xfId="34331"/>
    <cellStyle name="Suma 2 6 49 3" xfId="34332"/>
    <cellStyle name="Suma 2 6 5" xfId="34333"/>
    <cellStyle name="Suma 2 6 5 2" xfId="34334"/>
    <cellStyle name="Suma 2 6 5 3" xfId="34335"/>
    <cellStyle name="Suma 2 6 5 4" xfId="34336"/>
    <cellStyle name="Suma 2 6 50" xfId="34337"/>
    <cellStyle name="Suma 2 6 50 2" xfId="34338"/>
    <cellStyle name="Suma 2 6 50 3" xfId="34339"/>
    <cellStyle name="Suma 2 6 51" xfId="34340"/>
    <cellStyle name="Suma 2 6 51 2" xfId="34341"/>
    <cellStyle name="Suma 2 6 51 3" xfId="34342"/>
    <cellStyle name="Suma 2 6 52" xfId="34343"/>
    <cellStyle name="Suma 2 6 52 2" xfId="34344"/>
    <cellStyle name="Suma 2 6 52 3" xfId="34345"/>
    <cellStyle name="Suma 2 6 53" xfId="34346"/>
    <cellStyle name="Suma 2 6 53 2" xfId="34347"/>
    <cellStyle name="Suma 2 6 53 3" xfId="34348"/>
    <cellStyle name="Suma 2 6 54" xfId="34349"/>
    <cellStyle name="Suma 2 6 54 2" xfId="34350"/>
    <cellStyle name="Suma 2 6 54 3" xfId="34351"/>
    <cellStyle name="Suma 2 6 55" xfId="34352"/>
    <cellStyle name="Suma 2 6 55 2" xfId="34353"/>
    <cellStyle name="Suma 2 6 55 3" xfId="34354"/>
    <cellStyle name="Suma 2 6 56" xfId="34355"/>
    <cellStyle name="Suma 2 6 56 2" xfId="34356"/>
    <cellStyle name="Suma 2 6 56 3" xfId="34357"/>
    <cellStyle name="Suma 2 6 57" xfId="34358"/>
    <cellStyle name="Suma 2 6 58" xfId="34359"/>
    <cellStyle name="Suma 2 6 6" xfId="34360"/>
    <cellStyle name="Suma 2 6 6 2" xfId="34361"/>
    <cellStyle name="Suma 2 6 6 3" xfId="34362"/>
    <cellStyle name="Suma 2 6 6 4" xfId="34363"/>
    <cellStyle name="Suma 2 6 7" xfId="34364"/>
    <cellStyle name="Suma 2 6 7 2" xfId="34365"/>
    <cellStyle name="Suma 2 6 7 3" xfId="34366"/>
    <cellStyle name="Suma 2 6 7 4" xfId="34367"/>
    <cellStyle name="Suma 2 6 8" xfId="34368"/>
    <cellStyle name="Suma 2 6 8 2" xfId="34369"/>
    <cellStyle name="Suma 2 6 8 3" xfId="34370"/>
    <cellStyle name="Suma 2 6 8 4" xfId="34371"/>
    <cellStyle name="Suma 2 6 9" xfId="34372"/>
    <cellStyle name="Suma 2 6 9 2" xfId="34373"/>
    <cellStyle name="Suma 2 6 9 3" xfId="34374"/>
    <cellStyle name="Suma 2 6 9 4" xfId="34375"/>
    <cellStyle name="Suma 2 60" xfId="34376"/>
    <cellStyle name="Suma 2 60 2" xfId="34377"/>
    <cellStyle name="Suma 2 60 3" xfId="34378"/>
    <cellStyle name="Suma 2 60 4" xfId="34379"/>
    <cellStyle name="Suma 2 61" xfId="34380"/>
    <cellStyle name="Suma 2 61 2" xfId="34381"/>
    <cellStyle name="Suma 2 61 3" xfId="34382"/>
    <cellStyle name="Suma 2 61 4" xfId="34383"/>
    <cellStyle name="Suma 2 62" xfId="34384"/>
    <cellStyle name="Suma 2 62 2" xfId="34385"/>
    <cellStyle name="Suma 2 62 3" xfId="34386"/>
    <cellStyle name="Suma 2 62 4" xfId="34387"/>
    <cellStyle name="Suma 2 63" xfId="34388"/>
    <cellStyle name="Suma 2 63 2" xfId="34389"/>
    <cellStyle name="Suma 2 63 3" xfId="34390"/>
    <cellStyle name="Suma 2 63 4" xfId="34391"/>
    <cellStyle name="Suma 2 64" xfId="34392"/>
    <cellStyle name="Suma 2 64 2" xfId="34393"/>
    <cellStyle name="Suma 2 64 3" xfId="34394"/>
    <cellStyle name="Suma 2 64 4" xfId="34395"/>
    <cellStyle name="Suma 2 65" xfId="34396"/>
    <cellStyle name="Suma 2 65 2" xfId="34397"/>
    <cellStyle name="Suma 2 65 3" xfId="34398"/>
    <cellStyle name="Suma 2 65 4" xfId="34399"/>
    <cellStyle name="Suma 2 66" xfId="34400"/>
    <cellStyle name="Suma 2 66 2" xfId="34401"/>
    <cellStyle name="Suma 2 66 3" xfId="34402"/>
    <cellStyle name="Suma 2 66 4" xfId="34403"/>
    <cellStyle name="Suma 2 67" xfId="34404"/>
    <cellStyle name="Suma 2 67 2" xfId="34405"/>
    <cellStyle name="Suma 2 67 3" xfId="34406"/>
    <cellStyle name="Suma 2 68" xfId="34407"/>
    <cellStyle name="Suma 2 68 2" xfId="34408"/>
    <cellStyle name="Suma 2 68 3" xfId="34409"/>
    <cellStyle name="Suma 2 69" xfId="34410"/>
    <cellStyle name="Suma 2 69 2" xfId="34411"/>
    <cellStyle name="Suma 2 69 3" xfId="34412"/>
    <cellStyle name="Suma 2 7" xfId="34413"/>
    <cellStyle name="Suma 2 7 10" xfId="34414"/>
    <cellStyle name="Suma 2 7 10 2" xfId="34415"/>
    <cellStyle name="Suma 2 7 10 3" xfId="34416"/>
    <cellStyle name="Suma 2 7 10 4" xfId="34417"/>
    <cellStyle name="Suma 2 7 11" xfId="34418"/>
    <cellStyle name="Suma 2 7 11 2" xfId="34419"/>
    <cellStyle name="Suma 2 7 11 3" xfId="34420"/>
    <cellStyle name="Suma 2 7 11 4" xfId="34421"/>
    <cellStyle name="Suma 2 7 12" xfId="34422"/>
    <cellStyle name="Suma 2 7 12 2" xfId="34423"/>
    <cellStyle name="Suma 2 7 12 3" xfId="34424"/>
    <cellStyle name="Suma 2 7 12 4" xfId="34425"/>
    <cellStyle name="Suma 2 7 13" xfId="34426"/>
    <cellStyle name="Suma 2 7 13 2" xfId="34427"/>
    <cellStyle name="Suma 2 7 13 3" xfId="34428"/>
    <cellStyle name="Suma 2 7 13 4" xfId="34429"/>
    <cellStyle name="Suma 2 7 14" xfId="34430"/>
    <cellStyle name="Suma 2 7 14 2" xfId="34431"/>
    <cellStyle name="Suma 2 7 14 3" xfId="34432"/>
    <cellStyle name="Suma 2 7 14 4" xfId="34433"/>
    <cellStyle name="Suma 2 7 15" xfId="34434"/>
    <cellStyle name="Suma 2 7 15 2" xfId="34435"/>
    <cellStyle name="Suma 2 7 15 3" xfId="34436"/>
    <cellStyle name="Suma 2 7 15 4" xfId="34437"/>
    <cellStyle name="Suma 2 7 16" xfId="34438"/>
    <cellStyle name="Suma 2 7 16 2" xfId="34439"/>
    <cellStyle name="Suma 2 7 16 3" xfId="34440"/>
    <cellStyle name="Suma 2 7 16 4" xfId="34441"/>
    <cellStyle name="Suma 2 7 17" xfId="34442"/>
    <cellStyle name="Suma 2 7 17 2" xfId="34443"/>
    <cellStyle name="Suma 2 7 17 3" xfId="34444"/>
    <cellStyle name="Suma 2 7 17 4" xfId="34445"/>
    <cellStyle name="Suma 2 7 18" xfId="34446"/>
    <cellStyle name="Suma 2 7 18 2" xfId="34447"/>
    <cellStyle name="Suma 2 7 18 3" xfId="34448"/>
    <cellStyle name="Suma 2 7 18 4" xfId="34449"/>
    <cellStyle name="Suma 2 7 19" xfId="34450"/>
    <cellStyle name="Suma 2 7 19 2" xfId="34451"/>
    <cellStyle name="Suma 2 7 19 3" xfId="34452"/>
    <cellStyle name="Suma 2 7 19 4" xfId="34453"/>
    <cellStyle name="Suma 2 7 2" xfId="34454"/>
    <cellStyle name="Suma 2 7 2 2" xfId="34455"/>
    <cellStyle name="Suma 2 7 2 3" xfId="34456"/>
    <cellStyle name="Suma 2 7 2 4" xfId="34457"/>
    <cellStyle name="Suma 2 7 20" xfId="34458"/>
    <cellStyle name="Suma 2 7 20 2" xfId="34459"/>
    <cellStyle name="Suma 2 7 20 3" xfId="34460"/>
    <cellStyle name="Suma 2 7 20 4" xfId="34461"/>
    <cellStyle name="Suma 2 7 21" xfId="34462"/>
    <cellStyle name="Suma 2 7 21 2" xfId="34463"/>
    <cellStyle name="Suma 2 7 21 3" xfId="34464"/>
    <cellStyle name="Suma 2 7 22" xfId="34465"/>
    <cellStyle name="Suma 2 7 22 2" xfId="34466"/>
    <cellStyle name="Suma 2 7 22 3" xfId="34467"/>
    <cellStyle name="Suma 2 7 23" xfId="34468"/>
    <cellStyle name="Suma 2 7 23 2" xfId="34469"/>
    <cellStyle name="Suma 2 7 23 3" xfId="34470"/>
    <cellStyle name="Suma 2 7 24" xfId="34471"/>
    <cellStyle name="Suma 2 7 24 2" xfId="34472"/>
    <cellStyle name="Suma 2 7 24 3" xfId="34473"/>
    <cellStyle name="Suma 2 7 25" xfId="34474"/>
    <cellStyle name="Suma 2 7 25 2" xfId="34475"/>
    <cellStyle name="Suma 2 7 25 3" xfId="34476"/>
    <cellStyle name="Suma 2 7 26" xfId="34477"/>
    <cellStyle name="Suma 2 7 26 2" xfId="34478"/>
    <cellStyle name="Suma 2 7 26 3" xfId="34479"/>
    <cellStyle name="Suma 2 7 27" xfId="34480"/>
    <cellStyle name="Suma 2 7 27 2" xfId="34481"/>
    <cellStyle name="Suma 2 7 27 3" xfId="34482"/>
    <cellStyle name="Suma 2 7 28" xfId="34483"/>
    <cellStyle name="Suma 2 7 28 2" xfId="34484"/>
    <cellStyle name="Suma 2 7 28 3" xfId="34485"/>
    <cellStyle name="Suma 2 7 29" xfId="34486"/>
    <cellStyle name="Suma 2 7 29 2" xfId="34487"/>
    <cellStyle name="Suma 2 7 29 3" xfId="34488"/>
    <cellStyle name="Suma 2 7 3" xfId="34489"/>
    <cellStyle name="Suma 2 7 3 2" xfId="34490"/>
    <cellStyle name="Suma 2 7 3 3" xfId="34491"/>
    <cellStyle name="Suma 2 7 3 4" xfId="34492"/>
    <cellStyle name="Suma 2 7 30" xfId="34493"/>
    <cellStyle name="Suma 2 7 30 2" xfId="34494"/>
    <cellStyle name="Suma 2 7 30 3" xfId="34495"/>
    <cellStyle name="Suma 2 7 31" xfId="34496"/>
    <cellStyle name="Suma 2 7 31 2" xfId="34497"/>
    <cellStyle name="Suma 2 7 31 3" xfId="34498"/>
    <cellStyle name="Suma 2 7 32" xfId="34499"/>
    <cellStyle name="Suma 2 7 32 2" xfId="34500"/>
    <cellStyle name="Suma 2 7 32 3" xfId="34501"/>
    <cellStyle name="Suma 2 7 33" xfId="34502"/>
    <cellStyle name="Suma 2 7 33 2" xfId="34503"/>
    <cellStyle name="Suma 2 7 33 3" xfId="34504"/>
    <cellStyle name="Suma 2 7 34" xfId="34505"/>
    <cellStyle name="Suma 2 7 34 2" xfId="34506"/>
    <cellStyle name="Suma 2 7 34 3" xfId="34507"/>
    <cellStyle name="Suma 2 7 35" xfId="34508"/>
    <cellStyle name="Suma 2 7 35 2" xfId="34509"/>
    <cellStyle name="Suma 2 7 35 3" xfId="34510"/>
    <cellStyle name="Suma 2 7 36" xfId="34511"/>
    <cellStyle name="Suma 2 7 36 2" xfId="34512"/>
    <cellStyle name="Suma 2 7 36 3" xfId="34513"/>
    <cellStyle name="Suma 2 7 37" xfId="34514"/>
    <cellStyle name="Suma 2 7 37 2" xfId="34515"/>
    <cellStyle name="Suma 2 7 37 3" xfId="34516"/>
    <cellStyle name="Suma 2 7 38" xfId="34517"/>
    <cellStyle name="Suma 2 7 38 2" xfId="34518"/>
    <cellStyle name="Suma 2 7 38 3" xfId="34519"/>
    <cellStyle name="Suma 2 7 39" xfId="34520"/>
    <cellStyle name="Suma 2 7 39 2" xfId="34521"/>
    <cellStyle name="Suma 2 7 39 3" xfId="34522"/>
    <cellStyle name="Suma 2 7 4" xfId="34523"/>
    <cellStyle name="Suma 2 7 4 2" xfId="34524"/>
    <cellStyle name="Suma 2 7 4 3" xfId="34525"/>
    <cellStyle name="Suma 2 7 4 4" xfId="34526"/>
    <cellStyle name="Suma 2 7 40" xfId="34527"/>
    <cellStyle name="Suma 2 7 40 2" xfId="34528"/>
    <cellStyle name="Suma 2 7 40 3" xfId="34529"/>
    <cellStyle name="Suma 2 7 41" xfId="34530"/>
    <cellStyle name="Suma 2 7 41 2" xfId="34531"/>
    <cellStyle name="Suma 2 7 41 3" xfId="34532"/>
    <cellStyle name="Suma 2 7 42" xfId="34533"/>
    <cellStyle name="Suma 2 7 42 2" xfId="34534"/>
    <cellStyle name="Suma 2 7 42 3" xfId="34535"/>
    <cellStyle name="Suma 2 7 43" xfId="34536"/>
    <cellStyle name="Suma 2 7 43 2" xfId="34537"/>
    <cellStyle name="Suma 2 7 43 3" xfId="34538"/>
    <cellStyle name="Suma 2 7 44" xfId="34539"/>
    <cellStyle name="Suma 2 7 44 2" xfId="34540"/>
    <cellStyle name="Suma 2 7 44 3" xfId="34541"/>
    <cellStyle name="Suma 2 7 45" xfId="34542"/>
    <cellStyle name="Suma 2 7 45 2" xfId="34543"/>
    <cellStyle name="Suma 2 7 45 3" xfId="34544"/>
    <cellStyle name="Suma 2 7 46" xfId="34545"/>
    <cellStyle name="Suma 2 7 46 2" xfId="34546"/>
    <cellStyle name="Suma 2 7 46 3" xfId="34547"/>
    <cellStyle name="Suma 2 7 47" xfId="34548"/>
    <cellStyle name="Suma 2 7 47 2" xfId="34549"/>
    <cellStyle name="Suma 2 7 47 3" xfId="34550"/>
    <cellStyle name="Suma 2 7 48" xfId="34551"/>
    <cellStyle name="Suma 2 7 48 2" xfId="34552"/>
    <cellStyle name="Suma 2 7 48 3" xfId="34553"/>
    <cellStyle name="Suma 2 7 49" xfId="34554"/>
    <cellStyle name="Suma 2 7 49 2" xfId="34555"/>
    <cellStyle name="Suma 2 7 49 3" xfId="34556"/>
    <cellStyle name="Suma 2 7 5" xfId="34557"/>
    <cellStyle name="Suma 2 7 5 2" xfId="34558"/>
    <cellStyle name="Suma 2 7 5 3" xfId="34559"/>
    <cellStyle name="Suma 2 7 5 4" xfId="34560"/>
    <cellStyle name="Suma 2 7 50" xfId="34561"/>
    <cellStyle name="Suma 2 7 50 2" xfId="34562"/>
    <cellStyle name="Suma 2 7 50 3" xfId="34563"/>
    <cellStyle name="Suma 2 7 51" xfId="34564"/>
    <cellStyle name="Suma 2 7 51 2" xfId="34565"/>
    <cellStyle name="Suma 2 7 51 3" xfId="34566"/>
    <cellStyle name="Suma 2 7 52" xfId="34567"/>
    <cellStyle name="Suma 2 7 52 2" xfId="34568"/>
    <cellStyle name="Suma 2 7 52 3" xfId="34569"/>
    <cellStyle name="Suma 2 7 53" xfId="34570"/>
    <cellStyle name="Suma 2 7 53 2" xfId="34571"/>
    <cellStyle name="Suma 2 7 53 3" xfId="34572"/>
    <cellStyle name="Suma 2 7 54" xfId="34573"/>
    <cellStyle name="Suma 2 7 54 2" xfId="34574"/>
    <cellStyle name="Suma 2 7 54 3" xfId="34575"/>
    <cellStyle name="Suma 2 7 55" xfId="34576"/>
    <cellStyle name="Suma 2 7 55 2" xfId="34577"/>
    <cellStyle name="Suma 2 7 55 3" xfId="34578"/>
    <cellStyle name="Suma 2 7 56" xfId="34579"/>
    <cellStyle name="Suma 2 7 56 2" xfId="34580"/>
    <cellStyle name="Suma 2 7 56 3" xfId="34581"/>
    <cellStyle name="Suma 2 7 57" xfId="34582"/>
    <cellStyle name="Suma 2 7 58" xfId="34583"/>
    <cellStyle name="Suma 2 7 6" xfId="34584"/>
    <cellStyle name="Suma 2 7 6 2" xfId="34585"/>
    <cellStyle name="Suma 2 7 6 3" xfId="34586"/>
    <cellStyle name="Suma 2 7 6 4" xfId="34587"/>
    <cellStyle name="Suma 2 7 7" xfId="34588"/>
    <cellStyle name="Suma 2 7 7 2" xfId="34589"/>
    <cellStyle name="Suma 2 7 7 3" xfId="34590"/>
    <cellStyle name="Suma 2 7 7 4" xfId="34591"/>
    <cellStyle name="Suma 2 7 8" xfId="34592"/>
    <cellStyle name="Suma 2 7 8 2" xfId="34593"/>
    <cellStyle name="Suma 2 7 8 3" xfId="34594"/>
    <cellStyle name="Suma 2 7 8 4" xfId="34595"/>
    <cellStyle name="Suma 2 7 9" xfId="34596"/>
    <cellStyle name="Suma 2 7 9 2" xfId="34597"/>
    <cellStyle name="Suma 2 7 9 3" xfId="34598"/>
    <cellStyle name="Suma 2 7 9 4" xfId="34599"/>
    <cellStyle name="Suma 2 70" xfId="34600"/>
    <cellStyle name="Suma 2 70 2" xfId="34601"/>
    <cellStyle name="Suma 2 70 3" xfId="34602"/>
    <cellStyle name="Suma 2 71" xfId="34603"/>
    <cellStyle name="Suma 2 71 2" xfId="34604"/>
    <cellStyle name="Suma 2 71 3" xfId="34605"/>
    <cellStyle name="Suma 2 72" xfId="34606"/>
    <cellStyle name="Suma 2 72 2" xfId="34607"/>
    <cellStyle name="Suma 2 72 3" xfId="34608"/>
    <cellStyle name="Suma 2 73" xfId="34609"/>
    <cellStyle name="Suma 2 73 2" xfId="34610"/>
    <cellStyle name="Suma 2 73 3" xfId="34611"/>
    <cellStyle name="Suma 2 74" xfId="34612"/>
    <cellStyle name="Suma 2 74 2" xfId="34613"/>
    <cellStyle name="Suma 2 74 3" xfId="34614"/>
    <cellStyle name="Suma 2 75" xfId="34615"/>
    <cellStyle name="Suma 2 75 2" xfId="34616"/>
    <cellStyle name="Suma 2 75 3" xfId="34617"/>
    <cellStyle name="Suma 2 76" xfId="34618"/>
    <cellStyle name="Suma 2 76 2" xfId="34619"/>
    <cellStyle name="Suma 2 76 3" xfId="34620"/>
    <cellStyle name="Suma 2 77" xfId="34621"/>
    <cellStyle name="Suma 2 77 2" xfId="34622"/>
    <cellStyle name="Suma 2 77 3" xfId="34623"/>
    <cellStyle name="Suma 2 78" xfId="34624"/>
    <cellStyle name="Suma 2 78 2" xfId="34625"/>
    <cellStyle name="Suma 2 78 3" xfId="34626"/>
    <cellStyle name="Suma 2 79" xfId="34627"/>
    <cellStyle name="Suma 2 79 2" xfId="34628"/>
    <cellStyle name="Suma 2 79 3" xfId="34629"/>
    <cellStyle name="Suma 2 8" xfId="34630"/>
    <cellStyle name="Suma 2 8 10" xfId="34631"/>
    <cellStyle name="Suma 2 8 10 2" xfId="34632"/>
    <cellStyle name="Suma 2 8 10 3" xfId="34633"/>
    <cellStyle name="Suma 2 8 10 4" xfId="34634"/>
    <cellStyle name="Suma 2 8 11" xfId="34635"/>
    <cellStyle name="Suma 2 8 11 2" xfId="34636"/>
    <cellStyle name="Suma 2 8 11 3" xfId="34637"/>
    <cellStyle name="Suma 2 8 11 4" xfId="34638"/>
    <cellStyle name="Suma 2 8 12" xfId="34639"/>
    <cellStyle name="Suma 2 8 12 2" xfId="34640"/>
    <cellStyle name="Suma 2 8 12 3" xfId="34641"/>
    <cellStyle name="Suma 2 8 12 4" xfId="34642"/>
    <cellStyle name="Suma 2 8 13" xfId="34643"/>
    <cellStyle name="Suma 2 8 13 2" xfId="34644"/>
    <cellStyle name="Suma 2 8 13 3" xfId="34645"/>
    <cellStyle name="Suma 2 8 13 4" xfId="34646"/>
    <cellStyle name="Suma 2 8 14" xfId="34647"/>
    <cellStyle name="Suma 2 8 14 2" xfId="34648"/>
    <cellStyle name="Suma 2 8 14 3" xfId="34649"/>
    <cellStyle name="Suma 2 8 14 4" xfId="34650"/>
    <cellStyle name="Suma 2 8 15" xfId="34651"/>
    <cellStyle name="Suma 2 8 15 2" xfId="34652"/>
    <cellStyle name="Suma 2 8 15 3" xfId="34653"/>
    <cellStyle name="Suma 2 8 15 4" xfId="34654"/>
    <cellStyle name="Suma 2 8 16" xfId="34655"/>
    <cellStyle name="Suma 2 8 16 2" xfId="34656"/>
    <cellStyle name="Suma 2 8 16 3" xfId="34657"/>
    <cellStyle name="Suma 2 8 16 4" xfId="34658"/>
    <cellStyle name="Suma 2 8 17" xfId="34659"/>
    <cellStyle name="Suma 2 8 17 2" xfId="34660"/>
    <cellStyle name="Suma 2 8 17 3" xfId="34661"/>
    <cellStyle name="Suma 2 8 17 4" xfId="34662"/>
    <cellStyle name="Suma 2 8 18" xfId="34663"/>
    <cellStyle name="Suma 2 8 18 2" xfId="34664"/>
    <cellStyle name="Suma 2 8 18 3" xfId="34665"/>
    <cellStyle name="Suma 2 8 18 4" xfId="34666"/>
    <cellStyle name="Suma 2 8 19" xfId="34667"/>
    <cellStyle name="Suma 2 8 19 2" xfId="34668"/>
    <cellStyle name="Suma 2 8 19 3" xfId="34669"/>
    <cellStyle name="Suma 2 8 19 4" xfId="34670"/>
    <cellStyle name="Suma 2 8 2" xfId="34671"/>
    <cellStyle name="Suma 2 8 2 2" xfId="34672"/>
    <cellStyle name="Suma 2 8 2 3" xfId="34673"/>
    <cellStyle name="Suma 2 8 2 4" xfId="34674"/>
    <cellStyle name="Suma 2 8 20" xfId="34675"/>
    <cellStyle name="Suma 2 8 20 2" xfId="34676"/>
    <cellStyle name="Suma 2 8 20 3" xfId="34677"/>
    <cellStyle name="Suma 2 8 20 4" xfId="34678"/>
    <cellStyle name="Suma 2 8 21" xfId="34679"/>
    <cellStyle name="Suma 2 8 21 2" xfId="34680"/>
    <cellStyle name="Suma 2 8 21 3" xfId="34681"/>
    <cellStyle name="Suma 2 8 22" xfId="34682"/>
    <cellStyle name="Suma 2 8 22 2" xfId="34683"/>
    <cellStyle name="Suma 2 8 22 3" xfId="34684"/>
    <cellStyle name="Suma 2 8 23" xfId="34685"/>
    <cellStyle name="Suma 2 8 23 2" xfId="34686"/>
    <cellStyle name="Suma 2 8 23 3" xfId="34687"/>
    <cellStyle name="Suma 2 8 24" xfId="34688"/>
    <cellStyle name="Suma 2 8 24 2" xfId="34689"/>
    <cellStyle name="Suma 2 8 24 3" xfId="34690"/>
    <cellStyle name="Suma 2 8 25" xfId="34691"/>
    <cellStyle name="Suma 2 8 25 2" xfId="34692"/>
    <cellStyle name="Suma 2 8 25 3" xfId="34693"/>
    <cellStyle name="Suma 2 8 26" xfId="34694"/>
    <cellStyle name="Suma 2 8 26 2" xfId="34695"/>
    <cellStyle name="Suma 2 8 26 3" xfId="34696"/>
    <cellStyle name="Suma 2 8 27" xfId="34697"/>
    <cellStyle name="Suma 2 8 27 2" xfId="34698"/>
    <cellStyle name="Suma 2 8 27 3" xfId="34699"/>
    <cellStyle name="Suma 2 8 28" xfId="34700"/>
    <cellStyle name="Suma 2 8 28 2" xfId="34701"/>
    <cellStyle name="Suma 2 8 28 3" xfId="34702"/>
    <cellStyle name="Suma 2 8 29" xfId="34703"/>
    <cellStyle name="Suma 2 8 29 2" xfId="34704"/>
    <cellStyle name="Suma 2 8 29 3" xfId="34705"/>
    <cellStyle name="Suma 2 8 3" xfId="34706"/>
    <cellStyle name="Suma 2 8 3 2" xfId="34707"/>
    <cellStyle name="Suma 2 8 3 3" xfId="34708"/>
    <cellStyle name="Suma 2 8 3 4" xfId="34709"/>
    <cellStyle name="Suma 2 8 30" xfId="34710"/>
    <cellStyle name="Suma 2 8 30 2" xfId="34711"/>
    <cellStyle name="Suma 2 8 30 3" xfId="34712"/>
    <cellStyle name="Suma 2 8 31" xfId="34713"/>
    <cellStyle name="Suma 2 8 31 2" xfId="34714"/>
    <cellStyle name="Suma 2 8 31 3" xfId="34715"/>
    <cellStyle name="Suma 2 8 32" xfId="34716"/>
    <cellStyle name="Suma 2 8 32 2" xfId="34717"/>
    <cellStyle name="Suma 2 8 32 3" xfId="34718"/>
    <cellStyle name="Suma 2 8 33" xfId="34719"/>
    <cellStyle name="Suma 2 8 33 2" xfId="34720"/>
    <cellStyle name="Suma 2 8 33 3" xfId="34721"/>
    <cellStyle name="Suma 2 8 34" xfId="34722"/>
    <cellStyle name="Suma 2 8 34 2" xfId="34723"/>
    <cellStyle name="Suma 2 8 34 3" xfId="34724"/>
    <cellStyle name="Suma 2 8 35" xfId="34725"/>
    <cellStyle name="Suma 2 8 35 2" xfId="34726"/>
    <cellStyle name="Suma 2 8 35 3" xfId="34727"/>
    <cellStyle name="Suma 2 8 36" xfId="34728"/>
    <cellStyle name="Suma 2 8 36 2" xfId="34729"/>
    <cellStyle name="Suma 2 8 36 3" xfId="34730"/>
    <cellStyle name="Suma 2 8 37" xfId="34731"/>
    <cellStyle name="Suma 2 8 37 2" xfId="34732"/>
    <cellStyle name="Suma 2 8 37 3" xfId="34733"/>
    <cellStyle name="Suma 2 8 38" xfId="34734"/>
    <cellStyle name="Suma 2 8 38 2" xfId="34735"/>
    <cellStyle name="Suma 2 8 38 3" xfId="34736"/>
    <cellStyle name="Suma 2 8 39" xfId="34737"/>
    <cellStyle name="Suma 2 8 39 2" xfId="34738"/>
    <cellStyle name="Suma 2 8 39 3" xfId="34739"/>
    <cellStyle name="Suma 2 8 4" xfId="34740"/>
    <cellStyle name="Suma 2 8 4 2" xfId="34741"/>
    <cellStyle name="Suma 2 8 4 3" xfId="34742"/>
    <cellStyle name="Suma 2 8 4 4" xfId="34743"/>
    <cellStyle name="Suma 2 8 40" xfId="34744"/>
    <cellStyle name="Suma 2 8 40 2" xfId="34745"/>
    <cellStyle name="Suma 2 8 40 3" xfId="34746"/>
    <cellStyle name="Suma 2 8 41" xfId="34747"/>
    <cellStyle name="Suma 2 8 41 2" xfId="34748"/>
    <cellStyle name="Suma 2 8 41 3" xfId="34749"/>
    <cellStyle name="Suma 2 8 42" xfId="34750"/>
    <cellStyle name="Suma 2 8 42 2" xfId="34751"/>
    <cellStyle name="Suma 2 8 42 3" xfId="34752"/>
    <cellStyle name="Suma 2 8 43" xfId="34753"/>
    <cellStyle name="Suma 2 8 43 2" xfId="34754"/>
    <cellStyle name="Suma 2 8 43 3" xfId="34755"/>
    <cellStyle name="Suma 2 8 44" xfId="34756"/>
    <cellStyle name="Suma 2 8 44 2" xfId="34757"/>
    <cellStyle name="Suma 2 8 44 3" xfId="34758"/>
    <cellStyle name="Suma 2 8 45" xfId="34759"/>
    <cellStyle name="Suma 2 8 45 2" xfId="34760"/>
    <cellStyle name="Suma 2 8 45 3" xfId="34761"/>
    <cellStyle name="Suma 2 8 46" xfId="34762"/>
    <cellStyle name="Suma 2 8 46 2" xfId="34763"/>
    <cellStyle name="Suma 2 8 46 3" xfId="34764"/>
    <cellStyle name="Suma 2 8 47" xfId="34765"/>
    <cellStyle name="Suma 2 8 47 2" xfId="34766"/>
    <cellStyle name="Suma 2 8 47 3" xfId="34767"/>
    <cellStyle name="Suma 2 8 48" xfId="34768"/>
    <cellStyle name="Suma 2 8 48 2" xfId="34769"/>
    <cellStyle name="Suma 2 8 48 3" xfId="34770"/>
    <cellStyle name="Suma 2 8 49" xfId="34771"/>
    <cellStyle name="Suma 2 8 49 2" xfId="34772"/>
    <cellStyle name="Suma 2 8 49 3" xfId="34773"/>
    <cellStyle name="Suma 2 8 5" xfId="34774"/>
    <cellStyle name="Suma 2 8 5 2" xfId="34775"/>
    <cellStyle name="Suma 2 8 5 3" xfId="34776"/>
    <cellStyle name="Suma 2 8 5 4" xfId="34777"/>
    <cellStyle name="Suma 2 8 50" xfId="34778"/>
    <cellStyle name="Suma 2 8 50 2" xfId="34779"/>
    <cellStyle name="Suma 2 8 50 3" xfId="34780"/>
    <cellStyle name="Suma 2 8 51" xfId="34781"/>
    <cellStyle name="Suma 2 8 51 2" xfId="34782"/>
    <cellStyle name="Suma 2 8 51 3" xfId="34783"/>
    <cellStyle name="Suma 2 8 52" xfId="34784"/>
    <cellStyle name="Suma 2 8 52 2" xfId="34785"/>
    <cellStyle name="Suma 2 8 52 3" xfId="34786"/>
    <cellStyle name="Suma 2 8 53" xfId="34787"/>
    <cellStyle name="Suma 2 8 53 2" xfId="34788"/>
    <cellStyle name="Suma 2 8 53 3" xfId="34789"/>
    <cellStyle name="Suma 2 8 54" xfId="34790"/>
    <cellStyle name="Suma 2 8 54 2" xfId="34791"/>
    <cellStyle name="Suma 2 8 54 3" xfId="34792"/>
    <cellStyle name="Suma 2 8 55" xfId="34793"/>
    <cellStyle name="Suma 2 8 55 2" xfId="34794"/>
    <cellStyle name="Suma 2 8 55 3" xfId="34795"/>
    <cellStyle name="Suma 2 8 56" xfId="34796"/>
    <cellStyle name="Suma 2 8 56 2" xfId="34797"/>
    <cellStyle name="Suma 2 8 56 3" xfId="34798"/>
    <cellStyle name="Suma 2 8 57" xfId="34799"/>
    <cellStyle name="Suma 2 8 58" xfId="34800"/>
    <cellStyle name="Suma 2 8 6" xfId="34801"/>
    <cellStyle name="Suma 2 8 6 2" xfId="34802"/>
    <cellStyle name="Suma 2 8 6 3" xfId="34803"/>
    <cellStyle name="Suma 2 8 6 4" xfId="34804"/>
    <cellStyle name="Suma 2 8 7" xfId="34805"/>
    <cellStyle name="Suma 2 8 7 2" xfId="34806"/>
    <cellStyle name="Suma 2 8 7 3" xfId="34807"/>
    <cellStyle name="Suma 2 8 7 4" xfId="34808"/>
    <cellStyle name="Suma 2 8 8" xfId="34809"/>
    <cellStyle name="Suma 2 8 8 2" xfId="34810"/>
    <cellStyle name="Suma 2 8 8 3" xfId="34811"/>
    <cellStyle name="Suma 2 8 8 4" xfId="34812"/>
    <cellStyle name="Suma 2 8 9" xfId="34813"/>
    <cellStyle name="Suma 2 8 9 2" xfId="34814"/>
    <cellStyle name="Suma 2 8 9 3" xfId="34815"/>
    <cellStyle name="Suma 2 8 9 4" xfId="34816"/>
    <cellStyle name="Suma 2 80" xfId="34817"/>
    <cellStyle name="Suma 2 80 2" xfId="34818"/>
    <cellStyle name="Suma 2 80 3" xfId="34819"/>
    <cellStyle name="Suma 2 81" xfId="34820"/>
    <cellStyle name="Suma 2 81 2" xfId="34821"/>
    <cellStyle name="Suma 2 81 3" xfId="34822"/>
    <cellStyle name="Suma 2 82" xfId="34823"/>
    <cellStyle name="Suma 2 82 2" xfId="34824"/>
    <cellStyle name="Suma 2 82 3" xfId="34825"/>
    <cellStyle name="Suma 2 83" xfId="34826"/>
    <cellStyle name="Suma 2 83 2" xfId="34827"/>
    <cellStyle name="Suma 2 83 3" xfId="34828"/>
    <cellStyle name="Suma 2 84" xfId="34829"/>
    <cellStyle name="Suma 2 84 2" xfId="34830"/>
    <cellStyle name="Suma 2 84 3" xfId="34831"/>
    <cellStyle name="Suma 2 85" xfId="34832"/>
    <cellStyle name="Suma 2 85 2" xfId="34833"/>
    <cellStyle name="Suma 2 85 3" xfId="34834"/>
    <cellStyle name="Suma 2 86" xfId="34835"/>
    <cellStyle name="Suma 2 86 2" xfId="34836"/>
    <cellStyle name="Suma 2 86 3" xfId="34837"/>
    <cellStyle name="Suma 2 87" xfId="34838"/>
    <cellStyle name="Suma 2 87 2" xfId="34839"/>
    <cellStyle name="Suma 2 87 3" xfId="34840"/>
    <cellStyle name="Suma 2 88" xfId="34841"/>
    <cellStyle name="Suma 2 89" xfId="34842"/>
    <cellStyle name="Suma 2 9" xfId="34843"/>
    <cellStyle name="Suma 2 9 10" xfId="34844"/>
    <cellStyle name="Suma 2 9 10 2" xfId="34845"/>
    <cellStyle name="Suma 2 9 10 3" xfId="34846"/>
    <cellStyle name="Suma 2 9 10 4" xfId="34847"/>
    <cellStyle name="Suma 2 9 11" xfId="34848"/>
    <cellStyle name="Suma 2 9 11 2" xfId="34849"/>
    <cellStyle name="Suma 2 9 11 3" xfId="34850"/>
    <cellStyle name="Suma 2 9 11 4" xfId="34851"/>
    <cellStyle name="Suma 2 9 12" xfId="34852"/>
    <cellStyle name="Suma 2 9 12 2" xfId="34853"/>
    <cellStyle name="Suma 2 9 12 3" xfId="34854"/>
    <cellStyle name="Suma 2 9 12 4" xfId="34855"/>
    <cellStyle name="Suma 2 9 13" xfId="34856"/>
    <cellStyle name="Suma 2 9 13 2" xfId="34857"/>
    <cellStyle name="Suma 2 9 13 3" xfId="34858"/>
    <cellStyle name="Suma 2 9 13 4" xfId="34859"/>
    <cellStyle name="Suma 2 9 14" xfId="34860"/>
    <cellStyle name="Suma 2 9 14 2" xfId="34861"/>
    <cellStyle name="Suma 2 9 14 3" xfId="34862"/>
    <cellStyle name="Suma 2 9 14 4" xfId="34863"/>
    <cellStyle name="Suma 2 9 15" xfId="34864"/>
    <cellStyle name="Suma 2 9 15 2" xfId="34865"/>
    <cellStyle name="Suma 2 9 15 3" xfId="34866"/>
    <cellStyle name="Suma 2 9 15 4" xfId="34867"/>
    <cellStyle name="Suma 2 9 16" xfId="34868"/>
    <cellStyle name="Suma 2 9 16 2" xfId="34869"/>
    <cellStyle name="Suma 2 9 16 3" xfId="34870"/>
    <cellStyle name="Suma 2 9 16 4" xfId="34871"/>
    <cellStyle name="Suma 2 9 17" xfId="34872"/>
    <cellStyle name="Suma 2 9 17 2" xfId="34873"/>
    <cellStyle name="Suma 2 9 17 3" xfId="34874"/>
    <cellStyle name="Suma 2 9 17 4" xfId="34875"/>
    <cellStyle name="Suma 2 9 18" xfId="34876"/>
    <cellStyle name="Suma 2 9 18 2" xfId="34877"/>
    <cellStyle name="Suma 2 9 18 3" xfId="34878"/>
    <cellStyle name="Suma 2 9 18 4" xfId="34879"/>
    <cellStyle name="Suma 2 9 19" xfId="34880"/>
    <cellStyle name="Suma 2 9 19 2" xfId="34881"/>
    <cellStyle name="Suma 2 9 19 3" xfId="34882"/>
    <cellStyle name="Suma 2 9 19 4" xfId="34883"/>
    <cellStyle name="Suma 2 9 2" xfId="34884"/>
    <cellStyle name="Suma 2 9 2 2" xfId="34885"/>
    <cellStyle name="Suma 2 9 2 3" xfId="34886"/>
    <cellStyle name="Suma 2 9 2 4" xfId="34887"/>
    <cellStyle name="Suma 2 9 20" xfId="34888"/>
    <cellStyle name="Suma 2 9 20 2" xfId="34889"/>
    <cellStyle name="Suma 2 9 20 3" xfId="34890"/>
    <cellStyle name="Suma 2 9 20 4" xfId="34891"/>
    <cellStyle name="Suma 2 9 21" xfId="34892"/>
    <cellStyle name="Suma 2 9 21 2" xfId="34893"/>
    <cellStyle name="Suma 2 9 21 3" xfId="34894"/>
    <cellStyle name="Suma 2 9 22" xfId="34895"/>
    <cellStyle name="Suma 2 9 22 2" xfId="34896"/>
    <cellStyle name="Suma 2 9 22 3" xfId="34897"/>
    <cellStyle name="Suma 2 9 23" xfId="34898"/>
    <cellStyle name="Suma 2 9 23 2" xfId="34899"/>
    <cellStyle name="Suma 2 9 23 3" xfId="34900"/>
    <cellStyle name="Suma 2 9 24" xfId="34901"/>
    <cellStyle name="Suma 2 9 24 2" xfId="34902"/>
    <cellStyle name="Suma 2 9 24 3" xfId="34903"/>
    <cellStyle name="Suma 2 9 25" xfId="34904"/>
    <cellStyle name="Suma 2 9 25 2" xfId="34905"/>
    <cellStyle name="Suma 2 9 25 3" xfId="34906"/>
    <cellStyle name="Suma 2 9 26" xfId="34907"/>
    <cellStyle name="Suma 2 9 26 2" xfId="34908"/>
    <cellStyle name="Suma 2 9 26 3" xfId="34909"/>
    <cellStyle name="Suma 2 9 27" xfId="34910"/>
    <cellStyle name="Suma 2 9 27 2" xfId="34911"/>
    <cellStyle name="Suma 2 9 27 3" xfId="34912"/>
    <cellStyle name="Suma 2 9 28" xfId="34913"/>
    <cellStyle name="Suma 2 9 28 2" xfId="34914"/>
    <cellStyle name="Suma 2 9 28 3" xfId="34915"/>
    <cellStyle name="Suma 2 9 29" xfId="34916"/>
    <cellStyle name="Suma 2 9 29 2" xfId="34917"/>
    <cellStyle name="Suma 2 9 29 3" xfId="34918"/>
    <cellStyle name="Suma 2 9 3" xfId="34919"/>
    <cellStyle name="Suma 2 9 3 2" xfId="34920"/>
    <cellStyle name="Suma 2 9 3 3" xfId="34921"/>
    <cellStyle name="Suma 2 9 3 4" xfId="34922"/>
    <cellStyle name="Suma 2 9 30" xfId="34923"/>
    <cellStyle name="Suma 2 9 30 2" xfId="34924"/>
    <cellStyle name="Suma 2 9 30 3" xfId="34925"/>
    <cellStyle name="Suma 2 9 31" xfId="34926"/>
    <cellStyle name="Suma 2 9 31 2" xfId="34927"/>
    <cellStyle name="Suma 2 9 31 3" xfId="34928"/>
    <cellStyle name="Suma 2 9 32" xfId="34929"/>
    <cellStyle name="Suma 2 9 32 2" xfId="34930"/>
    <cellStyle name="Suma 2 9 32 3" xfId="34931"/>
    <cellStyle name="Suma 2 9 33" xfId="34932"/>
    <cellStyle name="Suma 2 9 33 2" xfId="34933"/>
    <cellStyle name="Suma 2 9 33 3" xfId="34934"/>
    <cellStyle name="Suma 2 9 34" xfId="34935"/>
    <cellStyle name="Suma 2 9 34 2" xfId="34936"/>
    <cellStyle name="Suma 2 9 34 3" xfId="34937"/>
    <cellStyle name="Suma 2 9 35" xfId="34938"/>
    <cellStyle name="Suma 2 9 35 2" xfId="34939"/>
    <cellStyle name="Suma 2 9 35 3" xfId="34940"/>
    <cellStyle name="Suma 2 9 36" xfId="34941"/>
    <cellStyle name="Suma 2 9 36 2" xfId="34942"/>
    <cellStyle name="Suma 2 9 36 3" xfId="34943"/>
    <cellStyle name="Suma 2 9 37" xfId="34944"/>
    <cellStyle name="Suma 2 9 37 2" xfId="34945"/>
    <cellStyle name="Suma 2 9 37 3" xfId="34946"/>
    <cellStyle name="Suma 2 9 38" xfId="34947"/>
    <cellStyle name="Suma 2 9 38 2" xfId="34948"/>
    <cellStyle name="Suma 2 9 38 3" xfId="34949"/>
    <cellStyle name="Suma 2 9 39" xfId="34950"/>
    <cellStyle name="Suma 2 9 39 2" xfId="34951"/>
    <cellStyle name="Suma 2 9 39 3" xfId="34952"/>
    <cellStyle name="Suma 2 9 4" xfId="34953"/>
    <cellStyle name="Suma 2 9 4 2" xfId="34954"/>
    <cellStyle name="Suma 2 9 4 3" xfId="34955"/>
    <cellStyle name="Suma 2 9 4 4" xfId="34956"/>
    <cellStyle name="Suma 2 9 40" xfId="34957"/>
    <cellStyle name="Suma 2 9 40 2" xfId="34958"/>
    <cellStyle name="Suma 2 9 40 3" xfId="34959"/>
    <cellStyle name="Suma 2 9 41" xfId="34960"/>
    <cellStyle name="Suma 2 9 41 2" xfId="34961"/>
    <cellStyle name="Suma 2 9 41 3" xfId="34962"/>
    <cellStyle name="Suma 2 9 42" xfId="34963"/>
    <cellStyle name="Suma 2 9 42 2" xfId="34964"/>
    <cellStyle name="Suma 2 9 42 3" xfId="34965"/>
    <cellStyle name="Suma 2 9 43" xfId="34966"/>
    <cellStyle name="Suma 2 9 43 2" xfId="34967"/>
    <cellStyle name="Suma 2 9 43 3" xfId="34968"/>
    <cellStyle name="Suma 2 9 44" xfId="34969"/>
    <cellStyle name="Suma 2 9 44 2" xfId="34970"/>
    <cellStyle name="Suma 2 9 44 3" xfId="34971"/>
    <cellStyle name="Suma 2 9 45" xfId="34972"/>
    <cellStyle name="Suma 2 9 45 2" xfId="34973"/>
    <cellStyle name="Suma 2 9 45 3" xfId="34974"/>
    <cellStyle name="Suma 2 9 46" xfId="34975"/>
    <cellStyle name="Suma 2 9 46 2" xfId="34976"/>
    <cellStyle name="Suma 2 9 46 3" xfId="34977"/>
    <cellStyle name="Suma 2 9 47" xfId="34978"/>
    <cellStyle name="Suma 2 9 47 2" xfId="34979"/>
    <cellStyle name="Suma 2 9 47 3" xfId="34980"/>
    <cellStyle name="Suma 2 9 48" xfId="34981"/>
    <cellStyle name="Suma 2 9 48 2" xfId="34982"/>
    <cellStyle name="Suma 2 9 48 3" xfId="34983"/>
    <cellStyle name="Suma 2 9 49" xfId="34984"/>
    <cellStyle name="Suma 2 9 49 2" xfId="34985"/>
    <cellStyle name="Suma 2 9 49 3" xfId="34986"/>
    <cellStyle name="Suma 2 9 5" xfId="34987"/>
    <cellStyle name="Suma 2 9 5 2" xfId="34988"/>
    <cellStyle name="Suma 2 9 5 3" xfId="34989"/>
    <cellStyle name="Suma 2 9 5 4" xfId="34990"/>
    <cellStyle name="Suma 2 9 50" xfId="34991"/>
    <cellStyle name="Suma 2 9 50 2" xfId="34992"/>
    <cellStyle name="Suma 2 9 50 3" xfId="34993"/>
    <cellStyle name="Suma 2 9 51" xfId="34994"/>
    <cellStyle name="Suma 2 9 51 2" xfId="34995"/>
    <cellStyle name="Suma 2 9 51 3" xfId="34996"/>
    <cellStyle name="Suma 2 9 52" xfId="34997"/>
    <cellStyle name="Suma 2 9 52 2" xfId="34998"/>
    <cellStyle name="Suma 2 9 52 3" xfId="34999"/>
    <cellStyle name="Suma 2 9 53" xfId="35000"/>
    <cellStyle name="Suma 2 9 53 2" xfId="35001"/>
    <cellStyle name="Suma 2 9 53 3" xfId="35002"/>
    <cellStyle name="Suma 2 9 54" xfId="35003"/>
    <cellStyle name="Suma 2 9 54 2" xfId="35004"/>
    <cellStyle name="Suma 2 9 54 3" xfId="35005"/>
    <cellStyle name="Suma 2 9 55" xfId="35006"/>
    <cellStyle name="Suma 2 9 55 2" xfId="35007"/>
    <cellStyle name="Suma 2 9 55 3" xfId="35008"/>
    <cellStyle name="Suma 2 9 56" xfId="35009"/>
    <cellStyle name="Suma 2 9 56 2" xfId="35010"/>
    <cellStyle name="Suma 2 9 56 3" xfId="35011"/>
    <cellStyle name="Suma 2 9 57" xfId="35012"/>
    <cellStyle name="Suma 2 9 58" xfId="35013"/>
    <cellStyle name="Suma 2 9 6" xfId="35014"/>
    <cellStyle name="Suma 2 9 6 2" xfId="35015"/>
    <cellStyle name="Suma 2 9 6 3" xfId="35016"/>
    <cellStyle name="Suma 2 9 6 4" xfId="35017"/>
    <cellStyle name="Suma 2 9 7" xfId="35018"/>
    <cellStyle name="Suma 2 9 7 2" xfId="35019"/>
    <cellStyle name="Suma 2 9 7 3" xfId="35020"/>
    <cellStyle name="Suma 2 9 7 4" xfId="35021"/>
    <cellStyle name="Suma 2 9 8" xfId="35022"/>
    <cellStyle name="Suma 2 9 8 2" xfId="35023"/>
    <cellStyle name="Suma 2 9 8 3" xfId="35024"/>
    <cellStyle name="Suma 2 9 8 4" xfId="35025"/>
    <cellStyle name="Suma 2 9 9" xfId="35026"/>
    <cellStyle name="Suma 2 9 9 2" xfId="35027"/>
    <cellStyle name="Suma 2 9 9 3" xfId="35028"/>
    <cellStyle name="Suma 2 9 9 4" xfId="35029"/>
    <cellStyle name="Suma 3" xfId="35030"/>
    <cellStyle name="Suma 3 2" xfId="35031"/>
    <cellStyle name="Suma 3 2 2" xfId="35032"/>
    <cellStyle name="Suma 3 3" xfId="35033"/>
    <cellStyle name="Suma 3 4" xfId="35034"/>
    <cellStyle name="Suma 3 5" xfId="35035"/>
    <cellStyle name="Suma 3 6" xfId="35036"/>
    <cellStyle name="Suma 3 7" xfId="35037"/>
    <cellStyle name="Suma 3 8" xfId="35038"/>
    <cellStyle name="Suma 3 9" xfId="35039"/>
    <cellStyle name="Suma 4" xfId="35040"/>
    <cellStyle name="Suma 4 2" xfId="35041"/>
    <cellStyle name="Suma 4 3" xfId="35042"/>
    <cellStyle name="Suma 4 4" xfId="35043"/>
    <cellStyle name="Suma 4 5" xfId="35044"/>
    <cellStyle name="Suma 4 6" xfId="35045"/>
    <cellStyle name="Suma 4 7" xfId="35046"/>
    <cellStyle name="Suma 4 8" xfId="35047"/>
    <cellStyle name="Suma 4 9" xfId="35048"/>
    <cellStyle name="Suma 5" xfId="35049"/>
    <cellStyle name="Suma 5 2" xfId="35050"/>
    <cellStyle name="Suma 5 3" xfId="35051"/>
    <cellStyle name="Suma 6" xfId="35052"/>
    <cellStyle name="Suma 6 2" xfId="35053"/>
    <cellStyle name="Suma 7" xfId="35054"/>
    <cellStyle name="Tekst objaśnienia 2" xfId="35055"/>
    <cellStyle name="Tekst objaśnienia 2 10" xfId="35056"/>
    <cellStyle name="Tekst objaśnienia 2 10 2" xfId="35057"/>
    <cellStyle name="Tekst objaśnienia 2 10 3" xfId="35058"/>
    <cellStyle name="Tekst objaśnienia 2 10 4" xfId="35059"/>
    <cellStyle name="Tekst objaśnienia 2 10 5" xfId="35060"/>
    <cellStyle name="Tekst objaśnienia 2 10 6" xfId="35061"/>
    <cellStyle name="Tekst objaśnienia 2 10 7" xfId="35062"/>
    <cellStyle name="Tekst objaśnienia 2 11" xfId="35063"/>
    <cellStyle name="Tekst objaśnienia 2 11 2" xfId="35064"/>
    <cellStyle name="Tekst objaśnienia 2 11 3" xfId="35065"/>
    <cellStyle name="Tekst objaśnienia 2 11 4" xfId="35066"/>
    <cellStyle name="Tekst objaśnienia 2 11 5" xfId="35067"/>
    <cellStyle name="Tekst objaśnienia 2 11 6" xfId="35068"/>
    <cellStyle name="Tekst objaśnienia 2 11 7" xfId="35069"/>
    <cellStyle name="Tekst objaśnienia 2 12" xfId="35070"/>
    <cellStyle name="Tekst objaśnienia 2 12 2" xfId="35071"/>
    <cellStyle name="Tekst objaśnienia 2 12 3" xfId="35072"/>
    <cellStyle name="Tekst objaśnienia 2 12 4" xfId="35073"/>
    <cellStyle name="Tekst objaśnienia 2 12 5" xfId="35074"/>
    <cellStyle name="Tekst objaśnienia 2 12 6" xfId="35075"/>
    <cellStyle name="Tekst objaśnienia 2 12 7" xfId="35076"/>
    <cellStyle name="Tekst objaśnienia 2 13" xfId="35077"/>
    <cellStyle name="Tekst objaśnienia 2 13 2" xfId="35078"/>
    <cellStyle name="Tekst objaśnienia 2 13 3" xfId="35079"/>
    <cellStyle name="Tekst objaśnienia 2 13 4" xfId="35080"/>
    <cellStyle name="Tekst objaśnienia 2 13 5" xfId="35081"/>
    <cellStyle name="Tekst objaśnienia 2 13 6" xfId="35082"/>
    <cellStyle name="Tekst objaśnienia 2 13 7" xfId="35083"/>
    <cellStyle name="Tekst objaśnienia 2 14" xfId="35084"/>
    <cellStyle name="Tekst objaśnienia 2 14 2" xfId="35085"/>
    <cellStyle name="Tekst objaśnienia 2 14 3" xfId="35086"/>
    <cellStyle name="Tekst objaśnienia 2 14 4" xfId="35087"/>
    <cellStyle name="Tekst objaśnienia 2 14 5" xfId="35088"/>
    <cellStyle name="Tekst objaśnienia 2 14 6" xfId="35089"/>
    <cellStyle name="Tekst objaśnienia 2 14 7" xfId="35090"/>
    <cellStyle name="Tekst objaśnienia 2 15" xfId="35091"/>
    <cellStyle name="Tekst objaśnienia 2 15 2" xfId="35092"/>
    <cellStyle name="Tekst objaśnienia 2 15 3" xfId="35093"/>
    <cellStyle name="Tekst objaśnienia 2 15 4" xfId="35094"/>
    <cellStyle name="Tekst objaśnienia 2 15 5" xfId="35095"/>
    <cellStyle name="Tekst objaśnienia 2 15 6" xfId="35096"/>
    <cellStyle name="Tekst objaśnienia 2 15 7" xfId="35097"/>
    <cellStyle name="Tekst objaśnienia 2 16" xfId="35098"/>
    <cellStyle name="Tekst objaśnienia 2 16 2" xfId="35099"/>
    <cellStyle name="Tekst objaśnienia 2 16 3" xfId="35100"/>
    <cellStyle name="Tekst objaśnienia 2 16 4" xfId="35101"/>
    <cellStyle name="Tekst objaśnienia 2 16 5" xfId="35102"/>
    <cellStyle name="Tekst objaśnienia 2 16 6" xfId="35103"/>
    <cellStyle name="Tekst objaśnienia 2 16 7" xfId="35104"/>
    <cellStyle name="Tekst objaśnienia 2 17" xfId="35105"/>
    <cellStyle name="Tekst objaśnienia 2 17 2" xfId="35106"/>
    <cellStyle name="Tekst objaśnienia 2 17 3" xfId="35107"/>
    <cellStyle name="Tekst objaśnienia 2 17 4" xfId="35108"/>
    <cellStyle name="Tekst objaśnienia 2 17 5" xfId="35109"/>
    <cellStyle name="Tekst objaśnienia 2 17 6" xfId="35110"/>
    <cellStyle name="Tekst objaśnienia 2 17 7" xfId="35111"/>
    <cellStyle name="Tekst objaśnienia 2 18" xfId="35112"/>
    <cellStyle name="Tekst objaśnienia 2 18 2" xfId="35113"/>
    <cellStyle name="Tekst objaśnienia 2 18 3" xfId="35114"/>
    <cellStyle name="Tekst objaśnienia 2 18 4" xfId="35115"/>
    <cellStyle name="Tekst objaśnienia 2 18 5" xfId="35116"/>
    <cellStyle name="Tekst objaśnienia 2 18 6" xfId="35117"/>
    <cellStyle name="Tekst objaśnienia 2 18 7" xfId="35118"/>
    <cellStyle name="Tekst objaśnienia 2 19" xfId="35119"/>
    <cellStyle name="Tekst objaśnienia 2 19 2" xfId="35120"/>
    <cellStyle name="Tekst objaśnienia 2 19 3" xfId="35121"/>
    <cellStyle name="Tekst objaśnienia 2 19 4" xfId="35122"/>
    <cellStyle name="Tekst objaśnienia 2 19 5" xfId="35123"/>
    <cellStyle name="Tekst objaśnienia 2 19 6" xfId="35124"/>
    <cellStyle name="Tekst objaśnienia 2 19 7" xfId="35125"/>
    <cellStyle name="Tekst objaśnienia 2 2" xfId="35126"/>
    <cellStyle name="Tekst objaśnienia 2 2 2" xfId="35127"/>
    <cellStyle name="Tekst objaśnienia 2 2 3" xfId="35128"/>
    <cellStyle name="Tekst objaśnienia 2 2 4" xfId="35129"/>
    <cellStyle name="Tekst objaśnienia 2 2 5" xfId="35130"/>
    <cellStyle name="Tekst objaśnienia 2 2 6" xfId="35131"/>
    <cellStyle name="Tekst objaśnienia 2 2 7" xfId="35132"/>
    <cellStyle name="Tekst objaśnienia 2 2 8" xfId="35133"/>
    <cellStyle name="Tekst objaśnienia 2 20" xfId="35134"/>
    <cellStyle name="Tekst objaśnienia 2 20 2" xfId="35135"/>
    <cellStyle name="Tekst objaśnienia 2 20 3" xfId="35136"/>
    <cellStyle name="Tekst objaśnienia 2 20 4" xfId="35137"/>
    <cellStyle name="Tekst objaśnienia 2 20 5" xfId="35138"/>
    <cellStyle name="Tekst objaśnienia 2 20 6" xfId="35139"/>
    <cellStyle name="Tekst objaśnienia 2 20 7" xfId="35140"/>
    <cellStyle name="Tekst objaśnienia 2 21" xfId="35141"/>
    <cellStyle name="Tekst objaśnienia 2 21 2" xfId="35142"/>
    <cellStyle name="Tekst objaśnienia 2 21 3" xfId="35143"/>
    <cellStyle name="Tekst objaśnienia 2 21 4" xfId="35144"/>
    <cellStyle name="Tekst objaśnienia 2 21 5" xfId="35145"/>
    <cellStyle name="Tekst objaśnienia 2 21 6" xfId="35146"/>
    <cellStyle name="Tekst objaśnienia 2 21 7" xfId="35147"/>
    <cellStyle name="Tekst objaśnienia 2 22" xfId="35148"/>
    <cellStyle name="Tekst objaśnienia 2 22 2" xfId="35149"/>
    <cellStyle name="Tekst objaśnienia 2 22 3" xfId="35150"/>
    <cellStyle name="Tekst objaśnienia 2 22 4" xfId="35151"/>
    <cellStyle name="Tekst objaśnienia 2 22 5" xfId="35152"/>
    <cellStyle name="Tekst objaśnienia 2 22 6" xfId="35153"/>
    <cellStyle name="Tekst objaśnienia 2 22 7" xfId="35154"/>
    <cellStyle name="Tekst objaśnienia 2 23" xfId="35155"/>
    <cellStyle name="Tekst objaśnienia 2 23 2" xfId="35156"/>
    <cellStyle name="Tekst objaśnienia 2 23 3" xfId="35157"/>
    <cellStyle name="Tekst objaśnienia 2 23 4" xfId="35158"/>
    <cellStyle name="Tekst objaśnienia 2 23 5" xfId="35159"/>
    <cellStyle name="Tekst objaśnienia 2 23 6" xfId="35160"/>
    <cellStyle name="Tekst objaśnienia 2 23 7" xfId="35161"/>
    <cellStyle name="Tekst objaśnienia 2 24" xfId="35162"/>
    <cellStyle name="Tekst objaśnienia 2 24 2" xfId="35163"/>
    <cellStyle name="Tekst objaśnienia 2 24 3" xfId="35164"/>
    <cellStyle name="Tekst objaśnienia 2 24 4" xfId="35165"/>
    <cellStyle name="Tekst objaśnienia 2 24 5" xfId="35166"/>
    <cellStyle name="Tekst objaśnienia 2 24 6" xfId="35167"/>
    <cellStyle name="Tekst objaśnienia 2 24 7" xfId="35168"/>
    <cellStyle name="Tekst objaśnienia 2 25" xfId="35169"/>
    <cellStyle name="Tekst objaśnienia 2 25 2" xfId="35170"/>
    <cellStyle name="Tekst objaśnienia 2 25 3" xfId="35171"/>
    <cellStyle name="Tekst objaśnienia 2 25 4" xfId="35172"/>
    <cellStyle name="Tekst objaśnienia 2 25 5" xfId="35173"/>
    <cellStyle name="Tekst objaśnienia 2 25 6" xfId="35174"/>
    <cellStyle name="Tekst objaśnienia 2 25 7" xfId="35175"/>
    <cellStyle name="Tekst objaśnienia 2 26" xfId="35176"/>
    <cellStyle name="Tekst objaśnienia 2 26 2" xfId="35177"/>
    <cellStyle name="Tekst objaśnienia 2 26 3" xfId="35178"/>
    <cellStyle name="Tekst objaśnienia 2 26 4" xfId="35179"/>
    <cellStyle name="Tekst objaśnienia 2 26 5" xfId="35180"/>
    <cellStyle name="Tekst objaśnienia 2 26 6" xfId="35181"/>
    <cellStyle name="Tekst objaśnienia 2 26 7" xfId="35182"/>
    <cellStyle name="Tekst objaśnienia 2 27" xfId="35183"/>
    <cellStyle name="Tekst objaśnienia 2 27 2" xfId="35184"/>
    <cellStyle name="Tekst objaśnienia 2 27 3" xfId="35185"/>
    <cellStyle name="Tekst objaśnienia 2 27 4" xfId="35186"/>
    <cellStyle name="Tekst objaśnienia 2 27 5" xfId="35187"/>
    <cellStyle name="Tekst objaśnienia 2 27 6" xfId="35188"/>
    <cellStyle name="Tekst objaśnienia 2 27 7" xfId="35189"/>
    <cellStyle name="Tekst objaśnienia 2 28" xfId="35190"/>
    <cellStyle name="Tekst objaśnienia 2 28 2" xfId="35191"/>
    <cellStyle name="Tekst objaśnienia 2 28 3" xfId="35192"/>
    <cellStyle name="Tekst objaśnienia 2 28 4" xfId="35193"/>
    <cellStyle name="Tekst objaśnienia 2 28 5" xfId="35194"/>
    <cellStyle name="Tekst objaśnienia 2 28 6" xfId="35195"/>
    <cellStyle name="Tekst objaśnienia 2 28 7" xfId="35196"/>
    <cellStyle name="Tekst objaśnienia 2 29" xfId="35197"/>
    <cellStyle name="Tekst objaśnienia 2 29 2" xfId="35198"/>
    <cellStyle name="Tekst objaśnienia 2 3" xfId="35199"/>
    <cellStyle name="Tekst objaśnienia 2 3 2" xfId="35200"/>
    <cellStyle name="Tekst objaśnienia 2 3 3" xfId="35201"/>
    <cellStyle name="Tekst objaśnienia 2 3 4" xfId="35202"/>
    <cellStyle name="Tekst objaśnienia 2 3 5" xfId="35203"/>
    <cellStyle name="Tekst objaśnienia 2 3 6" xfId="35204"/>
    <cellStyle name="Tekst objaśnienia 2 3 7" xfId="35205"/>
    <cellStyle name="Tekst objaśnienia 2 30" xfId="35206"/>
    <cellStyle name="Tekst objaśnienia 2 30 2" xfId="35207"/>
    <cellStyle name="Tekst objaśnienia 2 31" xfId="35208"/>
    <cellStyle name="Tekst objaśnienia 2 31 2" xfId="35209"/>
    <cellStyle name="Tekst objaśnienia 2 32" xfId="35210"/>
    <cellStyle name="Tekst objaśnienia 2 32 2" xfId="35211"/>
    <cellStyle name="Tekst objaśnienia 2 33" xfId="35212"/>
    <cellStyle name="Tekst objaśnienia 2 34" xfId="35213"/>
    <cellStyle name="Tekst objaśnienia 2 35" xfId="35214"/>
    <cellStyle name="Tekst objaśnienia 2 36" xfId="35215"/>
    <cellStyle name="Tekst objaśnienia 2 37" xfId="35216"/>
    <cellStyle name="Tekst objaśnienia 2 38" xfId="35217"/>
    <cellStyle name="Tekst objaśnienia 2 39" xfId="35218"/>
    <cellStyle name="Tekst objaśnienia 2 4" xfId="35219"/>
    <cellStyle name="Tekst objaśnienia 2 4 2" xfId="35220"/>
    <cellStyle name="Tekst objaśnienia 2 4 3" xfId="35221"/>
    <cellStyle name="Tekst objaśnienia 2 4 4" xfId="35222"/>
    <cellStyle name="Tekst objaśnienia 2 4 5" xfId="35223"/>
    <cellStyle name="Tekst objaśnienia 2 4 6" xfId="35224"/>
    <cellStyle name="Tekst objaśnienia 2 4 7" xfId="35225"/>
    <cellStyle name="Tekst objaśnienia 2 5" xfId="35226"/>
    <cellStyle name="Tekst objaśnienia 2 5 2" xfId="35227"/>
    <cellStyle name="Tekst objaśnienia 2 5 3" xfId="35228"/>
    <cellStyle name="Tekst objaśnienia 2 5 4" xfId="35229"/>
    <cellStyle name="Tekst objaśnienia 2 5 5" xfId="35230"/>
    <cellStyle name="Tekst objaśnienia 2 5 6" xfId="35231"/>
    <cellStyle name="Tekst objaśnienia 2 5 7" xfId="35232"/>
    <cellStyle name="Tekst objaśnienia 2 6" xfId="35233"/>
    <cellStyle name="Tekst objaśnienia 2 6 2" xfId="35234"/>
    <cellStyle name="Tekst objaśnienia 2 6 3" xfId="35235"/>
    <cellStyle name="Tekst objaśnienia 2 6 4" xfId="35236"/>
    <cellStyle name="Tekst objaśnienia 2 6 5" xfId="35237"/>
    <cellStyle name="Tekst objaśnienia 2 6 6" xfId="35238"/>
    <cellStyle name="Tekst objaśnienia 2 6 7" xfId="35239"/>
    <cellStyle name="Tekst objaśnienia 2 7" xfId="35240"/>
    <cellStyle name="Tekst objaśnienia 2 7 2" xfId="35241"/>
    <cellStyle name="Tekst objaśnienia 2 7 3" xfId="35242"/>
    <cellStyle name="Tekst objaśnienia 2 7 4" xfId="35243"/>
    <cellStyle name="Tekst objaśnienia 2 7 5" xfId="35244"/>
    <cellStyle name="Tekst objaśnienia 2 7 6" xfId="35245"/>
    <cellStyle name="Tekst objaśnienia 2 7 7" xfId="35246"/>
    <cellStyle name="Tekst objaśnienia 2 8" xfId="35247"/>
    <cellStyle name="Tekst objaśnienia 2 8 2" xfId="35248"/>
    <cellStyle name="Tekst objaśnienia 2 8 3" xfId="35249"/>
    <cellStyle name="Tekst objaśnienia 2 8 4" xfId="35250"/>
    <cellStyle name="Tekst objaśnienia 2 8 5" xfId="35251"/>
    <cellStyle name="Tekst objaśnienia 2 8 6" xfId="35252"/>
    <cellStyle name="Tekst objaśnienia 2 8 7" xfId="35253"/>
    <cellStyle name="Tekst objaśnienia 2 9" xfId="35254"/>
    <cellStyle name="Tekst objaśnienia 2 9 2" xfId="35255"/>
    <cellStyle name="Tekst objaśnienia 2 9 3" xfId="35256"/>
    <cellStyle name="Tekst objaśnienia 2 9 4" xfId="35257"/>
    <cellStyle name="Tekst objaśnienia 2 9 5" xfId="35258"/>
    <cellStyle name="Tekst objaśnienia 2 9 6" xfId="35259"/>
    <cellStyle name="Tekst objaśnienia 2 9 7" xfId="35260"/>
    <cellStyle name="Tekst objaśnienia 3" xfId="35261"/>
    <cellStyle name="Tekst objaśnienia 3 2" xfId="35262"/>
    <cellStyle name="Tekst objaśnienia 3 2 2" xfId="35263"/>
    <cellStyle name="Tekst objaśnienia 3 3" xfId="35264"/>
    <cellStyle name="Tekst objaśnienia 3 4" xfId="35265"/>
    <cellStyle name="Tekst objaśnienia 3 5" xfId="35266"/>
    <cellStyle name="Tekst objaśnienia 3 6" xfId="35267"/>
    <cellStyle name="Tekst objaśnienia 3 7" xfId="35268"/>
    <cellStyle name="Tekst objaśnienia 3 8" xfId="35269"/>
    <cellStyle name="Tekst objaśnienia 3 9" xfId="35270"/>
    <cellStyle name="Tekst objaśnienia 4" xfId="35271"/>
    <cellStyle name="Tekst objaśnienia 4 2" xfId="35272"/>
    <cellStyle name="Tekst objaśnienia 4 3" xfId="35273"/>
    <cellStyle name="Tekst objaśnienia 4 4" xfId="35274"/>
    <cellStyle name="Tekst objaśnienia 4 5" xfId="35275"/>
    <cellStyle name="Tekst objaśnienia 4 6" xfId="35276"/>
    <cellStyle name="Tekst objaśnienia 4 7" xfId="35277"/>
    <cellStyle name="Tekst objaśnienia 4 8" xfId="35278"/>
    <cellStyle name="Tekst objaśnienia 4 9" xfId="35279"/>
    <cellStyle name="Tekst objaśnienia 5" xfId="35280"/>
    <cellStyle name="Tekst objaśnienia 5 2" xfId="35281"/>
    <cellStyle name="Tekst objaśnienia 5 3" xfId="35282"/>
    <cellStyle name="Tekst objaśnienia 6" xfId="35283"/>
    <cellStyle name="Tekst objaśnienia 6 2" xfId="35284"/>
    <cellStyle name="Tekst objaśnienia 7" xfId="35285"/>
    <cellStyle name="Tekst ostrzeżenia 2" xfId="35286"/>
    <cellStyle name="Tekst ostrzeżenia 2 10" xfId="35287"/>
    <cellStyle name="Tekst ostrzeżenia 2 10 2" xfId="35288"/>
    <cellStyle name="Tekst ostrzeżenia 2 10 3" xfId="35289"/>
    <cellStyle name="Tekst ostrzeżenia 2 10 4" xfId="35290"/>
    <cellStyle name="Tekst ostrzeżenia 2 10 5" xfId="35291"/>
    <cellStyle name="Tekst ostrzeżenia 2 10 6" xfId="35292"/>
    <cellStyle name="Tekst ostrzeżenia 2 10 7" xfId="35293"/>
    <cellStyle name="Tekst ostrzeżenia 2 11" xfId="35294"/>
    <cellStyle name="Tekst ostrzeżenia 2 11 2" xfId="35295"/>
    <cellStyle name="Tekst ostrzeżenia 2 11 3" xfId="35296"/>
    <cellStyle name="Tekst ostrzeżenia 2 11 4" xfId="35297"/>
    <cellStyle name="Tekst ostrzeżenia 2 11 5" xfId="35298"/>
    <cellStyle name="Tekst ostrzeżenia 2 11 6" xfId="35299"/>
    <cellStyle name="Tekst ostrzeżenia 2 11 7" xfId="35300"/>
    <cellStyle name="Tekst ostrzeżenia 2 12" xfId="35301"/>
    <cellStyle name="Tekst ostrzeżenia 2 12 2" xfId="35302"/>
    <cellStyle name="Tekst ostrzeżenia 2 12 3" xfId="35303"/>
    <cellStyle name="Tekst ostrzeżenia 2 12 4" xfId="35304"/>
    <cellStyle name="Tekst ostrzeżenia 2 12 5" xfId="35305"/>
    <cellStyle name="Tekst ostrzeżenia 2 12 6" xfId="35306"/>
    <cellStyle name="Tekst ostrzeżenia 2 12 7" xfId="35307"/>
    <cellStyle name="Tekst ostrzeżenia 2 13" xfId="35308"/>
    <cellStyle name="Tekst ostrzeżenia 2 13 2" xfId="35309"/>
    <cellStyle name="Tekst ostrzeżenia 2 13 3" xfId="35310"/>
    <cellStyle name="Tekst ostrzeżenia 2 13 4" xfId="35311"/>
    <cellStyle name="Tekst ostrzeżenia 2 13 5" xfId="35312"/>
    <cellStyle name="Tekst ostrzeżenia 2 13 6" xfId="35313"/>
    <cellStyle name="Tekst ostrzeżenia 2 13 7" xfId="35314"/>
    <cellStyle name="Tekst ostrzeżenia 2 14" xfId="35315"/>
    <cellStyle name="Tekst ostrzeżenia 2 14 2" xfId="35316"/>
    <cellStyle name="Tekst ostrzeżenia 2 14 3" xfId="35317"/>
    <cellStyle name="Tekst ostrzeżenia 2 14 4" xfId="35318"/>
    <cellStyle name="Tekst ostrzeżenia 2 14 5" xfId="35319"/>
    <cellStyle name="Tekst ostrzeżenia 2 14 6" xfId="35320"/>
    <cellStyle name="Tekst ostrzeżenia 2 14 7" xfId="35321"/>
    <cellStyle name="Tekst ostrzeżenia 2 15" xfId="35322"/>
    <cellStyle name="Tekst ostrzeżenia 2 15 2" xfId="35323"/>
    <cellStyle name="Tekst ostrzeżenia 2 15 3" xfId="35324"/>
    <cellStyle name="Tekst ostrzeżenia 2 15 4" xfId="35325"/>
    <cellStyle name="Tekst ostrzeżenia 2 15 5" xfId="35326"/>
    <cellStyle name="Tekst ostrzeżenia 2 15 6" xfId="35327"/>
    <cellStyle name="Tekst ostrzeżenia 2 15 7" xfId="35328"/>
    <cellStyle name="Tekst ostrzeżenia 2 16" xfId="35329"/>
    <cellStyle name="Tekst ostrzeżenia 2 16 2" xfId="35330"/>
    <cellStyle name="Tekst ostrzeżenia 2 16 3" xfId="35331"/>
    <cellStyle name="Tekst ostrzeżenia 2 16 4" xfId="35332"/>
    <cellStyle name="Tekst ostrzeżenia 2 16 5" xfId="35333"/>
    <cellStyle name="Tekst ostrzeżenia 2 16 6" xfId="35334"/>
    <cellStyle name="Tekst ostrzeżenia 2 16 7" xfId="35335"/>
    <cellStyle name="Tekst ostrzeżenia 2 17" xfId="35336"/>
    <cellStyle name="Tekst ostrzeżenia 2 17 2" xfId="35337"/>
    <cellStyle name="Tekst ostrzeżenia 2 17 3" xfId="35338"/>
    <cellStyle name="Tekst ostrzeżenia 2 17 4" xfId="35339"/>
    <cellStyle name="Tekst ostrzeżenia 2 17 5" xfId="35340"/>
    <cellStyle name="Tekst ostrzeżenia 2 17 6" xfId="35341"/>
    <cellStyle name="Tekst ostrzeżenia 2 17 7" xfId="35342"/>
    <cellStyle name="Tekst ostrzeżenia 2 18" xfId="35343"/>
    <cellStyle name="Tekst ostrzeżenia 2 18 2" xfId="35344"/>
    <cellStyle name="Tekst ostrzeżenia 2 18 3" xfId="35345"/>
    <cellStyle name="Tekst ostrzeżenia 2 18 4" xfId="35346"/>
    <cellStyle name="Tekst ostrzeżenia 2 18 5" xfId="35347"/>
    <cellStyle name="Tekst ostrzeżenia 2 18 6" xfId="35348"/>
    <cellStyle name="Tekst ostrzeżenia 2 18 7" xfId="35349"/>
    <cellStyle name="Tekst ostrzeżenia 2 19" xfId="35350"/>
    <cellStyle name="Tekst ostrzeżenia 2 19 2" xfId="35351"/>
    <cellStyle name="Tekst ostrzeżenia 2 19 3" xfId="35352"/>
    <cellStyle name="Tekst ostrzeżenia 2 19 4" xfId="35353"/>
    <cellStyle name="Tekst ostrzeżenia 2 19 5" xfId="35354"/>
    <cellStyle name="Tekst ostrzeżenia 2 19 6" xfId="35355"/>
    <cellStyle name="Tekst ostrzeżenia 2 19 7" xfId="35356"/>
    <cellStyle name="Tekst ostrzeżenia 2 2" xfId="35357"/>
    <cellStyle name="Tekst ostrzeżenia 2 2 2" xfId="35358"/>
    <cellStyle name="Tekst ostrzeżenia 2 2 3" xfId="35359"/>
    <cellStyle name="Tekst ostrzeżenia 2 2 4" xfId="35360"/>
    <cellStyle name="Tekst ostrzeżenia 2 2 5" xfId="35361"/>
    <cellStyle name="Tekst ostrzeżenia 2 2 6" xfId="35362"/>
    <cellStyle name="Tekst ostrzeżenia 2 2 7" xfId="35363"/>
    <cellStyle name="Tekst ostrzeżenia 2 2 8" xfId="35364"/>
    <cellStyle name="Tekst ostrzeżenia 2 20" xfId="35365"/>
    <cellStyle name="Tekst ostrzeżenia 2 20 2" xfId="35366"/>
    <cellStyle name="Tekst ostrzeżenia 2 20 3" xfId="35367"/>
    <cellStyle name="Tekst ostrzeżenia 2 20 4" xfId="35368"/>
    <cellStyle name="Tekst ostrzeżenia 2 20 5" xfId="35369"/>
    <cellStyle name="Tekst ostrzeżenia 2 20 6" xfId="35370"/>
    <cellStyle name="Tekst ostrzeżenia 2 20 7" xfId="35371"/>
    <cellStyle name="Tekst ostrzeżenia 2 21" xfId="35372"/>
    <cellStyle name="Tekst ostrzeżenia 2 21 2" xfId="35373"/>
    <cellStyle name="Tekst ostrzeżenia 2 21 3" xfId="35374"/>
    <cellStyle name="Tekst ostrzeżenia 2 21 4" xfId="35375"/>
    <cellStyle name="Tekst ostrzeżenia 2 21 5" xfId="35376"/>
    <cellStyle name="Tekst ostrzeżenia 2 21 6" xfId="35377"/>
    <cellStyle name="Tekst ostrzeżenia 2 21 7" xfId="35378"/>
    <cellStyle name="Tekst ostrzeżenia 2 22" xfId="35379"/>
    <cellStyle name="Tekst ostrzeżenia 2 22 2" xfId="35380"/>
    <cellStyle name="Tekst ostrzeżenia 2 22 3" xfId="35381"/>
    <cellStyle name="Tekst ostrzeżenia 2 22 4" xfId="35382"/>
    <cellStyle name="Tekst ostrzeżenia 2 22 5" xfId="35383"/>
    <cellStyle name="Tekst ostrzeżenia 2 22 6" xfId="35384"/>
    <cellStyle name="Tekst ostrzeżenia 2 22 7" xfId="35385"/>
    <cellStyle name="Tekst ostrzeżenia 2 23" xfId="35386"/>
    <cellStyle name="Tekst ostrzeżenia 2 23 2" xfId="35387"/>
    <cellStyle name="Tekst ostrzeżenia 2 23 3" xfId="35388"/>
    <cellStyle name="Tekst ostrzeżenia 2 23 4" xfId="35389"/>
    <cellStyle name="Tekst ostrzeżenia 2 23 5" xfId="35390"/>
    <cellStyle name="Tekst ostrzeżenia 2 23 6" xfId="35391"/>
    <cellStyle name="Tekst ostrzeżenia 2 23 7" xfId="35392"/>
    <cellStyle name="Tekst ostrzeżenia 2 24" xfId="35393"/>
    <cellStyle name="Tekst ostrzeżenia 2 24 2" xfId="35394"/>
    <cellStyle name="Tekst ostrzeżenia 2 24 3" xfId="35395"/>
    <cellStyle name="Tekst ostrzeżenia 2 24 4" xfId="35396"/>
    <cellStyle name="Tekst ostrzeżenia 2 24 5" xfId="35397"/>
    <cellStyle name="Tekst ostrzeżenia 2 24 6" xfId="35398"/>
    <cellStyle name="Tekst ostrzeżenia 2 24 7" xfId="35399"/>
    <cellStyle name="Tekst ostrzeżenia 2 25" xfId="35400"/>
    <cellStyle name="Tekst ostrzeżenia 2 25 2" xfId="35401"/>
    <cellStyle name="Tekst ostrzeżenia 2 25 3" xfId="35402"/>
    <cellStyle name="Tekst ostrzeżenia 2 25 4" xfId="35403"/>
    <cellStyle name="Tekst ostrzeżenia 2 25 5" xfId="35404"/>
    <cellStyle name="Tekst ostrzeżenia 2 25 6" xfId="35405"/>
    <cellStyle name="Tekst ostrzeżenia 2 25 7" xfId="35406"/>
    <cellStyle name="Tekst ostrzeżenia 2 26" xfId="35407"/>
    <cellStyle name="Tekst ostrzeżenia 2 26 2" xfId="35408"/>
    <cellStyle name="Tekst ostrzeżenia 2 26 3" xfId="35409"/>
    <cellStyle name="Tekst ostrzeżenia 2 26 4" xfId="35410"/>
    <cellStyle name="Tekst ostrzeżenia 2 26 5" xfId="35411"/>
    <cellStyle name="Tekst ostrzeżenia 2 26 6" xfId="35412"/>
    <cellStyle name="Tekst ostrzeżenia 2 26 7" xfId="35413"/>
    <cellStyle name="Tekst ostrzeżenia 2 27" xfId="35414"/>
    <cellStyle name="Tekst ostrzeżenia 2 27 2" xfId="35415"/>
    <cellStyle name="Tekst ostrzeżenia 2 27 3" xfId="35416"/>
    <cellStyle name="Tekst ostrzeżenia 2 27 4" xfId="35417"/>
    <cellStyle name="Tekst ostrzeżenia 2 27 5" xfId="35418"/>
    <cellStyle name="Tekst ostrzeżenia 2 27 6" xfId="35419"/>
    <cellStyle name="Tekst ostrzeżenia 2 27 7" xfId="35420"/>
    <cellStyle name="Tekst ostrzeżenia 2 28" xfId="35421"/>
    <cellStyle name="Tekst ostrzeżenia 2 28 2" xfId="35422"/>
    <cellStyle name="Tekst ostrzeżenia 2 28 3" xfId="35423"/>
    <cellStyle name="Tekst ostrzeżenia 2 28 4" xfId="35424"/>
    <cellStyle name="Tekst ostrzeżenia 2 28 5" xfId="35425"/>
    <cellStyle name="Tekst ostrzeżenia 2 28 6" xfId="35426"/>
    <cellStyle name="Tekst ostrzeżenia 2 28 7" xfId="35427"/>
    <cellStyle name="Tekst ostrzeżenia 2 29" xfId="35428"/>
    <cellStyle name="Tekst ostrzeżenia 2 29 2" xfId="35429"/>
    <cellStyle name="Tekst ostrzeżenia 2 3" xfId="35430"/>
    <cellStyle name="Tekst ostrzeżenia 2 3 2" xfId="35431"/>
    <cellStyle name="Tekst ostrzeżenia 2 3 3" xfId="35432"/>
    <cellStyle name="Tekst ostrzeżenia 2 3 4" xfId="35433"/>
    <cellStyle name="Tekst ostrzeżenia 2 3 5" xfId="35434"/>
    <cellStyle name="Tekst ostrzeżenia 2 3 6" xfId="35435"/>
    <cellStyle name="Tekst ostrzeżenia 2 3 7" xfId="35436"/>
    <cellStyle name="Tekst ostrzeżenia 2 30" xfId="35437"/>
    <cellStyle name="Tekst ostrzeżenia 2 30 2" xfId="35438"/>
    <cellStyle name="Tekst ostrzeżenia 2 31" xfId="35439"/>
    <cellStyle name="Tekst ostrzeżenia 2 31 2" xfId="35440"/>
    <cellStyle name="Tekst ostrzeżenia 2 32" xfId="35441"/>
    <cellStyle name="Tekst ostrzeżenia 2 32 2" xfId="35442"/>
    <cellStyle name="Tekst ostrzeżenia 2 33" xfId="35443"/>
    <cellStyle name="Tekst ostrzeżenia 2 34" xfId="35444"/>
    <cellStyle name="Tekst ostrzeżenia 2 35" xfId="35445"/>
    <cellStyle name="Tekst ostrzeżenia 2 36" xfId="35446"/>
    <cellStyle name="Tekst ostrzeżenia 2 37" xfId="35447"/>
    <cellStyle name="Tekst ostrzeżenia 2 38" xfId="35448"/>
    <cellStyle name="Tekst ostrzeżenia 2 39" xfId="35449"/>
    <cellStyle name="Tekst ostrzeżenia 2 4" xfId="35450"/>
    <cellStyle name="Tekst ostrzeżenia 2 4 2" xfId="35451"/>
    <cellStyle name="Tekst ostrzeżenia 2 4 3" xfId="35452"/>
    <cellStyle name="Tekst ostrzeżenia 2 4 4" xfId="35453"/>
    <cellStyle name="Tekst ostrzeżenia 2 4 5" xfId="35454"/>
    <cellStyle name="Tekst ostrzeżenia 2 4 6" xfId="35455"/>
    <cellStyle name="Tekst ostrzeżenia 2 4 7" xfId="35456"/>
    <cellStyle name="Tekst ostrzeżenia 2 40" xfId="35457"/>
    <cellStyle name="Tekst ostrzeżenia 2 41" xfId="35458"/>
    <cellStyle name="Tekst ostrzeżenia 2 42" xfId="35459"/>
    <cellStyle name="Tekst ostrzeżenia 2 43" xfId="35460"/>
    <cellStyle name="Tekst ostrzeżenia 2 44" xfId="35461"/>
    <cellStyle name="Tekst ostrzeżenia 2 45" xfId="35462"/>
    <cellStyle name="Tekst ostrzeżenia 2 46" xfId="35463"/>
    <cellStyle name="Tekst ostrzeżenia 2 47" xfId="35464"/>
    <cellStyle name="Tekst ostrzeżenia 2 48" xfId="35465"/>
    <cellStyle name="Tekst ostrzeżenia 2 49" xfId="35466"/>
    <cellStyle name="Tekst ostrzeżenia 2 5" xfId="35467"/>
    <cellStyle name="Tekst ostrzeżenia 2 5 2" xfId="35468"/>
    <cellStyle name="Tekst ostrzeżenia 2 5 3" xfId="35469"/>
    <cellStyle name="Tekst ostrzeżenia 2 5 4" xfId="35470"/>
    <cellStyle name="Tekst ostrzeżenia 2 5 5" xfId="35471"/>
    <cellStyle name="Tekst ostrzeżenia 2 5 6" xfId="35472"/>
    <cellStyle name="Tekst ostrzeżenia 2 5 7" xfId="35473"/>
    <cellStyle name="Tekst ostrzeżenia 2 50" xfId="35474"/>
    <cellStyle name="Tekst ostrzeżenia 2 51" xfId="35475"/>
    <cellStyle name="Tekst ostrzeżenia 2 52" xfId="35476"/>
    <cellStyle name="Tekst ostrzeżenia 2 6" xfId="35477"/>
    <cellStyle name="Tekst ostrzeżenia 2 6 2" xfId="35478"/>
    <cellStyle name="Tekst ostrzeżenia 2 6 3" xfId="35479"/>
    <cellStyle name="Tekst ostrzeżenia 2 6 4" xfId="35480"/>
    <cellStyle name="Tekst ostrzeżenia 2 6 5" xfId="35481"/>
    <cellStyle name="Tekst ostrzeżenia 2 6 6" xfId="35482"/>
    <cellStyle name="Tekst ostrzeżenia 2 6 7" xfId="35483"/>
    <cellStyle name="Tekst ostrzeżenia 2 7" xfId="35484"/>
    <cellStyle name="Tekst ostrzeżenia 2 7 2" xfId="35485"/>
    <cellStyle name="Tekst ostrzeżenia 2 7 3" xfId="35486"/>
    <cellStyle name="Tekst ostrzeżenia 2 7 4" xfId="35487"/>
    <cellStyle name="Tekst ostrzeżenia 2 7 5" xfId="35488"/>
    <cellStyle name="Tekst ostrzeżenia 2 7 6" xfId="35489"/>
    <cellStyle name="Tekst ostrzeżenia 2 7 7" xfId="35490"/>
    <cellStyle name="Tekst ostrzeżenia 2 8" xfId="35491"/>
    <cellStyle name="Tekst ostrzeżenia 2 8 2" xfId="35492"/>
    <cellStyle name="Tekst ostrzeżenia 2 8 3" xfId="35493"/>
    <cellStyle name="Tekst ostrzeżenia 2 8 4" xfId="35494"/>
    <cellStyle name="Tekst ostrzeżenia 2 8 5" xfId="35495"/>
    <cellStyle name="Tekst ostrzeżenia 2 8 6" xfId="35496"/>
    <cellStyle name="Tekst ostrzeżenia 2 8 7" xfId="35497"/>
    <cellStyle name="Tekst ostrzeżenia 2 9" xfId="35498"/>
    <cellStyle name="Tekst ostrzeżenia 2 9 2" xfId="35499"/>
    <cellStyle name="Tekst ostrzeżenia 2 9 3" xfId="35500"/>
    <cellStyle name="Tekst ostrzeżenia 2 9 4" xfId="35501"/>
    <cellStyle name="Tekst ostrzeżenia 2 9 5" xfId="35502"/>
    <cellStyle name="Tekst ostrzeżenia 2 9 6" xfId="35503"/>
    <cellStyle name="Tekst ostrzeżenia 2 9 7" xfId="35504"/>
    <cellStyle name="Tekst ostrzeżenia 3" xfId="35505"/>
    <cellStyle name="Tekst ostrzeżenia 3 2" xfId="35506"/>
    <cellStyle name="Tekst ostrzeżenia 3 2 2" xfId="35507"/>
    <cellStyle name="Tekst ostrzeżenia 3 3" xfId="35508"/>
    <cellStyle name="Tekst ostrzeżenia 3 4" xfId="35509"/>
    <cellStyle name="Tekst ostrzeżenia 3 5" xfId="35510"/>
    <cellStyle name="Tekst ostrzeżenia 3 6" xfId="35511"/>
    <cellStyle name="Tekst ostrzeżenia 3 7" xfId="35512"/>
    <cellStyle name="Tekst ostrzeżenia 3 8" xfId="35513"/>
    <cellStyle name="Tekst ostrzeżenia 3 9" xfId="35514"/>
    <cellStyle name="Tekst ostrzeżenia 4" xfId="35515"/>
    <cellStyle name="Tekst ostrzeżenia 4 2" xfId="35516"/>
    <cellStyle name="Tekst ostrzeżenia 4 3" xfId="35517"/>
    <cellStyle name="Tekst ostrzeżenia 4 4" xfId="35518"/>
    <cellStyle name="Tekst ostrzeżenia 4 5" xfId="35519"/>
    <cellStyle name="Tekst ostrzeżenia 4 6" xfId="35520"/>
    <cellStyle name="Tekst ostrzeżenia 4 7" xfId="35521"/>
    <cellStyle name="Tekst ostrzeżenia 4 8" xfId="35522"/>
    <cellStyle name="Tekst ostrzeżenia 4 9" xfId="35523"/>
    <cellStyle name="Tekst ostrzeżenia 5" xfId="35524"/>
    <cellStyle name="Tekst ostrzeżenia 5 2" xfId="35525"/>
    <cellStyle name="Tekst ostrzeżenia 6" xfId="35526"/>
    <cellStyle name="Tekst ostrzeżenia 7" xfId="35527"/>
    <cellStyle name="Tytuł 2" xfId="35528"/>
    <cellStyle name="Tytuł 2 10" xfId="35529"/>
    <cellStyle name="Tytuł 2 10 2" xfId="35530"/>
    <cellStyle name="Tytuł 2 10 3" xfId="35531"/>
    <cellStyle name="Tytuł 2 10 4" xfId="35532"/>
    <cellStyle name="Tytuł 2 10 5" xfId="35533"/>
    <cellStyle name="Tytuł 2 10 6" xfId="35534"/>
    <cellStyle name="Tytuł 2 10 7" xfId="35535"/>
    <cellStyle name="Tytuł 2 11" xfId="35536"/>
    <cellStyle name="Tytuł 2 11 2" xfId="35537"/>
    <cellStyle name="Tytuł 2 11 3" xfId="35538"/>
    <cellStyle name="Tytuł 2 11 4" xfId="35539"/>
    <cellStyle name="Tytuł 2 11 5" xfId="35540"/>
    <cellStyle name="Tytuł 2 11 6" xfId="35541"/>
    <cellStyle name="Tytuł 2 11 7" xfId="35542"/>
    <cellStyle name="Tytuł 2 12" xfId="35543"/>
    <cellStyle name="Tytuł 2 12 2" xfId="35544"/>
    <cellStyle name="Tytuł 2 12 3" xfId="35545"/>
    <cellStyle name="Tytuł 2 12 4" xfId="35546"/>
    <cellStyle name="Tytuł 2 12 5" xfId="35547"/>
    <cellStyle name="Tytuł 2 12 6" xfId="35548"/>
    <cellStyle name="Tytuł 2 12 7" xfId="35549"/>
    <cellStyle name="Tytuł 2 13" xfId="35550"/>
    <cellStyle name="Tytuł 2 13 2" xfId="35551"/>
    <cellStyle name="Tytuł 2 13 3" xfId="35552"/>
    <cellStyle name="Tytuł 2 13 4" xfId="35553"/>
    <cellStyle name="Tytuł 2 13 5" xfId="35554"/>
    <cellStyle name="Tytuł 2 13 6" xfId="35555"/>
    <cellStyle name="Tytuł 2 13 7" xfId="35556"/>
    <cellStyle name="Tytuł 2 14" xfId="35557"/>
    <cellStyle name="Tytuł 2 14 2" xfId="35558"/>
    <cellStyle name="Tytuł 2 14 3" xfId="35559"/>
    <cellStyle name="Tytuł 2 14 4" xfId="35560"/>
    <cellStyle name="Tytuł 2 14 5" xfId="35561"/>
    <cellStyle name="Tytuł 2 14 6" xfId="35562"/>
    <cellStyle name="Tytuł 2 14 7" xfId="35563"/>
    <cellStyle name="Tytuł 2 15" xfId="35564"/>
    <cellStyle name="Tytuł 2 15 2" xfId="35565"/>
    <cellStyle name="Tytuł 2 15 3" xfId="35566"/>
    <cellStyle name="Tytuł 2 15 4" xfId="35567"/>
    <cellStyle name="Tytuł 2 15 5" xfId="35568"/>
    <cellStyle name="Tytuł 2 15 6" xfId="35569"/>
    <cellStyle name="Tytuł 2 15 7" xfId="35570"/>
    <cellStyle name="Tytuł 2 16" xfId="35571"/>
    <cellStyle name="Tytuł 2 16 2" xfId="35572"/>
    <cellStyle name="Tytuł 2 16 3" xfId="35573"/>
    <cellStyle name="Tytuł 2 16 4" xfId="35574"/>
    <cellStyle name="Tytuł 2 16 5" xfId="35575"/>
    <cellStyle name="Tytuł 2 16 6" xfId="35576"/>
    <cellStyle name="Tytuł 2 16 7" xfId="35577"/>
    <cellStyle name="Tytuł 2 17" xfId="35578"/>
    <cellStyle name="Tytuł 2 17 2" xfId="35579"/>
    <cellStyle name="Tytuł 2 17 3" xfId="35580"/>
    <cellStyle name="Tytuł 2 17 4" xfId="35581"/>
    <cellStyle name="Tytuł 2 17 5" xfId="35582"/>
    <cellStyle name="Tytuł 2 17 6" xfId="35583"/>
    <cellStyle name="Tytuł 2 17 7" xfId="35584"/>
    <cellStyle name="Tytuł 2 18" xfId="35585"/>
    <cellStyle name="Tytuł 2 18 2" xfId="35586"/>
    <cellStyle name="Tytuł 2 18 3" xfId="35587"/>
    <cellStyle name="Tytuł 2 18 4" xfId="35588"/>
    <cellStyle name="Tytuł 2 18 5" xfId="35589"/>
    <cellStyle name="Tytuł 2 18 6" xfId="35590"/>
    <cellStyle name="Tytuł 2 18 7" xfId="35591"/>
    <cellStyle name="Tytuł 2 19" xfId="35592"/>
    <cellStyle name="Tytuł 2 19 2" xfId="35593"/>
    <cellStyle name="Tytuł 2 19 3" xfId="35594"/>
    <cellStyle name="Tytuł 2 19 4" xfId="35595"/>
    <cellStyle name="Tytuł 2 19 5" xfId="35596"/>
    <cellStyle name="Tytuł 2 19 6" xfId="35597"/>
    <cellStyle name="Tytuł 2 19 7" xfId="35598"/>
    <cellStyle name="Tytuł 2 2" xfId="35599"/>
    <cellStyle name="Tytuł 2 2 2" xfId="35600"/>
    <cellStyle name="Tytuł 2 2 3" xfId="35601"/>
    <cellStyle name="Tytuł 2 2 4" xfId="35602"/>
    <cellStyle name="Tytuł 2 2 5" xfId="35603"/>
    <cellStyle name="Tytuł 2 2 6" xfId="35604"/>
    <cellStyle name="Tytuł 2 2 7" xfId="35605"/>
    <cellStyle name="Tytuł 2 2 8" xfId="35606"/>
    <cellStyle name="Tytuł 2 20" xfId="35607"/>
    <cellStyle name="Tytuł 2 20 2" xfId="35608"/>
    <cellStyle name="Tytuł 2 20 3" xfId="35609"/>
    <cellStyle name="Tytuł 2 20 4" xfId="35610"/>
    <cellStyle name="Tytuł 2 20 5" xfId="35611"/>
    <cellStyle name="Tytuł 2 20 6" xfId="35612"/>
    <cellStyle name="Tytuł 2 20 7" xfId="35613"/>
    <cellStyle name="Tytuł 2 21" xfId="35614"/>
    <cellStyle name="Tytuł 2 21 2" xfId="35615"/>
    <cellStyle name="Tytuł 2 21 3" xfId="35616"/>
    <cellStyle name="Tytuł 2 21 4" xfId="35617"/>
    <cellStyle name="Tytuł 2 21 5" xfId="35618"/>
    <cellStyle name="Tytuł 2 21 6" xfId="35619"/>
    <cellStyle name="Tytuł 2 21 7" xfId="35620"/>
    <cellStyle name="Tytuł 2 22" xfId="35621"/>
    <cellStyle name="Tytuł 2 22 2" xfId="35622"/>
    <cellStyle name="Tytuł 2 22 3" xfId="35623"/>
    <cellStyle name="Tytuł 2 22 4" xfId="35624"/>
    <cellStyle name="Tytuł 2 22 5" xfId="35625"/>
    <cellStyle name="Tytuł 2 22 6" xfId="35626"/>
    <cellStyle name="Tytuł 2 22 7" xfId="35627"/>
    <cellStyle name="Tytuł 2 23" xfId="35628"/>
    <cellStyle name="Tytuł 2 23 2" xfId="35629"/>
    <cellStyle name="Tytuł 2 23 3" xfId="35630"/>
    <cellStyle name="Tytuł 2 23 4" xfId="35631"/>
    <cellStyle name="Tytuł 2 23 5" xfId="35632"/>
    <cellStyle name="Tytuł 2 23 6" xfId="35633"/>
    <cellStyle name="Tytuł 2 23 7" xfId="35634"/>
    <cellStyle name="Tytuł 2 24" xfId="35635"/>
    <cellStyle name="Tytuł 2 24 2" xfId="35636"/>
    <cellStyle name="Tytuł 2 24 3" xfId="35637"/>
    <cellStyle name="Tytuł 2 24 4" xfId="35638"/>
    <cellStyle name="Tytuł 2 24 5" xfId="35639"/>
    <cellStyle name="Tytuł 2 24 6" xfId="35640"/>
    <cellStyle name="Tytuł 2 24 7" xfId="35641"/>
    <cellStyle name="Tytuł 2 25" xfId="35642"/>
    <cellStyle name="Tytuł 2 25 2" xfId="35643"/>
    <cellStyle name="Tytuł 2 25 3" xfId="35644"/>
    <cellStyle name="Tytuł 2 25 4" xfId="35645"/>
    <cellStyle name="Tytuł 2 25 5" xfId="35646"/>
    <cellStyle name="Tytuł 2 25 6" xfId="35647"/>
    <cellStyle name="Tytuł 2 25 7" xfId="35648"/>
    <cellStyle name="Tytuł 2 26" xfId="35649"/>
    <cellStyle name="Tytuł 2 26 2" xfId="35650"/>
    <cellStyle name="Tytuł 2 26 3" xfId="35651"/>
    <cellStyle name="Tytuł 2 26 4" xfId="35652"/>
    <cellStyle name="Tytuł 2 26 5" xfId="35653"/>
    <cellStyle name="Tytuł 2 26 6" xfId="35654"/>
    <cellStyle name="Tytuł 2 26 7" xfId="35655"/>
    <cellStyle name="Tytuł 2 27" xfId="35656"/>
    <cellStyle name="Tytuł 2 27 2" xfId="35657"/>
    <cellStyle name="Tytuł 2 27 3" xfId="35658"/>
    <cellStyle name="Tytuł 2 27 4" xfId="35659"/>
    <cellStyle name="Tytuł 2 27 5" xfId="35660"/>
    <cellStyle name="Tytuł 2 27 6" xfId="35661"/>
    <cellStyle name="Tytuł 2 27 7" xfId="35662"/>
    <cellStyle name="Tytuł 2 28" xfId="35663"/>
    <cellStyle name="Tytuł 2 28 2" xfId="35664"/>
    <cellStyle name="Tytuł 2 28 3" xfId="35665"/>
    <cellStyle name="Tytuł 2 28 4" xfId="35666"/>
    <cellStyle name="Tytuł 2 28 5" xfId="35667"/>
    <cellStyle name="Tytuł 2 28 6" xfId="35668"/>
    <cellStyle name="Tytuł 2 28 7" xfId="35669"/>
    <cellStyle name="Tytuł 2 29" xfId="35670"/>
    <cellStyle name="Tytuł 2 3" xfId="35671"/>
    <cellStyle name="Tytuł 2 3 2" xfId="35672"/>
    <cellStyle name="Tytuł 2 3 3" xfId="35673"/>
    <cellStyle name="Tytuł 2 3 4" xfId="35674"/>
    <cellStyle name="Tytuł 2 3 5" xfId="35675"/>
    <cellStyle name="Tytuł 2 3 6" xfId="35676"/>
    <cellStyle name="Tytuł 2 3 7" xfId="35677"/>
    <cellStyle name="Tytuł 2 30" xfId="35678"/>
    <cellStyle name="Tytuł 2 31" xfId="35679"/>
    <cellStyle name="Tytuł 2 32" xfId="35680"/>
    <cellStyle name="Tytuł 2 33" xfId="35681"/>
    <cellStyle name="Tytuł 2 34" xfId="35682"/>
    <cellStyle name="Tytuł 2 35" xfId="35683"/>
    <cellStyle name="Tytuł 2 36" xfId="35684"/>
    <cellStyle name="Tytuł 2 37" xfId="35685"/>
    <cellStyle name="Tytuł 2 38" xfId="35686"/>
    <cellStyle name="Tytuł 2 39" xfId="35687"/>
    <cellStyle name="Tytuł 2 4" xfId="35688"/>
    <cellStyle name="Tytuł 2 4 2" xfId="35689"/>
    <cellStyle name="Tytuł 2 4 3" xfId="35690"/>
    <cellStyle name="Tytuł 2 4 4" xfId="35691"/>
    <cellStyle name="Tytuł 2 4 5" xfId="35692"/>
    <cellStyle name="Tytuł 2 4 6" xfId="35693"/>
    <cellStyle name="Tytuł 2 4 7" xfId="35694"/>
    <cellStyle name="Tytuł 2 40" xfId="35695"/>
    <cellStyle name="Tytuł 2 41" xfId="35696"/>
    <cellStyle name="Tytuł 2 42" xfId="35697"/>
    <cellStyle name="Tytuł 2 43" xfId="35698"/>
    <cellStyle name="Tytuł 2 44" xfId="35699"/>
    <cellStyle name="Tytuł 2 45" xfId="35700"/>
    <cellStyle name="Tytuł 2 46" xfId="35701"/>
    <cellStyle name="Tytuł 2 47" xfId="35702"/>
    <cellStyle name="Tytuł 2 48" xfId="35703"/>
    <cellStyle name="Tytuł 2 49" xfId="35704"/>
    <cellStyle name="Tytuł 2 5" xfId="35705"/>
    <cellStyle name="Tytuł 2 5 2" xfId="35706"/>
    <cellStyle name="Tytuł 2 5 3" xfId="35707"/>
    <cellStyle name="Tytuł 2 5 4" xfId="35708"/>
    <cellStyle name="Tytuł 2 5 5" xfId="35709"/>
    <cellStyle name="Tytuł 2 5 6" xfId="35710"/>
    <cellStyle name="Tytuł 2 5 7" xfId="35711"/>
    <cellStyle name="Tytuł 2 50" xfId="35712"/>
    <cellStyle name="Tytuł 2 51" xfId="35713"/>
    <cellStyle name="Tytuł 2 52" xfId="35714"/>
    <cellStyle name="Tytuł 2 6" xfId="35715"/>
    <cellStyle name="Tytuł 2 6 2" xfId="35716"/>
    <cellStyle name="Tytuł 2 6 3" xfId="35717"/>
    <cellStyle name="Tytuł 2 6 4" xfId="35718"/>
    <cellStyle name="Tytuł 2 6 5" xfId="35719"/>
    <cellStyle name="Tytuł 2 6 6" xfId="35720"/>
    <cellStyle name="Tytuł 2 6 7" xfId="35721"/>
    <cellStyle name="Tytuł 2 7" xfId="35722"/>
    <cellStyle name="Tytuł 2 7 2" xfId="35723"/>
    <cellStyle name="Tytuł 2 7 3" xfId="35724"/>
    <cellStyle name="Tytuł 2 7 4" xfId="35725"/>
    <cellStyle name="Tytuł 2 7 5" xfId="35726"/>
    <cellStyle name="Tytuł 2 7 6" xfId="35727"/>
    <cellStyle name="Tytuł 2 7 7" xfId="35728"/>
    <cellStyle name="Tytuł 2 8" xfId="35729"/>
    <cellStyle name="Tytuł 2 8 2" xfId="35730"/>
    <cellStyle name="Tytuł 2 8 3" xfId="35731"/>
    <cellStyle name="Tytuł 2 8 4" xfId="35732"/>
    <cellStyle name="Tytuł 2 8 5" xfId="35733"/>
    <cellStyle name="Tytuł 2 8 6" xfId="35734"/>
    <cellStyle name="Tytuł 2 8 7" xfId="35735"/>
    <cellStyle name="Tytuł 2 9" xfId="35736"/>
    <cellStyle name="Tytuł 2 9 2" xfId="35737"/>
    <cellStyle name="Tytuł 2 9 3" xfId="35738"/>
    <cellStyle name="Tytuł 2 9 4" xfId="35739"/>
    <cellStyle name="Tytuł 2 9 5" xfId="35740"/>
    <cellStyle name="Tytuł 2 9 6" xfId="35741"/>
    <cellStyle name="Tytuł 2 9 7" xfId="35742"/>
    <cellStyle name="Tytuł 3" xfId="35743"/>
    <cellStyle name="Tytuł 3 2" xfId="35744"/>
    <cellStyle name="Tytuł 3 2 2" xfId="35745"/>
    <cellStyle name="Tytuł 3 3" xfId="35746"/>
    <cellStyle name="Tytuł 3 4" xfId="35747"/>
    <cellStyle name="Tytuł 3 5" xfId="35748"/>
    <cellStyle name="Tytuł 3 6" xfId="35749"/>
    <cellStyle name="Tytuł 3 7" xfId="35750"/>
    <cellStyle name="Tytuł 3 8" xfId="35751"/>
    <cellStyle name="Tytuł 4" xfId="35752"/>
    <cellStyle name="Tytuł 4 2" xfId="35753"/>
    <cellStyle name="Tytuł 4 3" xfId="35754"/>
    <cellStyle name="Tytuł 4 4" xfId="35755"/>
    <cellStyle name="Tytuł 4 5" xfId="35756"/>
    <cellStyle name="Tytuł 4 6" xfId="35757"/>
    <cellStyle name="Tytuł 4 7" xfId="35758"/>
    <cellStyle name="Tytuł 4 8" xfId="35759"/>
    <cellStyle name="Tytuł 5" xfId="35760"/>
    <cellStyle name="Tytuł 6" xfId="35761"/>
    <cellStyle name="Tytuł 7" xfId="35762"/>
    <cellStyle name="Tytuł 8" xfId="35763"/>
    <cellStyle name="über" xfId="35764"/>
    <cellStyle name="Unit" xfId="35765"/>
    <cellStyle name="Uwaga 10" xfId="35766"/>
    <cellStyle name="Uwaga 100" xfId="35767"/>
    <cellStyle name="Uwaga 100 2" xfId="35768"/>
    <cellStyle name="Uwaga 101" xfId="35769"/>
    <cellStyle name="Uwaga 101 2" xfId="35770"/>
    <cellStyle name="Uwaga 102" xfId="35771"/>
    <cellStyle name="Uwaga 102 2" xfId="35772"/>
    <cellStyle name="Uwaga 103" xfId="35773"/>
    <cellStyle name="Uwaga 103 2" xfId="35774"/>
    <cellStyle name="Uwaga 104" xfId="35775"/>
    <cellStyle name="Uwaga 104 2" xfId="35776"/>
    <cellStyle name="Uwaga 105" xfId="35777"/>
    <cellStyle name="Uwaga 105 2" xfId="35778"/>
    <cellStyle name="Uwaga 106" xfId="35779"/>
    <cellStyle name="Uwaga 106 2" xfId="35780"/>
    <cellStyle name="Uwaga 107" xfId="35781"/>
    <cellStyle name="Uwaga 107 2" xfId="35782"/>
    <cellStyle name="Uwaga 108" xfId="35783"/>
    <cellStyle name="Uwaga 108 2" xfId="35784"/>
    <cellStyle name="Uwaga 109" xfId="35785"/>
    <cellStyle name="Uwaga 109 2" xfId="35786"/>
    <cellStyle name="Uwaga 11" xfId="35787"/>
    <cellStyle name="Uwaga 110" xfId="35788"/>
    <cellStyle name="Uwaga 110 2" xfId="35789"/>
    <cellStyle name="Uwaga 111" xfId="35790"/>
    <cellStyle name="Uwaga 111 2" xfId="35791"/>
    <cellStyle name="Uwaga 112" xfId="35792"/>
    <cellStyle name="Uwaga 112 2" xfId="35793"/>
    <cellStyle name="Uwaga 113" xfId="35794"/>
    <cellStyle name="Uwaga 113 2" xfId="35795"/>
    <cellStyle name="Uwaga 114" xfId="35796"/>
    <cellStyle name="Uwaga 114 2" xfId="35797"/>
    <cellStyle name="Uwaga 115" xfId="35798"/>
    <cellStyle name="Uwaga 115 2" xfId="35799"/>
    <cellStyle name="Uwaga 116" xfId="35800"/>
    <cellStyle name="Uwaga 116 2" xfId="35801"/>
    <cellStyle name="Uwaga 117" xfId="35802"/>
    <cellStyle name="Uwaga 117 2" xfId="35803"/>
    <cellStyle name="Uwaga 118" xfId="35804"/>
    <cellStyle name="Uwaga 118 2" xfId="35805"/>
    <cellStyle name="Uwaga 119" xfId="35806"/>
    <cellStyle name="Uwaga 119 2" xfId="35807"/>
    <cellStyle name="Uwaga 12" xfId="35808"/>
    <cellStyle name="Uwaga 120" xfId="35809"/>
    <cellStyle name="Uwaga 120 2" xfId="35810"/>
    <cellStyle name="Uwaga 121" xfId="35811"/>
    <cellStyle name="Uwaga 121 2" xfId="35812"/>
    <cellStyle name="Uwaga 122" xfId="35813"/>
    <cellStyle name="Uwaga 122 2" xfId="35814"/>
    <cellStyle name="Uwaga 123" xfId="35815"/>
    <cellStyle name="Uwaga 123 2" xfId="35816"/>
    <cellStyle name="Uwaga 124" xfId="35817"/>
    <cellStyle name="Uwaga 124 2" xfId="35818"/>
    <cellStyle name="Uwaga 125" xfId="35819"/>
    <cellStyle name="Uwaga 13" xfId="35820"/>
    <cellStyle name="Uwaga 14" xfId="35821"/>
    <cellStyle name="Uwaga 15" xfId="35822"/>
    <cellStyle name="Uwaga 16" xfId="35823"/>
    <cellStyle name="Uwaga 17" xfId="35824"/>
    <cellStyle name="Uwaga 18" xfId="35825"/>
    <cellStyle name="Uwaga 19" xfId="35826"/>
    <cellStyle name="Uwaga 2" xfId="35827"/>
    <cellStyle name="Uwaga 2 10" xfId="35828"/>
    <cellStyle name="Uwaga 2 10 10" xfId="35829"/>
    <cellStyle name="Uwaga 2 10 10 2" xfId="35830"/>
    <cellStyle name="Uwaga 2 10 10 3" xfId="35831"/>
    <cellStyle name="Uwaga 2 10 10 4" xfId="35832"/>
    <cellStyle name="Uwaga 2 10 11" xfId="35833"/>
    <cellStyle name="Uwaga 2 10 11 2" xfId="35834"/>
    <cellStyle name="Uwaga 2 10 11 3" xfId="35835"/>
    <cellStyle name="Uwaga 2 10 11 4" xfId="35836"/>
    <cellStyle name="Uwaga 2 10 12" xfId="35837"/>
    <cellStyle name="Uwaga 2 10 12 2" xfId="35838"/>
    <cellStyle name="Uwaga 2 10 12 3" xfId="35839"/>
    <cellStyle name="Uwaga 2 10 12 4" xfId="35840"/>
    <cellStyle name="Uwaga 2 10 13" xfId="35841"/>
    <cellStyle name="Uwaga 2 10 13 2" xfId="35842"/>
    <cellStyle name="Uwaga 2 10 13 3" xfId="35843"/>
    <cellStyle name="Uwaga 2 10 13 4" xfId="35844"/>
    <cellStyle name="Uwaga 2 10 14" xfId="35845"/>
    <cellStyle name="Uwaga 2 10 14 2" xfId="35846"/>
    <cellStyle name="Uwaga 2 10 14 3" xfId="35847"/>
    <cellStyle name="Uwaga 2 10 14 4" xfId="35848"/>
    <cellStyle name="Uwaga 2 10 15" xfId="35849"/>
    <cellStyle name="Uwaga 2 10 15 2" xfId="35850"/>
    <cellStyle name="Uwaga 2 10 15 3" xfId="35851"/>
    <cellStyle name="Uwaga 2 10 15 4" xfId="35852"/>
    <cellStyle name="Uwaga 2 10 16" xfId="35853"/>
    <cellStyle name="Uwaga 2 10 16 2" xfId="35854"/>
    <cellStyle name="Uwaga 2 10 16 3" xfId="35855"/>
    <cellStyle name="Uwaga 2 10 16 4" xfId="35856"/>
    <cellStyle name="Uwaga 2 10 17" xfId="35857"/>
    <cellStyle name="Uwaga 2 10 17 2" xfId="35858"/>
    <cellStyle name="Uwaga 2 10 17 3" xfId="35859"/>
    <cellStyle name="Uwaga 2 10 17 4" xfId="35860"/>
    <cellStyle name="Uwaga 2 10 18" xfId="35861"/>
    <cellStyle name="Uwaga 2 10 18 2" xfId="35862"/>
    <cellStyle name="Uwaga 2 10 18 3" xfId="35863"/>
    <cellStyle name="Uwaga 2 10 18 4" xfId="35864"/>
    <cellStyle name="Uwaga 2 10 19" xfId="35865"/>
    <cellStyle name="Uwaga 2 10 19 2" xfId="35866"/>
    <cellStyle name="Uwaga 2 10 19 3" xfId="35867"/>
    <cellStyle name="Uwaga 2 10 19 4" xfId="35868"/>
    <cellStyle name="Uwaga 2 10 2" xfId="35869"/>
    <cellStyle name="Uwaga 2 10 2 2" xfId="35870"/>
    <cellStyle name="Uwaga 2 10 2 3" xfId="35871"/>
    <cellStyle name="Uwaga 2 10 2 4" xfId="35872"/>
    <cellStyle name="Uwaga 2 10 20" xfId="35873"/>
    <cellStyle name="Uwaga 2 10 20 2" xfId="35874"/>
    <cellStyle name="Uwaga 2 10 20 3" xfId="35875"/>
    <cellStyle name="Uwaga 2 10 20 4" xfId="35876"/>
    <cellStyle name="Uwaga 2 10 21" xfId="35877"/>
    <cellStyle name="Uwaga 2 10 21 2" xfId="35878"/>
    <cellStyle name="Uwaga 2 10 21 3" xfId="35879"/>
    <cellStyle name="Uwaga 2 10 22" xfId="35880"/>
    <cellStyle name="Uwaga 2 10 22 2" xfId="35881"/>
    <cellStyle name="Uwaga 2 10 22 3" xfId="35882"/>
    <cellStyle name="Uwaga 2 10 23" xfId="35883"/>
    <cellStyle name="Uwaga 2 10 23 2" xfId="35884"/>
    <cellStyle name="Uwaga 2 10 23 3" xfId="35885"/>
    <cellStyle name="Uwaga 2 10 24" xfId="35886"/>
    <cellStyle name="Uwaga 2 10 24 2" xfId="35887"/>
    <cellStyle name="Uwaga 2 10 24 3" xfId="35888"/>
    <cellStyle name="Uwaga 2 10 25" xfId="35889"/>
    <cellStyle name="Uwaga 2 10 25 2" xfId="35890"/>
    <cellStyle name="Uwaga 2 10 25 3" xfId="35891"/>
    <cellStyle name="Uwaga 2 10 26" xfId="35892"/>
    <cellStyle name="Uwaga 2 10 26 2" xfId="35893"/>
    <cellStyle name="Uwaga 2 10 26 3" xfId="35894"/>
    <cellStyle name="Uwaga 2 10 27" xfId="35895"/>
    <cellStyle name="Uwaga 2 10 27 2" xfId="35896"/>
    <cellStyle name="Uwaga 2 10 27 3" xfId="35897"/>
    <cellStyle name="Uwaga 2 10 28" xfId="35898"/>
    <cellStyle name="Uwaga 2 10 28 2" xfId="35899"/>
    <cellStyle name="Uwaga 2 10 28 3" xfId="35900"/>
    <cellStyle name="Uwaga 2 10 29" xfId="35901"/>
    <cellStyle name="Uwaga 2 10 29 2" xfId="35902"/>
    <cellStyle name="Uwaga 2 10 29 3" xfId="35903"/>
    <cellStyle name="Uwaga 2 10 3" xfId="35904"/>
    <cellStyle name="Uwaga 2 10 3 2" xfId="35905"/>
    <cellStyle name="Uwaga 2 10 3 3" xfId="35906"/>
    <cellStyle name="Uwaga 2 10 3 4" xfId="35907"/>
    <cellStyle name="Uwaga 2 10 30" xfId="35908"/>
    <cellStyle name="Uwaga 2 10 30 2" xfId="35909"/>
    <cellStyle name="Uwaga 2 10 30 3" xfId="35910"/>
    <cellStyle name="Uwaga 2 10 31" xfId="35911"/>
    <cellStyle name="Uwaga 2 10 31 2" xfId="35912"/>
    <cellStyle name="Uwaga 2 10 31 3" xfId="35913"/>
    <cellStyle name="Uwaga 2 10 32" xfId="35914"/>
    <cellStyle name="Uwaga 2 10 32 2" xfId="35915"/>
    <cellStyle name="Uwaga 2 10 32 3" xfId="35916"/>
    <cellStyle name="Uwaga 2 10 33" xfId="35917"/>
    <cellStyle name="Uwaga 2 10 33 2" xfId="35918"/>
    <cellStyle name="Uwaga 2 10 33 3" xfId="35919"/>
    <cellStyle name="Uwaga 2 10 34" xfId="35920"/>
    <cellStyle name="Uwaga 2 10 34 2" xfId="35921"/>
    <cellStyle name="Uwaga 2 10 34 3" xfId="35922"/>
    <cellStyle name="Uwaga 2 10 35" xfId="35923"/>
    <cellStyle name="Uwaga 2 10 35 2" xfId="35924"/>
    <cellStyle name="Uwaga 2 10 35 3" xfId="35925"/>
    <cellStyle name="Uwaga 2 10 36" xfId="35926"/>
    <cellStyle name="Uwaga 2 10 36 2" xfId="35927"/>
    <cellStyle name="Uwaga 2 10 36 3" xfId="35928"/>
    <cellStyle name="Uwaga 2 10 37" xfId="35929"/>
    <cellStyle name="Uwaga 2 10 37 2" xfId="35930"/>
    <cellStyle name="Uwaga 2 10 37 3" xfId="35931"/>
    <cellStyle name="Uwaga 2 10 38" xfId="35932"/>
    <cellStyle name="Uwaga 2 10 38 2" xfId="35933"/>
    <cellStyle name="Uwaga 2 10 38 3" xfId="35934"/>
    <cellStyle name="Uwaga 2 10 39" xfId="35935"/>
    <cellStyle name="Uwaga 2 10 39 2" xfId="35936"/>
    <cellStyle name="Uwaga 2 10 39 3" xfId="35937"/>
    <cellStyle name="Uwaga 2 10 4" xfId="35938"/>
    <cellStyle name="Uwaga 2 10 4 2" xfId="35939"/>
    <cellStyle name="Uwaga 2 10 4 3" xfId="35940"/>
    <cellStyle name="Uwaga 2 10 4 4" xfId="35941"/>
    <cellStyle name="Uwaga 2 10 40" xfId="35942"/>
    <cellStyle name="Uwaga 2 10 40 2" xfId="35943"/>
    <cellStyle name="Uwaga 2 10 40 3" xfId="35944"/>
    <cellStyle name="Uwaga 2 10 41" xfId="35945"/>
    <cellStyle name="Uwaga 2 10 41 2" xfId="35946"/>
    <cellStyle name="Uwaga 2 10 41 3" xfId="35947"/>
    <cellStyle name="Uwaga 2 10 42" xfId="35948"/>
    <cellStyle name="Uwaga 2 10 42 2" xfId="35949"/>
    <cellStyle name="Uwaga 2 10 42 3" xfId="35950"/>
    <cellStyle name="Uwaga 2 10 43" xfId="35951"/>
    <cellStyle name="Uwaga 2 10 43 2" xfId="35952"/>
    <cellStyle name="Uwaga 2 10 43 3" xfId="35953"/>
    <cellStyle name="Uwaga 2 10 44" xfId="35954"/>
    <cellStyle name="Uwaga 2 10 44 2" xfId="35955"/>
    <cellStyle name="Uwaga 2 10 44 3" xfId="35956"/>
    <cellStyle name="Uwaga 2 10 45" xfId="35957"/>
    <cellStyle name="Uwaga 2 10 45 2" xfId="35958"/>
    <cellStyle name="Uwaga 2 10 45 3" xfId="35959"/>
    <cellStyle name="Uwaga 2 10 46" xfId="35960"/>
    <cellStyle name="Uwaga 2 10 46 2" xfId="35961"/>
    <cellStyle name="Uwaga 2 10 46 3" xfId="35962"/>
    <cellStyle name="Uwaga 2 10 47" xfId="35963"/>
    <cellStyle name="Uwaga 2 10 47 2" xfId="35964"/>
    <cellStyle name="Uwaga 2 10 47 3" xfId="35965"/>
    <cellStyle name="Uwaga 2 10 48" xfId="35966"/>
    <cellStyle name="Uwaga 2 10 48 2" xfId="35967"/>
    <cellStyle name="Uwaga 2 10 48 3" xfId="35968"/>
    <cellStyle name="Uwaga 2 10 49" xfId="35969"/>
    <cellStyle name="Uwaga 2 10 49 2" xfId="35970"/>
    <cellStyle name="Uwaga 2 10 49 3" xfId="35971"/>
    <cellStyle name="Uwaga 2 10 5" xfId="35972"/>
    <cellStyle name="Uwaga 2 10 5 2" xfId="35973"/>
    <cellStyle name="Uwaga 2 10 5 3" xfId="35974"/>
    <cellStyle name="Uwaga 2 10 5 4" xfId="35975"/>
    <cellStyle name="Uwaga 2 10 50" xfId="35976"/>
    <cellStyle name="Uwaga 2 10 50 2" xfId="35977"/>
    <cellStyle name="Uwaga 2 10 50 3" xfId="35978"/>
    <cellStyle name="Uwaga 2 10 51" xfId="35979"/>
    <cellStyle name="Uwaga 2 10 51 2" xfId="35980"/>
    <cellStyle name="Uwaga 2 10 51 3" xfId="35981"/>
    <cellStyle name="Uwaga 2 10 52" xfId="35982"/>
    <cellStyle name="Uwaga 2 10 52 2" xfId="35983"/>
    <cellStyle name="Uwaga 2 10 52 3" xfId="35984"/>
    <cellStyle name="Uwaga 2 10 53" xfId="35985"/>
    <cellStyle name="Uwaga 2 10 53 2" xfId="35986"/>
    <cellStyle name="Uwaga 2 10 53 3" xfId="35987"/>
    <cellStyle name="Uwaga 2 10 54" xfId="35988"/>
    <cellStyle name="Uwaga 2 10 54 2" xfId="35989"/>
    <cellStyle name="Uwaga 2 10 54 3" xfId="35990"/>
    <cellStyle name="Uwaga 2 10 55" xfId="35991"/>
    <cellStyle name="Uwaga 2 10 55 2" xfId="35992"/>
    <cellStyle name="Uwaga 2 10 55 3" xfId="35993"/>
    <cellStyle name="Uwaga 2 10 56" xfId="35994"/>
    <cellStyle name="Uwaga 2 10 56 2" xfId="35995"/>
    <cellStyle name="Uwaga 2 10 56 3" xfId="35996"/>
    <cellStyle name="Uwaga 2 10 57" xfId="35997"/>
    <cellStyle name="Uwaga 2 10 58" xfId="35998"/>
    <cellStyle name="Uwaga 2 10 6" xfId="35999"/>
    <cellStyle name="Uwaga 2 10 6 2" xfId="36000"/>
    <cellStyle name="Uwaga 2 10 6 3" xfId="36001"/>
    <cellStyle name="Uwaga 2 10 6 4" xfId="36002"/>
    <cellStyle name="Uwaga 2 10 7" xfId="36003"/>
    <cellStyle name="Uwaga 2 10 7 2" xfId="36004"/>
    <cellStyle name="Uwaga 2 10 7 3" xfId="36005"/>
    <cellStyle name="Uwaga 2 10 7 4" xfId="36006"/>
    <cellStyle name="Uwaga 2 10 8" xfId="36007"/>
    <cellStyle name="Uwaga 2 10 8 2" xfId="36008"/>
    <cellStyle name="Uwaga 2 10 8 3" xfId="36009"/>
    <cellStyle name="Uwaga 2 10 8 4" xfId="36010"/>
    <cellStyle name="Uwaga 2 10 9" xfId="36011"/>
    <cellStyle name="Uwaga 2 10 9 2" xfId="36012"/>
    <cellStyle name="Uwaga 2 10 9 3" xfId="36013"/>
    <cellStyle name="Uwaga 2 10 9 4" xfId="36014"/>
    <cellStyle name="Uwaga 2 11" xfId="36015"/>
    <cellStyle name="Uwaga 2 11 10" xfId="36016"/>
    <cellStyle name="Uwaga 2 11 10 2" xfId="36017"/>
    <cellStyle name="Uwaga 2 11 10 3" xfId="36018"/>
    <cellStyle name="Uwaga 2 11 10 4" xfId="36019"/>
    <cellStyle name="Uwaga 2 11 11" xfId="36020"/>
    <cellStyle name="Uwaga 2 11 11 2" xfId="36021"/>
    <cellStyle name="Uwaga 2 11 11 3" xfId="36022"/>
    <cellStyle name="Uwaga 2 11 11 4" xfId="36023"/>
    <cellStyle name="Uwaga 2 11 12" xfId="36024"/>
    <cellStyle name="Uwaga 2 11 12 2" xfId="36025"/>
    <cellStyle name="Uwaga 2 11 12 3" xfId="36026"/>
    <cellStyle name="Uwaga 2 11 12 4" xfId="36027"/>
    <cellStyle name="Uwaga 2 11 13" xfId="36028"/>
    <cellStyle name="Uwaga 2 11 13 2" xfId="36029"/>
    <cellStyle name="Uwaga 2 11 13 3" xfId="36030"/>
    <cellStyle name="Uwaga 2 11 13 4" xfId="36031"/>
    <cellStyle name="Uwaga 2 11 14" xfId="36032"/>
    <cellStyle name="Uwaga 2 11 14 2" xfId="36033"/>
    <cellStyle name="Uwaga 2 11 14 3" xfId="36034"/>
    <cellStyle name="Uwaga 2 11 14 4" xfId="36035"/>
    <cellStyle name="Uwaga 2 11 15" xfId="36036"/>
    <cellStyle name="Uwaga 2 11 15 2" xfId="36037"/>
    <cellStyle name="Uwaga 2 11 15 3" xfId="36038"/>
    <cellStyle name="Uwaga 2 11 15 4" xfId="36039"/>
    <cellStyle name="Uwaga 2 11 16" xfId="36040"/>
    <cellStyle name="Uwaga 2 11 16 2" xfId="36041"/>
    <cellStyle name="Uwaga 2 11 16 3" xfId="36042"/>
    <cellStyle name="Uwaga 2 11 16 4" xfId="36043"/>
    <cellStyle name="Uwaga 2 11 17" xfId="36044"/>
    <cellStyle name="Uwaga 2 11 17 2" xfId="36045"/>
    <cellStyle name="Uwaga 2 11 17 3" xfId="36046"/>
    <cellStyle name="Uwaga 2 11 17 4" xfId="36047"/>
    <cellStyle name="Uwaga 2 11 18" xfId="36048"/>
    <cellStyle name="Uwaga 2 11 18 2" xfId="36049"/>
    <cellStyle name="Uwaga 2 11 18 3" xfId="36050"/>
    <cellStyle name="Uwaga 2 11 18 4" xfId="36051"/>
    <cellStyle name="Uwaga 2 11 19" xfId="36052"/>
    <cellStyle name="Uwaga 2 11 19 2" xfId="36053"/>
    <cellStyle name="Uwaga 2 11 19 3" xfId="36054"/>
    <cellStyle name="Uwaga 2 11 19 4" xfId="36055"/>
    <cellStyle name="Uwaga 2 11 2" xfId="36056"/>
    <cellStyle name="Uwaga 2 11 2 2" xfId="36057"/>
    <cellStyle name="Uwaga 2 11 2 3" xfId="36058"/>
    <cellStyle name="Uwaga 2 11 2 4" xfId="36059"/>
    <cellStyle name="Uwaga 2 11 20" xfId="36060"/>
    <cellStyle name="Uwaga 2 11 20 2" xfId="36061"/>
    <cellStyle name="Uwaga 2 11 20 3" xfId="36062"/>
    <cellStyle name="Uwaga 2 11 20 4" xfId="36063"/>
    <cellStyle name="Uwaga 2 11 21" xfId="36064"/>
    <cellStyle name="Uwaga 2 11 21 2" xfId="36065"/>
    <cellStyle name="Uwaga 2 11 21 3" xfId="36066"/>
    <cellStyle name="Uwaga 2 11 22" xfId="36067"/>
    <cellStyle name="Uwaga 2 11 22 2" xfId="36068"/>
    <cellStyle name="Uwaga 2 11 22 3" xfId="36069"/>
    <cellStyle name="Uwaga 2 11 23" xfId="36070"/>
    <cellStyle name="Uwaga 2 11 23 2" xfId="36071"/>
    <cellStyle name="Uwaga 2 11 23 3" xfId="36072"/>
    <cellStyle name="Uwaga 2 11 24" xfId="36073"/>
    <cellStyle name="Uwaga 2 11 24 2" xfId="36074"/>
    <cellStyle name="Uwaga 2 11 24 3" xfId="36075"/>
    <cellStyle name="Uwaga 2 11 25" xfId="36076"/>
    <cellStyle name="Uwaga 2 11 25 2" xfId="36077"/>
    <cellStyle name="Uwaga 2 11 25 3" xfId="36078"/>
    <cellStyle name="Uwaga 2 11 26" xfId="36079"/>
    <cellStyle name="Uwaga 2 11 26 2" xfId="36080"/>
    <cellStyle name="Uwaga 2 11 26 3" xfId="36081"/>
    <cellStyle name="Uwaga 2 11 27" xfId="36082"/>
    <cellStyle name="Uwaga 2 11 27 2" xfId="36083"/>
    <cellStyle name="Uwaga 2 11 27 3" xfId="36084"/>
    <cellStyle name="Uwaga 2 11 28" xfId="36085"/>
    <cellStyle name="Uwaga 2 11 28 2" xfId="36086"/>
    <cellStyle name="Uwaga 2 11 28 3" xfId="36087"/>
    <cellStyle name="Uwaga 2 11 29" xfId="36088"/>
    <cellStyle name="Uwaga 2 11 29 2" xfId="36089"/>
    <cellStyle name="Uwaga 2 11 29 3" xfId="36090"/>
    <cellStyle name="Uwaga 2 11 3" xfId="36091"/>
    <cellStyle name="Uwaga 2 11 3 2" xfId="36092"/>
    <cellStyle name="Uwaga 2 11 3 3" xfId="36093"/>
    <cellStyle name="Uwaga 2 11 3 4" xfId="36094"/>
    <cellStyle name="Uwaga 2 11 30" xfId="36095"/>
    <cellStyle name="Uwaga 2 11 30 2" xfId="36096"/>
    <cellStyle name="Uwaga 2 11 30 3" xfId="36097"/>
    <cellStyle name="Uwaga 2 11 31" xfId="36098"/>
    <cellStyle name="Uwaga 2 11 31 2" xfId="36099"/>
    <cellStyle name="Uwaga 2 11 31 3" xfId="36100"/>
    <cellStyle name="Uwaga 2 11 32" xfId="36101"/>
    <cellStyle name="Uwaga 2 11 32 2" xfId="36102"/>
    <cellStyle name="Uwaga 2 11 32 3" xfId="36103"/>
    <cellStyle name="Uwaga 2 11 33" xfId="36104"/>
    <cellStyle name="Uwaga 2 11 33 2" xfId="36105"/>
    <cellStyle name="Uwaga 2 11 33 3" xfId="36106"/>
    <cellStyle name="Uwaga 2 11 34" xfId="36107"/>
    <cellStyle name="Uwaga 2 11 34 2" xfId="36108"/>
    <cellStyle name="Uwaga 2 11 34 3" xfId="36109"/>
    <cellStyle name="Uwaga 2 11 35" xfId="36110"/>
    <cellStyle name="Uwaga 2 11 35 2" xfId="36111"/>
    <cellStyle name="Uwaga 2 11 35 3" xfId="36112"/>
    <cellStyle name="Uwaga 2 11 36" xfId="36113"/>
    <cellStyle name="Uwaga 2 11 36 2" xfId="36114"/>
    <cellStyle name="Uwaga 2 11 36 3" xfId="36115"/>
    <cellStyle name="Uwaga 2 11 37" xfId="36116"/>
    <cellStyle name="Uwaga 2 11 37 2" xfId="36117"/>
    <cellStyle name="Uwaga 2 11 37 3" xfId="36118"/>
    <cellStyle name="Uwaga 2 11 38" xfId="36119"/>
    <cellStyle name="Uwaga 2 11 38 2" xfId="36120"/>
    <cellStyle name="Uwaga 2 11 38 3" xfId="36121"/>
    <cellStyle name="Uwaga 2 11 39" xfId="36122"/>
    <cellStyle name="Uwaga 2 11 39 2" xfId="36123"/>
    <cellStyle name="Uwaga 2 11 39 3" xfId="36124"/>
    <cellStyle name="Uwaga 2 11 4" xfId="36125"/>
    <cellStyle name="Uwaga 2 11 4 2" xfId="36126"/>
    <cellStyle name="Uwaga 2 11 4 3" xfId="36127"/>
    <cellStyle name="Uwaga 2 11 4 4" xfId="36128"/>
    <cellStyle name="Uwaga 2 11 40" xfId="36129"/>
    <cellStyle name="Uwaga 2 11 40 2" xfId="36130"/>
    <cellStyle name="Uwaga 2 11 40 3" xfId="36131"/>
    <cellStyle name="Uwaga 2 11 41" xfId="36132"/>
    <cellStyle name="Uwaga 2 11 41 2" xfId="36133"/>
    <cellStyle name="Uwaga 2 11 41 3" xfId="36134"/>
    <cellStyle name="Uwaga 2 11 42" xfId="36135"/>
    <cellStyle name="Uwaga 2 11 42 2" xfId="36136"/>
    <cellStyle name="Uwaga 2 11 42 3" xfId="36137"/>
    <cellStyle name="Uwaga 2 11 43" xfId="36138"/>
    <cellStyle name="Uwaga 2 11 43 2" xfId="36139"/>
    <cellStyle name="Uwaga 2 11 43 3" xfId="36140"/>
    <cellStyle name="Uwaga 2 11 44" xfId="36141"/>
    <cellStyle name="Uwaga 2 11 44 2" xfId="36142"/>
    <cellStyle name="Uwaga 2 11 44 3" xfId="36143"/>
    <cellStyle name="Uwaga 2 11 45" xfId="36144"/>
    <cellStyle name="Uwaga 2 11 45 2" xfId="36145"/>
    <cellStyle name="Uwaga 2 11 45 3" xfId="36146"/>
    <cellStyle name="Uwaga 2 11 46" xfId="36147"/>
    <cellStyle name="Uwaga 2 11 46 2" xfId="36148"/>
    <cellStyle name="Uwaga 2 11 46 3" xfId="36149"/>
    <cellStyle name="Uwaga 2 11 47" xfId="36150"/>
    <cellStyle name="Uwaga 2 11 47 2" xfId="36151"/>
    <cellStyle name="Uwaga 2 11 47 3" xfId="36152"/>
    <cellStyle name="Uwaga 2 11 48" xfId="36153"/>
    <cellStyle name="Uwaga 2 11 48 2" xfId="36154"/>
    <cellStyle name="Uwaga 2 11 48 3" xfId="36155"/>
    <cellStyle name="Uwaga 2 11 49" xfId="36156"/>
    <cellStyle name="Uwaga 2 11 49 2" xfId="36157"/>
    <cellStyle name="Uwaga 2 11 49 3" xfId="36158"/>
    <cellStyle name="Uwaga 2 11 5" xfId="36159"/>
    <cellStyle name="Uwaga 2 11 5 2" xfId="36160"/>
    <cellStyle name="Uwaga 2 11 5 3" xfId="36161"/>
    <cellStyle name="Uwaga 2 11 5 4" xfId="36162"/>
    <cellStyle name="Uwaga 2 11 50" xfId="36163"/>
    <cellStyle name="Uwaga 2 11 50 2" xfId="36164"/>
    <cellStyle name="Uwaga 2 11 50 3" xfId="36165"/>
    <cellStyle name="Uwaga 2 11 51" xfId="36166"/>
    <cellStyle name="Uwaga 2 11 51 2" xfId="36167"/>
    <cellStyle name="Uwaga 2 11 51 3" xfId="36168"/>
    <cellStyle name="Uwaga 2 11 52" xfId="36169"/>
    <cellStyle name="Uwaga 2 11 52 2" xfId="36170"/>
    <cellStyle name="Uwaga 2 11 52 3" xfId="36171"/>
    <cellStyle name="Uwaga 2 11 53" xfId="36172"/>
    <cellStyle name="Uwaga 2 11 53 2" xfId="36173"/>
    <cellStyle name="Uwaga 2 11 53 3" xfId="36174"/>
    <cellStyle name="Uwaga 2 11 54" xfId="36175"/>
    <cellStyle name="Uwaga 2 11 54 2" xfId="36176"/>
    <cellStyle name="Uwaga 2 11 54 3" xfId="36177"/>
    <cellStyle name="Uwaga 2 11 55" xfId="36178"/>
    <cellStyle name="Uwaga 2 11 55 2" xfId="36179"/>
    <cellStyle name="Uwaga 2 11 55 3" xfId="36180"/>
    <cellStyle name="Uwaga 2 11 56" xfId="36181"/>
    <cellStyle name="Uwaga 2 11 56 2" xfId="36182"/>
    <cellStyle name="Uwaga 2 11 56 3" xfId="36183"/>
    <cellStyle name="Uwaga 2 11 57" xfId="36184"/>
    <cellStyle name="Uwaga 2 11 58" xfId="36185"/>
    <cellStyle name="Uwaga 2 11 6" xfId="36186"/>
    <cellStyle name="Uwaga 2 11 6 2" xfId="36187"/>
    <cellStyle name="Uwaga 2 11 6 3" xfId="36188"/>
    <cellStyle name="Uwaga 2 11 6 4" xfId="36189"/>
    <cellStyle name="Uwaga 2 11 7" xfId="36190"/>
    <cellStyle name="Uwaga 2 11 7 2" xfId="36191"/>
    <cellStyle name="Uwaga 2 11 7 3" xfId="36192"/>
    <cellStyle name="Uwaga 2 11 7 4" xfId="36193"/>
    <cellStyle name="Uwaga 2 11 8" xfId="36194"/>
    <cellStyle name="Uwaga 2 11 8 2" xfId="36195"/>
    <cellStyle name="Uwaga 2 11 8 3" xfId="36196"/>
    <cellStyle name="Uwaga 2 11 8 4" xfId="36197"/>
    <cellStyle name="Uwaga 2 11 9" xfId="36198"/>
    <cellStyle name="Uwaga 2 11 9 2" xfId="36199"/>
    <cellStyle name="Uwaga 2 11 9 3" xfId="36200"/>
    <cellStyle name="Uwaga 2 11 9 4" xfId="36201"/>
    <cellStyle name="Uwaga 2 12" xfId="36202"/>
    <cellStyle name="Uwaga 2 12 10" xfId="36203"/>
    <cellStyle name="Uwaga 2 12 10 2" xfId="36204"/>
    <cellStyle name="Uwaga 2 12 10 3" xfId="36205"/>
    <cellStyle name="Uwaga 2 12 10 4" xfId="36206"/>
    <cellStyle name="Uwaga 2 12 11" xfId="36207"/>
    <cellStyle name="Uwaga 2 12 11 2" xfId="36208"/>
    <cellStyle name="Uwaga 2 12 11 3" xfId="36209"/>
    <cellStyle name="Uwaga 2 12 11 4" xfId="36210"/>
    <cellStyle name="Uwaga 2 12 12" xfId="36211"/>
    <cellStyle name="Uwaga 2 12 12 2" xfId="36212"/>
    <cellStyle name="Uwaga 2 12 12 3" xfId="36213"/>
    <cellStyle name="Uwaga 2 12 12 4" xfId="36214"/>
    <cellStyle name="Uwaga 2 12 13" xfId="36215"/>
    <cellStyle name="Uwaga 2 12 13 2" xfId="36216"/>
    <cellStyle name="Uwaga 2 12 13 3" xfId="36217"/>
    <cellStyle name="Uwaga 2 12 13 4" xfId="36218"/>
    <cellStyle name="Uwaga 2 12 14" xfId="36219"/>
    <cellStyle name="Uwaga 2 12 14 2" xfId="36220"/>
    <cellStyle name="Uwaga 2 12 14 3" xfId="36221"/>
    <cellStyle name="Uwaga 2 12 14 4" xfId="36222"/>
    <cellStyle name="Uwaga 2 12 15" xfId="36223"/>
    <cellStyle name="Uwaga 2 12 15 2" xfId="36224"/>
    <cellStyle name="Uwaga 2 12 15 3" xfId="36225"/>
    <cellStyle name="Uwaga 2 12 15 4" xfId="36226"/>
    <cellStyle name="Uwaga 2 12 16" xfId="36227"/>
    <cellStyle name="Uwaga 2 12 16 2" xfId="36228"/>
    <cellStyle name="Uwaga 2 12 16 3" xfId="36229"/>
    <cellStyle name="Uwaga 2 12 16 4" xfId="36230"/>
    <cellStyle name="Uwaga 2 12 17" xfId="36231"/>
    <cellStyle name="Uwaga 2 12 17 2" xfId="36232"/>
    <cellStyle name="Uwaga 2 12 17 3" xfId="36233"/>
    <cellStyle name="Uwaga 2 12 17 4" xfId="36234"/>
    <cellStyle name="Uwaga 2 12 18" xfId="36235"/>
    <cellStyle name="Uwaga 2 12 18 2" xfId="36236"/>
    <cellStyle name="Uwaga 2 12 18 3" xfId="36237"/>
    <cellStyle name="Uwaga 2 12 18 4" xfId="36238"/>
    <cellStyle name="Uwaga 2 12 19" xfId="36239"/>
    <cellStyle name="Uwaga 2 12 19 2" xfId="36240"/>
    <cellStyle name="Uwaga 2 12 19 3" xfId="36241"/>
    <cellStyle name="Uwaga 2 12 19 4" xfId="36242"/>
    <cellStyle name="Uwaga 2 12 2" xfId="36243"/>
    <cellStyle name="Uwaga 2 12 2 2" xfId="36244"/>
    <cellStyle name="Uwaga 2 12 2 3" xfId="36245"/>
    <cellStyle name="Uwaga 2 12 2 4" xfId="36246"/>
    <cellStyle name="Uwaga 2 12 20" xfId="36247"/>
    <cellStyle name="Uwaga 2 12 20 2" xfId="36248"/>
    <cellStyle name="Uwaga 2 12 20 3" xfId="36249"/>
    <cellStyle name="Uwaga 2 12 20 4" xfId="36250"/>
    <cellStyle name="Uwaga 2 12 21" xfId="36251"/>
    <cellStyle name="Uwaga 2 12 21 2" xfId="36252"/>
    <cellStyle name="Uwaga 2 12 21 3" xfId="36253"/>
    <cellStyle name="Uwaga 2 12 22" xfId="36254"/>
    <cellStyle name="Uwaga 2 12 22 2" xfId="36255"/>
    <cellStyle name="Uwaga 2 12 22 3" xfId="36256"/>
    <cellStyle name="Uwaga 2 12 23" xfId="36257"/>
    <cellStyle name="Uwaga 2 12 23 2" xfId="36258"/>
    <cellStyle name="Uwaga 2 12 23 3" xfId="36259"/>
    <cellStyle name="Uwaga 2 12 24" xfId="36260"/>
    <cellStyle name="Uwaga 2 12 24 2" xfId="36261"/>
    <cellStyle name="Uwaga 2 12 24 3" xfId="36262"/>
    <cellStyle name="Uwaga 2 12 25" xfId="36263"/>
    <cellStyle name="Uwaga 2 12 25 2" xfId="36264"/>
    <cellStyle name="Uwaga 2 12 25 3" xfId="36265"/>
    <cellStyle name="Uwaga 2 12 26" xfId="36266"/>
    <cellStyle name="Uwaga 2 12 26 2" xfId="36267"/>
    <cellStyle name="Uwaga 2 12 26 3" xfId="36268"/>
    <cellStyle name="Uwaga 2 12 27" xfId="36269"/>
    <cellStyle name="Uwaga 2 12 27 2" xfId="36270"/>
    <cellStyle name="Uwaga 2 12 27 3" xfId="36271"/>
    <cellStyle name="Uwaga 2 12 28" xfId="36272"/>
    <cellStyle name="Uwaga 2 12 28 2" xfId="36273"/>
    <cellStyle name="Uwaga 2 12 28 3" xfId="36274"/>
    <cellStyle name="Uwaga 2 12 29" xfId="36275"/>
    <cellStyle name="Uwaga 2 12 29 2" xfId="36276"/>
    <cellStyle name="Uwaga 2 12 29 3" xfId="36277"/>
    <cellStyle name="Uwaga 2 12 3" xfId="36278"/>
    <cellStyle name="Uwaga 2 12 3 2" xfId="36279"/>
    <cellStyle name="Uwaga 2 12 3 3" xfId="36280"/>
    <cellStyle name="Uwaga 2 12 3 4" xfId="36281"/>
    <cellStyle name="Uwaga 2 12 30" xfId="36282"/>
    <cellStyle name="Uwaga 2 12 30 2" xfId="36283"/>
    <cellStyle name="Uwaga 2 12 30 3" xfId="36284"/>
    <cellStyle name="Uwaga 2 12 31" xfId="36285"/>
    <cellStyle name="Uwaga 2 12 31 2" xfId="36286"/>
    <cellStyle name="Uwaga 2 12 31 3" xfId="36287"/>
    <cellStyle name="Uwaga 2 12 32" xfId="36288"/>
    <cellStyle name="Uwaga 2 12 32 2" xfId="36289"/>
    <cellStyle name="Uwaga 2 12 32 3" xfId="36290"/>
    <cellStyle name="Uwaga 2 12 33" xfId="36291"/>
    <cellStyle name="Uwaga 2 12 33 2" xfId="36292"/>
    <cellStyle name="Uwaga 2 12 33 3" xfId="36293"/>
    <cellStyle name="Uwaga 2 12 34" xfId="36294"/>
    <cellStyle name="Uwaga 2 12 34 2" xfId="36295"/>
    <cellStyle name="Uwaga 2 12 34 3" xfId="36296"/>
    <cellStyle name="Uwaga 2 12 35" xfId="36297"/>
    <cellStyle name="Uwaga 2 12 35 2" xfId="36298"/>
    <cellStyle name="Uwaga 2 12 35 3" xfId="36299"/>
    <cellStyle name="Uwaga 2 12 36" xfId="36300"/>
    <cellStyle name="Uwaga 2 12 36 2" xfId="36301"/>
    <cellStyle name="Uwaga 2 12 36 3" xfId="36302"/>
    <cellStyle name="Uwaga 2 12 37" xfId="36303"/>
    <cellStyle name="Uwaga 2 12 37 2" xfId="36304"/>
    <cellStyle name="Uwaga 2 12 37 3" xfId="36305"/>
    <cellStyle name="Uwaga 2 12 38" xfId="36306"/>
    <cellStyle name="Uwaga 2 12 38 2" xfId="36307"/>
    <cellStyle name="Uwaga 2 12 38 3" xfId="36308"/>
    <cellStyle name="Uwaga 2 12 39" xfId="36309"/>
    <cellStyle name="Uwaga 2 12 39 2" xfId="36310"/>
    <cellStyle name="Uwaga 2 12 39 3" xfId="36311"/>
    <cellStyle name="Uwaga 2 12 4" xfId="36312"/>
    <cellStyle name="Uwaga 2 12 4 2" xfId="36313"/>
    <cellStyle name="Uwaga 2 12 4 3" xfId="36314"/>
    <cellStyle name="Uwaga 2 12 4 4" xfId="36315"/>
    <cellStyle name="Uwaga 2 12 40" xfId="36316"/>
    <cellStyle name="Uwaga 2 12 40 2" xfId="36317"/>
    <cellStyle name="Uwaga 2 12 40 3" xfId="36318"/>
    <cellStyle name="Uwaga 2 12 41" xfId="36319"/>
    <cellStyle name="Uwaga 2 12 41 2" xfId="36320"/>
    <cellStyle name="Uwaga 2 12 41 3" xfId="36321"/>
    <cellStyle name="Uwaga 2 12 42" xfId="36322"/>
    <cellStyle name="Uwaga 2 12 42 2" xfId="36323"/>
    <cellStyle name="Uwaga 2 12 42 3" xfId="36324"/>
    <cellStyle name="Uwaga 2 12 43" xfId="36325"/>
    <cellStyle name="Uwaga 2 12 43 2" xfId="36326"/>
    <cellStyle name="Uwaga 2 12 43 3" xfId="36327"/>
    <cellStyle name="Uwaga 2 12 44" xfId="36328"/>
    <cellStyle name="Uwaga 2 12 44 2" xfId="36329"/>
    <cellStyle name="Uwaga 2 12 44 3" xfId="36330"/>
    <cellStyle name="Uwaga 2 12 45" xfId="36331"/>
    <cellStyle name="Uwaga 2 12 45 2" xfId="36332"/>
    <cellStyle name="Uwaga 2 12 45 3" xfId="36333"/>
    <cellStyle name="Uwaga 2 12 46" xfId="36334"/>
    <cellStyle name="Uwaga 2 12 46 2" xfId="36335"/>
    <cellStyle name="Uwaga 2 12 46 3" xfId="36336"/>
    <cellStyle name="Uwaga 2 12 47" xfId="36337"/>
    <cellStyle name="Uwaga 2 12 47 2" xfId="36338"/>
    <cellStyle name="Uwaga 2 12 47 3" xfId="36339"/>
    <cellStyle name="Uwaga 2 12 48" xfId="36340"/>
    <cellStyle name="Uwaga 2 12 48 2" xfId="36341"/>
    <cellStyle name="Uwaga 2 12 48 3" xfId="36342"/>
    <cellStyle name="Uwaga 2 12 49" xfId="36343"/>
    <cellStyle name="Uwaga 2 12 49 2" xfId="36344"/>
    <cellStyle name="Uwaga 2 12 49 3" xfId="36345"/>
    <cellStyle name="Uwaga 2 12 5" xfId="36346"/>
    <cellStyle name="Uwaga 2 12 5 2" xfId="36347"/>
    <cellStyle name="Uwaga 2 12 5 3" xfId="36348"/>
    <cellStyle name="Uwaga 2 12 5 4" xfId="36349"/>
    <cellStyle name="Uwaga 2 12 50" xfId="36350"/>
    <cellStyle name="Uwaga 2 12 50 2" xfId="36351"/>
    <cellStyle name="Uwaga 2 12 50 3" xfId="36352"/>
    <cellStyle name="Uwaga 2 12 51" xfId="36353"/>
    <cellStyle name="Uwaga 2 12 51 2" xfId="36354"/>
    <cellStyle name="Uwaga 2 12 51 3" xfId="36355"/>
    <cellStyle name="Uwaga 2 12 52" xfId="36356"/>
    <cellStyle name="Uwaga 2 12 52 2" xfId="36357"/>
    <cellStyle name="Uwaga 2 12 52 3" xfId="36358"/>
    <cellStyle name="Uwaga 2 12 53" xfId="36359"/>
    <cellStyle name="Uwaga 2 12 53 2" xfId="36360"/>
    <cellStyle name="Uwaga 2 12 53 3" xfId="36361"/>
    <cellStyle name="Uwaga 2 12 54" xfId="36362"/>
    <cellStyle name="Uwaga 2 12 54 2" xfId="36363"/>
    <cellStyle name="Uwaga 2 12 54 3" xfId="36364"/>
    <cellStyle name="Uwaga 2 12 55" xfId="36365"/>
    <cellStyle name="Uwaga 2 12 55 2" xfId="36366"/>
    <cellStyle name="Uwaga 2 12 55 3" xfId="36367"/>
    <cellStyle name="Uwaga 2 12 56" xfId="36368"/>
    <cellStyle name="Uwaga 2 12 56 2" xfId="36369"/>
    <cellStyle name="Uwaga 2 12 56 3" xfId="36370"/>
    <cellStyle name="Uwaga 2 12 57" xfId="36371"/>
    <cellStyle name="Uwaga 2 12 58" xfId="36372"/>
    <cellStyle name="Uwaga 2 12 6" xfId="36373"/>
    <cellStyle name="Uwaga 2 12 6 2" xfId="36374"/>
    <cellStyle name="Uwaga 2 12 6 3" xfId="36375"/>
    <cellStyle name="Uwaga 2 12 6 4" xfId="36376"/>
    <cellStyle name="Uwaga 2 12 7" xfId="36377"/>
    <cellStyle name="Uwaga 2 12 7 2" xfId="36378"/>
    <cellStyle name="Uwaga 2 12 7 3" xfId="36379"/>
    <cellStyle name="Uwaga 2 12 7 4" xfId="36380"/>
    <cellStyle name="Uwaga 2 12 8" xfId="36381"/>
    <cellStyle name="Uwaga 2 12 8 2" xfId="36382"/>
    <cellStyle name="Uwaga 2 12 8 3" xfId="36383"/>
    <cellStyle name="Uwaga 2 12 8 4" xfId="36384"/>
    <cellStyle name="Uwaga 2 12 9" xfId="36385"/>
    <cellStyle name="Uwaga 2 12 9 2" xfId="36386"/>
    <cellStyle name="Uwaga 2 12 9 3" xfId="36387"/>
    <cellStyle name="Uwaga 2 12 9 4" xfId="36388"/>
    <cellStyle name="Uwaga 2 13" xfId="36389"/>
    <cellStyle name="Uwaga 2 13 10" xfId="36390"/>
    <cellStyle name="Uwaga 2 13 10 2" xfId="36391"/>
    <cellStyle name="Uwaga 2 13 10 3" xfId="36392"/>
    <cellStyle name="Uwaga 2 13 10 4" xfId="36393"/>
    <cellStyle name="Uwaga 2 13 11" xfId="36394"/>
    <cellStyle name="Uwaga 2 13 11 2" xfId="36395"/>
    <cellStyle name="Uwaga 2 13 11 3" xfId="36396"/>
    <cellStyle name="Uwaga 2 13 11 4" xfId="36397"/>
    <cellStyle name="Uwaga 2 13 12" xfId="36398"/>
    <cellStyle name="Uwaga 2 13 12 2" xfId="36399"/>
    <cellStyle name="Uwaga 2 13 12 3" xfId="36400"/>
    <cellStyle name="Uwaga 2 13 12 4" xfId="36401"/>
    <cellStyle name="Uwaga 2 13 13" xfId="36402"/>
    <cellStyle name="Uwaga 2 13 13 2" xfId="36403"/>
    <cellStyle name="Uwaga 2 13 13 3" xfId="36404"/>
    <cellStyle name="Uwaga 2 13 13 4" xfId="36405"/>
    <cellStyle name="Uwaga 2 13 14" xfId="36406"/>
    <cellStyle name="Uwaga 2 13 14 2" xfId="36407"/>
    <cellStyle name="Uwaga 2 13 14 3" xfId="36408"/>
    <cellStyle name="Uwaga 2 13 14 4" xfId="36409"/>
    <cellStyle name="Uwaga 2 13 15" xfId="36410"/>
    <cellStyle name="Uwaga 2 13 15 2" xfId="36411"/>
    <cellStyle name="Uwaga 2 13 15 3" xfId="36412"/>
    <cellStyle name="Uwaga 2 13 15 4" xfId="36413"/>
    <cellStyle name="Uwaga 2 13 16" xfId="36414"/>
    <cellStyle name="Uwaga 2 13 16 2" xfId="36415"/>
    <cellStyle name="Uwaga 2 13 16 3" xfId="36416"/>
    <cellStyle name="Uwaga 2 13 16 4" xfId="36417"/>
    <cellStyle name="Uwaga 2 13 17" xfId="36418"/>
    <cellStyle name="Uwaga 2 13 17 2" xfId="36419"/>
    <cellStyle name="Uwaga 2 13 17 3" xfId="36420"/>
    <cellStyle name="Uwaga 2 13 17 4" xfId="36421"/>
    <cellStyle name="Uwaga 2 13 18" xfId="36422"/>
    <cellStyle name="Uwaga 2 13 18 2" xfId="36423"/>
    <cellStyle name="Uwaga 2 13 18 3" xfId="36424"/>
    <cellStyle name="Uwaga 2 13 18 4" xfId="36425"/>
    <cellStyle name="Uwaga 2 13 19" xfId="36426"/>
    <cellStyle name="Uwaga 2 13 19 2" xfId="36427"/>
    <cellStyle name="Uwaga 2 13 19 3" xfId="36428"/>
    <cellStyle name="Uwaga 2 13 19 4" xfId="36429"/>
    <cellStyle name="Uwaga 2 13 2" xfId="36430"/>
    <cellStyle name="Uwaga 2 13 2 2" xfId="36431"/>
    <cellStyle name="Uwaga 2 13 2 3" xfId="36432"/>
    <cellStyle name="Uwaga 2 13 2 4" xfId="36433"/>
    <cellStyle name="Uwaga 2 13 20" xfId="36434"/>
    <cellStyle name="Uwaga 2 13 20 2" xfId="36435"/>
    <cellStyle name="Uwaga 2 13 20 3" xfId="36436"/>
    <cellStyle name="Uwaga 2 13 20 4" xfId="36437"/>
    <cellStyle name="Uwaga 2 13 21" xfId="36438"/>
    <cellStyle name="Uwaga 2 13 21 2" xfId="36439"/>
    <cellStyle name="Uwaga 2 13 21 3" xfId="36440"/>
    <cellStyle name="Uwaga 2 13 22" xfId="36441"/>
    <cellStyle name="Uwaga 2 13 22 2" xfId="36442"/>
    <cellStyle name="Uwaga 2 13 22 3" xfId="36443"/>
    <cellStyle name="Uwaga 2 13 23" xfId="36444"/>
    <cellStyle name="Uwaga 2 13 23 2" xfId="36445"/>
    <cellStyle name="Uwaga 2 13 23 3" xfId="36446"/>
    <cellStyle name="Uwaga 2 13 24" xfId="36447"/>
    <cellStyle name="Uwaga 2 13 24 2" xfId="36448"/>
    <cellStyle name="Uwaga 2 13 24 3" xfId="36449"/>
    <cellStyle name="Uwaga 2 13 25" xfId="36450"/>
    <cellStyle name="Uwaga 2 13 25 2" xfId="36451"/>
    <cellStyle name="Uwaga 2 13 25 3" xfId="36452"/>
    <cellStyle name="Uwaga 2 13 26" xfId="36453"/>
    <cellStyle name="Uwaga 2 13 26 2" xfId="36454"/>
    <cellStyle name="Uwaga 2 13 26 3" xfId="36455"/>
    <cellStyle name="Uwaga 2 13 27" xfId="36456"/>
    <cellStyle name="Uwaga 2 13 27 2" xfId="36457"/>
    <cellStyle name="Uwaga 2 13 27 3" xfId="36458"/>
    <cellStyle name="Uwaga 2 13 28" xfId="36459"/>
    <cellStyle name="Uwaga 2 13 28 2" xfId="36460"/>
    <cellStyle name="Uwaga 2 13 28 3" xfId="36461"/>
    <cellStyle name="Uwaga 2 13 29" xfId="36462"/>
    <cellStyle name="Uwaga 2 13 29 2" xfId="36463"/>
    <cellStyle name="Uwaga 2 13 29 3" xfId="36464"/>
    <cellStyle name="Uwaga 2 13 3" xfId="36465"/>
    <cellStyle name="Uwaga 2 13 3 2" xfId="36466"/>
    <cellStyle name="Uwaga 2 13 3 3" xfId="36467"/>
    <cellStyle name="Uwaga 2 13 3 4" xfId="36468"/>
    <cellStyle name="Uwaga 2 13 30" xfId="36469"/>
    <cellStyle name="Uwaga 2 13 30 2" xfId="36470"/>
    <cellStyle name="Uwaga 2 13 30 3" xfId="36471"/>
    <cellStyle name="Uwaga 2 13 31" xfId="36472"/>
    <cellStyle name="Uwaga 2 13 31 2" xfId="36473"/>
    <cellStyle name="Uwaga 2 13 31 3" xfId="36474"/>
    <cellStyle name="Uwaga 2 13 32" xfId="36475"/>
    <cellStyle name="Uwaga 2 13 32 2" xfId="36476"/>
    <cellStyle name="Uwaga 2 13 32 3" xfId="36477"/>
    <cellStyle name="Uwaga 2 13 33" xfId="36478"/>
    <cellStyle name="Uwaga 2 13 33 2" xfId="36479"/>
    <cellStyle name="Uwaga 2 13 33 3" xfId="36480"/>
    <cellStyle name="Uwaga 2 13 34" xfId="36481"/>
    <cellStyle name="Uwaga 2 13 34 2" xfId="36482"/>
    <cellStyle name="Uwaga 2 13 34 3" xfId="36483"/>
    <cellStyle name="Uwaga 2 13 35" xfId="36484"/>
    <cellStyle name="Uwaga 2 13 35 2" xfId="36485"/>
    <cellStyle name="Uwaga 2 13 35 3" xfId="36486"/>
    <cellStyle name="Uwaga 2 13 36" xfId="36487"/>
    <cellStyle name="Uwaga 2 13 36 2" xfId="36488"/>
    <cellStyle name="Uwaga 2 13 36 3" xfId="36489"/>
    <cellStyle name="Uwaga 2 13 37" xfId="36490"/>
    <cellStyle name="Uwaga 2 13 37 2" xfId="36491"/>
    <cellStyle name="Uwaga 2 13 37 3" xfId="36492"/>
    <cellStyle name="Uwaga 2 13 38" xfId="36493"/>
    <cellStyle name="Uwaga 2 13 38 2" xfId="36494"/>
    <cellStyle name="Uwaga 2 13 38 3" xfId="36495"/>
    <cellStyle name="Uwaga 2 13 39" xfId="36496"/>
    <cellStyle name="Uwaga 2 13 39 2" xfId="36497"/>
    <cellStyle name="Uwaga 2 13 39 3" xfId="36498"/>
    <cellStyle name="Uwaga 2 13 4" xfId="36499"/>
    <cellStyle name="Uwaga 2 13 4 2" xfId="36500"/>
    <cellStyle name="Uwaga 2 13 4 3" xfId="36501"/>
    <cellStyle name="Uwaga 2 13 4 4" xfId="36502"/>
    <cellStyle name="Uwaga 2 13 40" xfId="36503"/>
    <cellStyle name="Uwaga 2 13 40 2" xfId="36504"/>
    <cellStyle name="Uwaga 2 13 40 3" xfId="36505"/>
    <cellStyle name="Uwaga 2 13 41" xfId="36506"/>
    <cellStyle name="Uwaga 2 13 41 2" xfId="36507"/>
    <cellStyle name="Uwaga 2 13 41 3" xfId="36508"/>
    <cellStyle name="Uwaga 2 13 42" xfId="36509"/>
    <cellStyle name="Uwaga 2 13 42 2" xfId="36510"/>
    <cellStyle name="Uwaga 2 13 42 3" xfId="36511"/>
    <cellStyle name="Uwaga 2 13 43" xfId="36512"/>
    <cellStyle name="Uwaga 2 13 43 2" xfId="36513"/>
    <cellStyle name="Uwaga 2 13 43 3" xfId="36514"/>
    <cellStyle name="Uwaga 2 13 44" xfId="36515"/>
    <cellStyle name="Uwaga 2 13 44 2" xfId="36516"/>
    <cellStyle name="Uwaga 2 13 44 3" xfId="36517"/>
    <cellStyle name="Uwaga 2 13 45" xfId="36518"/>
    <cellStyle name="Uwaga 2 13 45 2" xfId="36519"/>
    <cellStyle name="Uwaga 2 13 45 3" xfId="36520"/>
    <cellStyle name="Uwaga 2 13 46" xfId="36521"/>
    <cellStyle name="Uwaga 2 13 46 2" xfId="36522"/>
    <cellStyle name="Uwaga 2 13 46 3" xfId="36523"/>
    <cellStyle name="Uwaga 2 13 47" xfId="36524"/>
    <cellStyle name="Uwaga 2 13 47 2" xfId="36525"/>
    <cellStyle name="Uwaga 2 13 47 3" xfId="36526"/>
    <cellStyle name="Uwaga 2 13 48" xfId="36527"/>
    <cellStyle name="Uwaga 2 13 48 2" xfId="36528"/>
    <cellStyle name="Uwaga 2 13 48 3" xfId="36529"/>
    <cellStyle name="Uwaga 2 13 49" xfId="36530"/>
    <cellStyle name="Uwaga 2 13 49 2" xfId="36531"/>
    <cellStyle name="Uwaga 2 13 49 3" xfId="36532"/>
    <cellStyle name="Uwaga 2 13 5" xfId="36533"/>
    <cellStyle name="Uwaga 2 13 5 2" xfId="36534"/>
    <cellStyle name="Uwaga 2 13 5 3" xfId="36535"/>
    <cellStyle name="Uwaga 2 13 5 4" xfId="36536"/>
    <cellStyle name="Uwaga 2 13 50" xfId="36537"/>
    <cellStyle name="Uwaga 2 13 50 2" xfId="36538"/>
    <cellStyle name="Uwaga 2 13 50 3" xfId="36539"/>
    <cellStyle name="Uwaga 2 13 51" xfId="36540"/>
    <cellStyle name="Uwaga 2 13 51 2" xfId="36541"/>
    <cellStyle name="Uwaga 2 13 51 3" xfId="36542"/>
    <cellStyle name="Uwaga 2 13 52" xfId="36543"/>
    <cellStyle name="Uwaga 2 13 52 2" xfId="36544"/>
    <cellStyle name="Uwaga 2 13 52 3" xfId="36545"/>
    <cellStyle name="Uwaga 2 13 53" xfId="36546"/>
    <cellStyle name="Uwaga 2 13 53 2" xfId="36547"/>
    <cellStyle name="Uwaga 2 13 53 3" xfId="36548"/>
    <cellStyle name="Uwaga 2 13 54" xfId="36549"/>
    <cellStyle name="Uwaga 2 13 54 2" xfId="36550"/>
    <cellStyle name="Uwaga 2 13 54 3" xfId="36551"/>
    <cellStyle name="Uwaga 2 13 55" xfId="36552"/>
    <cellStyle name="Uwaga 2 13 55 2" xfId="36553"/>
    <cellStyle name="Uwaga 2 13 55 3" xfId="36554"/>
    <cellStyle name="Uwaga 2 13 56" xfId="36555"/>
    <cellStyle name="Uwaga 2 13 56 2" xfId="36556"/>
    <cellStyle name="Uwaga 2 13 56 3" xfId="36557"/>
    <cellStyle name="Uwaga 2 13 57" xfId="36558"/>
    <cellStyle name="Uwaga 2 13 58" xfId="36559"/>
    <cellStyle name="Uwaga 2 13 6" xfId="36560"/>
    <cellStyle name="Uwaga 2 13 6 2" xfId="36561"/>
    <cellStyle name="Uwaga 2 13 6 3" xfId="36562"/>
    <cellStyle name="Uwaga 2 13 6 4" xfId="36563"/>
    <cellStyle name="Uwaga 2 13 7" xfId="36564"/>
    <cellStyle name="Uwaga 2 13 7 2" xfId="36565"/>
    <cellStyle name="Uwaga 2 13 7 3" xfId="36566"/>
    <cellStyle name="Uwaga 2 13 7 4" xfId="36567"/>
    <cellStyle name="Uwaga 2 13 8" xfId="36568"/>
    <cellStyle name="Uwaga 2 13 8 2" xfId="36569"/>
    <cellStyle name="Uwaga 2 13 8 3" xfId="36570"/>
    <cellStyle name="Uwaga 2 13 8 4" xfId="36571"/>
    <cellStyle name="Uwaga 2 13 9" xfId="36572"/>
    <cellStyle name="Uwaga 2 13 9 2" xfId="36573"/>
    <cellStyle name="Uwaga 2 13 9 3" xfId="36574"/>
    <cellStyle name="Uwaga 2 13 9 4" xfId="36575"/>
    <cellStyle name="Uwaga 2 14" xfId="36576"/>
    <cellStyle name="Uwaga 2 14 10" xfId="36577"/>
    <cellStyle name="Uwaga 2 14 10 2" xfId="36578"/>
    <cellStyle name="Uwaga 2 14 10 3" xfId="36579"/>
    <cellStyle name="Uwaga 2 14 10 4" xfId="36580"/>
    <cellStyle name="Uwaga 2 14 11" xfId="36581"/>
    <cellStyle name="Uwaga 2 14 11 2" xfId="36582"/>
    <cellStyle name="Uwaga 2 14 11 3" xfId="36583"/>
    <cellStyle name="Uwaga 2 14 11 4" xfId="36584"/>
    <cellStyle name="Uwaga 2 14 12" xfId="36585"/>
    <cellStyle name="Uwaga 2 14 12 2" xfId="36586"/>
    <cellStyle name="Uwaga 2 14 12 3" xfId="36587"/>
    <cellStyle name="Uwaga 2 14 12 4" xfId="36588"/>
    <cellStyle name="Uwaga 2 14 13" xfId="36589"/>
    <cellStyle name="Uwaga 2 14 13 2" xfId="36590"/>
    <cellStyle name="Uwaga 2 14 13 3" xfId="36591"/>
    <cellStyle name="Uwaga 2 14 13 4" xfId="36592"/>
    <cellStyle name="Uwaga 2 14 14" xfId="36593"/>
    <cellStyle name="Uwaga 2 14 14 2" xfId="36594"/>
    <cellStyle name="Uwaga 2 14 14 3" xfId="36595"/>
    <cellStyle name="Uwaga 2 14 14 4" xfId="36596"/>
    <cellStyle name="Uwaga 2 14 15" xfId="36597"/>
    <cellStyle name="Uwaga 2 14 15 2" xfId="36598"/>
    <cellStyle name="Uwaga 2 14 15 3" xfId="36599"/>
    <cellStyle name="Uwaga 2 14 15 4" xfId="36600"/>
    <cellStyle name="Uwaga 2 14 16" xfId="36601"/>
    <cellStyle name="Uwaga 2 14 16 2" xfId="36602"/>
    <cellStyle name="Uwaga 2 14 16 3" xfId="36603"/>
    <cellStyle name="Uwaga 2 14 16 4" xfId="36604"/>
    <cellStyle name="Uwaga 2 14 17" xfId="36605"/>
    <cellStyle name="Uwaga 2 14 17 2" xfId="36606"/>
    <cellStyle name="Uwaga 2 14 17 3" xfId="36607"/>
    <cellStyle name="Uwaga 2 14 17 4" xfId="36608"/>
    <cellStyle name="Uwaga 2 14 18" xfId="36609"/>
    <cellStyle name="Uwaga 2 14 18 2" xfId="36610"/>
    <cellStyle name="Uwaga 2 14 18 3" xfId="36611"/>
    <cellStyle name="Uwaga 2 14 18 4" xfId="36612"/>
    <cellStyle name="Uwaga 2 14 19" xfId="36613"/>
    <cellStyle name="Uwaga 2 14 19 2" xfId="36614"/>
    <cellStyle name="Uwaga 2 14 19 3" xfId="36615"/>
    <cellStyle name="Uwaga 2 14 19 4" xfId="36616"/>
    <cellStyle name="Uwaga 2 14 2" xfId="36617"/>
    <cellStyle name="Uwaga 2 14 2 2" xfId="36618"/>
    <cellStyle name="Uwaga 2 14 2 3" xfId="36619"/>
    <cellStyle name="Uwaga 2 14 2 4" xfId="36620"/>
    <cellStyle name="Uwaga 2 14 20" xfId="36621"/>
    <cellStyle name="Uwaga 2 14 20 2" xfId="36622"/>
    <cellStyle name="Uwaga 2 14 20 3" xfId="36623"/>
    <cellStyle name="Uwaga 2 14 20 4" xfId="36624"/>
    <cellStyle name="Uwaga 2 14 21" xfId="36625"/>
    <cellStyle name="Uwaga 2 14 21 2" xfId="36626"/>
    <cellStyle name="Uwaga 2 14 21 3" xfId="36627"/>
    <cellStyle name="Uwaga 2 14 22" xfId="36628"/>
    <cellStyle name="Uwaga 2 14 22 2" xfId="36629"/>
    <cellStyle name="Uwaga 2 14 22 3" xfId="36630"/>
    <cellStyle name="Uwaga 2 14 23" xfId="36631"/>
    <cellStyle name="Uwaga 2 14 23 2" xfId="36632"/>
    <cellStyle name="Uwaga 2 14 23 3" xfId="36633"/>
    <cellStyle name="Uwaga 2 14 24" xfId="36634"/>
    <cellStyle name="Uwaga 2 14 24 2" xfId="36635"/>
    <cellStyle name="Uwaga 2 14 24 3" xfId="36636"/>
    <cellStyle name="Uwaga 2 14 25" xfId="36637"/>
    <cellStyle name="Uwaga 2 14 25 2" xfId="36638"/>
    <cellStyle name="Uwaga 2 14 25 3" xfId="36639"/>
    <cellStyle name="Uwaga 2 14 26" xfId="36640"/>
    <cellStyle name="Uwaga 2 14 26 2" xfId="36641"/>
    <cellStyle name="Uwaga 2 14 26 3" xfId="36642"/>
    <cellStyle name="Uwaga 2 14 27" xfId="36643"/>
    <cellStyle name="Uwaga 2 14 27 2" xfId="36644"/>
    <cellStyle name="Uwaga 2 14 27 3" xfId="36645"/>
    <cellStyle name="Uwaga 2 14 28" xfId="36646"/>
    <cellStyle name="Uwaga 2 14 28 2" xfId="36647"/>
    <cellStyle name="Uwaga 2 14 28 3" xfId="36648"/>
    <cellStyle name="Uwaga 2 14 29" xfId="36649"/>
    <cellStyle name="Uwaga 2 14 29 2" xfId="36650"/>
    <cellStyle name="Uwaga 2 14 29 3" xfId="36651"/>
    <cellStyle name="Uwaga 2 14 3" xfId="36652"/>
    <cellStyle name="Uwaga 2 14 3 2" xfId="36653"/>
    <cellStyle name="Uwaga 2 14 3 3" xfId="36654"/>
    <cellStyle name="Uwaga 2 14 3 4" xfId="36655"/>
    <cellStyle name="Uwaga 2 14 30" xfId="36656"/>
    <cellStyle name="Uwaga 2 14 30 2" xfId="36657"/>
    <cellStyle name="Uwaga 2 14 30 3" xfId="36658"/>
    <cellStyle name="Uwaga 2 14 31" xfId="36659"/>
    <cellStyle name="Uwaga 2 14 31 2" xfId="36660"/>
    <cellStyle name="Uwaga 2 14 31 3" xfId="36661"/>
    <cellStyle name="Uwaga 2 14 32" xfId="36662"/>
    <cellStyle name="Uwaga 2 14 32 2" xfId="36663"/>
    <cellStyle name="Uwaga 2 14 32 3" xfId="36664"/>
    <cellStyle name="Uwaga 2 14 33" xfId="36665"/>
    <cellStyle name="Uwaga 2 14 33 2" xfId="36666"/>
    <cellStyle name="Uwaga 2 14 33 3" xfId="36667"/>
    <cellStyle name="Uwaga 2 14 34" xfId="36668"/>
    <cellStyle name="Uwaga 2 14 34 2" xfId="36669"/>
    <cellStyle name="Uwaga 2 14 34 3" xfId="36670"/>
    <cellStyle name="Uwaga 2 14 35" xfId="36671"/>
    <cellStyle name="Uwaga 2 14 35 2" xfId="36672"/>
    <cellStyle name="Uwaga 2 14 35 3" xfId="36673"/>
    <cellStyle name="Uwaga 2 14 36" xfId="36674"/>
    <cellStyle name="Uwaga 2 14 36 2" xfId="36675"/>
    <cellStyle name="Uwaga 2 14 36 3" xfId="36676"/>
    <cellStyle name="Uwaga 2 14 37" xfId="36677"/>
    <cellStyle name="Uwaga 2 14 37 2" xfId="36678"/>
    <cellStyle name="Uwaga 2 14 37 3" xfId="36679"/>
    <cellStyle name="Uwaga 2 14 38" xfId="36680"/>
    <cellStyle name="Uwaga 2 14 38 2" xfId="36681"/>
    <cellStyle name="Uwaga 2 14 38 3" xfId="36682"/>
    <cellStyle name="Uwaga 2 14 39" xfId="36683"/>
    <cellStyle name="Uwaga 2 14 39 2" xfId="36684"/>
    <cellStyle name="Uwaga 2 14 39 3" xfId="36685"/>
    <cellStyle name="Uwaga 2 14 4" xfId="36686"/>
    <cellStyle name="Uwaga 2 14 4 2" xfId="36687"/>
    <cellStyle name="Uwaga 2 14 4 3" xfId="36688"/>
    <cellStyle name="Uwaga 2 14 4 4" xfId="36689"/>
    <cellStyle name="Uwaga 2 14 40" xfId="36690"/>
    <cellStyle name="Uwaga 2 14 40 2" xfId="36691"/>
    <cellStyle name="Uwaga 2 14 40 3" xfId="36692"/>
    <cellStyle name="Uwaga 2 14 41" xfId="36693"/>
    <cellStyle name="Uwaga 2 14 41 2" xfId="36694"/>
    <cellStyle name="Uwaga 2 14 41 3" xfId="36695"/>
    <cellStyle name="Uwaga 2 14 42" xfId="36696"/>
    <cellStyle name="Uwaga 2 14 42 2" xfId="36697"/>
    <cellStyle name="Uwaga 2 14 42 3" xfId="36698"/>
    <cellStyle name="Uwaga 2 14 43" xfId="36699"/>
    <cellStyle name="Uwaga 2 14 43 2" xfId="36700"/>
    <cellStyle name="Uwaga 2 14 43 3" xfId="36701"/>
    <cellStyle name="Uwaga 2 14 44" xfId="36702"/>
    <cellStyle name="Uwaga 2 14 44 2" xfId="36703"/>
    <cellStyle name="Uwaga 2 14 44 3" xfId="36704"/>
    <cellStyle name="Uwaga 2 14 45" xfId="36705"/>
    <cellStyle name="Uwaga 2 14 45 2" xfId="36706"/>
    <cellStyle name="Uwaga 2 14 45 3" xfId="36707"/>
    <cellStyle name="Uwaga 2 14 46" xfId="36708"/>
    <cellStyle name="Uwaga 2 14 46 2" xfId="36709"/>
    <cellStyle name="Uwaga 2 14 46 3" xfId="36710"/>
    <cellStyle name="Uwaga 2 14 47" xfId="36711"/>
    <cellStyle name="Uwaga 2 14 47 2" xfId="36712"/>
    <cellStyle name="Uwaga 2 14 47 3" xfId="36713"/>
    <cellStyle name="Uwaga 2 14 48" xfId="36714"/>
    <cellStyle name="Uwaga 2 14 48 2" xfId="36715"/>
    <cellStyle name="Uwaga 2 14 48 3" xfId="36716"/>
    <cellStyle name="Uwaga 2 14 49" xfId="36717"/>
    <cellStyle name="Uwaga 2 14 49 2" xfId="36718"/>
    <cellStyle name="Uwaga 2 14 49 3" xfId="36719"/>
    <cellStyle name="Uwaga 2 14 5" xfId="36720"/>
    <cellStyle name="Uwaga 2 14 5 2" xfId="36721"/>
    <cellStyle name="Uwaga 2 14 5 3" xfId="36722"/>
    <cellStyle name="Uwaga 2 14 5 4" xfId="36723"/>
    <cellStyle name="Uwaga 2 14 50" xfId="36724"/>
    <cellStyle name="Uwaga 2 14 50 2" xfId="36725"/>
    <cellStyle name="Uwaga 2 14 50 3" xfId="36726"/>
    <cellStyle name="Uwaga 2 14 51" xfId="36727"/>
    <cellStyle name="Uwaga 2 14 51 2" xfId="36728"/>
    <cellStyle name="Uwaga 2 14 51 3" xfId="36729"/>
    <cellStyle name="Uwaga 2 14 52" xfId="36730"/>
    <cellStyle name="Uwaga 2 14 52 2" xfId="36731"/>
    <cellStyle name="Uwaga 2 14 52 3" xfId="36732"/>
    <cellStyle name="Uwaga 2 14 53" xfId="36733"/>
    <cellStyle name="Uwaga 2 14 53 2" xfId="36734"/>
    <cellStyle name="Uwaga 2 14 53 3" xfId="36735"/>
    <cellStyle name="Uwaga 2 14 54" xfId="36736"/>
    <cellStyle name="Uwaga 2 14 54 2" xfId="36737"/>
    <cellStyle name="Uwaga 2 14 54 3" xfId="36738"/>
    <cellStyle name="Uwaga 2 14 55" xfId="36739"/>
    <cellStyle name="Uwaga 2 14 55 2" xfId="36740"/>
    <cellStyle name="Uwaga 2 14 55 3" xfId="36741"/>
    <cellStyle name="Uwaga 2 14 56" xfId="36742"/>
    <cellStyle name="Uwaga 2 14 56 2" xfId="36743"/>
    <cellStyle name="Uwaga 2 14 56 3" xfId="36744"/>
    <cellStyle name="Uwaga 2 14 57" xfId="36745"/>
    <cellStyle name="Uwaga 2 14 58" xfId="36746"/>
    <cellStyle name="Uwaga 2 14 6" xfId="36747"/>
    <cellStyle name="Uwaga 2 14 6 2" xfId="36748"/>
    <cellStyle name="Uwaga 2 14 6 3" xfId="36749"/>
    <cellStyle name="Uwaga 2 14 6 4" xfId="36750"/>
    <cellStyle name="Uwaga 2 14 7" xfId="36751"/>
    <cellStyle name="Uwaga 2 14 7 2" xfId="36752"/>
    <cellStyle name="Uwaga 2 14 7 3" xfId="36753"/>
    <cellStyle name="Uwaga 2 14 7 4" xfId="36754"/>
    <cellStyle name="Uwaga 2 14 8" xfId="36755"/>
    <cellStyle name="Uwaga 2 14 8 2" xfId="36756"/>
    <cellStyle name="Uwaga 2 14 8 3" xfId="36757"/>
    <cellStyle name="Uwaga 2 14 8 4" xfId="36758"/>
    <cellStyle name="Uwaga 2 14 9" xfId="36759"/>
    <cellStyle name="Uwaga 2 14 9 2" xfId="36760"/>
    <cellStyle name="Uwaga 2 14 9 3" xfId="36761"/>
    <cellStyle name="Uwaga 2 14 9 4" xfId="36762"/>
    <cellStyle name="Uwaga 2 15" xfId="36763"/>
    <cellStyle name="Uwaga 2 15 10" xfId="36764"/>
    <cellStyle name="Uwaga 2 15 10 2" xfId="36765"/>
    <cellStyle name="Uwaga 2 15 10 3" xfId="36766"/>
    <cellStyle name="Uwaga 2 15 10 4" xfId="36767"/>
    <cellStyle name="Uwaga 2 15 11" xfId="36768"/>
    <cellStyle name="Uwaga 2 15 11 2" xfId="36769"/>
    <cellStyle name="Uwaga 2 15 11 3" xfId="36770"/>
    <cellStyle name="Uwaga 2 15 11 4" xfId="36771"/>
    <cellStyle name="Uwaga 2 15 12" xfId="36772"/>
    <cellStyle name="Uwaga 2 15 12 2" xfId="36773"/>
    <cellStyle name="Uwaga 2 15 12 3" xfId="36774"/>
    <cellStyle name="Uwaga 2 15 12 4" xfId="36775"/>
    <cellStyle name="Uwaga 2 15 13" xfId="36776"/>
    <cellStyle name="Uwaga 2 15 13 2" xfId="36777"/>
    <cellStyle name="Uwaga 2 15 13 3" xfId="36778"/>
    <cellStyle name="Uwaga 2 15 13 4" xfId="36779"/>
    <cellStyle name="Uwaga 2 15 14" xfId="36780"/>
    <cellStyle name="Uwaga 2 15 14 2" xfId="36781"/>
    <cellStyle name="Uwaga 2 15 14 3" xfId="36782"/>
    <cellStyle name="Uwaga 2 15 14 4" xfId="36783"/>
    <cellStyle name="Uwaga 2 15 15" xfId="36784"/>
    <cellStyle name="Uwaga 2 15 15 2" xfId="36785"/>
    <cellStyle name="Uwaga 2 15 15 3" xfId="36786"/>
    <cellStyle name="Uwaga 2 15 15 4" xfId="36787"/>
    <cellStyle name="Uwaga 2 15 16" xfId="36788"/>
    <cellStyle name="Uwaga 2 15 16 2" xfId="36789"/>
    <cellStyle name="Uwaga 2 15 16 3" xfId="36790"/>
    <cellStyle name="Uwaga 2 15 16 4" xfId="36791"/>
    <cellStyle name="Uwaga 2 15 17" xfId="36792"/>
    <cellStyle name="Uwaga 2 15 17 2" xfId="36793"/>
    <cellStyle name="Uwaga 2 15 17 3" xfId="36794"/>
    <cellStyle name="Uwaga 2 15 17 4" xfId="36795"/>
    <cellStyle name="Uwaga 2 15 18" xfId="36796"/>
    <cellStyle name="Uwaga 2 15 18 2" xfId="36797"/>
    <cellStyle name="Uwaga 2 15 18 3" xfId="36798"/>
    <cellStyle name="Uwaga 2 15 18 4" xfId="36799"/>
    <cellStyle name="Uwaga 2 15 19" xfId="36800"/>
    <cellStyle name="Uwaga 2 15 19 2" xfId="36801"/>
    <cellStyle name="Uwaga 2 15 19 3" xfId="36802"/>
    <cellStyle name="Uwaga 2 15 19 4" xfId="36803"/>
    <cellStyle name="Uwaga 2 15 2" xfId="36804"/>
    <cellStyle name="Uwaga 2 15 2 2" xfId="36805"/>
    <cellStyle name="Uwaga 2 15 2 3" xfId="36806"/>
    <cellStyle name="Uwaga 2 15 2 4" xfId="36807"/>
    <cellStyle name="Uwaga 2 15 20" xfId="36808"/>
    <cellStyle name="Uwaga 2 15 20 2" xfId="36809"/>
    <cellStyle name="Uwaga 2 15 20 3" xfId="36810"/>
    <cellStyle name="Uwaga 2 15 20 4" xfId="36811"/>
    <cellStyle name="Uwaga 2 15 21" xfId="36812"/>
    <cellStyle name="Uwaga 2 15 21 2" xfId="36813"/>
    <cellStyle name="Uwaga 2 15 21 3" xfId="36814"/>
    <cellStyle name="Uwaga 2 15 22" xfId="36815"/>
    <cellStyle name="Uwaga 2 15 22 2" xfId="36816"/>
    <cellStyle name="Uwaga 2 15 22 3" xfId="36817"/>
    <cellStyle name="Uwaga 2 15 23" xfId="36818"/>
    <cellStyle name="Uwaga 2 15 23 2" xfId="36819"/>
    <cellStyle name="Uwaga 2 15 23 3" xfId="36820"/>
    <cellStyle name="Uwaga 2 15 24" xfId="36821"/>
    <cellStyle name="Uwaga 2 15 24 2" xfId="36822"/>
    <cellStyle name="Uwaga 2 15 24 3" xfId="36823"/>
    <cellStyle name="Uwaga 2 15 25" xfId="36824"/>
    <cellStyle name="Uwaga 2 15 25 2" xfId="36825"/>
    <cellStyle name="Uwaga 2 15 25 3" xfId="36826"/>
    <cellStyle name="Uwaga 2 15 26" xfId="36827"/>
    <cellStyle name="Uwaga 2 15 26 2" xfId="36828"/>
    <cellStyle name="Uwaga 2 15 26 3" xfId="36829"/>
    <cellStyle name="Uwaga 2 15 27" xfId="36830"/>
    <cellStyle name="Uwaga 2 15 27 2" xfId="36831"/>
    <cellStyle name="Uwaga 2 15 27 3" xfId="36832"/>
    <cellStyle name="Uwaga 2 15 28" xfId="36833"/>
    <cellStyle name="Uwaga 2 15 28 2" xfId="36834"/>
    <cellStyle name="Uwaga 2 15 28 3" xfId="36835"/>
    <cellStyle name="Uwaga 2 15 29" xfId="36836"/>
    <cellStyle name="Uwaga 2 15 29 2" xfId="36837"/>
    <cellStyle name="Uwaga 2 15 29 3" xfId="36838"/>
    <cellStyle name="Uwaga 2 15 3" xfId="36839"/>
    <cellStyle name="Uwaga 2 15 3 2" xfId="36840"/>
    <cellStyle name="Uwaga 2 15 3 3" xfId="36841"/>
    <cellStyle name="Uwaga 2 15 3 4" xfId="36842"/>
    <cellStyle name="Uwaga 2 15 30" xfId="36843"/>
    <cellStyle name="Uwaga 2 15 30 2" xfId="36844"/>
    <cellStyle name="Uwaga 2 15 30 3" xfId="36845"/>
    <cellStyle name="Uwaga 2 15 31" xfId="36846"/>
    <cellStyle name="Uwaga 2 15 31 2" xfId="36847"/>
    <cellStyle name="Uwaga 2 15 31 3" xfId="36848"/>
    <cellStyle name="Uwaga 2 15 32" xfId="36849"/>
    <cellStyle name="Uwaga 2 15 32 2" xfId="36850"/>
    <cellStyle name="Uwaga 2 15 32 3" xfId="36851"/>
    <cellStyle name="Uwaga 2 15 33" xfId="36852"/>
    <cellStyle name="Uwaga 2 15 33 2" xfId="36853"/>
    <cellStyle name="Uwaga 2 15 33 3" xfId="36854"/>
    <cellStyle name="Uwaga 2 15 34" xfId="36855"/>
    <cellStyle name="Uwaga 2 15 34 2" xfId="36856"/>
    <cellStyle name="Uwaga 2 15 34 3" xfId="36857"/>
    <cellStyle name="Uwaga 2 15 35" xfId="36858"/>
    <cellStyle name="Uwaga 2 15 35 2" xfId="36859"/>
    <cellStyle name="Uwaga 2 15 35 3" xfId="36860"/>
    <cellStyle name="Uwaga 2 15 36" xfId="36861"/>
    <cellStyle name="Uwaga 2 15 36 2" xfId="36862"/>
    <cellStyle name="Uwaga 2 15 36 3" xfId="36863"/>
    <cellStyle name="Uwaga 2 15 37" xfId="36864"/>
    <cellStyle name="Uwaga 2 15 37 2" xfId="36865"/>
    <cellStyle name="Uwaga 2 15 37 3" xfId="36866"/>
    <cellStyle name="Uwaga 2 15 38" xfId="36867"/>
    <cellStyle name="Uwaga 2 15 38 2" xfId="36868"/>
    <cellStyle name="Uwaga 2 15 38 3" xfId="36869"/>
    <cellStyle name="Uwaga 2 15 39" xfId="36870"/>
    <cellStyle name="Uwaga 2 15 39 2" xfId="36871"/>
    <cellStyle name="Uwaga 2 15 39 3" xfId="36872"/>
    <cellStyle name="Uwaga 2 15 4" xfId="36873"/>
    <cellStyle name="Uwaga 2 15 4 2" xfId="36874"/>
    <cellStyle name="Uwaga 2 15 4 3" xfId="36875"/>
    <cellStyle name="Uwaga 2 15 4 4" xfId="36876"/>
    <cellStyle name="Uwaga 2 15 40" xfId="36877"/>
    <cellStyle name="Uwaga 2 15 40 2" xfId="36878"/>
    <cellStyle name="Uwaga 2 15 40 3" xfId="36879"/>
    <cellStyle name="Uwaga 2 15 41" xfId="36880"/>
    <cellStyle name="Uwaga 2 15 41 2" xfId="36881"/>
    <cellStyle name="Uwaga 2 15 41 3" xfId="36882"/>
    <cellStyle name="Uwaga 2 15 42" xfId="36883"/>
    <cellStyle name="Uwaga 2 15 42 2" xfId="36884"/>
    <cellStyle name="Uwaga 2 15 42 3" xfId="36885"/>
    <cellStyle name="Uwaga 2 15 43" xfId="36886"/>
    <cellStyle name="Uwaga 2 15 43 2" xfId="36887"/>
    <cellStyle name="Uwaga 2 15 43 3" xfId="36888"/>
    <cellStyle name="Uwaga 2 15 44" xfId="36889"/>
    <cellStyle name="Uwaga 2 15 44 2" xfId="36890"/>
    <cellStyle name="Uwaga 2 15 44 3" xfId="36891"/>
    <cellStyle name="Uwaga 2 15 45" xfId="36892"/>
    <cellStyle name="Uwaga 2 15 45 2" xfId="36893"/>
    <cellStyle name="Uwaga 2 15 45 3" xfId="36894"/>
    <cellStyle name="Uwaga 2 15 46" xfId="36895"/>
    <cellStyle name="Uwaga 2 15 46 2" xfId="36896"/>
    <cellStyle name="Uwaga 2 15 46 3" xfId="36897"/>
    <cellStyle name="Uwaga 2 15 47" xfId="36898"/>
    <cellStyle name="Uwaga 2 15 47 2" xfId="36899"/>
    <cellStyle name="Uwaga 2 15 47 3" xfId="36900"/>
    <cellStyle name="Uwaga 2 15 48" xfId="36901"/>
    <cellStyle name="Uwaga 2 15 48 2" xfId="36902"/>
    <cellStyle name="Uwaga 2 15 48 3" xfId="36903"/>
    <cellStyle name="Uwaga 2 15 49" xfId="36904"/>
    <cellStyle name="Uwaga 2 15 49 2" xfId="36905"/>
    <cellStyle name="Uwaga 2 15 49 3" xfId="36906"/>
    <cellStyle name="Uwaga 2 15 5" xfId="36907"/>
    <cellStyle name="Uwaga 2 15 5 2" xfId="36908"/>
    <cellStyle name="Uwaga 2 15 5 3" xfId="36909"/>
    <cellStyle name="Uwaga 2 15 5 4" xfId="36910"/>
    <cellStyle name="Uwaga 2 15 50" xfId="36911"/>
    <cellStyle name="Uwaga 2 15 50 2" xfId="36912"/>
    <cellStyle name="Uwaga 2 15 50 3" xfId="36913"/>
    <cellStyle name="Uwaga 2 15 51" xfId="36914"/>
    <cellStyle name="Uwaga 2 15 51 2" xfId="36915"/>
    <cellStyle name="Uwaga 2 15 51 3" xfId="36916"/>
    <cellStyle name="Uwaga 2 15 52" xfId="36917"/>
    <cellStyle name="Uwaga 2 15 52 2" xfId="36918"/>
    <cellStyle name="Uwaga 2 15 52 3" xfId="36919"/>
    <cellStyle name="Uwaga 2 15 53" xfId="36920"/>
    <cellStyle name="Uwaga 2 15 53 2" xfId="36921"/>
    <cellStyle name="Uwaga 2 15 53 3" xfId="36922"/>
    <cellStyle name="Uwaga 2 15 54" xfId="36923"/>
    <cellStyle name="Uwaga 2 15 54 2" xfId="36924"/>
    <cellStyle name="Uwaga 2 15 54 3" xfId="36925"/>
    <cellStyle name="Uwaga 2 15 55" xfId="36926"/>
    <cellStyle name="Uwaga 2 15 55 2" xfId="36927"/>
    <cellStyle name="Uwaga 2 15 55 3" xfId="36928"/>
    <cellStyle name="Uwaga 2 15 56" xfId="36929"/>
    <cellStyle name="Uwaga 2 15 56 2" xfId="36930"/>
    <cellStyle name="Uwaga 2 15 56 3" xfId="36931"/>
    <cellStyle name="Uwaga 2 15 57" xfId="36932"/>
    <cellStyle name="Uwaga 2 15 58" xfId="36933"/>
    <cellStyle name="Uwaga 2 15 6" xfId="36934"/>
    <cellStyle name="Uwaga 2 15 6 2" xfId="36935"/>
    <cellStyle name="Uwaga 2 15 6 3" xfId="36936"/>
    <cellStyle name="Uwaga 2 15 6 4" xfId="36937"/>
    <cellStyle name="Uwaga 2 15 7" xfId="36938"/>
    <cellStyle name="Uwaga 2 15 7 2" xfId="36939"/>
    <cellStyle name="Uwaga 2 15 7 3" xfId="36940"/>
    <cellStyle name="Uwaga 2 15 7 4" xfId="36941"/>
    <cellStyle name="Uwaga 2 15 8" xfId="36942"/>
    <cellStyle name="Uwaga 2 15 8 2" xfId="36943"/>
    <cellStyle name="Uwaga 2 15 8 3" xfId="36944"/>
    <cellStyle name="Uwaga 2 15 8 4" xfId="36945"/>
    <cellStyle name="Uwaga 2 15 9" xfId="36946"/>
    <cellStyle name="Uwaga 2 15 9 2" xfId="36947"/>
    <cellStyle name="Uwaga 2 15 9 3" xfId="36948"/>
    <cellStyle name="Uwaga 2 15 9 4" xfId="36949"/>
    <cellStyle name="Uwaga 2 16" xfId="36950"/>
    <cellStyle name="Uwaga 2 16 10" xfId="36951"/>
    <cellStyle name="Uwaga 2 16 10 2" xfId="36952"/>
    <cellStyle name="Uwaga 2 16 10 3" xfId="36953"/>
    <cellStyle name="Uwaga 2 16 10 4" xfId="36954"/>
    <cellStyle name="Uwaga 2 16 11" xfId="36955"/>
    <cellStyle name="Uwaga 2 16 11 2" xfId="36956"/>
    <cellStyle name="Uwaga 2 16 11 3" xfId="36957"/>
    <cellStyle name="Uwaga 2 16 11 4" xfId="36958"/>
    <cellStyle name="Uwaga 2 16 12" xfId="36959"/>
    <cellStyle name="Uwaga 2 16 12 2" xfId="36960"/>
    <cellStyle name="Uwaga 2 16 12 3" xfId="36961"/>
    <cellStyle name="Uwaga 2 16 12 4" xfId="36962"/>
    <cellStyle name="Uwaga 2 16 13" xfId="36963"/>
    <cellStyle name="Uwaga 2 16 13 2" xfId="36964"/>
    <cellStyle name="Uwaga 2 16 13 3" xfId="36965"/>
    <cellStyle name="Uwaga 2 16 13 4" xfId="36966"/>
    <cellStyle name="Uwaga 2 16 14" xfId="36967"/>
    <cellStyle name="Uwaga 2 16 14 2" xfId="36968"/>
    <cellStyle name="Uwaga 2 16 14 3" xfId="36969"/>
    <cellStyle name="Uwaga 2 16 14 4" xfId="36970"/>
    <cellStyle name="Uwaga 2 16 15" xfId="36971"/>
    <cellStyle name="Uwaga 2 16 15 2" xfId="36972"/>
    <cellStyle name="Uwaga 2 16 15 3" xfId="36973"/>
    <cellStyle name="Uwaga 2 16 15 4" xfId="36974"/>
    <cellStyle name="Uwaga 2 16 16" xfId="36975"/>
    <cellStyle name="Uwaga 2 16 16 2" xfId="36976"/>
    <cellStyle name="Uwaga 2 16 16 3" xfId="36977"/>
    <cellStyle name="Uwaga 2 16 16 4" xfId="36978"/>
    <cellStyle name="Uwaga 2 16 17" xfId="36979"/>
    <cellStyle name="Uwaga 2 16 17 2" xfId="36980"/>
    <cellStyle name="Uwaga 2 16 17 3" xfId="36981"/>
    <cellStyle name="Uwaga 2 16 17 4" xfId="36982"/>
    <cellStyle name="Uwaga 2 16 18" xfId="36983"/>
    <cellStyle name="Uwaga 2 16 18 2" xfId="36984"/>
    <cellStyle name="Uwaga 2 16 18 3" xfId="36985"/>
    <cellStyle name="Uwaga 2 16 18 4" xfId="36986"/>
    <cellStyle name="Uwaga 2 16 19" xfId="36987"/>
    <cellStyle name="Uwaga 2 16 19 2" xfId="36988"/>
    <cellStyle name="Uwaga 2 16 19 3" xfId="36989"/>
    <cellStyle name="Uwaga 2 16 19 4" xfId="36990"/>
    <cellStyle name="Uwaga 2 16 2" xfId="36991"/>
    <cellStyle name="Uwaga 2 16 2 2" xfId="36992"/>
    <cellStyle name="Uwaga 2 16 2 3" xfId="36993"/>
    <cellStyle name="Uwaga 2 16 2 4" xfId="36994"/>
    <cellStyle name="Uwaga 2 16 20" xfId="36995"/>
    <cellStyle name="Uwaga 2 16 20 2" xfId="36996"/>
    <cellStyle name="Uwaga 2 16 20 3" xfId="36997"/>
    <cellStyle name="Uwaga 2 16 20 4" xfId="36998"/>
    <cellStyle name="Uwaga 2 16 21" xfId="36999"/>
    <cellStyle name="Uwaga 2 16 21 2" xfId="37000"/>
    <cellStyle name="Uwaga 2 16 21 3" xfId="37001"/>
    <cellStyle name="Uwaga 2 16 22" xfId="37002"/>
    <cellStyle name="Uwaga 2 16 22 2" xfId="37003"/>
    <cellStyle name="Uwaga 2 16 22 3" xfId="37004"/>
    <cellStyle name="Uwaga 2 16 23" xfId="37005"/>
    <cellStyle name="Uwaga 2 16 23 2" xfId="37006"/>
    <cellStyle name="Uwaga 2 16 23 3" xfId="37007"/>
    <cellStyle name="Uwaga 2 16 24" xfId="37008"/>
    <cellStyle name="Uwaga 2 16 24 2" xfId="37009"/>
    <cellStyle name="Uwaga 2 16 24 3" xfId="37010"/>
    <cellStyle name="Uwaga 2 16 25" xfId="37011"/>
    <cellStyle name="Uwaga 2 16 25 2" xfId="37012"/>
    <cellStyle name="Uwaga 2 16 25 3" xfId="37013"/>
    <cellStyle name="Uwaga 2 16 26" xfId="37014"/>
    <cellStyle name="Uwaga 2 16 26 2" xfId="37015"/>
    <cellStyle name="Uwaga 2 16 26 3" xfId="37016"/>
    <cellStyle name="Uwaga 2 16 27" xfId="37017"/>
    <cellStyle name="Uwaga 2 16 27 2" xfId="37018"/>
    <cellStyle name="Uwaga 2 16 27 3" xfId="37019"/>
    <cellStyle name="Uwaga 2 16 28" xfId="37020"/>
    <cellStyle name="Uwaga 2 16 28 2" xfId="37021"/>
    <cellStyle name="Uwaga 2 16 28 3" xfId="37022"/>
    <cellStyle name="Uwaga 2 16 29" xfId="37023"/>
    <cellStyle name="Uwaga 2 16 29 2" xfId="37024"/>
    <cellStyle name="Uwaga 2 16 29 3" xfId="37025"/>
    <cellStyle name="Uwaga 2 16 3" xfId="37026"/>
    <cellStyle name="Uwaga 2 16 3 2" xfId="37027"/>
    <cellStyle name="Uwaga 2 16 3 3" xfId="37028"/>
    <cellStyle name="Uwaga 2 16 3 4" xfId="37029"/>
    <cellStyle name="Uwaga 2 16 30" xfId="37030"/>
    <cellStyle name="Uwaga 2 16 30 2" xfId="37031"/>
    <cellStyle name="Uwaga 2 16 30 3" xfId="37032"/>
    <cellStyle name="Uwaga 2 16 31" xfId="37033"/>
    <cellStyle name="Uwaga 2 16 31 2" xfId="37034"/>
    <cellStyle name="Uwaga 2 16 31 3" xfId="37035"/>
    <cellStyle name="Uwaga 2 16 32" xfId="37036"/>
    <cellStyle name="Uwaga 2 16 32 2" xfId="37037"/>
    <cellStyle name="Uwaga 2 16 32 3" xfId="37038"/>
    <cellStyle name="Uwaga 2 16 33" xfId="37039"/>
    <cellStyle name="Uwaga 2 16 33 2" xfId="37040"/>
    <cellStyle name="Uwaga 2 16 33 3" xfId="37041"/>
    <cellStyle name="Uwaga 2 16 34" xfId="37042"/>
    <cellStyle name="Uwaga 2 16 34 2" xfId="37043"/>
    <cellStyle name="Uwaga 2 16 34 3" xfId="37044"/>
    <cellStyle name="Uwaga 2 16 35" xfId="37045"/>
    <cellStyle name="Uwaga 2 16 35 2" xfId="37046"/>
    <cellStyle name="Uwaga 2 16 35 3" xfId="37047"/>
    <cellStyle name="Uwaga 2 16 36" xfId="37048"/>
    <cellStyle name="Uwaga 2 16 36 2" xfId="37049"/>
    <cellStyle name="Uwaga 2 16 36 3" xfId="37050"/>
    <cellStyle name="Uwaga 2 16 37" xfId="37051"/>
    <cellStyle name="Uwaga 2 16 37 2" xfId="37052"/>
    <cellStyle name="Uwaga 2 16 37 3" xfId="37053"/>
    <cellStyle name="Uwaga 2 16 38" xfId="37054"/>
    <cellStyle name="Uwaga 2 16 38 2" xfId="37055"/>
    <cellStyle name="Uwaga 2 16 38 3" xfId="37056"/>
    <cellStyle name="Uwaga 2 16 39" xfId="37057"/>
    <cellStyle name="Uwaga 2 16 39 2" xfId="37058"/>
    <cellStyle name="Uwaga 2 16 39 3" xfId="37059"/>
    <cellStyle name="Uwaga 2 16 4" xfId="37060"/>
    <cellStyle name="Uwaga 2 16 4 2" xfId="37061"/>
    <cellStyle name="Uwaga 2 16 4 3" xfId="37062"/>
    <cellStyle name="Uwaga 2 16 4 4" xfId="37063"/>
    <cellStyle name="Uwaga 2 16 40" xfId="37064"/>
    <cellStyle name="Uwaga 2 16 40 2" xfId="37065"/>
    <cellStyle name="Uwaga 2 16 40 3" xfId="37066"/>
    <cellStyle name="Uwaga 2 16 41" xfId="37067"/>
    <cellStyle name="Uwaga 2 16 41 2" xfId="37068"/>
    <cellStyle name="Uwaga 2 16 41 3" xfId="37069"/>
    <cellStyle name="Uwaga 2 16 42" xfId="37070"/>
    <cellStyle name="Uwaga 2 16 42 2" xfId="37071"/>
    <cellStyle name="Uwaga 2 16 42 3" xfId="37072"/>
    <cellStyle name="Uwaga 2 16 43" xfId="37073"/>
    <cellStyle name="Uwaga 2 16 43 2" xfId="37074"/>
    <cellStyle name="Uwaga 2 16 43 3" xfId="37075"/>
    <cellStyle name="Uwaga 2 16 44" xfId="37076"/>
    <cellStyle name="Uwaga 2 16 44 2" xfId="37077"/>
    <cellStyle name="Uwaga 2 16 44 3" xfId="37078"/>
    <cellStyle name="Uwaga 2 16 45" xfId="37079"/>
    <cellStyle name="Uwaga 2 16 45 2" xfId="37080"/>
    <cellStyle name="Uwaga 2 16 45 3" xfId="37081"/>
    <cellStyle name="Uwaga 2 16 46" xfId="37082"/>
    <cellStyle name="Uwaga 2 16 46 2" xfId="37083"/>
    <cellStyle name="Uwaga 2 16 46 3" xfId="37084"/>
    <cellStyle name="Uwaga 2 16 47" xfId="37085"/>
    <cellStyle name="Uwaga 2 16 47 2" xfId="37086"/>
    <cellStyle name="Uwaga 2 16 47 3" xfId="37087"/>
    <cellStyle name="Uwaga 2 16 48" xfId="37088"/>
    <cellStyle name="Uwaga 2 16 48 2" xfId="37089"/>
    <cellStyle name="Uwaga 2 16 48 3" xfId="37090"/>
    <cellStyle name="Uwaga 2 16 49" xfId="37091"/>
    <cellStyle name="Uwaga 2 16 49 2" xfId="37092"/>
    <cellStyle name="Uwaga 2 16 49 3" xfId="37093"/>
    <cellStyle name="Uwaga 2 16 5" xfId="37094"/>
    <cellStyle name="Uwaga 2 16 5 2" xfId="37095"/>
    <cellStyle name="Uwaga 2 16 5 3" xfId="37096"/>
    <cellStyle name="Uwaga 2 16 5 4" xfId="37097"/>
    <cellStyle name="Uwaga 2 16 50" xfId="37098"/>
    <cellStyle name="Uwaga 2 16 50 2" xfId="37099"/>
    <cellStyle name="Uwaga 2 16 50 3" xfId="37100"/>
    <cellStyle name="Uwaga 2 16 51" xfId="37101"/>
    <cellStyle name="Uwaga 2 16 51 2" xfId="37102"/>
    <cellStyle name="Uwaga 2 16 51 3" xfId="37103"/>
    <cellStyle name="Uwaga 2 16 52" xfId="37104"/>
    <cellStyle name="Uwaga 2 16 52 2" xfId="37105"/>
    <cellStyle name="Uwaga 2 16 52 3" xfId="37106"/>
    <cellStyle name="Uwaga 2 16 53" xfId="37107"/>
    <cellStyle name="Uwaga 2 16 53 2" xfId="37108"/>
    <cellStyle name="Uwaga 2 16 53 3" xfId="37109"/>
    <cellStyle name="Uwaga 2 16 54" xfId="37110"/>
    <cellStyle name="Uwaga 2 16 54 2" xfId="37111"/>
    <cellStyle name="Uwaga 2 16 54 3" xfId="37112"/>
    <cellStyle name="Uwaga 2 16 55" xfId="37113"/>
    <cellStyle name="Uwaga 2 16 55 2" xfId="37114"/>
    <cellStyle name="Uwaga 2 16 55 3" xfId="37115"/>
    <cellStyle name="Uwaga 2 16 56" xfId="37116"/>
    <cellStyle name="Uwaga 2 16 56 2" xfId="37117"/>
    <cellStyle name="Uwaga 2 16 56 3" xfId="37118"/>
    <cellStyle name="Uwaga 2 16 57" xfId="37119"/>
    <cellStyle name="Uwaga 2 16 58" xfId="37120"/>
    <cellStyle name="Uwaga 2 16 6" xfId="37121"/>
    <cellStyle name="Uwaga 2 16 6 2" xfId="37122"/>
    <cellStyle name="Uwaga 2 16 6 3" xfId="37123"/>
    <cellStyle name="Uwaga 2 16 6 4" xfId="37124"/>
    <cellStyle name="Uwaga 2 16 7" xfId="37125"/>
    <cellStyle name="Uwaga 2 16 7 2" xfId="37126"/>
    <cellStyle name="Uwaga 2 16 7 3" xfId="37127"/>
    <cellStyle name="Uwaga 2 16 7 4" xfId="37128"/>
    <cellStyle name="Uwaga 2 16 8" xfId="37129"/>
    <cellStyle name="Uwaga 2 16 8 2" xfId="37130"/>
    <cellStyle name="Uwaga 2 16 8 3" xfId="37131"/>
    <cellStyle name="Uwaga 2 16 8 4" xfId="37132"/>
    <cellStyle name="Uwaga 2 16 9" xfId="37133"/>
    <cellStyle name="Uwaga 2 16 9 2" xfId="37134"/>
    <cellStyle name="Uwaga 2 16 9 3" xfId="37135"/>
    <cellStyle name="Uwaga 2 16 9 4" xfId="37136"/>
    <cellStyle name="Uwaga 2 17" xfId="37137"/>
    <cellStyle name="Uwaga 2 17 10" xfId="37138"/>
    <cellStyle name="Uwaga 2 17 10 2" xfId="37139"/>
    <cellStyle name="Uwaga 2 17 10 3" xfId="37140"/>
    <cellStyle name="Uwaga 2 17 10 4" xfId="37141"/>
    <cellStyle name="Uwaga 2 17 11" xfId="37142"/>
    <cellStyle name="Uwaga 2 17 11 2" xfId="37143"/>
    <cellStyle name="Uwaga 2 17 11 3" xfId="37144"/>
    <cellStyle name="Uwaga 2 17 11 4" xfId="37145"/>
    <cellStyle name="Uwaga 2 17 12" xfId="37146"/>
    <cellStyle name="Uwaga 2 17 12 2" xfId="37147"/>
    <cellStyle name="Uwaga 2 17 12 3" xfId="37148"/>
    <cellStyle name="Uwaga 2 17 12 4" xfId="37149"/>
    <cellStyle name="Uwaga 2 17 13" xfId="37150"/>
    <cellStyle name="Uwaga 2 17 13 2" xfId="37151"/>
    <cellStyle name="Uwaga 2 17 13 3" xfId="37152"/>
    <cellStyle name="Uwaga 2 17 13 4" xfId="37153"/>
    <cellStyle name="Uwaga 2 17 14" xfId="37154"/>
    <cellStyle name="Uwaga 2 17 14 2" xfId="37155"/>
    <cellStyle name="Uwaga 2 17 14 3" xfId="37156"/>
    <cellStyle name="Uwaga 2 17 14 4" xfId="37157"/>
    <cellStyle name="Uwaga 2 17 15" xfId="37158"/>
    <cellStyle name="Uwaga 2 17 15 2" xfId="37159"/>
    <cellStyle name="Uwaga 2 17 15 3" xfId="37160"/>
    <cellStyle name="Uwaga 2 17 15 4" xfId="37161"/>
    <cellStyle name="Uwaga 2 17 16" xfId="37162"/>
    <cellStyle name="Uwaga 2 17 16 2" xfId="37163"/>
    <cellStyle name="Uwaga 2 17 16 3" xfId="37164"/>
    <cellStyle name="Uwaga 2 17 16 4" xfId="37165"/>
    <cellStyle name="Uwaga 2 17 17" xfId="37166"/>
    <cellStyle name="Uwaga 2 17 17 2" xfId="37167"/>
    <cellStyle name="Uwaga 2 17 17 3" xfId="37168"/>
    <cellStyle name="Uwaga 2 17 17 4" xfId="37169"/>
    <cellStyle name="Uwaga 2 17 18" xfId="37170"/>
    <cellStyle name="Uwaga 2 17 18 2" xfId="37171"/>
    <cellStyle name="Uwaga 2 17 18 3" xfId="37172"/>
    <cellStyle name="Uwaga 2 17 18 4" xfId="37173"/>
    <cellStyle name="Uwaga 2 17 19" xfId="37174"/>
    <cellStyle name="Uwaga 2 17 19 2" xfId="37175"/>
    <cellStyle name="Uwaga 2 17 19 3" xfId="37176"/>
    <cellStyle name="Uwaga 2 17 19 4" xfId="37177"/>
    <cellStyle name="Uwaga 2 17 2" xfId="37178"/>
    <cellStyle name="Uwaga 2 17 2 2" xfId="37179"/>
    <cellStyle name="Uwaga 2 17 2 3" xfId="37180"/>
    <cellStyle name="Uwaga 2 17 2 4" xfId="37181"/>
    <cellStyle name="Uwaga 2 17 20" xfId="37182"/>
    <cellStyle name="Uwaga 2 17 20 2" xfId="37183"/>
    <cellStyle name="Uwaga 2 17 20 3" xfId="37184"/>
    <cellStyle name="Uwaga 2 17 20 4" xfId="37185"/>
    <cellStyle name="Uwaga 2 17 21" xfId="37186"/>
    <cellStyle name="Uwaga 2 17 21 2" xfId="37187"/>
    <cellStyle name="Uwaga 2 17 21 3" xfId="37188"/>
    <cellStyle name="Uwaga 2 17 22" xfId="37189"/>
    <cellStyle name="Uwaga 2 17 22 2" xfId="37190"/>
    <cellStyle name="Uwaga 2 17 22 3" xfId="37191"/>
    <cellStyle name="Uwaga 2 17 23" xfId="37192"/>
    <cellStyle name="Uwaga 2 17 23 2" xfId="37193"/>
    <cellStyle name="Uwaga 2 17 23 3" xfId="37194"/>
    <cellStyle name="Uwaga 2 17 24" xfId="37195"/>
    <cellStyle name="Uwaga 2 17 24 2" xfId="37196"/>
    <cellStyle name="Uwaga 2 17 24 3" xfId="37197"/>
    <cellStyle name="Uwaga 2 17 25" xfId="37198"/>
    <cellStyle name="Uwaga 2 17 25 2" xfId="37199"/>
    <cellStyle name="Uwaga 2 17 25 3" xfId="37200"/>
    <cellStyle name="Uwaga 2 17 26" xfId="37201"/>
    <cellStyle name="Uwaga 2 17 26 2" xfId="37202"/>
    <cellStyle name="Uwaga 2 17 26 3" xfId="37203"/>
    <cellStyle name="Uwaga 2 17 27" xfId="37204"/>
    <cellStyle name="Uwaga 2 17 27 2" xfId="37205"/>
    <cellStyle name="Uwaga 2 17 27 3" xfId="37206"/>
    <cellStyle name="Uwaga 2 17 28" xfId="37207"/>
    <cellStyle name="Uwaga 2 17 28 2" xfId="37208"/>
    <cellStyle name="Uwaga 2 17 28 3" xfId="37209"/>
    <cellStyle name="Uwaga 2 17 29" xfId="37210"/>
    <cellStyle name="Uwaga 2 17 29 2" xfId="37211"/>
    <cellStyle name="Uwaga 2 17 29 3" xfId="37212"/>
    <cellStyle name="Uwaga 2 17 3" xfId="37213"/>
    <cellStyle name="Uwaga 2 17 3 2" xfId="37214"/>
    <cellStyle name="Uwaga 2 17 3 3" xfId="37215"/>
    <cellStyle name="Uwaga 2 17 3 4" xfId="37216"/>
    <cellStyle name="Uwaga 2 17 30" xfId="37217"/>
    <cellStyle name="Uwaga 2 17 30 2" xfId="37218"/>
    <cellStyle name="Uwaga 2 17 30 3" xfId="37219"/>
    <cellStyle name="Uwaga 2 17 31" xfId="37220"/>
    <cellStyle name="Uwaga 2 17 31 2" xfId="37221"/>
    <cellStyle name="Uwaga 2 17 31 3" xfId="37222"/>
    <cellStyle name="Uwaga 2 17 32" xfId="37223"/>
    <cellStyle name="Uwaga 2 17 32 2" xfId="37224"/>
    <cellStyle name="Uwaga 2 17 32 3" xfId="37225"/>
    <cellStyle name="Uwaga 2 17 33" xfId="37226"/>
    <cellStyle name="Uwaga 2 17 33 2" xfId="37227"/>
    <cellStyle name="Uwaga 2 17 33 3" xfId="37228"/>
    <cellStyle name="Uwaga 2 17 34" xfId="37229"/>
    <cellStyle name="Uwaga 2 17 34 2" xfId="37230"/>
    <cellStyle name="Uwaga 2 17 34 3" xfId="37231"/>
    <cellStyle name="Uwaga 2 17 35" xfId="37232"/>
    <cellStyle name="Uwaga 2 17 35 2" xfId="37233"/>
    <cellStyle name="Uwaga 2 17 35 3" xfId="37234"/>
    <cellStyle name="Uwaga 2 17 36" xfId="37235"/>
    <cellStyle name="Uwaga 2 17 36 2" xfId="37236"/>
    <cellStyle name="Uwaga 2 17 36 3" xfId="37237"/>
    <cellStyle name="Uwaga 2 17 37" xfId="37238"/>
    <cellStyle name="Uwaga 2 17 37 2" xfId="37239"/>
    <cellStyle name="Uwaga 2 17 37 3" xfId="37240"/>
    <cellStyle name="Uwaga 2 17 38" xfId="37241"/>
    <cellStyle name="Uwaga 2 17 38 2" xfId="37242"/>
    <cellStyle name="Uwaga 2 17 38 3" xfId="37243"/>
    <cellStyle name="Uwaga 2 17 39" xfId="37244"/>
    <cellStyle name="Uwaga 2 17 39 2" xfId="37245"/>
    <cellStyle name="Uwaga 2 17 39 3" xfId="37246"/>
    <cellStyle name="Uwaga 2 17 4" xfId="37247"/>
    <cellStyle name="Uwaga 2 17 4 2" xfId="37248"/>
    <cellStyle name="Uwaga 2 17 4 3" xfId="37249"/>
    <cellStyle name="Uwaga 2 17 4 4" xfId="37250"/>
    <cellStyle name="Uwaga 2 17 40" xfId="37251"/>
    <cellStyle name="Uwaga 2 17 40 2" xfId="37252"/>
    <cellStyle name="Uwaga 2 17 40 3" xfId="37253"/>
    <cellStyle name="Uwaga 2 17 41" xfId="37254"/>
    <cellStyle name="Uwaga 2 17 41 2" xfId="37255"/>
    <cellStyle name="Uwaga 2 17 41 3" xfId="37256"/>
    <cellStyle name="Uwaga 2 17 42" xfId="37257"/>
    <cellStyle name="Uwaga 2 17 42 2" xfId="37258"/>
    <cellStyle name="Uwaga 2 17 42 3" xfId="37259"/>
    <cellStyle name="Uwaga 2 17 43" xfId="37260"/>
    <cellStyle name="Uwaga 2 17 43 2" xfId="37261"/>
    <cellStyle name="Uwaga 2 17 43 3" xfId="37262"/>
    <cellStyle name="Uwaga 2 17 44" xfId="37263"/>
    <cellStyle name="Uwaga 2 17 44 2" xfId="37264"/>
    <cellStyle name="Uwaga 2 17 44 3" xfId="37265"/>
    <cellStyle name="Uwaga 2 17 45" xfId="37266"/>
    <cellStyle name="Uwaga 2 17 45 2" xfId="37267"/>
    <cellStyle name="Uwaga 2 17 45 3" xfId="37268"/>
    <cellStyle name="Uwaga 2 17 46" xfId="37269"/>
    <cellStyle name="Uwaga 2 17 46 2" xfId="37270"/>
    <cellStyle name="Uwaga 2 17 46 3" xfId="37271"/>
    <cellStyle name="Uwaga 2 17 47" xfId="37272"/>
    <cellStyle name="Uwaga 2 17 47 2" xfId="37273"/>
    <cellStyle name="Uwaga 2 17 47 3" xfId="37274"/>
    <cellStyle name="Uwaga 2 17 48" xfId="37275"/>
    <cellStyle name="Uwaga 2 17 48 2" xfId="37276"/>
    <cellStyle name="Uwaga 2 17 48 3" xfId="37277"/>
    <cellStyle name="Uwaga 2 17 49" xfId="37278"/>
    <cellStyle name="Uwaga 2 17 49 2" xfId="37279"/>
    <cellStyle name="Uwaga 2 17 49 3" xfId="37280"/>
    <cellStyle name="Uwaga 2 17 5" xfId="37281"/>
    <cellStyle name="Uwaga 2 17 5 2" xfId="37282"/>
    <cellStyle name="Uwaga 2 17 5 3" xfId="37283"/>
    <cellStyle name="Uwaga 2 17 5 4" xfId="37284"/>
    <cellStyle name="Uwaga 2 17 50" xfId="37285"/>
    <cellStyle name="Uwaga 2 17 50 2" xfId="37286"/>
    <cellStyle name="Uwaga 2 17 50 3" xfId="37287"/>
    <cellStyle name="Uwaga 2 17 51" xfId="37288"/>
    <cellStyle name="Uwaga 2 17 51 2" xfId="37289"/>
    <cellStyle name="Uwaga 2 17 51 3" xfId="37290"/>
    <cellStyle name="Uwaga 2 17 52" xfId="37291"/>
    <cellStyle name="Uwaga 2 17 52 2" xfId="37292"/>
    <cellStyle name="Uwaga 2 17 52 3" xfId="37293"/>
    <cellStyle name="Uwaga 2 17 53" xfId="37294"/>
    <cellStyle name="Uwaga 2 17 53 2" xfId="37295"/>
    <cellStyle name="Uwaga 2 17 53 3" xfId="37296"/>
    <cellStyle name="Uwaga 2 17 54" xfId="37297"/>
    <cellStyle name="Uwaga 2 17 54 2" xfId="37298"/>
    <cellStyle name="Uwaga 2 17 54 3" xfId="37299"/>
    <cellStyle name="Uwaga 2 17 55" xfId="37300"/>
    <cellStyle name="Uwaga 2 17 55 2" xfId="37301"/>
    <cellStyle name="Uwaga 2 17 55 3" xfId="37302"/>
    <cellStyle name="Uwaga 2 17 56" xfId="37303"/>
    <cellStyle name="Uwaga 2 17 56 2" xfId="37304"/>
    <cellStyle name="Uwaga 2 17 56 3" xfId="37305"/>
    <cellStyle name="Uwaga 2 17 57" xfId="37306"/>
    <cellStyle name="Uwaga 2 17 58" xfId="37307"/>
    <cellStyle name="Uwaga 2 17 6" xfId="37308"/>
    <cellStyle name="Uwaga 2 17 6 2" xfId="37309"/>
    <cellStyle name="Uwaga 2 17 6 3" xfId="37310"/>
    <cellStyle name="Uwaga 2 17 6 4" xfId="37311"/>
    <cellStyle name="Uwaga 2 17 7" xfId="37312"/>
    <cellStyle name="Uwaga 2 17 7 2" xfId="37313"/>
    <cellStyle name="Uwaga 2 17 7 3" xfId="37314"/>
    <cellStyle name="Uwaga 2 17 7 4" xfId="37315"/>
    <cellStyle name="Uwaga 2 17 8" xfId="37316"/>
    <cellStyle name="Uwaga 2 17 8 2" xfId="37317"/>
    <cellStyle name="Uwaga 2 17 8 3" xfId="37318"/>
    <cellStyle name="Uwaga 2 17 8 4" xfId="37319"/>
    <cellStyle name="Uwaga 2 17 9" xfId="37320"/>
    <cellStyle name="Uwaga 2 17 9 2" xfId="37321"/>
    <cellStyle name="Uwaga 2 17 9 3" xfId="37322"/>
    <cellStyle name="Uwaga 2 17 9 4" xfId="37323"/>
    <cellStyle name="Uwaga 2 18" xfId="37324"/>
    <cellStyle name="Uwaga 2 18 10" xfId="37325"/>
    <cellStyle name="Uwaga 2 18 10 2" xfId="37326"/>
    <cellStyle name="Uwaga 2 18 10 3" xfId="37327"/>
    <cellStyle name="Uwaga 2 18 10 4" xfId="37328"/>
    <cellStyle name="Uwaga 2 18 11" xfId="37329"/>
    <cellStyle name="Uwaga 2 18 11 2" xfId="37330"/>
    <cellStyle name="Uwaga 2 18 11 3" xfId="37331"/>
    <cellStyle name="Uwaga 2 18 11 4" xfId="37332"/>
    <cellStyle name="Uwaga 2 18 12" xfId="37333"/>
    <cellStyle name="Uwaga 2 18 12 2" xfId="37334"/>
    <cellStyle name="Uwaga 2 18 12 3" xfId="37335"/>
    <cellStyle name="Uwaga 2 18 12 4" xfId="37336"/>
    <cellStyle name="Uwaga 2 18 13" xfId="37337"/>
    <cellStyle name="Uwaga 2 18 13 2" xfId="37338"/>
    <cellStyle name="Uwaga 2 18 13 3" xfId="37339"/>
    <cellStyle name="Uwaga 2 18 13 4" xfId="37340"/>
    <cellStyle name="Uwaga 2 18 14" xfId="37341"/>
    <cellStyle name="Uwaga 2 18 14 2" xfId="37342"/>
    <cellStyle name="Uwaga 2 18 14 3" xfId="37343"/>
    <cellStyle name="Uwaga 2 18 14 4" xfId="37344"/>
    <cellStyle name="Uwaga 2 18 15" xfId="37345"/>
    <cellStyle name="Uwaga 2 18 15 2" xfId="37346"/>
    <cellStyle name="Uwaga 2 18 15 3" xfId="37347"/>
    <cellStyle name="Uwaga 2 18 15 4" xfId="37348"/>
    <cellStyle name="Uwaga 2 18 16" xfId="37349"/>
    <cellStyle name="Uwaga 2 18 16 2" xfId="37350"/>
    <cellStyle name="Uwaga 2 18 16 3" xfId="37351"/>
    <cellStyle name="Uwaga 2 18 16 4" xfId="37352"/>
    <cellStyle name="Uwaga 2 18 17" xfId="37353"/>
    <cellStyle name="Uwaga 2 18 17 2" xfId="37354"/>
    <cellStyle name="Uwaga 2 18 17 3" xfId="37355"/>
    <cellStyle name="Uwaga 2 18 17 4" xfId="37356"/>
    <cellStyle name="Uwaga 2 18 18" xfId="37357"/>
    <cellStyle name="Uwaga 2 18 18 2" xfId="37358"/>
    <cellStyle name="Uwaga 2 18 18 3" xfId="37359"/>
    <cellStyle name="Uwaga 2 18 18 4" xfId="37360"/>
    <cellStyle name="Uwaga 2 18 19" xfId="37361"/>
    <cellStyle name="Uwaga 2 18 19 2" xfId="37362"/>
    <cellStyle name="Uwaga 2 18 19 3" xfId="37363"/>
    <cellStyle name="Uwaga 2 18 19 4" xfId="37364"/>
    <cellStyle name="Uwaga 2 18 2" xfId="37365"/>
    <cellStyle name="Uwaga 2 18 2 2" xfId="37366"/>
    <cellStyle name="Uwaga 2 18 2 3" xfId="37367"/>
    <cellStyle name="Uwaga 2 18 2 4" xfId="37368"/>
    <cellStyle name="Uwaga 2 18 20" xfId="37369"/>
    <cellStyle name="Uwaga 2 18 20 2" xfId="37370"/>
    <cellStyle name="Uwaga 2 18 20 3" xfId="37371"/>
    <cellStyle name="Uwaga 2 18 20 4" xfId="37372"/>
    <cellStyle name="Uwaga 2 18 21" xfId="37373"/>
    <cellStyle name="Uwaga 2 18 21 2" xfId="37374"/>
    <cellStyle name="Uwaga 2 18 21 3" xfId="37375"/>
    <cellStyle name="Uwaga 2 18 22" xfId="37376"/>
    <cellStyle name="Uwaga 2 18 22 2" xfId="37377"/>
    <cellStyle name="Uwaga 2 18 22 3" xfId="37378"/>
    <cellStyle name="Uwaga 2 18 23" xfId="37379"/>
    <cellStyle name="Uwaga 2 18 23 2" xfId="37380"/>
    <cellStyle name="Uwaga 2 18 23 3" xfId="37381"/>
    <cellStyle name="Uwaga 2 18 24" xfId="37382"/>
    <cellStyle name="Uwaga 2 18 24 2" xfId="37383"/>
    <cellStyle name="Uwaga 2 18 24 3" xfId="37384"/>
    <cellStyle name="Uwaga 2 18 25" xfId="37385"/>
    <cellStyle name="Uwaga 2 18 25 2" xfId="37386"/>
    <cellStyle name="Uwaga 2 18 25 3" xfId="37387"/>
    <cellStyle name="Uwaga 2 18 26" xfId="37388"/>
    <cellStyle name="Uwaga 2 18 26 2" xfId="37389"/>
    <cellStyle name="Uwaga 2 18 26 3" xfId="37390"/>
    <cellStyle name="Uwaga 2 18 27" xfId="37391"/>
    <cellStyle name="Uwaga 2 18 27 2" xfId="37392"/>
    <cellStyle name="Uwaga 2 18 27 3" xfId="37393"/>
    <cellStyle name="Uwaga 2 18 28" xfId="37394"/>
    <cellStyle name="Uwaga 2 18 28 2" xfId="37395"/>
    <cellStyle name="Uwaga 2 18 28 3" xfId="37396"/>
    <cellStyle name="Uwaga 2 18 29" xfId="37397"/>
    <cellStyle name="Uwaga 2 18 29 2" xfId="37398"/>
    <cellStyle name="Uwaga 2 18 29 3" xfId="37399"/>
    <cellStyle name="Uwaga 2 18 3" xfId="37400"/>
    <cellStyle name="Uwaga 2 18 3 2" xfId="37401"/>
    <cellStyle name="Uwaga 2 18 3 3" xfId="37402"/>
    <cellStyle name="Uwaga 2 18 3 4" xfId="37403"/>
    <cellStyle name="Uwaga 2 18 30" xfId="37404"/>
    <cellStyle name="Uwaga 2 18 30 2" xfId="37405"/>
    <cellStyle name="Uwaga 2 18 30 3" xfId="37406"/>
    <cellStyle name="Uwaga 2 18 31" xfId="37407"/>
    <cellStyle name="Uwaga 2 18 31 2" xfId="37408"/>
    <cellStyle name="Uwaga 2 18 31 3" xfId="37409"/>
    <cellStyle name="Uwaga 2 18 32" xfId="37410"/>
    <cellStyle name="Uwaga 2 18 32 2" xfId="37411"/>
    <cellStyle name="Uwaga 2 18 32 3" xfId="37412"/>
    <cellStyle name="Uwaga 2 18 33" xfId="37413"/>
    <cellStyle name="Uwaga 2 18 33 2" xfId="37414"/>
    <cellStyle name="Uwaga 2 18 33 3" xfId="37415"/>
    <cellStyle name="Uwaga 2 18 34" xfId="37416"/>
    <cellStyle name="Uwaga 2 18 34 2" xfId="37417"/>
    <cellStyle name="Uwaga 2 18 34 3" xfId="37418"/>
    <cellStyle name="Uwaga 2 18 35" xfId="37419"/>
    <cellStyle name="Uwaga 2 18 35 2" xfId="37420"/>
    <cellStyle name="Uwaga 2 18 35 3" xfId="37421"/>
    <cellStyle name="Uwaga 2 18 36" xfId="37422"/>
    <cellStyle name="Uwaga 2 18 36 2" xfId="37423"/>
    <cellStyle name="Uwaga 2 18 36 3" xfId="37424"/>
    <cellStyle name="Uwaga 2 18 37" xfId="37425"/>
    <cellStyle name="Uwaga 2 18 37 2" xfId="37426"/>
    <cellStyle name="Uwaga 2 18 37 3" xfId="37427"/>
    <cellStyle name="Uwaga 2 18 38" xfId="37428"/>
    <cellStyle name="Uwaga 2 18 38 2" xfId="37429"/>
    <cellStyle name="Uwaga 2 18 38 3" xfId="37430"/>
    <cellStyle name="Uwaga 2 18 39" xfId="37431"/>
    <cellStyle name="Uwaga 2 18 39 2" xfId="37432"/>
    <cellStyle name="Uwaga 2 18 39 3" xfId="37433"/>
    <cellStyle name="Uwaga 2 18 4" xfId="37434"/>
    <cellStyle name="Uwaga 2 18 4 2" xfId="37435"/>
    <cellStyle name="Uwaga 2 18 4 3" xfId="37436"/>
    <cellStyle name="Uwaga 2 18 4 4" xfId="37437"/>
    <cellStyle name="Uwaga 2 18 40" xfId="37438"/>
    <cellStyle name="Uwaga 2 18 40 2" xfId="37439"/>
    <cellStyle name="Uwaga 2 18 40 3" xfId="37440"/>
    <cellStyle name="Uwaga 2 18 41" xfId="37441"/>
    <cellStyle name="Uwaga 2 18 41 2" xfId="37442"/>
    <cellStyle name="Uwaga 2 18 41 3" xfId="37443"/>
    <cellStyle name="Uwaga 2 18 42" xfId="37444"/>
    <cellStyle name="Uwaga 2 18 42 2" xfId="37445"/>
    <cellStyle name="Uwaga 2 18 42 3" xfId="37446"/>
    <cellStyle name="Uwaga 2 18 43" xfId="37447"/>
    <cellStyle name="Uwaga 2 18 43 2" xfId="37448"/>
    <cellStyle name="Uwaga 2 18 43 3" xfId="37449"/>
    <cellStyle name="Uwaga 2 18 44" xfId="37450"/>
    <cellStyle name="Uwaga 2 18 44 2" xfId="37451"/>
    <cellStyle name="Uwaga 2 18 44 3" xfId="37452"/>
    <cellStyle name="Uwaga 2 18 45" xfId="37453"/>
    <cellStyle name="Uwaga 2 18 45 2" xfId="37454"/>
    <cellStyle name="Uwaga 2 18 45 3" xfId="37455"/>
    <cellStyle name="Uwaga 2 18 46" xfId="37456"/>
    <cellStyle name="Uwaga 2 18 46 2" xfId="37457"/>
    <cellStyle name="Uwaga 2 18 46 3" xfId="37458"/>
    <cellStyle name="Uwaga 2 18 47" xfId="37459"/>
    <cellStyle name="Uwaga 2 18 47 2" xfId="37460"/>
    <cellStyle name="Uwaga 2 18 47 3" xfId="37461"/>
    <cellStyle name="Uwaga 2 18 48" xfId="37462"/>
    <cellStyle name="Uwaga 2 18 48 2" xfId="37463"/>
    <cellStyle name="Uwaga 2 18 48 3" xfId="37464"/>
    <cellStyle name="Uwaga 2 18 49" xfId="37465"/>
    <cellStyle name="Uwaga 2 18 49 2" xfId="37466"/>
    <cellStyle name="Uwaga 2 18 49 3" xfId="37467"/>
    <cellStyle name="Uwaga 2 18 5" xfId="37468"/>
    <cellStyle name="Uwaga 2 18 5 2" xfId="37469"/>
    <cellStyle name="Uwaga 2 18 5 3" xfId="37470"/>
    <cellStyle name="Uwaga 2 18 5 4" xfId="37471"/>
    <cellStyle name="Uwaga 2 18 50" xfId="37472"/>
    <cellStyle name="Uwaga 2 18 50 2" xfId="37473"/>
    <cellStyle name="Uwaga 2 18 50 3" xfId="37474"/>
    <cellStyle name="Uwaga 2 18 51" xfId="37475"/>
    <cellStyle name="Uwaga 2 18 51 2" xfId="37476"/>
    <cellStyle name="Uwaga 2 18 51 3" xfId="37477"/>
    <cellStyle name="Uwaga 2 18 52" xfId="37478"/>
    <cellStyle name="Uwaga 2 18 52 2" xfId="37479"/>
    <cellStyle name="Uwaga 2 18 52 3" xfId="37480"/>
    <cellStyle name="Uwaga 2 18 53" xfId="37481"/>
    <cellStyle name="Uwaga 2 18 53 2" xfId="37482"/>
    <cellStyle name="Uwaga 2 18 53 3" xfId="37483"/>
    <cellStyle name="Uwaga 2 18 54" xfId="37484"/>
    <cellStyle name="Uwaga 2 18 54 2" xfId="37485"/>
    <cellStyle name="Uwaga 2 18 54 3" xfId="37486"/>
    <cellStyle name="Uwaga 2 18 55" xfId="37487"/>
    <cellStyle name="Uwaga 2 18 55 2" xfId="37488"/>
    <cellStyle name="Uwaga 2 18 55 3" xfId="37489"/>
    <cellStyle name="Uwaga 2 18 56" xfId="37490"/>
    <cellStyle name="Uwaga 2 18 56 2" xfId="37491"/>
    <cellStyle name="Uwaga 2 18 56 3" xfId="37492"/>
    <cellStyle name="Uwaga 2 18 57" xfId="37493"/>
    <cellStyle name="Uwaga 2 18 58" xfId="37494"/>
    <cellStyle name="Uwaga 2 18 6" xfId="37495"/>
    <cellStyle name="Uwaga 2 18 6 2" xfId="37496"/>
    <cellStyle name="Uwaga 2 18 6 3" xfId="37497"/>
    <cellStyle name="Uwaga 2 18 6 4" xfId="37498"/>
    <cellStyle name="Uwaga 2 18 7" xfId="37499"/>
    <cellStyle name="Uwaga 2 18 7 2" xfId="37500"/>
    <cellStyle name="Uwaga 2 18 7 3" xfId="37501"/>
    <cellStyle name="Uwaga 2 18 7 4" xfId="37502"/>
    <cellStyle name="Uwaga 2 18 8" xfId="37503"/>
    <cellStyle name="Uwaga 2 18 8 2" xfId="37504"/>
    <cellStyle name="Uwaga 2 18 8 3" xfId="37505"/>
    <cellStyle name="Uwaga 2 18 8 4" xfId="37506"/>
    <cellStyle name="Uwaga 2 18 9" xfId="37507"/>
    <cellStyle name="Uwaga 2 18 9 2" xfId="37508"/>
    <cellStyle name="Uwaga 2 18 9 3" xfId="37509"/>
    <cellStyle name="Uwaga 2 18 9 4" xfId="37510"/>
    <cellStyle name="Uwaga 2 19" xfId="37511"/>
    <cellStyle name="Uwaga 2 19 10" xfId="37512"/>
    <cellStyle name="Uwaga 2 19 10 2" xfId="37513"/>
    <cellStyle name="Uwaga 2 19 10 3" xfId="37514"/>
    <cellStyle name="Uwaga 2 19 10 4" xfId="37515"/>
    <cellStyle name="Uwaga 2 19 11" xfId="37516"/>
    <cellStyle name="Uwaga 2 19 11 2" xfId="37517"/>
    <cellStyle name="Uwaga 2 19 11 3" xfId="37518"/>
    <cellStyle name="Uwaga 2 19 11 4" xfId="37519"/>
    <cellStyle name="Uwaga 2 19 12" xfId="37520"/>
    <cellStyle name="Uwaga 2 19 12 2" xfId="37521"/>
    <cellStyle name="Uwaga 2 19 12 3" xfId="37522"/>
    <cellStyle name="Uwaga 2 19 12 4" xfId="37523"/>
    <cellStyle name="Uwaga 2 19 13" xfId="37524"/>
    <cellStyle name="Uwaga 2 19 13 2" xfId="37525"/>
    <cellStyle name="Uwaga 2 19 13 3" xfId="37526"/>
    <cellStyle name="Uwaga 2 19 13 4" xfId="37527"/>
    <cellStyle name="Uwaga 2 19 14" xfId="37528"/>
    <cellStyle name="Uwaga 2 19 14 2" xfId="37529"/>
    <cellStyle name="Uwaga 2 19 14 3" xfId="37530"/>
    <cellStyle name="Uwaga 2 19 14 4" xfId="37531"/>
    <cellStyle name="Uwaga 2 19 15" xfId="37532"/>
    <cellStyle name="Uwaga 2 19 15 2" xfId="37533"/>
    <cellStyle name="Uwaga 2 19 15 3" xfId="37534"/>
    <cellStyle name="Uwaga 2 19 15 4" xfId="37535"/>
    <cellStyle name="Uwaga 2 19 16" xfId="37536"/>
    <cellStyle name="Uwaga 2 19 16 2" xfId="37537"/>
    <cellStyle name="Uwaga 2 19 16 3" xfId="37538"/>
    <cellStyle name="Uwaga 2 19 16 4" xfId="37539"/>
    <cellStyle name="Uwaga 2 19 17" xfId="37540"/>
    <cellStyle name="Uwaga 2 19 17 2" xfId="37541"/>
    <cellStyle name="Uwaga 2 19 17 3" xfId="37542"/>
    <cellStyle name="Uwaga 2 19 17 4" xfId="37543"/>
    <cellStyle name="Uwaga 2 19 18" xfId="37544"/>
    <cellStyle name="Uwaga 2 19 18 2" xfId="37545"/>
    <cellStyle name="Uwaga 2 19 18 3" xfId="37546"/>
    <cellStyle name="Uwaga 2 19 18 4" xfId="37547"/>
    <cellStyle name="Uwaga 2 19 19" xfId="37548"/>
    <cellStyle name="Uwaga 2 19 19 2" xfId="37549"/>
    <cellStyle name="Uwaga 2 19 19 3" xfId="37550"/>
    <cellStyle name="Uwaga 2 19 19 4" xfId="37551"/>
    <cellStyle name="Uwaga 2 19 2" xfId="37552"/>
    <cellStyle name="Uwaga 2 19 2 2" xfId="37553"/>
    <cellStyle name="Uwaga 2 19 2 3" xfId="37554"/>
    <cellStyle name="Uwaga 2 19 2 4" xfId="37555"/>
    <cellStyle name="Uwaga 2 19 20" xfId="37556"/>
    <cellStyle name="Uwaga 2 19 20 2" xfId="37557"/>
    <cellStyle name="Uwaga 2 19 20 3" xfId="37558"/>
    <cellStyle name="Uwaga 2 19 20 4" xfId="37559"/>
    <cellStyle name="Uwaga 2 19 21" xfId="37560"/>
    <cellStyle name="Uwaga 2 19 21 2" xfId="37561"/>
    <cellStyle name="Uwaga 2 19 21 3" xfId="37562"/>
    <cellStyle name="Uwaga 2 19 22" xfId="37563"/>
    <cellStyle name="Uwaga 2 19 22 2" xfId="37564"/>
    <cellStyle name="Uwaga 2 19 22 3" xfId="37565"/>
    <cellStyle name="Uwaga 2 19 23" xfId="37566"/>
    <cellStyle name="Uwaga 2 19 23 2" xfId="37567"/>
    <cellStyle name="Uwaga 2 19 23 3" xfId="37568"/>
    <cellStyle name="Uwaga 2 19 24" xfId="37569"/>
    <cellStyle name="Uwaga 2 19 24 2" xfId="37570"/>
    <cellStyle name="Uwaga 2 19 24 3" xfId="37571"/>
    <cellStyle name="Uwaga 2 19 25" xfId="37572"/>
    <cellStyle name="Uwaga 2 19 25 2" xfId="37573"/>
    <cellStyle name="Uwaga 2 19 25 3" xfId="37574"/>
    <cellStyle name="Uwaga 2 19 26" xfId="37575"/>
    <cellStyle name="Uwaga 2 19 26 2" xfId="37576"/>
    <cellStyle name="Uwaga 2 19 26 3" xfId="37577"/>
    <cellStyle name="Uwaga 2 19 27" xfId="37578"/>
    <cellStyle name="Uwaga 2 19 27 2" xfId="37579"/>
    <cellStyle name="Uwaga 2 19 27 3" xfId="37580"/>
    <cellStyle name="Uwaga 2 19 28" xfId="37581"/>
    <cellStyle name="Uwaga 2 19 28 2" xfId="37582"/>
    <cellStyle name="Uwaga 2 19 28 3" xfId="37583"/>
    <cellStyle name="Uwaga 2 19 29" xfId="37584"/>
    <cellStyle name="Uwaga 2 19 29 2" xfId="37585"/>
    <cellStyle name="Uwaga 2 19 29 3" xfId="37586"/>
    <cellStyle name="Uwaga 2 19 3" xfId="37587"/>
    <cellStyle name="Uwaga 2 19 3 2" xfId="37588"/>
    <cellStyle name="Uwaga 2 19 3 3" xfId="37589"/>
    <cellStyle name="Uwaga 2 19 3 4" xfId="37590"/>
    <cellStyle name="Uwaga 2 19 30" xfId="37591"/>
    <cellStyle name="Uwaga 2 19 30 2" xfId="37592"/>
    <cellStyle name="Uwaga 2 19 30 3" xfId="37593"/>
    <cellStyle name="Uwaga 2 19 31" xfId="37594"/>
    <cellStyle name="Uwaga 2 19 31 2" xfId="37595"/>
    <cellStyle name="Uwaga 2 19 31 3" xfId="37596"/>
    <cellStyle name="Uwaga 2 19 32" xfId="37597"/>
    <cellStyle name="Uwaga 2 19 32 2" xfId="37598"/>
    <cellStyle name="Uwaga 2 19 32 3" xfId="37599"/>
    <cellStyle name="Uwaga 2 19 33" xfId="37600"/>
    <cellStyle name="Uwaga 2 19 33 2" xfId="37601"/>
    <cellStyle name="Uwaga 2 19 33 3" xfId="37602"/>
    <cellStyle name="Uwaga 2 19 34" xfId="37603"/>
    <cellStyle name="Uwaga 2 19 34 2" xfId="37604"/>
    <cellStyle name="Uwaga 2 19 34 3" xfId="37605"/>
    <cellStyle name="Uwaga 2 19 35" xfId="37606"/>
    <cellStyle name="Uwaga 2 19 35 2" xfId="37607"/>
    <cellStyle name="Uwaga 2 19 35 3" xfId="37608"/>
    <cellStyle name="Uwaga 2 19 36" xfId="37609"/>
    <cellStyle name="Uwaga 2 19 36 2" xfId="37610"/>
    <cellStyle name="Uwaga 2 19 36 3" xfId="37611"/>
    <cellStyle name="Uwaga 2 19 37" xfId="37612"/>
    <cellStyle name="Uwaga 2 19 37 2" xfId="37613"/>
    <cellStyle name="Uwaga 2 19 37 3" xfId="37614"/>
    <cellStyle name="Uwaga 2 19 38" xfId="37615"/>
    <cellStyle name="Uwaga 2 19 38 2" xfId="37616"/>
    <cellStyle name="Uwaga 2 19 38 3" xfId="37617"/>
    <cellStyle name="Uwaga 2 19 39" xfId="37618"/>
    <cellStyle name="Uwaga 2 19 39 2" xfId="37619"/>
    <cellStyle name="Uwaga 2 19 39 3" xfId="37620"/>
    <cellStyle name="Uwaga 2 19 4" xfId="37621"/>
    <cellStyle name="Uwaga 2 19 4 2" xfId="37622"/>
    <cellStyle name="Uwaga 2 19 4 3" xfId="37623"/>
    <cellStyle name="Uwaga 2 19 4 4" xfId="37624"/>
    <cellStyle name="Uwaga 2 19 40" xfId="37625"/>
    <cellStyle name="Uwaga 2 19 40 2" xfId="37626"/>
    <cellStyle name="Uwaga 2 19 40 3" xfId="37627"/>
    <cellStyle name="Uwaga 2 19 41" xfId="37628"/>
    <cellStyle name="Uwaga 2 19 41 2" xfId="37629"/>
    <cellStyle name="Uwaga 2 19 41 3" xfId="37630"/>
    <cellStyle name="Uwaga 2 19 42" xfId="37631"/>
    <cellStyle name="Uwaga 2 19 42 2" xfId="37632"/>
    <cellStyle name="Uwaga 2 19 42 3" xfId="37633"/>
    <cellStyle name="Uwaga 2 19 43" xfId="37634"/>
    <cellStyle name="Uwaga 2 19 43 2" xfId="37635"/>
    <cellStyle name="Uwaga 2 19 43 3" xfId="37636"/>
    <cellStyle name="Uwaga 2 19 44" xfId="37637"/>
    <cellStyle name="Uwaga 2 19 44 2" xfId="37638"/>
    <cellStyle name="Uwaga 2 19 44 3" xfId="37639"/>
    <cellStyle name="Uwaga 2 19 45" xfId="37640"/>
    <cellStyle name="Uwaga 2 19 45 2" xfId="37641"/>
    <cellStyle name="Uwaga 2 19 45 3" xfId="37642"/>
    <cellStyle name="Uwaga 2 19 46" xfId="37643"/>
    <cellStyle name="Uwaga 2 19 46 2" xfId="37644"/>
    <cellStyle name="Uwaga 2 19 46 3" xfId="37645"/>
    <cellStyle name="Uwaga 2 19 47" xfId="37646"/>
    <cellStyle name="Uwaga 2 19 47 2" xfId="37647"/>
    <cellStyle name="Uwaga 2 19 47 3" xfId="37648"/>
    <cellStyle name="Uwaga 2 19 48" xfId="37649"/>
    <cellStyle name="Uwaga 2 19 48 2" xfId="37650"/>
    <cellStyle name="Uwaga 2 19 48 3" xfId="37651"/>
    <cellStyle name="Uwaga 2 19 49" xfId="37652"/>
    <cellStyle name="Uwaga 2 19 49 2" xfId="37653"/>
    <cellStyle name="Uwaga 2 19 49 3" xfId="37654"/>
    <cellStyle name="Uwaga 2 19 5" xfId="37655"/>
    <cellStyle name="Uwaga 2 19 5 2" xfId="37656"/>
    <cellStyle name="Uwaga 2 19 5 3" xfId="37657"/>
    <cellStyle name="Uwaga 2 19 5 4" xfId="37658"/>
    <cellStyle name="Uwaga 2 19 50" xfId="37659"/>
    <cellStyle name="Uwaga 2 19 50 2" xfId="37660"/>
    <cellStyle name="Uwaga 2 19 50 3" xfId="37661"/>
    <cellStyle name="Uwaga 2 19 51" xfId="37662"/>
    <cellStyle name="Uwaga 2 19 51 2" xfId="37663"/>
    <cellStyle name="Uwaga 2 19 51 3" xfId="37664"/>
    <cellStyle name="Uwaga 2 19 52" xfId="37665"/>
    <cellStyle name="Uwaga 2 19 52 2" xfId="37666"/>
    <cellStyle name="Uwaga 2 19 52 3" xfId="37667"/>
    <cellStyle name="Uwaga 2 19 53" xfId="37668"/>
    <cellStyle name="Uwaga 2 19 53 2" xfId="37669"/>
    <cellStyle name="Uwaga 2 19 53 3" xfId="37670"/>
    <cellStyle name="Uwaga 2 19 54" xfId="37671"/>
    <cellStyle name="Uwaga 2 19 54 2" xfId="37672"/>
    <cellStyle name="Uwaga 2 19 54 3" xfId="37673"/>
    <cellStyle name="Uwaga 2 19 55" xfId="37674"/>
    <cellStyle name="Uwaga 2 19 55 2" xfId="37675"/>
    <cellStyle name="Uwaga 2 19 55 3" xfId="37676"/>
    <cellStyle name="Uwaga 2 19 56" xfId="37677"/>
    <cellStyle name="Uwaga 2 19 56 2" xfId="37678"/>
    <cellStyle name="Uwaga 2 19 56 3" xfId="37679"/>
    <cellStyle name="Uwaga 2 19 57" xfId="37680"/>
    <cellStyle name="Uwaga 2 19 58" xfId="37681"/>
    <cellStyle name="Uwaga 2 19 6" xfId="37682"/>
    <cellStyle name="Uwaga 2 19 6 2" xfId="37683"/>
    <cellStyle name="Uwaga 2 19 6 3" xfId="37684"/>
    <cellStyle name="Uwaga 2 19 6 4" xfId="37685"/>
    <cellStyle name="Uwaga 2 19 7" xfId="37686"/>
    <cellStyle name="Uwaga 2 19 7 2" xfId="37687"/>
    <cellStyle name="Uwaga 2 19 7 3" xfId="37688"/>
    <cellStyle name="Uwaga 2 19 7 4" xfId="37689"/>
    <cellStyle name="Uwaga 2 19 8" xfId="37690"/>
    <cellStyle name="Uwaga 2 19 8 2" xfId="37691"/>
    <cellStyle name="Uwaga 2 19 8 3" xfId="37692"/>
    <cellStyle name="Uwaga 2 19 8 4" xfId="37693"/>
    <cellStyle name="Uwaga 2 19 9" xfId="37694"/>
    <cellStyle name="Uwaga 2 19 9 2" xfId="37695"/>
    <cellStyle name="Uwaga 2 19 9 3" xfId="37696"/>
    <cellStyle name="Uwaga 2 19 9 4" xfId="37697"/>
    <cellStyle name="Uwaga 2 2" xfId="37698"/>
    <cellStyle name="Uwaga 2 2 10" xfId="37699"/>
    <cellStyle name="Uwaga 2 2 10 2" xfId="37700"/>
    <cellStyle name="Uwaga 2 2 10 3" xfId="37701"/>
    <cellStyle name="Uwaga 2 2 10 4" xfId="37702"/>
    <cellStyle name="Uwaga 2 2 11" xfId="37703"/>
    <cellStyle name="Uwaga 2 2 11 2" xfId="37704"/>
    <cellStyle name="Uwaga 2 2 11 3" xfId="37705"/>
    <cellStyle name="Uwaga 2 2 11 4" xfId="37706"/>
    <cellStyle name="Uwaga 2 2 12" xfId="37707"/>
    <cellStyle name="Uwaga 2 2 12 2" xfId="37708"/>
    <cellStyle name="Uwaga 2 2 12 3" xfId="37709"/>
    <cellStyle name="Uwaga 2 2 12 4" xfId="37710"/>
    <cellStyle name="Uwaga 2 2 13" xfId="37711"/>
    <cellStyle name="Uwaga 2 2 13 2" xfId="37712"/>
    <cellStyle name="Uwaga 2 2 13 3" xfId="37713"/>
    <cellStyle name="Uwaga 2 2 13 4" xfId="37714"/>
    <cellStyle name="Uwaga 2 2 14" xfId="37715"/>
    <cellStyle name="Uwaga 2 2 14 2" xfId="37716"/>
    <cellStyle name="Uwaga 2 2 14 3" xfId="37717"/>
    <cellStyle name="Uwaga 2 2 14 4" xfId="37718"/>
    <cellStyle name="Uwaga 2 2 15" xfId="37719"/>
    <cellStyle name="Uwaga 2 2 15 2" xfId="37720"/>
    <cellStyle name="Uwaga 2 2 15 3" xfId="37721"/>
    <cellStyle name="Uwaga 2 2 15 4" xfId="37722"/>
    <cellStyle name="Uwaga 2 2 16" xfId="37723"/>
    <cellStyle name="Uwaga 2 2 16 2" xfId="37724"/>
    <cellStyle name="Uwaga 2 2 16 3" xfId="37725"/>
    <cellStyle name="Uwaga 2 2 16 4" xfId="37726"/>
    <cellStyle name="Uwaga 2 2 17" xfId="37727"/>
    <cellStyle name="Uwaga 2 2 17 2" xfId="37728"/>
    <cellStyle name="Uwaga 2 2 17 3" xfId="37729"/>
    <cellStyle name="Uwaga 2 2 17 4" xfId="37730"/>
    <cellStyle name="Uwaga 2 2 18" xfId="37731"/>
    <cellStyle name="Uwaga 2 2 18 2" xfId="37732"/>
    <cellStyle name="Uwaga 2 2 18 3" xfId="37733"/>
    <cellStyle name="Uwaga 2 2 18 4" xfId="37734"/>
    <cellStyle name="Uwaga 2 2 19" xfId="37735"/>
    <cellStyle name="Uwaga 2 2 19 2" xfId="37736"/>
    <cellStyle name="Uwaga 2 2 19 3" xfId="37737"/>
    <cellStyle name="Uwaga 2 2 19 4" xfId="37738"/>
    <cellStyle name="Uwaga 2 2 2" xfId="37739"/>
    <cellStyle name="Uwaga 2 2 2 2" xfId="37740"/>
    <cellStyle name="Uwaga 2 2 2 3" xfId="37741"/>
    <cellStyle name="Uwaga 2 2 2 4" xfId="37742"/>
    <cellStyle name="Uwaga 2 2 20" xfId="37743"/>
    <cellStyle name="Uwaga 2 2 20 2" xfId="37744"/>
    <cellStyle name="Uwaga 2 2 20 3" xfId="37745"/>
    <cellStyle name="Uwaga 2 2 20 4" xfId="37746"/>
    <cellStyle name="Uwaga 2 2 21" xfId="37747"/>
    <cellStyle name="Uwaga 2 2 21 2" xfId="37748"/>
    <cellStyle name="Uwaga 2 2 21 3" xfId="37749"/>
    <cellStyle name="Uwaga 2 2 22" xfId="37750"/>
    <cellStyle name="Uwaga 2 2 22 2" xfId="37751"/>
    <cellStyle name="Uwaga 2 2 22 3" xfId="37752"/>
    <cellStyle name="Uwaga 2 2 23" xfId="37753"/>
    <cellStyle name="Uwaga 2 2 23 2" xfId="37754"/>
    <cellStyle name="Uwaga 2 2 23 3" xfId="37755"/>
    <cellStyle name="Uwaga 2 2 24" xfId="37756"/>
    <cellStyle name="Uwaga 2 2 24 2" xfId="37757"/>
    <cellStyle name="Uwaga 2 2 24 3" xfId="37758"/>
    <cellStyle name="Uwaga 2 2 25" xfId="37759"/>
    <cellStyle name="Uwaga 2 2 25 2" xfId="37760"/>
    <cellStyle name="Uwaga 2 2 25 3" xfId="37761"/>
    <cellStyle name="Uwaga 2 2 26" xfId="37762"/>
    <cellStyle name="Uwaga 2 2 26 2" xfId="37763"/>
    <cellStyle name="Uwaga 2 2 26 3" xfId="37764"/>
    <cellStyle name="Uwaga 2 2 27" xfId="37765"/>
    <cellStyle name="Uwaga 2 2 27 2" xfId="37766"/>
    <cellStyle name="Uwaga 2 2 27 3" xfId="37767"/>
    <cellStyle name="Uwaga 2 2 28" xfId="37768"/>
    <cellStyle name="Uwaga 2 2 28 2" xfId="37769"/>
    <cellStyle name="Uwaga 2 2 28 3" xfId="37770"/>
    <cellStyle name="Uwaga 2 2 29" xfId="37771"/>
    <cellStyle name="Uwaga 2 2 29 2" xfId="37772"/>
    <cellStyle name="Uwaga 2 2 29 3" xfId="37773"/>
    <cellStyle name="Uwaga 2 2 3" xfId="37774"/>
    <cellStyle name="Uwaga 2 2 3 2" xfId="37775"/>
    <cellStyle name="Uwaga 2 2 3 3" xfId="37776"/>
    <cellStyle name="Uwaga 2 2 3 4" xfId="37777"/>
    <cellStyle name="Uwaga 2 2 30" xfId="37778"/>
    <cellStyle name="Uwaga 2 2 30 2" xfId="37779"/>
    <cellStyle name="Uwaga 2 2 30 3" xfId="37780"/>
    <cellStyle name="Uwaga 2 2 31" xfId="37781"/>
    <cellStyle name="Uwaga 2 2 31 2" xfId="37782"/>
    <cellStyle name="Uwaga 2 2 31 3" xfId="37783"/>
    <cellStyle name="Uwaga 2 2 32" xfId="37784"/>
    <cellStyle name="Uwaga 2 2 32 2" xfId="37785"/>
    <cellStyle name="Uwaga 2 2 32 3" xfId="37786"/>
    <cellStyle name="Uwaga 2 2 33" xfId="37787"/>
    <cellStyle name="Uwaga 2 2 33 2" xfId="37788"/>
    <cellStyle name="Uwaga 2 2 33 3" xfId="37789"/>
    <cellStyle name="Uwaga 2 2 34" xfId="37790"/>
    <cellStyle name="Uwaga 2 2 34 2" xfId="37791"/>
    <cellStyle name="Uwaga 2 2 34 3" xfId="37792"/>
    <cellStyle name="Uwaga 2 2 35" xfId="37793"/>
    <cellStyle name="Uwaga 2 2 35 2" xfId="37794"/>
    <cellStyle name="Uwaga 2 2 35 3" xfId="37795"/>
    <cellStyle name="Uwaga 2 2 36" xfId="37796"/>
    <cellStyle name="Uwaga 2 2 36 2" xfId="37797"/>
    <cellStyle name="Uwaga 2 2 36 3" xfId="37798"/>
    <cellStyle name="Uwaga 2 2 37" xfId="37799"/>
    <cellStyle name="Uwaga 2 2 37 2" xfId="37800"/>
    <cellStyle name="Uwaga 2 2 37 3" xfId="37801"/>
    <cellStyle name="Uwaga 2 2 38" xfId="37802"/>
    <cellStyle name="Uwaga 2 2 38 2" xfId="37803"/>
    <cellStyle name="Uwaga 2 2 38 3" xfId="37804"/>
    <cellStyle name="Uwaga 2 2 39" xfId="37805"/>
    <cellStyle name="Uwaga 2 2 39 2" xfId="37806"/>
    <cellStyle name="Uwaga 2 2 39 3" xfId="37807"/>
    <cellStyle name="Uwaga 2 2 4" xfId="37808"/>
    <cellStyle name="Uwaga 2 2 4 2" xfId="37809"/>
    <cellStyle name="Uwaga 2 2 4 3" xfId="37810"/>
    <cellStyle name="Uwaga 2 2 4 4" xfId="37811"/>
    <cellStyle name="Uwaga 2 2 40" xfId="37812"/>
    <cellStyle name="Uwaga 2 2 40 2" xfId="37813"/>
    <cellStyle name="Uwaga 2 2 40 3" xfId="37814"/>
    <cellStyle name="Uwaga 2 2 41" xfId="37815"/>
    <cellStyle name="Uwaga 2 2 41 2" xfId="37816"/>
    <cellStyle name="Uwaga 2 2 41 3" xfId="37817"/>
    <cellStyle name="Uwaga 2 2 42" xfId="37818"/>
    <cellStyle name="Uwaga 2 2 42 2" xfId="37819"/>
    <cellStyle name="Uwaga 2 2 42 3" xfId="37820"/>
    <cellStyle name="Uwaga 2 2 43" xfId="37821"/>
    <cellStyle name="Uwaga 2 2 43 2" xfId="37822"/>
    <cellStyle name="Uwaga 2 2 43 3" xfId="37823"/>
    <cellStyle name="Uwaga 2 2 44" xfId="37824"/>
    <cellStyle name="Uwaga 2 2 44 2" xfId="37825"/>
    <cellStyle name="Uwaga 2 2 44 3" xfId="37826"/>
    <cellStyle name="Uwaga 2 2 45" xfId="37827"/>
    <cellStyle name="Uwaga 2 2 45 2" xfId="37828"/>
    <cellStyle name="Uwaga 2 2 45 3" xfId="37829"/>
    <cellStyle name="Uwaga 2 2 46" xfId="37830"/>
    <cellStyle name="Uwaga 2 2 46 2" xfId="37831"/>
    <cellStyle name="Uwaga 2 2 46 3" xfId="37832"/>
    <cellStyle name="Uwaga 2 2 47" xfId="37833"/>
    <cellStyle name="Uwaga 2 2 47 2" xfId="37834"/>
    <cellStyle name="Uwaga 2 2 47 3" xfId="37835"/>
    <cellStyle name="Uwaga 2 2 48" xfId="37836"/>
    <cellStyle name="Uwaga 2 2 48 2" xfId="37837"/>
    <cellStyle name="Uwaga 2 2 48 3" xfId="37838"/>
    <cellStyle name="Uwaga 2 2 49" xfId="37839"/>
    <cellStyle name="Uwaga 2 2 49 2" xfId="37840"/>
    <cellStyle name="Uwaga 2 2 49 3" xfId="37841"/>
    <cellStyle name="Uwaga 2 2 5" xfId="37842"/>
    <cellStyle name="Uwaga 2 2 5 2" xfId="37843"/>
    <cellStyle name="Uwaga 2 2 5 3" xfId="37844"/>
    <cellStyle name="Uwaga 2 2 5 4" xfId="37845"/>
    <cellStyle name="Uwaga 2 2 50" xfId="37846"/>
    <cellStyle name="Uwaga 2 2 50 2" xfId="37847"/>
    <cellStyle name="Uwaga 2 2 50 3" xfId="37848"/>
    <cellStyle name="Uwaga 2 2 51" xfId="37849"/>
    <cellStyle name="Uwaga 2 2 51 2" xfId="37850"/>
    <cellStyle name="Uwaga 2 2 51 3" xfId="37851"/>
    <cellStyle name="Uwaga 2 2 52" xfId="37852"/>
    <cellStyle name="Uwaga 2 2 52 2" xfId="37853"/>
    <cellStyle name="Uwaga 2 2 52 3" xfId="37854"/>
    <cellStyle name="Uwaga 2 2 53" xfId="37855"/>
    <cellStyle name="Uwaga 2 2 53 2" xfId="37856"/>
    <cellStyle name="Uwaga 2 2 53 3" xfId="37857"/>
    <cellStyle name="Uwaga 2 2 54" xfId="37858"/>
    <cellStyle name="Uwaga 2 2 54 2" xfId="37859"/>
    <cellStyle name="Uwaga 2 2 54 3" xfId="37860"/>
    <cellStyle name="Uwaga 2 2 55" xfId="37861"/>
    <cellStyle name="Uwaga 2 2 55 2" xfId="37862"/>
    <cellStyle name="Uwaga 2 2 55 3" xfId="37863"/>
    <cellStyle name="Uwaga 2 2 56" xfId="37864"/>
    <cellStyle name="Uwaga 2 2 56 2" xfId="37865"/>
    <cellStyle name="Uwaga 2 2 56 3" xfId="37866"/>
    <cellStyle name="Uwaga 2 2 57" xfId="37867"/>
    <cellStyle name="Uwaga 2 2 58" xfId="37868"/>
    <cellStyle name="Uwaga 2 2 59" xfId="37869"/>
    <cellStyle name="Uwaga 2 2 6" xfId="37870"/>
    <cellStyle name="Uwaga 2 2 6 2" xfId="37871"/>
    <cellStyle name="Uwaga 2 2 6 3" xfId="37872"/>
    <cellStyle name="Uwaga 2 2 6 4" xfId="37873"/>
    <cellStyle name="Uwaga 2 2 7" xfId="37874"/>
    <cellStyle name="Uwaga 2 2 7 2" xfId="37875"/>
    <cellStyle name="Uwaga 2 2 7 3" xfId="37876"/>
    <cellStyle name="Uwaga 2 2 7 4" xfId="37877"/>
    <cellStyle name="Uwaga 2 2 8" xfId="37878"/>
    <cellStyle name="Uwaga 2 2 8 2" xfId="37879"/>
    <cellStyle name="Uwaga 2 2 8 3" xfId="37880"/>
    <cellStyle name="Uwaga 2 2 8 4" xfId="37881"/>
    <cellStyle name="Uwaga 2 2 9" xfId="37882"/>
    <cellStyle name="Uwaga 2 2 9 2" xfId="37883"/>
    <cellStyle name="Uwaga 2 2 9 3" xfId="37884"/>
    <cellStyle name="Uwaga 2 2 9 4" xfId="37885"/>
    <cellStyle name="Uwaga 2 20" xfId="37886"/>
    <cellStyle name="Uwaga 2 20 10" xfId="37887"/>
    <cellStyle name="Uwaga 2 20 10 2" xfId="37888"/>
    <cellStyle name="Uwaga 2 20 10 3" xfId="37889"/>
    <cellStyle name="Uwaga 2 20 10 4" xfId="37890"/>
    <cellStyle name="Uwaga 2 20 11" xfId="37891"/>
    <cellStyle name="Uwaga 2 20 11 2" xfId="37892"/>
    <cellStyle name="Uwaga 2 20 11 3" xfId="37893"/>
    <cellStyle name="Uwaga 2 20 11 4" xfId="37894"/>
    <cellStyle name="Uwaga 2 20 12" xfId="37895"/>
    <cellStyle name="Uwaga 2 20 12 2" xfId="37896"/>
    <cellStyle name="Uwaga 2 20 12 3" xfId="37897"/>
    <cellStyle name="Uwaga 2 20 12 4" xfId="37898"/>
    <cellStyle name="Uwaga 2 20 13" xfId="37899"/>
    <cellStyle name="Uwaga 2 20 13 2" xfId="37900"/>
    <cellStyle name="Uwaga 2 20 13 3" xfId="37901"/>
    <cellStyle name="Uwaga 2 20 13 4" xfId="37902"/>
    <cellStyle name="Uwaga 2 20 14" xfId="37903"/>
    <cellStyle name="Uwaga 2 20 14 2" xfId="37904"/>
    <cellStyle name="Uwaga 2 20 14 3" xfId="37905"/>
    <cellStyle name="Uwaga 2 20 14 4" xfId="37906"/>
    <cellStyle name="Uwaga 2 20 15" xfId="37907"/>
    <cellStyle name="Uwaga 2 20 15 2" xfId="37908"/>
    <cellStyle name="Uwaga 2 20 15 3" xfId="37909"/>
    <cellStyle name="Uwaga 2 20 15 4" xfId="37910"/>
    <cellStyle name="Uwaga 2 20 16" xfId="37911"/>
    <cellStyle name="Uwaga 2 20 16 2" xfId="37912"/>
    <cellStyle name="Uwaga 2 20 16 3" xfId="37913"/>
    <cellStyle name="Uwaga 2 20 16 4" xfId="37914"/>
    <cellStyle name="Uwaga 2 20 17" xfId="37915"/>
    <cellStyle name="Uwaga 2 20 17 2" xfId="37916"/>
    <cellStyle name="Uwaga 2 20 17 3" xfId="37917"/>
    <cellStyle name="Uwaga 2 20 17 4" xfId="37918"/>
    <cellStyle name="Uwaga 2 20 18" xfId="37919"/>
    <cellStyle name="Uwaga 2 20 18 2" xfId="37920"/>
    <cellStyle name="Uwaga 2 20 18 3" xfId="37921"/>
    <cellStyle name="Uwaga 2 20 18 4" xfId="37922"/>
    <cellStyle name="Uwaga 2 20 19" xfId="37923"/>
    <cellStyle name="Uwaga 2 20 19 2" xfId="37924"/>
    <cellStyle name="Uwaga 2 20 19 3" xfId="37925"/>
    <cellStyle name="Uwaga 2 20 19 4" xfId="37926"/>
    <cellStyle name="Uwaga 2 20 2" xfId="37927"/>
    <cellStyle name="Uwaga 2 20 2 2" xfId="37928"/>
    <cellStyle name="Uwaga 2 20 2 3" xfId="37929"/>
    <cellStyle name="Uwaga 2 20 2 4" xfId="37930"/>
    <cellStyle name="Uwaga 2 20 20" xfId="37931"/>
    <cellStyle name="Uwaga 2 20 20 2" xfId="37932"/>
    <cellStyle name="Uwaga 2 20 20 3" xfId="37933"/>
    <cellStyle name="Uwaga 2 20 20 4" xfId="37934"/>
    <cellStyle name="Uwaga 2 20 21" xfId="37935"/>
    <cellStyle name="Uwaga 2 20 21 2" xfId="37936"/>
    <cellStyle name="Uwaga 2 20 21 3" xfId="37937"/>
    <cellStyle name="Uwaga 2 20 22" xfId="37938"/>
    <cellStyle name="Uwaga 2 20 22 2" xfId="37939"/>
    <cellStyle name="Uwaga 2 20 22 3" xfId="37940"/>
    <cellStyle name="Uwaga 2 20 23" xfId="37941"/>
    <cellStyle name="Uwaga 2 20 23 2" xfId="37942"/>
    <cellStyle name="Uwaga 2 20 23 3" xfId="37943"/>
    <cellStyle name="Uwaga 2 20 24" xfId="37944"/>
    <cellStyle name="Uwaga 2 20 24 2" xfId="37945"/>
    <cellStyle name="Uwaga 2 20 24 3" xfId="37946"/>
    <cellStyle name="Uwaga 2 20 25" xfId="37947"/>
    <cellStyle name="Uwaga 2 20 25 2" xfId="37948"/>
    <cellStyle name="Uwaga 2 20 25 3" xfId="37949"/>
    <cellStyle name="Uwaga 2 20 26" xfId="37950"/>
    <cellStyle name="Uwaga 2 20 26 2" xfId="37951"/>
    <cellStyle name="Uwaga 2 20 26 3" xfId="37952"/>
    <cellStyle name="Uwaga 2 20 27" xfId="37953"/>
    <cellStyle name="Uwaga 2 20 27 2" xfId="37954"/>
    <cellStyle name="Uwaga 2 20 27 3" xfId="37955"/>
    <cellStyle name="Uwaga 2 20 28" xfId="37956"/>
    <cellStyle name="Uwaga 2 20 28 2" xfId="37957"/>
    <cellStyle name="Uwaga 2 20 28 3" xfId="37958"/>
    <cellStyle name="Uwaga 2 20 29" xfId="37959"/>
    <cellStyle name="Uwaga 2 20 29 2" xfId="37960"/>
    <cellStyle name="Uwaga 2 20 29 3" xfId="37961"/>
    <cellStyle name="Uwaga 2 20 3" xfId="37962"/>
    <cellStyle name="Uwaga 2 20 3 2" xfId="37963"/>
    <cellStyle name="Uwaga 2 20 3 3" xfId="37964"/>
    <cellStyle name="Uwaga 2 20 3 4" xfId="37965"/>
    <cellStyle name="Uwaga 2 20 30" xfId="37966"/>
    <cellStyle name="Uwaga 2 20 30 2" xfId="37967"/>
    <cellStyle name="Uwaga 2 20 30 3" xfId="37968"/>
    <cellStyle name="Uwaga 2 20 31" xfId="37969"/>
    <cellStyle name="Uwaga 2 20 31 2" xfId="37970"/>
    <cellStyle name="Uwaga 2 20 31 3" xfId="37971"/>
    <cellStyle name="Uwaga 2 20 32" xfId="37972"/>
    <cellStyle name="Uwaga 2 20 32 2" xfId="37973"/>
    <cellStyle name="Uwaga 2 20 32 3" xfId="37974"/>
    <cellStyle name="Uwaga 2 20 33" xfId="37975"/>
    <cellStyle name="Uwaga 2 20 33 2" xfId="37976"/>
    <cellStyle name="Uwaga 2 20 33 3" xfId="37977"/>
    <cellStyle name="Uwaga 2 20 34" xfId="37978"/>
    <cellStyle name="Uwaga 2 20 34 2" xfId="37979"/>
    <cellStyle name="Uwaga 2 20 34 3" xfId="37980"/>
    <cellStyle name="Uwaga 2 20 35" xfId="37981"/>
    <cellStyle name="Uwaga 2 20 35 2" xfId="37982"/>
    <cellStyle name="Uwaga 2 20 35 3" xfId="37983"/>
    <cellStyle name="Uwaga 2 20 36" xfId="37984"/>
    <cellStyle name="Uwaga 2 20 36 2" xfId="37985"/>
    <cellStyle name="Uwaga 2 20 36 3" xfId="37986"/>
    <cellStyle name="Uwaga 2 20 37" xfId="37987"/>
    <cellStyle name="Uwaga 2 20 37 2" xfId="37988"/>
    <cellStyle name="Uwaga 2 20 37 3" xfId="37989"/>
    <cellStyle name="Uwaga 2 20 38" xfId="37990"/>
    <cellStyle name="Uwaga 2 20 38 2" xfId="37991"/>
    <cellStyle name="Uwaga 2 20 38 3" xfId="37992"/>
    <cellStyle name="Uwaga 2 20 39" xfId="37993"/>
    <cellStyle name="Uwaga 2 20 39 2" xfId="37994"/>
    <cellStyle name="Uwaga 2 20 39 3" xfId="37995"/>
    <cellStyle name="Uwaga 2 20 4" xfId="37996"/>
    <cellStyle name="Uwaga 2 20 4 2" xfId="37997"/>
    <cellStyle name="Uwaga 2 20 4 3" xfId="37998"/>
    <cellStyle name="Uwaga 2 20 4 4" xfId="37999"/>
    <cellStyle name="Uwaga 2 20 40" xfId="38000"/>
    <cellStyle name="Uwaga 2 20 40 2" xfId="38001"/>
    <cellStyle name="Uwaga 2 20 40 3" xfId="38002"/>
    <cellStyle name="Uwaga 2 20 41" xfId="38003"/>
    <cellStyle name="Uwaga 2 20 41 2" xfId="38004"/>
    <cellStyle name="Uwaga 2 20 41 3" xfId="38005"/>
    <cellStyle name="Uwaga 2 20 42" xfId="38006"/>
    <cellStyle name="Uwaga 2 20 42 2" xfId="38007"/>
    <cellStyle name="Uwaga 2 20 42 3" xfId="38008"/>
    <cellStyle name="Uwaga 2 20 43" xfId="38009"/>
    <cellStyle name="Uwaga 2 20 43 2" xfId="38010"/>
    <cellStyle name="Uwaga 2 20 43 3" xfId="38011"/>
    <cellStyle name="Uwaga 2 20 44" xfId="38012"/>
    <cellStyle name="Uwaga 2 20 44 2" xfId="38013"/>
    <cellStyle name="Uwaga 2 20 44 3" xfId="38014"/>
    <cellStyle name="Uwaga 2 20 45" xfId="38015"/>
    <cellStyle name="Uwaga 2 20 45 2" xfId="38016"/>
    <cellStyle name="Uwaga 2 20 45 3" xfId="38017"/>
    <cellStyle name="Uwaga 2 20 46" xfId="38018"/>
    <cellStyle name="Uwaga 2 20 46 2" xfId="38019"/>
    <cellStyle name="Uwaga 2 20 46 3" xfId="38020"/>
    <cellStyle name="Uwaga 2 20 47" xfId="38021"/>
    <cellStyle name="Uwaga 2 20 47 2" xfId="38022"/>
    <cellStyle name="Uwaga 2 20 47 3" xfId="38023"/>
    <cellStyle name="Uwaga 2 20 48" xfId="38024"/>
    <cellStyle name="Uwaga 2 20 48 2" xfId="38025"/>
    <cellStyle name="Uwaga 2 20 48 3" xfId="38026"/>
    <cellStyle name="Uwaga 2 20 49" xfId="38027"/>
    <cellStyle name="Uwaga 2 20 49 2" xfId="38028"/>
    <cellStyle name="Uwaga 2 20 49 3" xfId="38029"/>
    <cellStyle name="Uwaga 2 20 5" xfId="38030"/>
    <cellStyle name="Uwaga 2 20 5 2" xfId="38031"/>
    <cellStyle name="Uwaga 2 20 5 3" xfId="38032"/>
    <cellStyle name="Uwaga 2 20 5 4" xfId="38033"/>
    <cellStyle name="Uwaga 2 20 50" xfId="38034"/>
    <cellStyle name="Uwaga 2 20 50 2" xfId="38035"/>
    <cellStyle name="Uwaga 2 20 50 3" xfId="38036"/>
    <cellStyle name="Uwaga 2 20 51" xfId="38037"/>
    <cellStyle name="Uwaga 2 20 51 2" xfId="38038"/>
    <cellStyle name="Uwaga 2 20 51 3" xfId="38039"/>
    <cellStyle name="Uwaga 2 20 52" xfId="38040"/>
    <cellStyle name="Uwaga 2 20 52 2" xfId="38041"/>
    <cellStyle name="Uwaga 2 20 52 3" xfId="38042"/>
    <cellStyle name="Uwaga 2 20 53" xfId="38043"/>
    <cellStyle name="Uwaga 2 20 53 2" xfId="38044"/>
    <cellStyle name="Uwaga 2 20 53 3" xfId="38045"/>
    <cellStyle name="Uwaga 2 20 54" xfId="38046"/>
    <cellStyle name="Uwaga 2 20 54 2" xfId="38047"/>
    <cellStyle name="Uwaga 2 20 54 3" xfId="38048"/>
    <cellStyle name="Uwaga 2 20 55" xfId="38049"/>
    <cellStyle name="Uwaga 2 20 55 2" xfId="38050"/>
    <cellStyle name="Uwaga 2 20 55 3" xfId="38051"/>
    <cellStyle name="Uwaga 2 20 56" xfId="38052"/>
    <cellStyle name="Uwaga 2 20 56 2" xfId="38053"/>
    <cellStyle name="Uwaga 2 20 56 3" xfId="38054"/>
    <cellStyle name="Uwaga 2 20 57" xfId="38055"/>
    <cellStyle name="Uwaga 2 20 58" xfId="38056"/>
    <cellStyle name="Uwaga 2 20 6" xfId="38057"/>
    <cellStyle name="Uwaga 2 20 6 2" xfId="38058"/>
    <cellStyle name="Uwaga 2 20 6 3" xfId="38059"/>
    <cellStyle name="Uwaga 2 20 6 4" xfId="38060"/>
    <cellStyle name="Uwaga 2 20 7" xfId="38061"/>
    <cellStyle name="Uwaga 2 20 7 2" xfId="38062"/>
    <cellStyle name="Uwaga 2 20 7 3" xfId="38063"/>
    <cellStyle name="Uwaga 2 20 7 4" xfId="38064"/>
    <cellStyle name="Uwaga 2 20 8" xfId="38065"/>
    <cellStyle name="Uwaga 2 20 8 2" xfId="38066"/>
    <cellStyle name="Uwaga 2 20 8 3" xfId="38067"/>
    <cellStyle name="Uwaga 2 20 8 4" xfId="38068"/>
    <cellStyle name="Uwaga 2 20 9" xfId="38069"/>
    <cellStyle name="Uwaga 2 20 9 2" xfId="38070"/>
    <cellStyle name="Uwaga 2 20 9 3" xfId="38071"/>
    <cellStyle name="Uwaga 2 20 9 4" xfId="38072"/>
    <cellStyle name="Uwaga 2 21" xfId="38073"/>
    <cellStyle name="Uwaga 2 21 10" xfId="38074"/>
    <cellStyle name="Uwaga 2 21 10 2" xfId="38075"/>
    <cellStyle name="Uwaga 2 21 10 3" xfId="38076"/>
    <cellStyle name="Uwaga 2 21 10 4" xfId="38077"/>
    <cellStyle name="Uwaga 2 21 11" xfId="38078"/>
    <cellStyle name="Uwaga 2 21 11 2" xfId="38079"/>
    <cellStyle name="Uwaga 2 21 11 3" xfId="38080"/>
    <cellStyle name="Uwaga 2 21 11 4" xfId="38081"/>
    <cellStyle name="Uwaga 2 21 12" xfId="38082"/>
    <cellStyle name="Uwaga 2 21 12 2" xfId="38083"/>
    <cellStyle name="Uwaga 2 21 12 3" xfId="38084"/>
    <cellStyle name="Uwaga 2 21 12 4" xfId="38085"/>
    <cellStyle name="Uwaga 2 21 13" xfId="38086"/>
    <cellStyle name="Uwaga 2 21 13 2" xfId="38087"/>
    <cellStyle name="Uwaga 2 21 13 3" xfId="38088"/>
    <cellStyle name="Uwaga 2 21 13 4" xfId="38089"/>
    <cellStyle name="Uwaga 2 21 14" xfId="38090"/>
    <cellStyle name="Uwaga 2 21 14 2" xfId="38091"/>
    <cellStyle name="Uwaga 2 21 14 3" xfId="38092"/>
    <cellStyle name="Uwaga 2 21 14 4" xfId="38093"/>
    <cellStyle name="Uwaga 2 21 15" xfId="38094"/>
    <cellStyle name="Uwaga 2 21 15 2" xfId="38095"/>
    <cellStyle name="Uwaga 2 21 15 3" xfId="38096"/>
    <cellStyle name="Uwaga 2 21 15 4" xfId="38097"/>
    <cellStyle name="Uwaga 2 21 16" xfId="38098"/>
    <cellStyle name="Uwaga 2 21 16 2" xfId="38099"/>
    <cellStyle name="Uwaga 2 21 16 3" xfId="38100"/>
    <cellStyle name="Uwaga 2 21 16 4" xfId="38101"/>
    <cellStyle name="Uwaga 2 21 17" xfId="38102"/>
    <cellStyle name="Uwaga 2 21 17 2" xfId="38103"/>
    <cellStyle name="Uwaga 2 21 17 3" xfId="38104"/>
    <cellStyle name="Uwaga 2 21 17 4" xfId="38105"/>
    <cellStyle name="Uwaga 2 21 18" xfId="38106"/>
    <cellStyle name="Uwaga 2 21 18 2" xfId="38107"/>
    <cellStyle name="Uwaga 2 21 18 3" xfId="38108"/>
    <cellStyle name="Uwaga 2 21 18 4" xfId="38109"/>
    <cellStyle name="Uwaga 2 21 19" xfId="38110"/>
    <cellStyle name="Uwaga 2 21 19 2" xfId="38111"/>
    <cellStyle name="Uwaga 2 21 19 3" xfId="38112"/>
    <cellStyle name="Uwaga 2 21 19 4" xfId="38113"/>
    <cellStyle name="Uwaga 2 21 2" xfId="38114"/>
    <cellStyle name="Uwaga 2 21 2 2" xfId="38115"/>
    <cellStyle name="Uwaga 2 21 2 3" xfId="38116"/>
    <cellStyle name="Uwaga 2 21 2 4" xfId="38117"/>
    <cellStyle name="Uwaga 2 21 20" xfId="38118"/>
    <cellStyle name="Uwaga 2 21 20 2" xfId="38119"/>
    <cellStyle name="Uwaga 2 21 20 3" xfId="38120"/>
    <cellStyle name="Uwaga 2 21 20 4" xfId="38121"/>
    <cellStyle name="Uwaga 2 21 21" xfId="38122"/>
    <cellStyle name="Uwaga 2 21 21 2" xfId="38123"/>
    <cellStyle name="Uwaga 2 21 21 3" xfId="38124"/>
    <cellStyle name="Uwaga 2 21 22" xfId="38125"/>
    <cellStyle name="Uwaga 2 21 22 2" xfId="38126"/>
    <cellStyle name="Uwaga 2 21 22 3" xfId="38127"/>
    <cellStyle name="Uwaga 2 21 23" xfId="38128"/>
    <cellStyle name="Uwaga 2 21 23 2" xfId="38129"/>
    <cellStyle name="Uwaga 2 21 23 3" xfId="38130"/>
    <cellStyle name="Uwaga 2 21 24" xfId="38131"/>
    <cellStyle name="Uwaga 2 21 24 2" xfId="38132"/>
    <cellStyle name="Uwaga 2 21 24 3" xfId="38133"/>
    <cellStyle name="Uwaga 2 21 25" xfId="38134"/>
    <cellStyle name="Uwaga 2 21 25 2" xfId="38135"/>
    <cellStyle name="Uwaga 2 21 25 3" xfId="38136"/>
    <cellStyle name="Uwaga 2 21 26" xfId="38137"/>
    <cellStyle name="Uwaga 2 21 26 2" xfId="38138"/>
    <cellStyle name="Uwaga 2 21 26 3" xfId="38139"/>
    <cellStyle name="Uwaga 2 21 27" xfId="38140"/>
    <cellStyle name="Uwaga 2 21 27 2" xfId="38141"/>
    <cellStyle name="Uwaga 2 21 27 3" xfId="38142"/>
    <cellStyle name="Uwaga 2 21 28" xfId="38143"/>
    <cellStyle name="Uwaga 2 21 28 2" xfId="38144"/>
    <cellStyle name="Uwaga 2 21 28 3" xfId="38145"/>
    <cellStyle name="Uwaga 2 21 29" xfId="38146"/>
    <cellStyle name="Uwaga 2 21 29 2" xfId="38147"/>
    <cellStyle name="Uwaga 2 21 29 3" xfId="38148"/>
    <cellStyle name="Uwaga 2 21 3" xfId="38149"/>
    <cellStyle name="Uwaga 2 21 3 2" xfId="38150"/>
    <cellStyle name="Uwaga 2 21 3 3" xfId="38151"/>
    <cellStyle name="Uwaga 2 21 3 4" xfId="38152"/>
    <cellStyle name="Uwaga 2 21 30" xfId="38153"/>
    <cellStyle name="Uwaga 2 21 30 2" xfId="38154"/>
    <cellStyle name="Uwaga 2 21 30 3" xfId="38155"/>
    <cellStyle name="Uwaga 2 21 31" xfId="38156"/>
    <cellStyle name="Uwaga 2 21 31 2" xfId="38157"/>
    <cellStyle name="Uwaga 2 21 31 3" xfId="38158"/>
    <cellStyle name="Uwaga 2 21 32" xfId="38159"/>
    <cellStyle name="Uwaga 2 21 32 2" xfId="38160"/>
    <cellStyle name="Uwaga 2 21 32 3" xfId="38161"/>
    <cellStyle name="Uwaga 2 21 33" xfId="38162"/>
    <cellStyle name="Uwaga 2 21 33 2" xfId="38163"/>
    <cellStyle name="Uwaga 2 21 33 3" xfId="38164"/>
    <cellStyle name="Uwaga 2 21 34" xfId="38165"/>
    <cellStyle name="Uwaga 2 21 34 2" xfId="38166"/>
    <cellStyle name="Uwaga 2 21 34 3" xfId="38167"/>
    <cellStyle name="Uwaga 2 21 35" xfId="38168"/>
    <cellStyle name="Uwaga 2 21 35 2" xfId="38169"/>
    <cellStyle name="Uwaga 2 21 35 3" xfId="38170"/>
    <cellStyle name="Uwaga 2 21 36" xfId="38171"/>
    <cellStyle name="Uwaga 2 21 36 2" xfId="38172"/>
    <cellStyle name="Uwaga 2 21 36 3" xfId="38173"/>
    <cellStyle name="Uwaga 2 21 37" xfId="38174"/>
    <cellStyle name="Uwaga 2 21 37 2" xfId="38175"/>
    <cellStyle name="Uwaga 2 21 37 3" xfId="38176"/>
    <cellStyle name="Uwaga 2 21 38" xfId="38177"/>
    <cellStyle name="Uwaga 2 21 38 2" xfId="38178"/>
    <cellStyle name="Uwaga 2 21 38 3" xfId="38179"/>
    <cellStyle name="Uwaga 2 21 39" xfId="38180"/>
    <cellStyle name="Uwaga 2 21 39 2" xfId="38181"/>
    <cellStyle name="Uwaga 2 21 39 3" xfId="38182"/>
    <cellStyle name="Uwaga 2 21 4" xfId="38183"/>
    <cellStyle name="Uwaga 2 21 4 2" xfId="38184"/>
    <cellStyle name="Uwaga 2 21 4 3" xfId="38185"/>
    <cellStyle name="Uwaga 2 21 4 4" xfId="38186"/>
    <cellStyle name="Uwaga 2 21 40" xfId="38187"/>
    <cellStyle name="Uwaga 2 21 40 2" xfId="38188"/>
    <cellStyle name="Uwaga 2 21 40 3" xfId="38189"/>
    <cellStyle name="Uwaga 2 21 41" xfId="38190"/>
    <cellStyle name="Uwaga 2 21 41 2" xfId="38191"/>
    <cellStyle name="Uwaga 2 21 41 3" xfId="38192"/>
    <cellStyle name="Uwaga 2 21 42" xfId="38193"/>
    <cellStyle name="Uwaga 2 21 42 2" xfId="38194"/>
    <cellStyle name="Uwaga 2 21 42 3" xfId="38195"/>
    <cellStyle name="Uwaga 2 21 43" xfId="38196"/>
    <cellStyle name="Uwaga 2 21 43 2" xfId="38197"/>
    <cellStyle name="Uwaga 2 21 43 3" xfId="38198"/>
    <cellStyle name="Uwaga 2 21 44" xfId="38199"/>
    <cellStyle name="Uwaga 2 21 44 2" xfId="38200"/>
    <cellStyle name="Uwaga 2 21 44 3" xfId="38201"/>
    <cellStyle name="Uwaga 2 21 45" xfId="38202"/>
    <cellStyle name="Uwaga 2 21 45 2" xfId="38203"/>
    <cellStyle name="Uwaga 2 21 45 3" xfId="38204"/>
    <cellStyle name="Uwaga 2 21 46" xfId="38205"/>
    <cellStyle name="Uwaga 2 21 46 2" xfId="38206"/>
    <cellStyle name="Uwaga 2 21 46 3" xfId="38207"/>
    <cellStyle name="Uwaga 2 21 47" xfId="38208"/>
    <cellStyle name="Uwaga 2 21 47 2" xfId="38209"/>
    <cellStyle name="Uwaga 2 21 47 3" xfId="38210"/>
    <cellStyle name="Uwaga 2 21 48" xfId="38211"/>
    <cellStyle name="Uwaga 2 21 48 2" xfId="38212"/>
    <cellStyle name="Uwaga 2 21 48 3" xfId="38213"/>
    <cellStyle name="Uwaga 2 21 49" xfId="38214"/>
    <cellStyle name="Uwaga 2 21 49 2" xfId="38215"/>
    <cellStyle name="Uwaga 2 21 49 3" xfId="38216"/>
    <cellStyle name="Uwaga 2 21 5" xfId="38217"/>
    <cellStyle name="Uwaga 2 21 5 2" xfId="38218"/>
    <cellStyle name="Uwaga 2 21 5 3" xfId="38219"/>
    <cellStyle name="Uwaga 2 21 5 4" xfId="38220"/>
    <cellStyle name="Uwaga 2 21 50" xfId="38221"/>
    <cellStyle name="Uwaga 2 21 50 2" xfId="38222"/>
    <cellStyle name="Uwaga 2 21 50 3" xfId="38223"/>
    <cellStyle name="Uwaga 2 21 51" xfId="38224"/>
    <cellStyle name="Uwaga 2 21 51 2" xfId="38225"/>
    <cellStyle name="Uwaga 2 21 51 3" xfId="38226"/>
    <cellStyle name="Uwaga 2 21 52" xfId="38227"/>
    <cellStyle name="Uwaga 2 21 52 2" xfId="38228"/>
    <cellStyle name="Uwaga 2 21 52 3" xfId="38229"/>
    <cellStyle name="Uwaga 2 21 53" xfId="38230"/>
    <cellStyle name="Uwaga 2 21 53 2" xfId="38231"/>
    <cellStyle name="Uwaga 2 21 53 3" xfId="38232"/>
    <cellStyle name="Uwaga 2 21 54" xfId="38233"/>
    <cellStyle name="Uwaga 2 21 54 2" xfId="38234"/>
    <cellStyle name="Uwaga 2 21 54 3" xfId="38235"/>
    <cellStyle name="Uwaga 2 21 55" xfId="38236"/>
    <cellStyle name="Uwaga 2 21 55 2" xfId="38237"/>
    <cellStyle name="Uwaga 2 21 55 3" xfId="38238"/>
    <cellStyle name="Uwaga 2 21 56" xfId="38239"/>
    <cellStyle name="Uwaga 2 21 56 2" xfId="38240"/>
    <cellStyle name="Uwaga 2 21 56 3" xfId="38241"/>
    <cellStyle name="Uwaga 2 21 57" xfId="38242"/>
    <cellStyle name="Uwaga 2 21 58" xfId="38243"/>
    <cellStyle name="Uwaga 2 21 6" xfId="38244"/>
    <cellStyle name="Uwaga 2 21 6 2" xfId="38245"/>
    <cellStyle name="Uwaga 2 21 6 3" xfId="38246"/>
    <cellStyle name="Uwaga 2 21 6 4" xfId="38247"/>
    <cellStyle name="Uwaga 2 21 7" xfId="38248"/>
    <cellStyle name="Uwaga 2 21 7 2" xfId="38249"/>
    <cellStyle name="Uwaga 2 21 7 3" xfId="38250"/>
    <cellStyle name="Uwaga 2 21 7 4" xfId="38251"/>
    <cellStyle name="Uwaga 2 21 8" xfId="38252"/>
    <cellStyle name="Uwaga 2 21 8 2" xfId="38253"/>
    <cellStyle name="Uwaga 2 21 8 3" xfId="38254"/>
    <cellStyle name="Uwaga 2 21 8 4" xfId="38255"/>
    <cellStyle name="Uwaga 2 21 9" xfId="38256"/>
    <cellStyle name="Uwaga 2 21 9 2" xfId="38257"/>
    <cellStyle name="Uwaga 2 21 9 3" xfId="38258"/>
    <cellStyle name="Uwaga 2 21 9 4" xfId="38259"/>
    <cellStyle name="Uwaga 2 22" xfId="38260"/>
    <cellStyle name="Uwaga 2 22 10" xfId="38261"/>
    <cellStyle name="Uwaga 2 22 10 2" xfId="38262"/>
    <cellStyle name="Uwaga 2 22 10 3" xfId="38263"/>
    <cellStyle name="Uwaga 2 22 10 4" xfId="38264"/>
    <cellStyle name="Uwaga 2 22 11" xfId="38265"/>
    <cellStyle name="Uwaga 2 22 11 2" xfId="38266"/>
    <cellStyle name="Uwaga 2 22 11 3" xfId="38267"/>
    <cellStyle name="Uwaga 2 22 11 4" xfId="38268"/>
    <cellStyle name="Uwaga 2 22 12" xfId="38269"/>
    <cellStyle name="Uwaga 2 22 12 2" xfId="38270"/>
    <cellStyle name="Uwaga 2 22 12 3" xfId="38271"/>
    <cellStyle name="Uwaga 2 22 12 4" xfId="38272"/>
    <cellStyle name="Uwaga 2 22 13" xfId="38273"/>
    <cellStyle name="Uwaga 2 22 13 2" xfId="38274"/>
    <cellStyle name="Uwaga 2 22 13 3" xfId="38275"/>
    <cellStyle name="Uwaga 2 22 13 4" xfId="38276"/>
    <cellStyle name="Uwaga 2 22 14" xfId="38277"/>
    <cellStyle name="Uwaga 2 22 14 2" xfId="38278"/>
    <cellStyle name="Uwaga 2 22 14 3" xfId="38279"/>
    <cellStyle name="Uwaga 2 22 14 4" xfId="38280"/>
    <cellStyle name="Uwaga 2 22 15" xfId="38281"/>
    <cellStyle name="Uwaga 2 22 15 2" xfId="38282"/>
    <cellStyle name="Uwaga 2 22 15 3" xfId="38283"/>
    <cellStyle name="Uwaga 2 22 15 4" xfId="38284"/>
    <cellStyle name="Uwaga 2 22 16" xfId="38285"/>
    <cellStyle name="Uwaga 2 22 16 2" xfId="38286"/>
    <cellStyle name="Uwaga 2 22 16 3" xfId="38287"/>
    <cellStyle name="Uwaga 2 22 16 4" xfId="38288"/>
    <cellStyle name="Uwaga 2 22 17" xfId="38289"/>
    <cellStyle name="Uwaga 2 22 17 2" xfId="38290"/>
    <cellStyle name="Uwaga 2 22 17 3" xfId="38291"/>
    <cellStyle name="Uwaga 2 22 17 4" xfId="38292"/>
    <cellStyle name="Uwaga 2 22 18" xfId="38293"/>
    <cellStyle name="Uwaga 2 22 18 2" xfId="38294"/>
    <cellStyle name="Uwaga 2 22 18 3" xfId="38295"/>
    <cellStyle name="Uwaga 2 22 18 4" xfId="38296"/>
    <cellStyle name="Uwaga 2 22 19" xfId="38297"/>
    <cellStyle name="Uwaga 2 22 19 2" xfId="38298"/>
    <cellStyle name="Uwaga 2 22 19 3" xfId="38299"/>
    <cellStyle name="Uwaga 2 22 19 4" xfId="38300"/>
    <cellStyle name="Uwaga 2 22 2" xfId="38301"/>
    <cellStyle name="Uwaga 2 22 2 2" xfId="38302"/>
    <cellStyle name="Uwaga 2 22 2 3" xfId="38303"/>
    <cellStyle name="Uwaga 2 22 2 4" xfId="38304"/>
    <cellStyle name="Uwaga 2 22 20" xfId="38305"/>
    <cellStyle name="Uwaga 2 22 20 2" xfId="38306"/>
    <cellStyle name="Uwaga 2 22 20 3" xfId="38307"/>
    <cellStyle name="Uwaga 2 22 20 4" xfId="38308"/>
    <cellStyle name="Uwaga 2 22 21" xfId="38309"/>
    <cellStyle name="Uwaga 2 22 21 2" xfId="38310"/>
    <cellStyle name="Uwaga 2 22 21 3" xfId="38311"/>
    <cellStyle name="Uwaga 2 22 22" xfId="38312"/>
    <cellStyle name="Uwaga 2 22 22 2" xfId="38313"/>
    <cellStyle name="Uwaga 2 22 22 3" xfId="38314"/>
    <cellStyle name="Uwaga 2 22 23" xfId="38315"/>
    <cellStyle name="Uwaga 2 22 23 2" xfId="38316"/>
    <cellStyle name="Uwaga 2 22 23 3" xfId="38317"/>
    <cellStyle name="Uwaga 2 22 24" xfId="38318"/>
    <cellStyle name="Uwaga 2 22 24 2" xfId="38319"/>
    <cellStyle name="Uwaga 2 22 24 3" xfId="38320"/>
    <cellStyle name="Uwaga 2 22 25" xfId="38321"/>
    <cellStyle name="Uwaga 2 22 25 2" xfId="38322"/>
    <cellStyle name="Uwaga 2 22 25 3" xfId="38323"/>
    <cellStyle name="Uwaga 2 22 26" xfId="38324"/>
    <cellStyle name="Uwaga 2 22 26 2" xfId="38325"/>
    <cellStyle name="Uwaga 2 22 26 3" xfId="38326"/>
    <cellStyle name="Uwaga 2 22 27" xfId="38327"/>
    <cellStyle name="Uwaga 2 22 27 2" xfId="38328"/>
    <cellStyle name="Uwaga 2 22 27 3" xfId="38329"/>
    <cellStyle name="Uwaga 2 22 28" xfId="38330"/>
    <cellStyle name="Uwaga 2 22 28 2" xfId="38331"/>
    <cellStyle name="Uwaga 2 22 28 3" xfId="38332"/>
    <cellStyle name="Uwaga 2 22 29" xfId="38333"/>
    <cellStyle name="Uwaga 2 22 29 2" xfId="38334"/>
    <cellStyle name="Uwaga 2 22 29 3" xfId="38335"/>
    <cellStyle name="Uwaga 2 22 3" xfId="38336"/>
    <cellStyle name="Uwaga 2 22 3 2" xfId="38337"/>
    <cellStyle name="Uwaga 2 22 3 3" xfId="38338"/>
    <cellStyle name="Uwaga 2 22 3 4" xfId="38339"/>
    <cellStyle name="Uwaga 2 22 30" xfId="38340"/>
    <cellStyle name="Uwaga 2 22 30 2" xfId="38341"/>
    <cellStyle name="Uwaga 2 22 30 3" xfId="38342"/>
    <cellStyle name="Uwaga 2 22 31" xfId="38343"/>
    <cellStyle name="Uwaga 2 22 31 2" xfId="38344"/>
    <cellStyle name="Uwaga 2 22 31 3" xfId="38345"/>
    <cellStyle name="Uwaga 2 22 32" xfId="38346"/>
    <cellStyle name="Uwaga 2 22 32 2" xfId="38347"/>
    <cellStyle name="Uwaga 2 22 32 3" xfId="38348"/>
    <cellStyle name="Uwaga 2 22 33" xfId="38349"/>
    <cellStyle name="Uwaga 2 22 33 2" xfId="38350"/>
    <cellStyle name="Uwaga 2 22 33 3" xfId="38351"/>
    <cellStyle name="Uwaga 2 22 34" xfId="38352"/>
    <cellStyle name="Uwaga 2 22 34 2" xfId="38353"/>
    <cellStyle name="Uwaga 2 22 34 3" xfId="38354"/>
    <cellStyle name="Uwaga 2 22 35" xfId="38355"/>
    <cellStyle name="Uwaga 2 22 35 2" xfId="38356"/>
    <cellStyle name="Uwaga 2 22 35 3" xfId="38357"/>
    <cellStyle name="Uwaga 2 22 36" xfId="38358"/>
    <cellStyle name="Uwaga 2 22 36 2" xfId="38359"/>
    <cellStyle name="Uwaga 2 22 36 3" xfId="38360"/>
    <cellStyle name="Uwaga 2 22 37" xfId="38361"/>
    <cellStyle name="Uwaga 2 22 37 2" xfId="38362"/>
    <cellStyle name="Uwaga 2 22 37 3" xfId="38363"/>
    <cellStyle name="Uwaga 2 22 38" xfId="38364"/>
    <cellStyle name="Uwaga 2 22 38 2" xfId="38365"/>
    <cellStyle name="Uwaga 2 22 38 3" xfId="38366"/>
    <cellStyle name="Uwaga 2 22 39" xfId="38367"/>
    <cellStyle name="Uwaga 2 22 39 2" xfId="38368"/>
    <cellStyle name="Uwaga 2 22 39 3" xfId="38369"/>
    <cellStyle name="Uwaga 2 22 4" xfId="38370"/>
    <cellStyle name="Uwaga 2 22 4 2" xfId="38371"/>
    <cellStyle name="Uwaga 2 22 4 3" xfId="38372"/>
    <cellStyle name="Uwaga 2 22 4 4" xfId="38373"/>
    <cellStyle name="Uwaga 2 22 40" xfId="38374"/>
    <cellStyle name="Uwaga 2 22 40 2" xfId="38375"/>
    <cellStyle name="Uwaga 2 22 40 3" xfId="38376"/>
    <cellStyle name="Uwaga 2 22 41" xfId="38377"/>
    <cellStyle name="Uwaga 2 22 41 2" xfId="38378"/>
    <cellStyle name="Uwaga 2 22 41 3" xfId="38379"/>
    <cellStyle name="Uwaga 2 22 42" xfId="38380"/>
    <cellStyle name="Uwaga 2 22 42 2" xfId="38381"/>
    <cellStyle name="Uwaga 2 22 42 3" xfId="38382"/>
    <cellStyle name="Uwaga 2 22 43" xfId="38383"/>
    <cellStyle name="Uwaga 2 22 43 2" xfId="38384"/>
    <cellStyle name="Uwaga 2 22 43 3" xfId="38385"/>
    <cellStyle name="Uwaga 2 22 44" xfId="38386"/>
    <cellStyle name="Uwaga 2 22 44 2" xfId="38387"/>
    <cellStyle name="Uwaga 2 22 44 3" xfId="38388"/>
    <cellStyle name="Uwaga 2 22 45" xfId="38389"/>
    <cellStyle name="Uwaga 2 22 45 2" xfId="38390"/>
    <cellStyle name="Uwaga 2 22 45 3" xfId="38391"/>
    <cellStyle name="Uwaga 2 22 46" xfId="38392"/>
    <cellStyle name="Uwaga 2 22 46 2" xfId="38393"/>
    <cellStyle name="Uwaga 2 22 46 3" xfId="38394"/>
    <cellStyle name="Uwaga 2 22 47" xfId="38395"/>
    <cellStyle name="Uwaga 2 22 47 2" xfId="38396"/>
    <cellStyle name="Uwaga 2 22 47 3" xfId="38397"/>
    <cellStyle name="Uwaga 2 22 48" xfId="38398"/>
    <cellStyle name="Uwaga 2 22 48 2" xfId="38399"/>
    <cellStyle name="Uwaga 2 22 48 3" xfId="38400"/>
    <cellStyle name="Uwaga 2 22 49" xfId="38401"/>
    <cellStyle name="Uwaga 2 22 49 2" xfId="38402"/>
    <cellStyle name="Uwaga 2 22 49 3" xfId="38403"/>
    <cellStyle name="Uwaga 2 22 5" xfId="38404"/>
    <cellStyle name="Uwaga 2 22 5 2" xfId="38405"/>
    <cellStyle name="Uwaga 2 22 5 3" xfId="38406"/>
    <cellStyle name="Uwaga 2 22 5 4" xfId="38407"/>
    <cellStyle name="Uwaga 2 22 50" xfId="38408"/>
    <cellStyle name="Uwaga 2 22 50 2" xfId="38409"/>
    <cellStyle name="Uwaga 2 22 50 3" xfId="38410"/>
    <cellStyle name="Uwaga 2 22 51" xfId="38411"/>
    <cellStyle name="Uwaga 2 22 51 2" xfId="38412"/>
    <cellStyle name="Uwaga 2 22 51 3" xfId="38413"/>
    <cellStyle name="Uwaga 2 22 52" xfId="38414"/>
    <cellStyle name="Uwaga 2 22 52 2" xfId="38415"/>
    <cellStyle name="Uwaga 2 22 52 3" xfId="38416"/>
    <cellStyle name="Uwaga 2 22 53" xfId="38417"/>
    <cellStyle name="Uwaga 2 22 53 2" xfId="38418"/>
    <cellStyle name="Uwaga 2 22 53 3" xfId="38419"/>
    <cellStyle name="Uwaga 2 22 54" xfId="38420"/>
    <cellStyle name="Uwaga 2 22 54 2" xfId="38421"/>
    <cellStyle name="Uwaga 2 22 54 3" xfId="38422"/>
    <cellStyle name="Uwaga 2 22 55" xfId="38423"/>
    <cellStyle name="Uwaga 2 22 55 2" xfId="38424"/>
    <cellStyle name="Uwaga 2 22 55 3" xfId="38425"/>
    <cellStyle name="Uwaga 2 22 56" xfId="38426"/>
    <cellStyle name="Uwaga 2 22 56 2" xfId="38427"/>
    <cellStyle name="Uwaga 2 22 56 3" xfId="38428"/>
    <cellStyle name="Uwaga 2 22 57" xfId="38429"/>
    <cellStyle name="Uwaga 2 22 58" xfId="38430"/>
    <cellStyle name="Uwaga 2 22 6" xfId="38431"/>
    <cellStyle name="Uwaga 2 22 6 2" xfId="38432"/>
    <cellStyle name="Uwaga 2 22 6 3" xfId="38433"/>
    <cellStyle name="Uwaga 2 22 6 4" xfId="38434"/>
    <cellStyle name="Uwaga 2 22 7" xfId="38435"/>
    <cellStyle name="Uwaga 2 22 7 2" xfId="38436"/>
    <cellStyle name="Uwaga 2 22 7 3" xfId="38437"/>
    <cellStyle name="Uwaga 2 22 7 4" xfId="38438"/>
    <cellStyle name="Uwaga 2 22 8" xfId="38439"/>
    <cellStyle name="Uwaga 2 22 8 2" xfId="38440"/>
    <cellStyle name="Uwaga 2 22 8 3" xfId="38441"/>
    <cellStyle name="Uwaga 2 22 8 4" xfId="38442"/>
    <cellStyle name="Uwaga 2 22 9" xfId="38443"/>
    <cellStyle name="Uwaga 2 22 9 2" xfId="38444"/>
    <cellStyle name="Uwaga 2 22 9 3" xfId="38445"/>
    <cellStyle name="Uwaga 2 22 9 4" xfId="38446"/>
    <cellStyle name="Uwaga 2 23" xfId="38447"/>
    <cellStyle name="Uwaga 2 23 10" xfId="38448"/>
    <cellStyle name="Uwaga 2 23 10 2" xfId="38449"/>
    <cellStyle name="Uwaga 2 23 10 3" xfId="38450"/>
    <cellStyle name="Uwaga 2 23 10 4" xfId="38451"/>
    <cellStyle name="Uwaga 2 23 11" xfId="38452"/>
    <cellStyle name="Uwaga 2 23 11 2" xfId="38453"/>
    <cellStyle name="Uwaga 2 23 11 3" xfId="38454"/>
    <cellStyle name="Uwaga 2 23 11 4" xfId="38455"/>
    <cellStyle name="Uwaga 2 23 12" xfId="38456"/>
    <cellStyle name="Uwaga 2 23 12 2" xfId="38457"/>
    <cellStyle name="Uwaga 2 23 12 3" xfId="38458"/>
    <cellStyle name="Uwaga 2 23 12 4" xfId="38459"/>
    <cellStyle name="Uwaga 2 23 13" xfId="38460"/>
    <cellStyle name="Uwaga 2 23 13 2" xfId="38461"/>
    <cellStyle name="Uwaga 2 23 13 3" xfId="38462"/>
    <cellStyle name="Uwaga 2 23 13 4" xfId="38463"/>
    <cellStyle name="Uwaga 2 23 14" xfId="38464"/>
    <cellStyle name="Uwaga 2 23 14 2" xfId="38465"/>
    <cellStyle name="Uwaga 2 23 14 3" xfId="38466"/>
    <cellStyle name="Uwaga 2 23 14 4" xfId="38467"/>
    <cellStyle name="Uwaga 2 23 15" xfId="38468"/>
    <cellStyle name="Uwaga 2 23 15 2" xfId="38469"/>
    <cellStyle name="Uwaga 2 23 15 3" xfId="38470"/>
    <cellStyle name="Uwaga 2 23 15 4" xfId="38471"/>
    <cellStyle name="Uwaga 2 23 16" xfId="38472"/>
    <cellStyle name="Uwaga 2 23 16 2" xfId="38473"/>
    <cellStyle name="Uwaga 2 23 16 3" xfId="38474"/>
    <cellStyle name="Uwaga 2 23 16 4" xfId="38475"/>
    <cellStyle name="Uwaga 2 23 17" xfId="38476"/>
    <cellStyle name="Uwaga 2 23 17 2" xfId="38477"/>
    <cellStyle name="Uwaga 2 23 17 3" xfId="38478"/>
    <cellStyle name="Uwaga 2 23 17 4" xfId="38479"/>
    <cellStyle name="Uwaga 2 23 18" xfId="38480"/>
    <cellStyle name="Uwaga 2 23 18 2" xfId="38481"/>
    <cellStyle name="Uwaga 2 23 18 3" xfId="38482"/>
    <cellStyle name="Uwaga 2 23 18 4" xfId="38483"/>
    <cellStyle name="Uwaga 2 23 19" xfId="38484"/>
    <cellStyle name="Uwaga 2 23 19 2" xfId="38485"/>
    <cellStyle name="Uwaga 2 23 19 3" xfId="38486"/>
    <cellStyle name="Uwaga 2 23 19 4" xfId="38487"/>
    <cellStyle name="Uwaga 2 23 2" xfId="38488"/>
    <cellStyle name="Uwaga 2 23 2 2" xfId="38489"/>
    <cellStyle name="Uwaga 2 23 2 3" xfId="38490"/>
    <cellStyle name="Uwaga 2 23 2 4" xfId="38491"/>
    <cellStyle name="Uwaga 2 23 20" xfId="38492"/>
    <cellStyle name="Uwaga 2 23 20 2" xfId="38493"/>
    <cellStyle name="Uwaga 2 23 20 3" xfId="38494"/>
    <cellStyle name="Uwaga 2 23 20 4" xfId="38495"/>
    <cellStyle name="Uwaga 2 23 21" xfId="38496"/>
    <cellStyle name="Uwaga 2 23 21 2" xfId="38497"/>
    <cellStyle name="Uwaga 2 23 21 3" xfId="38498"/>
    <cellStyle name="Uwaga 2 23 22" xfId="38499"/>
    <cellStyle name="Uwaga 2 23 22 2" xfId="38500"/>
    <cellStyle name="Uwaga 2 23 22 3" xfId="38501"/>
    <cellStyle name="Uwaga 2 23 23" xfId="38502"/>
    <cellStyle name="Uwaga 2 23 23 2" xfId="38503"/>
    <cellStyle name="Uwaga 2 23 23 3" xfId="38504"/>
    <cellStyle name="Uwaga 2 23 24" xfId="38505"/>
    <cellStyle name="Uwaga 2 23 24 2" xfId="38506"/>
    <cellStyle name="Uwaga 2 23 24 3" xfId="38507"/>
    <cellStyle name="Uwaga 2 23 25" xfId="38508"/>
    <cellStyle name="Uwaga 2 23 25 2" xfId="38509"/>
    <cellStyle name="Uwaga 2 23 25 3" xfId="38510"/>
    <cellStyle name="Uwaga 2 23 26" xfId="38511"/>
    <cellStyle name="Uwaga 2 23 26 2" xfId="38512"/>
    <cellStyle name="Uwaga 2 23 26 3" xfId="38513"/>
    <cellStyle name="Uwaga 2 23 27" xfId="38514"/>
    <cellStyle name="Uwaga 2 23 27 2" xfId="38515"/>
    <cellStyle name="Uwaga 2 23 27 3" xfId="38516"/>
    <cellStyle name="Uwaga 2 23 28" xfId="38517"/>
    <cellStyle name="Uwaga 2 23 28 2" xfId="38518"/>
    <cellStyle name="Uwaga 2 23 28 3" xfId="38519"/>
    <cellStyle name="Uwaga 2 23 29" xfId="38520"/>
    <cellStyle name="Uwaga 2 23 29 2" xfId="38521"/>
    <cellStyle name="Uwaga 2 23 29 3" xfId="38522"/>
    <cellStyle name="Uwaga 2 23 3" xfId="38523"/>
    <cellStyle name="Uwaga 2 23 3 2" xfId="38524"/>
    <cellStyle name="Uwaga 2 23 3 3" xfId="38525"/>
    <cellStyle name="Uwaga 2 23 3 4" xfId="38526"/>
    <cellStyle name="Uwaga 2 23 30" xfId="38527"/>
    <cellStyle name="Uwaga 2 23 30 2" xfId="38528"/>
    <cellStyle name="Uwaga 2 23 30 3" xfId="38529"/>
    <cellStyle name="Uwaga 2 23 31" xfId="38530"/>
    <cellStyle name="Uwaga 2 23 31 2" xfId="38531"/>
    <cellStyle name="Uwaga 2 23 31 3" xfId="38532"/>
    <cellStyle name="Uwaga 2 23 32" xfId="38533"/>
    <cellStyle name="Uwaga 2 23 32 2" xfId="38534"/>
    <cellStyle name="Uwaga 2 23 32 3" xfId="38535"/>
    <cellStyle name="Uwaga 2 23 33" xfId="38536"/>
    <cellStyle name="Uwaga 2 23 33 2" xfId="38537"/>
    <cellStyle name="Uwaga 2 23 33 3" xfId="38538"/>
    <cellStyle name="Uwaga 2 23 34" xfId="38539"/>
    <cellStyle name="Uwaga 2 23 34 2" xfId="38540"/>
    <cellStyle name="Uwaga 2 23 34 3" xfId="38541"/>
    <cellStyle name="Uwaga 2 23 35" xfId="38542"/>
    <cellStyle name="Uwaga 2 23 35 2" xfId="38543"/>
    <cellStyle name="Uwaga 2 23 35 3" xfId="38544"/>
    <cellStyle name="Uwaga 2 23 36" xfId="38545"/>
    <cellStyle name="Uwaga 2 23 36 2" xfId="38546"/>
    <cellStyle name="Uwaga 2 23 36 3" xfId="38547"/>
    <cellStyle name="Uwaga 2 23 37" xfId="38548"/>
    <cellStyle name="Uwaga 2 23 37 2" xfId="38549"/>
    <cellStyle name="Uwaga 2 23 37 3" xfId="38550"/>
    <cellStyle name="Uwaga 2 23 38" xfId="38551"/>
    <cellStyle name="Uwaga 2 23 38 2" xfId="38552"/>
    <cellStyle name="Uwaga 2 23 38 3" xfId="38553"/>
    <cellStyle name="Uwaga 2 23 39" xfId="38554"/>
    <cellStyle name="Uwaga 2 23 39 2" xfId="38555"/>
    <cellStyle name="Uwaga 2 23 39 3" xfId="38556"/>
    <cellStyle name="Uwaga 2 23 4" xfId="38557"/>
    <cellStyle name="Uwaga 2 23 4 2" xfId="38558"/>
    <cellStyle name="Uwaga 2 23 4 3" xfId="38559"/>
    <cellStyle name="Uwaga 2 23 4 4" xfId="38560"/>
    <cellStyle name="Uwaga 2 23 40" xfId="38561"/>
    <cellStyle name="Uwaga 2 23 40 2" xfId="38562"/>
    <cellStyle name="Uwaga 2 23 40 3" xfId="38563"/>
    <cellStyle name="Uwaga 2 23 41" xfId="38564"/>
    <cellStyle name="Uwaga 2 23 41 2" xfId="38565"/>
    <cellStyle name="Uwaga 2 23 41 3" xfId="38566"/>
    <cellStyle name="Uwaga 2 23 42" xfId="38567"/>
    <cellStyle name="Uwaga 2 23 42 2" xfId="38568"/>
    <cellStyle name="Uwaga 2 23 42 3" xfId="38569"/>
    <cellStyle name="Uwaga 2 23 43" xfId="38570"/>
    <cellStyle name="Uwaga 2 23 43 2" xfId="38571"/>
    <cellStyle name="Uwaga 2 23 43 3" xfId="38572"/>
    <cellStyle name="Uwaga 2 23 44" xfId="38573"/>
    <cellStyle name="Uwaga 2 23 44 2" xfId="38574"/>
    <cellStyle name="Uwaga 2 23 44 3" xfId="38575"/>
    <cellStyle name="Uwaga 2 23 45" xfId="38576"/>
    <cellStyle name="Uwaga 2 23 45 2" xfId="38577"/>
    <cellStyle name="Uwaga 2 23 45 3" xfId="38578"/>
    <cellStyle name="Uwaga 2 23 46" xfId="38579"/>
    <cellStyle name="Uwaga 2 23 46 2" xfId="38580"/>
    <cellStyle name="Uwaga 2 23 46 3" xfId="38581"/>
    <cellStyle name="Uwaga 2 23 47" xfId="38582"/>
    <cellStyle name="Uwaga 2 23 47 2" xfId="38583"/>
    <cellStyle name="Uwaga 2 23 47 3" xfId="38584"/>
    <cellStyle name="Uwaga 2 23 48" xfId="38585"/>
    <cellStyle name="Uwaga 2 23 48 2" xfId="38586"/>
    <cellStyle name="Uwaga 2 23 48 3" xfId="38587"/>
    <cellStyle name="Uwaga 2 23 49" xfId="38588"/>
    <cellStyle name="Uwaga 2 23 49 2" xfId="38589"/>
    <cellStyle name="Uwaga 2 23 49 3" xfId="38590"/>
    <cellStyle name="Uwaga 2 23 5" xfId="38591"/>
    <cellStyle name="Uwaga 2 23 5 2" xfId="38592"/>
    <cellStyle name="Uwaga 2 23 5 3" xfId="38593"/>
    <cellStyle name="Uwaga 2 23 5 4" xfId="38594"/>
    <cellStyle name="Uwaga 2 23 50" xfId="38595"/>
    <cellStyle name="Uwaga 2 23 50 2" xfId="38596"/>
    <cellStyle name="Uwaga 2 23 50 3" xfId="38597"/>
    <cellStyle name="Uwaga 2 23 51" xfId="38598"/>
    <cellStyle name="Uwaga 2 23 51 2" xfId="38599"/>
    <cellStyle name="Uwaga 2 23 51 3" xfId="38600"/>
    <cellStyle name="Uwaga 2 23 52" xfId="38601"/>
    <cellStyle name="Uwaga 2 23 52 2" xfId="38602"/>
    <cellStyle name="Uwaga 2 23 52 3" xfId="38603"/>
    <cellStyle name="Uwaga 2 23 53" xfId="38604"/>
    <cellStyle name="Uwaga 2 23 53 2" xfId="38605"/>
    <cellStyle name="Uwaga 2 23 53 3" xfId="38606"/>
    <cellStyle name="Uwaga 2 23 54" xfId="38607"/>
    <cellStyle name="Uwaga 2 23 54 2" xfId="38608"/>
    <cellStyle name="Uwaga 2 23 54 3" xfId="38609"/>
    <cellStyle name="Uwaga 2 23 55" xfId="38610"/>
    <cellStyle name="Uwaga 2 23 55 2" xfId="38611"/>
    <cellStyle name="Uwaga 2 23 55 3" xfId="38612"/>
    <cellStyle name="Uwaga 2 23 56" xfId="38613"/>
    <cellStyle name="Uwaga 2 23 56 2" xfId="38614"/>
    <cellStyle name="Uwaga 2 23 56 3" xfId="38615"/>
    <cellStyle name="Uwaga 2 23 57" xfId="38616"/>
    <cellStyle name="Uwaga 2 23 58" xfId="38617"/>
    <cellStyle name="Uwaga 2 23 6" xfId="38618"/>
    <cellStyle name="Uwaga 2 23 6 2" xfId="38619"/>
    <cellStyle name="Uwaga 2 23 6 3" xfId="38620"/>
    <cellStyle name="Uwaga 2 23 6 4" xfId="38621"/>
    <cellStyle name="Uwaga 2 23 7" xfId="38622"/>
    <cellStyle name="Uwaga 2 23 7 2" xfId="38623"/>
    <cellStyle name="Uwaga 2 23 7 3" xfId="38624"/>
    <cellStyle name="Uwaga 2 23 7 4" xfId="38625"/>
    <cellStyle name="Uwaga 2 23 8" xfId="38626"/>
    <cellStyle name="Uwaga 2 23 8 2" xfId="38627"/>
    <cellStyle name="Uwaga 2 23 8 3" xfId="38628"/>
    <cellStyle name="Uwaga 2 23 8 4" xfId="38629"/>
    <cellStyle name="Uwaga 2 23 9" xfId="38630"/>
    <cellStyle name="Uwaga 2 23 9 2" xfId="38631"/>
    <cellStyle name="Uwaga 2 23 9 3" xfId="38632"/>
    <cellStyle name="Uwaga 2 23 9 4" xfId="38633"/>
    <cellStyle name="Uwaga 2 24" xfId="38634"/>
    <cellStyle name="Uwaga 2 24 10" xfId="38635"/>
    <cellStyle name="Uwaga 2 24 10 2" xfId="38636"/>
    <cellStyle name="Uwaga 2 24 10 3" xfId="38637"/>
    <cellStyle name="Uwaga 2 24 10 4" xfId="38638"/>
    <cellStyle name="Uwaga 2 24 11" xfId="38639"/>
    <cellStyle name="Uwaga 2 24 11 2" xfId="38640"/>
    <cellStyle name="Uwaga 2 24 11 3" xfId="38641"/>
    <cellStyle name="Uwaga 2 24 11 4" xfId="38642"/>
    <cellStyle name="Uwaga 2 24 12" xfId="38643"/>
    <cellStyle name="Uwaga 2 24 12 2" xfId="38644"/>
    <cellStyle name="Uwaga 2 24 12 3" xfId="38645"/>
    <cellStyle name="Uwaga 2 24 12 4" xfId="38646"/>
    <cellStyle name="Uwaga 2 24 13" xfId="38647"/>
    <cellStyle name="Uwaga 2 24 13 2" xfId="38648"/>
    <cellStyle name="Uwaga 2 24 13 3" xfId="38649"/>
    <cellStyle name="Uwaga 2 24 13 4" xfId="38650"/>
    <cellStyle name="Uwaga 2 24 14" xfId="38651"/>
    <cellStyle name="Uwaga 2 24 14 2" xfId="38652"/>
    <cellStyle name="Uwaga 2 24 14 3" xfId="38653"/>
    <cellStyle name="Uwaga 2 24 14 4" xfId="38654"/>
    <cellStyle name="Uwaga 2 24 15" xfId="38655"/>
    <cellStyle name="Uwaga 2 24 15 2" xfId="38656"/>
    <cellStyle name="Uwaga 2 24 15 3" xfId="38657"/>
    <cellStyle name="Uwaga 2 24 15 4" xfId="38658"/>
    <cellStyle name="Uwaga 2 24 16" xfId="38659"/>
    <cellStyle name="Uwaga 2 24 16 2" xfId="38660"/>
    <cellStyle name="Uwaga 2 24 16 3" xfId="38661"/>
    <cellStyle name="Uwaga 2 24 16 4" xfId="38662"/>
    <cellStyle name="Uwaga 2 24 17" xfId="38663"/>
    <cellStyle name="Uwaga 2 24 17 2" xfId="38664"/>
    <cellStyle name="Uwaga 2 24 17 3" xfId="38665"/>
    <cellStyle name="Uwaga 2 24 17 4" xfId="38666"/>
    <cellStyle name="Uwaga 2 24 18" xfId="38667"/>
    <cellStyle name="Uwaga 2 24 18 2" xfId="38668"/>
    <cellStyle name="Uwaga 2 24 18 3" xfId="38669"/>
    <cellStyle name="Uwaga 2 24 18 4" xfId="38670"/>
    <cellStyle name="Uwaga 2 24 19" xfId="38671"/>
    <cellStyle name="Uwaga 2 24 19 2" xfId="38672"/>
    <cellStyle name="Uwaga 2 24 19 3" xfId="38673"/>
    <cellStyle name="Uwaga 2 24 19 4" xfId="38674"/>
    <cellStyle name="Uwaga 2 24 2" xfId="38675"/>
    <cellStyle name="Uwaga 2 24 2 2" xfId="38676"/>
    <cellStyle name="Uwaga 2 24 2 3" xfId="38677"/>
    <cellStyle name="Uwaga 2 24 2 4" xfId="38678"/>
    <cellStyle name="Uwaga 2 24 20" xfId="38679"/>
    <cellStyle name="Uwaga 2 24 20 2" xfId="38680"/>
    <cellStyle name="Uwaga 2 24 20 3" xfId="38681"/>
    <cellStyle name="Uwaga 2 24 20 4" xfId="38682"/>
    <cellStyle name="Uwaga 2 24 21" xfId="38683"/>
    <cellStyle name="Uwaga 2 24 21 2" xfId="38684"/>
    <cellStyle name="Uwaga 2 24 21 3" xfId="38685"/>
    <cellStyle name="Uwaga 2 24 22" xfId="38686"/>
    <cellStyle name="Uwaga 2 24 22 2" xfId="38687"/>
    <cellStyle name="Uwaga 2 24 22 3" xfId="38688"/>
    <cellStyle name="Uwaga 2 24 23" xfId="38689"/>
    <cellStyle name="Uwaga 2 24 23 2" xfId="38690"/>
    <cellStyle name="Uwaga 2 24 23 3" xfId="38691"/>
    <cellStyle name="Uwaga 2 24 24" xfId="38692"/>
    <cellStyle name="Uwaga 2 24 24 2" xfId="38693"/>
    <cellStyle name="Uwaga 2 24 24 3" xfId="38694"/>
    <cellStyle name="Uwaga 2 24 25" xfId="38695"/>
    <cellStyle name="Uwaga 2 24 25 2" xfId="38696"/>
    <cellStyle name="Uwaga 2 24 25 3" xfId="38697"/>
    <cellStyle name="Uwaga 2 24 26" xfId="38698"/>
    <cellStyle name="Uwaga 2 24 26 2" xfId="38699"/>
    <cellStyle name="Uwaga 2 24 26 3" xfId="38700"/>
    <cellStyle name="Uwaga 2 24 27" xfId="38701"/>
    <cellStyle name="Uwaga 2 24 27 2" xfId="38702"/>
    <cellStyle name="Uwaga 2 24 27 3" xfId="38703"/>
    <cellStyle name="Uwaga 2 24 28" xfId="38704"/>
    <cellStyle name="Uwaga 2 24 28 2" xfId="38705"/>
    <cellStyle name="Uwaga 2 24 28 3" xfId="38706"/>
    <cellStyle name="Uwaga 2 24 29" xfId="38707"/>
    <cellStyle name="Uwaga 2 24 29 2" xfId="38708"/>
    <cellStyle name="Uwaga 2 24 29 3" xfId="38709"/>
    <cellStyle name="Uwaga 2 24 3" xfId="38710"/>
    <cellStyle name="Uwaga 2 24 3 2" xfId="38711"/>
    <cellStyle name="Uwaga 2 24 3 3" xfId="38712"/>
    <cellStyle name="Uwaga 2 24 3 4" xfId="38713"/>
    <cellStyle name="Uwaga 2 24 30" xfId="38714"/>
    <cellStyle name="Uwaga 2 24 30 2" xfId="38715"/>
    <cellStyle name="Uwaga 2 24 30 3" xfId="38716"/>
    <cellStyle name="Uwaga 2 24 31" xfId="38717"/>
    <cellStyle name="Uwaga 2 24 31 2" xfId="38718"/>
    <cellStyle name="Uwaga 2 24 31 3" xfId="38719"/>
    <cellStyle name="Uwaga 2 24 32" xfId="38720"/>
    <cellStyle name="Uwaga 2 24 32 2" xfId="38721"/>
    <cellStyle name="Uwaga 2 24 32 3" xfId="38722"/>
    <cellStyle name="Uwaga 2 24 33" xfId="38723"/>
    <cellStyle name="Uwaga 2 24 33 2" xfId="38724"/>
    <cellStyle name="Uwaga 2 24 33 3" xfId="38725"/>
    <cellStyle name="Uwaga 2 24 34" xfId="38726"/>
    <cellStyle name="Uwaga 2 24 34 2" xfId="38727"/>
    <cellStyle name="Uwaga 2 24 34 3" xfId="38728"/>
    <cellStyle name="Uwaga 2 24 35" xfId="38729"/>
    <cellStyle name="Uwaga 2 24 35 2" xfId="38730"/>
    <cellStyle name="Uwaga 2 24 35 3" xfId="38731"/>
    <cellStyle name="Uwaga 2 24 36" xfId="38732"/>
    <cellStyle name="Uwaga 2 24 36 2" xfId="38733"/>
    <cellStyle name="Uwaga 2 24 36 3" xfId="38734"/>
    <cellStyle name="Uwaga 2 24 37" xfId="38735"/>
    <cellStyle name="Uwaga 2 24 37 2" xfId="38736"/>
    <cellStyle name="Uwaga 2 24 37 3" xfId="38737"/>
    <cellStyle name="Uwaga 2 24 38" xfId="38738"/>
    <cellStyle name="Uwaga 2 24 38 2" xfId="38739"/>
    <cellStyle name="Uwaga 2 24 38 3" xfId="38740"/>
    <cellStyle name="Uwaga 2 24 39" xfId="38741"/>
    <cellStyle name="Uwaga 2 24 39 2" xfId="38742"/>
    <cellStyle name="Uwaga 2 24 39 3" xfId="38743"/>
    <cellStyle name="Uwaga 2 24 4" xfId="38744"/>
    <cellStyle name="Uwaga 2 24 4 2" xfId="38745"/>
    <cellStyle name="Uwaga 2 24 4 3" xfId="38746"/>
    <cellStyle name="Uwaga 2 24 4 4" xfId="38747"/>
    <cellStyle name="Uwaga 2 24 40" xfId="38748"/>
    <cellStyle name="Uwaga 2 24 40 2" xfId="38749"/>
    <cellStyle name="Uwaga 2 24 40 3" xfId="38750"/>
    <cellStyle name="Uwaga 2 24 41" xfId="38751"/>
    <cellStyle name="Uwaga 2 24 41 2" xfId="38752"/>
    <cellStyle name="Uwaga 2 24 41 3" xfId="38753"/>
    <cellStyle name="Uwaga 2 24 42" xfId="38754"/>
    <cellStyle name="Uwaga 2 24 42 2" xfId="38755"/>
    <cellStyle name="Uwaga 2 24 42 3" xfId="38756"/>
    <cellStyle name="Uwaga 2 24 43" xfId="38757"/>
    <cellStyle name="Uwaga 2 24 43 2" xfId="38758"/>
    <cellStyle name="Uwaga 2 24 43 3" xfId="38759"/>
    <cellStyle name="Uwaga 2 24 44" xfId="38760"/>
    <cellStyle name="Uwaga 2 24 44 2" xfId="38761"/>
    <cellStyle name="Uwaga 2 24 44 3" xfId="38762"/>
    <cellStyle name="Uwaga 2 24 45" xfId="38763"/>
    <cellStyle name="Uwaga 2 24 45 2" xfId="38764"/>
    <cellStyle name="Uwaga 2 24 45 3" xfId="38765"/>
    <cellStyle name="Uwaga 2 24 46" xfId="38766"/>
    <cellStyle name="Uwaga 2 24 46 2" xfId="38767"/>
    <cellStyle name="Uwaga 2 24 46 3" xfId="38768"/>
    <cellStyle name="Uwaga 2 24 47" xfId="38769"/>
    <cellStyle name="Uwaga 2 24 47 2" xfId="38770"/>
    <cellStyle name="Uwaga 2 24 47 3" xfId="38771"/>
    <cellStyle name="Uwaga 2 24 48" xfId="38772"/>
    <cellStyle name="Uwaga 2 24 48 2" xfId="38773"/>
    <cellStyle name="Uwaga 2 24 48 3" xfId="38774"/>
    <cellStyle name="Uwaga 2 24 49" xfId="38775"/>
    <cellStyle name="Uwaga 2 24 49 2" xfId="38776"/>
    <cellStyle name="Uwaga 2 24 49 3" xfId="38777"/>
    <cellStyle name="Uwaga 2 24 5" xfId="38778"/>
    <cellStyle name="Uwaga 2 24 5 2" xfId="38779"/>
    <cellStyle name="Uwaga 2 24 5 3" xfId="38780"/>
    <cellStyle name="Uwaga 2 24 5 4" xfId="38781"/>
    <cellStyle name="Uwaga 2 24 50" xfId="38782"/>
    <cellStyle name="Uwaga 2 24 50 2" xfId="38783"/>
    <cellStyle name="Uwaga 2 24 50 3" xfId="38784"/>
    <cellStyle name="Uwaga 2 24 51" xfId="38785"/>
    <cellStyle name="Uwaga 2 24 51 2" xfId="38786"/>
    <cellStyle name="Uwaga 2 24 51 3" xfId="38787"/>
    <cellStyle name="Uwaga 2 24 52" xfId="38788"/>
    <cellStyle name="Uwaga 2 24 52 2" xfId="38789"/>
    <cellStyle name="Uwaga 2 24 52 3" xfId="38790"/>
    <cellStyle name="Uwaga 2 24 53" xfId="38791"/>
    <cellStyle name="Uwaga 2 24 53 2" xfId="38792"/>
    <cellStyle name="Uwaga 2 24 53 3" xfId="38793"/>
    <cellStyle name="Uwaga 2 24 54" xfId="38794"/>
    <cellStyle name="Uwaga 2 24 54 2" xfId="38795"/>
    <cellStyle name="Uwaga 2 24 54 3" xfId="38796"/>
    <cellStyle name="Uwaga 2 24 55" xfId="38797"/>
    <cellStyle name="Uwaga 2 24 55 2" xfId="38798"/>
    <cellStyle name="Uwaga 2 24 55 3" xfId="38799"/>
    <cellStyle name="Uwaga 2 24 56" xfId="38800"/>
    <cellStyle name="Uwaga 2 24 56 2" xfId="38801"/>
    <cellStyle name="Uwaga 2 24 56 3" xfId="38802"/>
    <cellStyle name="Uwaga 2 24 57" xfId="38803"/>
    <cellStyle name="Uwaga 2 24 58" xfId="38804"/>
    <cellStyle name="Uwaga 2 24 6" xfId="38805"/>
    <cellStyle name="Uwaga 2 24 6 2" xfId="38806"/>
    <cellStyle name="Uwaga 2 24 6 3" xfId="38807"/>
    <cellStyle name="Uwaga 2 24 6 4" xfId="38808"/>
    <cellStyle name="Uwaga 2 24 7" xfId="38809"/>
    <cellStyle name="Uwaga 2 24 7 2" xfId="38810"/>
    <cellStyle name="Uwaga 2 24 7 3" xfId="38811"/>
    <cellStyle name="Uwaga 2 24 7 4" xfId="38812"/>
    <cellStyle name="Uwaga 2 24 8" xfId="38813"/>
    <cellStyle name="Uwaga 2 24 8 2" xfId="38814"/>
    <cellStyle name="Uwaga 2 24 8 3" xfId="38815"/>
    <cellStyle name="Uwaga 2 24 8 4" xfId="38816"/>
    <cellStyle name="Uwaga 2 24 9" xfId="38817"/>
    <cellStyle name="Uwaga 2 24 9 2" xfId="38818"/>
    <cellStyle name="Uwaga 2 24 9 3" xfId="38819"/>
    <cellStyle name="Uwaga 2 24 9 4" xfId="38820"/>
    <cellStyle name="Uwaga 2 25" xfId="38821"/>
    <cellStyle name="Uwaga 2 25 10" xfId="38822"/>
    <cellStyle name="Uwaga 2 25 10 2" xfId="38823"/>
    <cellStyle name="Uwaga 2 25 10 3" xfId="38824"/>
    <cellStyle name="Uwaga 2 25 10 4" xfId="38825"/>
    <cellStyle name="Uwaga 2 25 11" xfId="38826"/>
    <cellStyle name="Uwaga 2 25 11 2" xfId="38827"/>
    <cellStyle name="Uwaga 2 25 11 3" xfId="38828"/>
    <cellStyle name="Uwaga 2 25 11 4" xfId="38829"/>
    <cellStyle name="Uwaga 2 25 12" xfId="38830"/>
    <cellStyle name="Uwaga 2 25 12 2" xfId="38831"/>
    <cellStyle name="Uwaga 2 25 12 3" xfId="38832"/>
    <cellStyle name="Uwaga 2 25 12 4" xfId="38833"/>
    <cellStyle name="Uwaga 2 25 13" xfId="38834"/>
    <cellStyle name="Uwaga 2 25 13 2" xfId="38835"/>
    <cellStyle name="Uwaga 2 25 13 3" xfId="38836"/>
    <cellStyle name="Uwaga 2 25 13 4" xfId="38837"/>
    <cellStyle name="Uwaga 2 25 14" xfId="38838"/>
    <cellStyle name="Uwaga 2 25 14 2" xfId="38839"/>
    <cellStyle name="Uwaga 2 25 14 3" xfId="38840"/>
    <cellStyle name="Uwaga 2 25 14 4" xfId="38841"/>
    <cellStyle name="Uwaga 2 25 15" xfId="38842"/>
    <cellStyle name="Uwaga 2 25 15 2" xfId="38843"/>
    <cellStyle name="Uwaga 2 25 15 3" xfId="38844"/>
    <cellStyle name="Uwaga 2 25 15 4" xfId="38845"/>
    <cellStyle name="Uwaga 2 25 16" xfId="38846"/>
    <cellStyle name="Uwaga 2 25 16 2" xfId="38847"/>
    <cellStyle name="Uwaga 2 25 16 3" xfId="38848"/>
    <cellStyle name="Uwaga 2 25 16 4" xfId="38849"/>
    <cellStyle name="Uwaga 2 25 17" xfId="38850"/>
    <cellStyle name="Uwaga 2 25 17 2" xfId="38851"/>
    <cellStyle name="Uwaga 2 25 17 3" xfId="38852"/>
    <cellStyle name="Uwaga 2 25 17 4" xfId="38853"/>
    <cellStyle name="Uwaga 2 25 18" xfId="38854"/>
    <cellStyle name="Uwaga 2 25 18 2" xfId="38855"/>
    <cellStyle name="Uwaga 2 25 18 3" xfId="38856"/>
    <cellStyle name="Uwaga 2 25 18 4" xfId="38857"/>
    <cellStyle name="Uwaga 2 25 19" xfId="38858"/>
    <cellStyle name="Uwaga 2 25 19 2" xfId="38859"/>
    <cellStyle name="Uwaga 2 25 19 3" xfId="38860"/>
    <cellStyle name="Uwaga 2 25 19 4" xfId="38861"/>
    <cellStyle name="Uwaga 2 25 2" xfId="38862"/>
    <cellStyle name="Uwaga 2 25 2 2" xfId="38863"/>
    <cellStyle name="Uwaga 2 25 2 3" xfId="38864"/>
    <cellStyle name="Uwaga 2 25 2 4" xfId="38865"/>
    <cellStyle name="Uwaga 2 25 20" xfId="38866"/>
    <cellStyle name="Uwaga 2 25 20 2" xfId="38867"/>
    <cellStyle name="Uwaga 2 25 20 3" xfId="38868"/>
    <cellStyle name="Uwaga 2 25 20 4" xfId="38869"/>
    <cellStyle name="Uwaga 2 25 21" xfId="38870"/>
    <cellStyle name="Uwaga 2 25 21 2" xfId="38871"/>
    <cellStyle name="Uwaga 2 25 21 3" xfId="38872"/>
    <cellStyle name="Uwaga 2 25 22" xfId="38873"/>
    <cellStyle name="Uwaga 2 25 22 2" xfId="38874"/>
    <cellStyle name="Uwaga 2 25 22 3" xfId="38875"/>
    <cellStyle name="Uwaga 2 25 23" xfId="38876"/>
    <cellStyle name="Uwaga 2 25 23 2" xfId="38877"/>
    <cellStyle name="Uwaga 2 25 23 3" xfId="38878"/>
    <cellStyle name="Uwaga 2 25 24" xfId="38879"/>
    <cellStyle name="Uwaga 2 25 24 2" xfId="38880"/>
    <cellStyle name="Uwaga 2 25 24 3" xfId="38881"/>
    <cellStyle name="Uwaga 2 25 25" xfId="38882"/>
    <cellStyle name="Uwaga 2 25 25 2" xfId="38883"/>
    <cellStyle name="Uwaga 2 25 25 3" xfId="38884"/>
    <cellStyle name="Uwaga 2 25 26" xfId="38885"/>
    <cellStyle name="Uwaga 2 25 26 2" xfId="38886"/>
    <cellStyle name="Uwaga 2 25 26 3" xfId="38887"/>
    <cellStyle name="Uwaga 2 25 27" xfId="38888"/>
    <cellStyle name="Uwaga 2 25 27 2" xfId="38889"/>
    <cellStyle name="Uwaga 2 25 27 3" xfId="38890"/>
    <cellStyle name="Uwaga 2 25 28" xfId="38891"/>
    <cellStyle name="Uwaga 2 25 28 2" xfId="38892"/>
    <cellStyle name="Uwaga 2 25 28 3" xfId="38893"/>
    <cellStyle name="Uwaga 2 25 29" xfId="38894"/>
    <cellStyle name="Uwaga 2 25 29 2" xfId="38895"/>
    <cellStyle name="Uwaga 2 25 29 3" xfId="38896"/>
    <cellStyle name="Uwaga 2 25 3" xfId="38897"/>
    <cellStyle name="Uwaga 2 25 3 2" xfId="38898"/>
    <cellStyle name="Uwaga 2 25 3 3" xfId="38899"/>
    <cellStyle name="Uwaga 2 25 3 4" xfId="38900"/>
    <cellStyle name="Uwaga 2 25 30" xfId="38901"/>
    <cellStyle name="Uwaga 2 25 30 2" xfId="38902"/>
    <cellStyle name="Uwaga 2 25 30 3" xfId="38903"/>
    <cellStyle name="Uwaga 2 25 31" xfId="38904"/>
    <cellStyle name="Uwaga 2 25 31 2" xfId="38905"/>
    <cellStyle name="Uwaga 2 25 31 3" xfId="38906"/>
    <cellStyle name="Uwaga 2 25 32" xfId="38907"/>
    <cellStyle name="Uwaga 2 25 32 2" xfId="38908"/>
    <cellStyle name="Uwaga 2 25 32 3" xfId="38909"/>
    <cellStyle name="Uwaga 2 25 33" xfId="38910"/>
    <cellStyle name="Uwaga 2 25 33 2" xfId="38911"/>
    <cellStyle name="Uwaga 2 25 33 3" xfId="38912"/>
    <cellStyle name="Uwaga 2 25 34" xfId="38913"/>
    <cellStyle name="Uwaga 2 25 34 2" xfId="38914"/>
    <cellStyle name="Uwaga 2 25 34 3" xfId="38915"/>
    <cellStyle name="Uwaga 2 25 35" xfId="38916"/>
    <cellStyle name="Uwaga 2 25 35 2" xfId="38917"/>
    <cellStyle name="Uwaga 2 25 35 3" xfId="38918"/>
    <cellStyle name="Uwaga 2 25 36" xfId="38919"/>
    <cellStyle name="Uwaga 2 25 36 2" xfId="38920"/>
    <cellStyle name="Uwaga 2 25 36 3" xfId="38921"/>
    <cellStyle name="Uwaga 2 25 37" xfId="38922"/>
    <cellStyle name="Uwaga 2 25 37 2" xfId="38923"/>
    <cellStyle name="Uwaga 2 25 37 3" xfId="38924"/>
    <cellStyle name="Uwaga 2 25 38" xfId="38925"/>
    <cellStyle name="Uwaga 2 25 38 2" xfId="38926"/>
    <cellStyle name="Uwaga 2 25 38 3" xfId="38927"/>
    <cellStyle name="Uwaga 2 25 39" xfId="38928"/>
    <cellStyle name="Uwaga 2 25 39 2" xfId="38929"/>
    <cellStyle name="Uwaga 2 25 39 3" xfId="38930"/>
    <cellStyle name="Uwaga 2 25 4" xfId="38931"/>
    <cellStyle name="Uwaga 2 25 4 2" xfId="38932"/>
    <cellStyle name="Uwaga 2 25 4 3" xfId="38933"/>
    <cellStyle name="Uwaga 2 25 4 4" xfId="38934"/>
    <cellStyle name="Uwaga 2 25 40" xfId="38935"/>
    <cellStyle name="Uwaga 2 25 40 2" xfId="38936"/>
    <cellStyle name="Uwaga 2 25 40 3" xfId="38937"/>
    <cellStyle name="Uwaga 2 25 41" xfId="38938"/>
    <cellStyle name="Uwaga 2 25 41 2" xfId="38939"/>
    <cellStyle name="Uwaga 2 25 41 3" xfId="38940"/>
    <cellStyle name="Uwaga 2 25 42" xfId="38941"/>
    <cellStyle name="Uwaga 2 25 42 2" xfId="38942"/>
    <cellStyle name="Uwaga 2 25 42 3" xfId="38943"/>
    <cellStyle name="Uwaga 2 25 43" xfId="38944"/>
    <cellStyle name="Uwaga 2 25 43 2" xfId="38945"/>
    <cellStyle name="Uwaga 2 25 43 3" xfId="38946"/>
    <cellStyle name="Uwaga 2 25 44" xfId="38947"/>
    <cellStyle name="Uwaga 2 25 44 2" xfId="38948"/>
    <cellStyle name="Uwaga 2 25 44 3" xfId="38949"/>
    <cellStyle name="Uwaga 2 25 45" xfId="38950"/>
    <cellStyle name="Uwaga 2 25 45 2" xfId="38951"/>
    <cellStyle name="Uwaga 2 25 45 3" xfId="38952"/>
    <cellStyle name="Uwaga 2 25 46" xfId="38953"/>
    <cellStyle name="Uwaga 2 25 46 2" xfId="38954"/>
    <cellStyle name="Uwaga 2 25 46 3" xfId="38955"/>
    <cellStyle name="Uwaga 2 25 47" xfId="38956"/>
    <cellStyle name="Uwaga 2 25 47 2" xfId="38957"/>
    <cellStyle name="Uwaga 2 25 47 3" xfId="38958"/>
    <cellStyle name="Uwaga 2 25 48" xfId="38959"/>
    <cellStyle name="Uwaga 2 25 48 2" xfId="38960"/>
    <cellStyle name="Uwaga 2 25 48 3" xfId="38961"/>
    <cellStyle name="Uwaga 2 25 49" xfId="38962"/>
    <cellStyle name="Uwaga 2 25 49 2" xfId="38963"/>
    <cellStyle name="Uwaga 2 25 49 3" xfId="38964"/>
    <cellStyle name="Uwaga 2 25 5" xfId="38965"/>
    <cellStyle name="Uwaga 2 25 5 2" xfId="38966"/>
    <cellStyle name="Uwaga 2 25 5 3" xfId="38967"/>
    <cellStyle name="Uwaga 2 25 5 4" xfId="38968"/>
    <cellStyle name="Uwaga 2 25 50" xfId="38969"/>
    <cellStyle name="Uwaga 2 25 50 2" xfId="38970"/>
    <cellStyle name="Uwaga 2 25 50 3" xfId="38971"/>
    <cellStyle name="Uwaga 2 25 51" xfId="38972"/>
    <cellStyle name="Uwaga 2 25 51 2" xfId="38973"/>
    <cellStyle name="Uwaga 2 25 51 3" xfId="38974"/>
    <cellStyle name="Uwaga 2 25 52" xfId="38975"/>
    <cellStyle name="Uwaga 2 25 52 2" xfId="38976"/>
    <cellStyle name="Uwaga 2 25 52 3" xfId="38977"/>
    <cellStyle name="Uwaga 2 25 53" xfId="38978"/>
    <cellStyle name="Uwaga 2 25 53 2" xfId="38979"/>
    <cellStyle name="Uwaga 2 25 53 3" xfId="38980"/>
    <cellStyle name="Uwaga 2 25 54" xfId="38981"/>
    <cellStyle name="Uwaga 2 25 54 2" xfId="38982"/>
    <cellStyle name="Uwaga 2 25 54 3" xfId="38983"/>
    <cellStyle name="Uwaga 2 25 55" xfId="38984"/>
    <cellStyle name="Uwaga 2 25 55 2" xfId="38985"/>
    <cellStyle name="Uwaga 2 25 55 3" xfId="38986"/>
    <cellStyle name="Uwaga 2 25 56" xfId="38987"/>
    <cellStyle name="Uwaga 2 25 56 2" xfId="38988"/>
    <cellStyle name="Uwaga 2 25 56 3" xfId="38989"/>
    <cellStyle name="Uwaga 2 25 57" xfId="38990"/>
    <cellStyle name="Uwaga 2 25 58" xfId="38991"/>
    <cellStyle name="Uwaga 2 25 6" xfId="38992"/>
    <cellStyle name="Uwaga 2 25 6 2" xfId="38993"/>
    <cellStyle name="Uwaga 2 25 6 3" xfId="38994"/>
    <cellStyle name="Uwaga 2 25 6 4" xfId="38995"/>
    <cellStyle name="Uwaga 2 25 7" xfId="38996"/>
    <cellStyle name="Uwaga 2 25 7 2" xfId="38997"/>
    <cellStyle name="Uwaga 2 25 7 3" xfId="38998"/>
    <cellStyle name="Uwaga 2 25 7 4" xfId="38999"/>
    <cellStyle name="Uwaga 2 25 8" xfId="39000"/>
    <cellStyle name="Uwaga 2 25 8 2" xfId="39001"/>
    <cellStyle name="Uwaga 2 25 8 3" xfId="39002"/>
    <cellStyle name="Uwaga 2 25 8 4" xfId="39003"/>
    <cellStyle name="Uwaga 2 25 9" xfId="39004"/>
    <cellStyle name="Uwaga 2 25 9 2" xfId="39005"/>
    <cellStyle name="Uwaga 2 25 9 3" xfId="39006"/>
    <cellStyle name="Uwaga 2 25 9 4" xfId="39007"/>
    <cellStyle name="Uwaga 2 26" xfId="39008"/>
    <cellStyle name="Uwaga 2 26 10" xfId="39009"/>
    <cellStyle name="Uwaga 2 26 10 2" xfId="39010"/>
    <cellStyle name="Uwaga 2 26 10 3" xfId="39011"/>
    <cellStyle name="Uwaga 2 26 10 4" xfId="39012"/>
    <cellStyle name="Uwaga 2 26 11" xfId="39013"/>
    <cellStyle name="Uwaga 2 26 11 2" xfId="39014"/>
    <cellStyle name="Uwaga 2 26 11 3" xfId="39015"/>
    <cellStyle name="Uwaga 2 26 11 4" xfId="39016"/>
    <cellStyle name="Uwaga 2 26 12" xfId="39017"/>
    <cellStyle name="Uwaga 2 26 12 2" xfId="39018"/>
    <cellStyle name="Uwaga 2 26 12 3" xfId="39019"/>
    <cellStyle name="Uwaga 2 26 12 4" xfId="39020"/>
    <cellStyle name="Uwaga 2 26 13" xfId="39021"/>
    <cellStyle name="Uwaga 2 26 13 2" xfId="39022"/>
    <cellStyle name="Uwaga 2 26 13 3" xfId="39023"/>
    <cellStyle name="Uwaga 2 26 13 4" xfId="39024"/>
    <cellStyle name="Uwaga 2 26 14" xfId="39025"/>
    <cellStyle name="Uwaga 2 26 14 2" xfId="39026"/>
    <cellStyle name="Uwaga 2 26 14 3" xfId="39027"/>
    <cellStyle name="Uwaga 2 26 14 4" xfId="39028"/>
    <cellStyle name="Uwaga 2 26 15" xfId="39029"/>
    <cellStyle name="Uwaga 2 26 15 2" xfId="39030"/>
    <cellStyle name="Uwaga 2 26 15 3" xfId="39031"/>
    <cellStyle name="Uwaga 2 26 15 4" xfId="39032"/>
    <cellStyle name="Uwaga 2 26 16" xfId="39033"/>
    <cellStyle name="Uwaga 2 26 16 2" xfId="39034"/>
    <cellStyle name="Uwaga 2 26 16 3" xfId="39035"/>
    <cellStyle name="Uwaga 2 26 16 4" xfId="39036"/>
    <cellStyle name="Uwaga 2 26 17" xfId="39037"/>
    <cellStyle name="Uwaga 2 26 17 2" xfId="39038"/>
    <cellStyle name="Uwaga 2 26 17 3" xfId="39039"/>
    <cellStyle name="Uwaga 2 26 17 4" xfId="39040"/>
    <cellStyle name="Uwaga 2 26 18" xfId="39041"/>
    <cellStyle name="Uwaga 2 26 18 2" xfId="39042"/>
    <cellStyle name="Uwaga 2 26 18 3" xfId="39043"/>
    <cellStyle name="Uwaga 2 26 18 4" xfId="39044"/>
    <cellStyle name="Uwaga 2 26 19" xfId="39045"/>
    <cellStyle name="Uwaga 2 26 19 2" xfId="39046"/>
    <cellStyle name="Uwaga 2 26 19 3" xfId="39047"/>
    <cellStyle name="Uwaga 2 26 19 4" xfId="39048"/>
    <cellStyle name="Uwaga 2 26 2" xfId="39049"/>
    <cellStyle name="Uwaga 2 26 2 2" xfId="39050"/>
    <cellStyle name="Uwaga 2 26 2 3" xfId="39051"/>
    <cellStyle name="Uwaga 2 26 2 4" xfId="39052"/>
    <cellStyle name="Uwaga 2 26 20" xfId="39053"/>
    <cellStyle name="Uwaga 2 26 20 2" xfId="39054"/>
    <cellStyle name="Uwaga 2 26 20 3" xfId="39055"/>
    <cellStyle name="Uwaga 2 26 20 4" xfId="39056"/>
    <cellStyle name="Uwaga 2 26 21" xfId="39057"/>
    <cellStyle name="Uwaga 2 26 21 2" xfId="39058"/>
    <cellStyle name="Uwaga 2 26 21 3" xfId="39059"/>
    <cellStyle name="Uwaga 2 26 22" xfId="39060"/>
    <cellStyle name="Uwaga 2 26 22 2" xfId="39061"/>
    <cellStyle name="Uwaga 2 26 22 3" xfId="39062"/>
    <cellStyle name="Uwaga 2 26 23" xfId="39063"/>
    <cellStyle name="Uwaga 2 26 23 2" xfId="39064"/>
    <cellStyle name="Uwaga 2 26 23 3" xfId="39065"/>
    <cellStyle name="Uwaga 2 26 24" xfId="39066"/>
    <cellStyle name="Uwaga 2 26 24 2" xfId="39067"/>
    <cellStyle name="Uwaga 2 26 24 3" xfId="39068"/>
    <cellStyle name="Uwaga 2 26 25" xfId="39069"/>
    <cellStyle name="Uwaga 2 26 25 2" xfId="39070"/>
    <cellStyle name="Uwaga 2 26 25 3" xfId="39071"/>
    <cellStyle name="Uwaga 2 26 26" xfId="39072"/>
    <cellStyle name="Uwaga 2 26 26 2" xfId="39073"/>
    <cellStyle name="Uwaga 2 26 26 3" xfId="39074"/>
    <cellStyle name="Uwaga 2 26 27" xfId="39075"/>
    <cellStyle name="Uwaga 2 26 27 2" xfId="39076"/>
    <cellStyle name="Uwaga 2 26 27 3" xfId="39077"/>
    <cellStyle name="Uwaga 2 26 28" xfId="39078"/>
    <cellStyle name="Uwaga 2 26 28 2" xfId="39079"/>
    <cellStyle name="Uwaga 2 26 28 3" xfId="39080"/>
    <cellStyle name="Uwaga 2 26 29" xfId="39081"/>
    <cellStyle name="Uwaga 2 26 29 2" xfId="39082"/>
    <cellStyle name="Uwaga 2 26 29 3" xfId="39083"/>
    <cellStyle name="Uwaga 2 26 3" xfId="39084"/>
    <cellStyle name="Uwaga 2 26 3 2" xfId="39085"/>
    <cellStyle name="Uwaga 2 26 3 3" xfId="39086"/>
    <cellStyle name="Uwaga 2 26 3 4" xfId="39087"/>
    <cellStyle name="Uwaga 2 26 30" xfId="39088"/>
    <cellStyle name="Uwaga 2 26 30 2" xfId="39089"/>
    <cellStyle name="Uwaga 2 26 30 3" xfId="39090"/>
    <cellStyle name="Uwaga 2 26 31" xfId="39091"/>
    <cellStyle name="Uwaga 2 26 31 2" xfId="39092"/>
    <cellStyle name="Uwaga 2 26 31 3" xfId="39093"/>
    <cellStyle name="Uwaga 2 26 32" xfId="39094"/>
    <cellStyle name="Uwaga 2 26 32 2" xfId="39095"/>
    <cellStyle name="Uwaga 2 26 32 3" xfId="39096"/>
    <cellStyle name="Uwaga 2 26 33" xfId="39097"/>
    <cellStyle name="Uwaga 2 26 33 2" xfId="39098"/>
    <cellStyle name="Uwaga 2 26 33 3" xfId="39099"/>
    <cellStyle name="Uwaga 2 26 34" xfId="39100"/>
    <cellStyle name="Uwaga 2 26 34 2" xfId="39101"/>
    <cellStyle name="Uwaga 2 26 34 3" xfId="39102"/>
    <cellStyle name="Uwaga 2 26 35" xfId="39103"/>
    <cellStyle name="Uwaga 2 26 35 2" xfId="39104"/>
    <cellStyle name="Uwaga 2 26 35 3" xfId="39105"/>
    <cellStyle name="Uwaga 2 26 36" xfId="39106"/>
    <cellStyle name="Uwaga 2 26 36 2" xfId="39107"/>
    <cellStyle name="Uwaga 2 26 36 3" xfId="39108"/>
    <cellStyle name="Uwaga 2 26 37" xfId="39109"/>
    <cellStyle name="Uwaga 2 26 37 2" xfId="39110"/>
    <cellStyle name="Uwaga 2 26 37 3" xfId="39111"/>
    <cellStyle name="Uwaga 2 26 38" xfId="39112"/>
    <cellStyle name="Uwaga 2 26 38 2" xfId="39113"/>
    <cellStyle name="Uwaga 2 26 38 3" xfId="39114"/>
    <cellStyle name="Uwaga 2 26 39" xfId="39115"/>
    <cellStyle name="Uwaga 2 26 39 2" xfId="39116"/>
    <cellStyle name="Uwaga 2 26 39 3" xfId="39117"/>
    <cellStyle name="Uwaga 2 26 4" xfId="39118"/>
    <cellStyle name="Uwaga 2 26 4 2" xfId="39119"/>
    <cellStyle name="Uwaga 2 26 4 3" xfId="39120"/>
    <cellStyle name="Uwaga 2 26 4 4" xfId="39121"/>
    <cellStyle name="Uwaga 2 26 40" xfId="39122"/>
    <cellStyle name="Uwaga 2 26 40 2" xfId="39123"/>
    <cellStyle name="Uwaga 2 26 40 3" xfId="39124"/>
    <cellStyle name="Uwaga 2 26 41" xfId="39125"/>
    <cellStyle name="Uwaga 2 26 41 2" xfId="39126"/>
    <cellStyle name="Uwaga 2 26 41 3" xfId="39127"/>
    <cellStyle name="Uwaga 2 26 42" xfId="39128"/>
    <cellStyle name="Uwaga 2 26 42 2" xfId="39129"/>
    <cellStyle name="Uwaga 2 26 42 3" xfId="39130"/>
    <cellStyle name="Uwaga 2 26 43" xfId="39131"/>
    <cellStyle name="Uwaga 2 26 43 2" xfId="39132"/>
    <cellStyle name="Uwaga 2 26 43 3" xfId="39133"/>
    <cellStyle name="Uwaga 2 26 44" xfId="39134"/>
    <cellStyle name="Uwaga 2 26 44 2" xfId="39135"/>
    <cellStyle name="Uwaga 2 26 44 3" xfId="39136"/>
    <cellStyle name="Uwaga 2 26 45" xfId="39137"/>
    <cellStyle name="Uwaga 2 26 45 2" xfId="39138"/>
    <cellStyle name="Uwaga 2 26 45 3" xfId="39139"/>
    <cellStyle name="Uwaga 2 26 46" xfId="39140"/>
    <cellStyle name="Uwaga 2 26 46 2" xfId="39141"/>
    <cellStyle name="Uwaga 2 26 46 3" xfId="39142"/>
    <cellStyle name="Uwaga 2 26 47" xfId="39143"/>
    <cellStyle name="Uwaga 2 26 47 2" xfId="39144"/>
    <cellStyle name="Uwaga 2 26 47 3" xfId="39145"/>
    <cellStyle name="Uwaga 2 26 48" xfId="39146"/>
    <cellStyle name="Uwaga 2 26 48 2" xfId="39147"/>
    <cellStyle name="Uwaga 2 26 48 3" xfId="39148"/>
    <cellStyle name="Uwaga 2 26 49" xfId="39149"/>
    <cellStyle name="Uwaga 2 26 49 2" xfId="39150"/>
    <cellStyle name="Uwaga 2 26 49 3" xfId="39151"/>
    <cellStyle name="Uwaga 2 26 5" xfId="39152"/>
    <cellStyle name="Uwaga 2 26 5 2" xfId="39153"/>
    <cellStyle name="Uwaga 2 26 5 3" xfId="39154"/>
    <cellStyle name="Uwaga 2 26 5 4" xfId="39155"/>
    <cellStyle name="Uwaga 2 26 50" xfId="39156"/>
    <cellStyle name="Uwaga 2 26 50 2" xfId="39157"/>
    <cellStyle name="Uwaga 2 26 50 3" xfId="39158"/>
    <cellStyle name="Uwaga 2 26 51" xfId="39159"/>
    <cellStyle name="Uwaga 2 26 51 2" xfId="39160"/>
    <cellStyle name="Uwaga 2 26 51 3" xfId="39161"/>
    <cellStyle name="Uwaga 2 26 52" xfId="39162"/>
    <cellStyle name="Uwaga 2 26 52 2" xfId="39163"/>
    <cellStyle name="Uwaga 2 26 52 3" xfId="39164"/>
    <cellStyle name="Uwaga 2 26 53" xfId="39165"/>
    <cellStyle name="Uwaga 2 26 53 2" xfId="39166"/>
    <cellStyle name="Uwaga 2 26 53 3" xfId="39167"/>
    <cellStyle name="Uwaga 2 26 54" xfId="39168"/>
    <cellStyle name="Uwaga 2 26 54 2" xfId="39169"/>
    <cellStyle name="Uwaga 2 26 54 3" xfId="39170"/>
    <cellStyle name="Uwaga 2 26 55" xfId="39171"/>
    <cellStyle name="Uwaga 2 26 55 2" xfId="39172"/>
    <cellStyle name="Uwaga 2 26 55 3" xfId="39173"/>
    <cellStyle name="Uwaga 2 26 56" xfId="39174"/>
    <cellStyle name="Uwaga 2 26 56 2" xfId="39175"/>
    <cellStyle name="Uwaga 2 26 56 3" xfId="39176"/>
    <cellStyle name="Uwaga 2 26 57" xfId="39177"/>
    <cellStyle name="Uwaga 2 26 58" xfId="39178"/>
    <cellStyle name="Uwaga 2 26 6" xfId="39179"/>
    <cellStyle name="Uwaga 2 26 6 2" xfId="39180"/>
    <cellStyle name="Uwaga 2 26 6 3" xfId="39181"/>
    <cellStyle name="Uwaga 2 26 6 4" xfId="39182"/>
    <cellStyle name="Uwaga 2 26 7" xfId="39183"/>
    <cellStyle name="Uwaga 2 26 7 2" xfId="39184"/>
    <cellStyle name="Uwaga 2 26 7 3" xfId="39185"/>
    <cellStyle name="Uwaga 2 26 7 4" xfId="39186"/>
    <cellStyle name="Uwaga 2 26 8" xfId="39187"/>
    <cellStyle name="Uwaga 2 26 8 2" xfId="39188"/>
    <cellStyle name="Uwaga 2 26 8 3" xfId="39189"/>
    <cellStyle name="Uwaga 2 26 8 4" xfId="39190"/>
    <cellStyle name="Uwaga 2 26 9" xfId="39191"/>
    <cellStyle name="Uwaga 2 26 9 2" xfId="39192"/>
    <cellStyle name="Uwaga 2 26 9 3" xfId="39193"/>
    <cellStyle name="Uwaga 2 26 9 4" xfId="39194"/>
    <cellStyle name="Uwaga 2 27" xfId="39195"/>
    <cellStyle name="Uwaga 2 27 10" xfId="39196"/>
    <cellStyle name="Uwaga 2 27 10 2" xfId="39197"/>
    <cellStyle name="Uwaga 2 27 10 3" xfId="39198"/>
    <cellStyle name="Uwaga 2 27 10 4" xfId="39199"/>
    <cellStyle name="Uwaga 2 27 11" xfId="39200"/>
    <cellStyle name="Uwaga 2 27 11 2" xfId="39201"/>
    <cellStyle name="Uwaga 2 27 11 3" xfId="39202"/>
    <cellStyle name="Uwaga 2 27 11 4" xfId="39203"/>
    <cellStyle name="Uwaga 2 27 12" xfId="39204"/>
    <cellStyle name="Uwaga 2 27 12 2" xfId="39205"/>
    <cellStyle name="Uwaga 2 27 12 3" xfId="39206"/>
    <cellStyle name="Uwaga 2 27 12 4" xfId="39207"/>
    <cellStyle name="Uwaga 2 27 13" xfId="39208"/>
    <cellStyle name="Uwaga 2 27 13 2" xfId="39209"/>
    <cellStyle name="Uwaga 2 27 13 3" xfId="39210"/>
    <cellStyle name="Uwaga 2 27 13 4" xfId="39211"/>
    <cellStyle name="Uwaga 2 27 14" xfId="39212"/>
    <cellStyle name="Uwaga 2 27 14 2" xfId="39213"/>
    <cellStyle name="Uwaga 2 27 14 3" xfId="39214"/>
    <cellStyle name="Uwaga 2 27 14 4" xfId="39215"/>
    <cellStyle name="Uwaga 2 27 15" xfId="39216"/>
    <cellStyle name="Uwaga 2 27 15 2" xfId="39217"/>
    <cellStyle name="Uwaga 2 27 15 3" xfId="39218"/>
    <cellStyle name="Uwaga 2 27 15 4" xfId="39219"/>
    <cellStyle name="Uwaga 2 27 16" xfId="39220"/>
    <cellStyle name="Uwaga 2 27 16 2" xfId="39221"/>
    <cellStyle name="Uwaga 2 27 16 3" xfId="39222"/>
    <cellStyle name="Uwaga 2 27 16 4" xfId="39223"/>
    <cellStyle name="Uwaga 2 27 17" xfId="39224"/>
    <cellStyle name="Uwaga 2 27 17 2" xfId="39225"/>
    <cellStyle name="Uwaga 2 27 17 3" xfId="39226"/>
    <cellStyle name="Uwaga 2 27 17 4" xfId="39227"/>
    <cellStyle name="Uwaga 2 27 18" xfId="39228"/>
    <cellStyle name="Uwaga 2 27 18 2" xfId="39229"/>
    <cellStyle name="Uwaga 2 27 18 3" xfId="39230"/>
    <cellStyle name="Uwaga 2 27 18 4" xfId="39231"/>
    <cellStyle name="Uwaga 2 27 19" xfId="39232"/>
    <cellStyle name="Uwaga 2 27 19 2" xfId="39233"/>
    <cellStyle name="Uwaga 2 27 19 3" xfId="39234"/>
    <cellStyle name="Uwaga 2 27 19 4" xfId="39235"/>
    <cellStyle name="Uwaga 2 27 2" xfId="39236"/>
    <cellStyle name="Uwaga 2 27 2 2" xfId="39237"/>
    <cellStyle name="Uwaga 2 27 2 3" xfId="39238"/>
    <cellStyle name="Uwaga 2 27 2 4" xfId="39239"/>
    <cellStyle name="Uwaga 2 27 20" xfId="39240"/>
    <cellStyle name="Uwaga 2 27 20 2" xfId="39241"/>
    <cellStyle name="Uwaga 2 27 20 3" xfId="39242"/>
    <cellStyle name="Uwaga 2 27 20 4" xfId="39243"/>
    <cellStyle name="Uwaga 2 27 21" xfId="39244"/>
    <cellStyle name="Uwaga 2 27 21 2" xfId="39245"/>
    <cellStyle name="Uwaga 2 27 21 3" xfId="39246"/>
    <cellStyle name="Uwaga 2 27 22" xfId="39247"/>
    <cellStyle name="Uwaga 2 27 22 2" xfId="39248"/>
    <cellStyle name="Uwaga 2 27 22 3" xfId="39249"/>
    <cellStyle name="Uwaga 2 27 23" xfId="39250"/>
    <cellStyle name="Uwaga 2 27 23 2" xfId="39251"/>
    <cellStyle name="Uwaga 2 27 23 3" xfId="39252"/>
    <cellStyle name="Uwaga 2 27 24" xfId="39253"/>
    <cellStyle name="Uwaga 2 27 24 2" xfId="39254"/>
    <cellStyle name="Uwaga 2 27 24 3" xfId="39255"/>
    <cellStyle name="Uwaga 2 27 25" xfId="39256"/>
    <cellStyle name="Uwaga 2 27 25 2" xfId="39257"/>
    <cellStyle name="Uwaga 2 27 25 3" xfId="39258"/>
    <cellStyle name="Uwaga 2 27 26" xfId="39259"/>
    <cellStyle name="Uwaga 2 27 26 2" xfId="39260"/>
    <cellStyle name="Uwaga 2 27 26 3" xfId="39261"/>
    <cellStyle name="Uwaga 2 27 27" xfId="39262"/>
    <cellStyle name="Uwaga 2 27 27 2" xfId="39263"/>
    <cellStyle name="Uwaga 2 27 27 3" xfId="39264"/>
    <cellStyle name="Uwaga 2 27 28" xfId="39265"/>
    <cellStyle name="Uwaga 2 27 28 2" xfId="39266"/>
    <cellStyle name="Uwaga 2 27 28 3" xfId="39267"/>
    <cellStyle name="Uwaga 2 27 29" xfId="39268"/>
    <cellStyle name="Uwaga 2 27 29 2" xfId="39269"/>
    <cellStyle name="Uwaga 2 27 29 3" xfId="39270"/>
    <cellStyle name="Uwaga 2 27 3" xfId="39271"/>
    <cellStyle name="Uwaga 2 27 3 2" xfId="39272"/>
    <cellStyle name="Uwaga 2 27 3 3" xfId="39273"/>
    <cellStyle name="Uwaga 2 27 3 4" xfId="39274"/>
    <cellStyle name="Uwaga 2 27 30" xfId="39275"/>
    <cellStyle name="Uwaga 2 27 30 2" xfId="39276"/>
    <cellStyle name="Uwaga 2 27 30 3" xfId="39277"/>
    <cellStyle name="Uwaga 2 27 31" xfId="39278"/>
    <cellStyle name="Uwaga 2 27 31 2" xfId="39279"/>
    <cellStyle name="Uwaga 2 27 31 3" xfId="39280"/>
    <cellStyle name="Uwaga 2 27 32" xfId="39281"/>
    <cellStyle name="Uwaga 2 27 32 2" xfId="39282"/>
    <cellStyle name="Uwaga 2 27 32 3" xfId="39283"/>
    <cellStyle name="Uwaga 2 27 33" xfId="39284"/>
    <cellStyle name="Uwaga 2 27 33 2" xfId="39285"/>
    <cellStyle name="Uwaga 2 27 33 3" xfId="39286"/>
    <cellStyle name="Uwaga 2 27 34" xfId="39287"/>
    <cellStyle name="Uwaga 2 27 34 2" xfId="39288"/>
    <cellStyle name="Uwaga 2 27 34 3" xfId="39289"/>
    <cellStyle name="Uwaga 2 27 35" xfId="39290"/>
    <cellStyle name="Uwaga 2 27 35 2" xfId="39291"/>
    <cellStyle name="Uwaga 2 27 35 3" xfId="39292"/>
    <cellStyle name="Uwaga 2 27 36" xfId="39293"/>
    <cellStyle name="Uwaga 2 27 36 2" xfId="39294"/>
    <cellStyle name="Uwaga 2 27 36 3" xfId="39295"/>
    <cellStyle name="Uwaga 2 27 37" xfId="39296"/>
    <cellStyle name="Uwaga 2 27 37 2" xfId="39297"/>
    <cellStyle name="Uwaga 2 27 37 3" xfId="39298"/>
    <cellStyle name="Uwaga 2 27 38" xfId="39299"/>
    <cellStyle name="Uwaga 2 27 38 2" xfId="39300"/>
    <cellStyle name="Uwaga 2 27 38 3" xfId="39301"/>
    <cellStyle name="Uwaga 2 27 39" xfId="39302"/>
    <cellStyle name="Uwaga 2 27 39 2" xfId="39303"/>
    <cellStyle name="Uwaga 2 27 39 3" xfId="39304"/>
    <cellStyle name="Uwaga 2 27 4" xfId="39305"/>
    <cellStyle name="Uwaga 2 27 4 2" xfId="39306"/>
    <cellStyle name="Uwaga 2 27 4 3" xfId="39307"/>
    <cellStyle name="Uwaga 2 27 4 4" xfId="39308"/>
    <cellStyle name="Uwaga 2 27 40" xfId="39309"/>
    <cellStyle name="Uwaga 2 27 40 2" xfId="39310"/>
    <cellStyle name="Uwaga 2 27 40 3" xfId="39311"/>
    <cellStyle name="Uwaga 2 27 41" xfId="39312"/>
    <cellStyle name="Uwaga 2 27 41 2" xfId="39313"/>
    <cellStyle name="Uwaga 2 27 41 3" xfId="39314"/>
    <cellStyle name="Uwaga 2 27 42" xfId="39315"/>
    <cellStyle name="Uwaga 2 27 42 2" xfId="39316"/>
    <cellStyle name="Uwaga 2 27 42 3" xfId="39317"/>
    <cellStyle name="Uwaga 2 27 43" xfId="39318"/>
    <cellStyle name="Uwaga 2 27 43 2" xfId="39319"/>
    <cellStyle name="Uwaga 2 27 43 3" xfId="39320"/>
    <cellStyle name="Uwaga 2 27 44" xfId="39321"/>
    <cellStyle name="Uwaga 2 27 44 2" xfId="39322"/>
    <cellStyle name="Uwaga 2 27 44 3" xfId="39323"/>
    <cellStyle name="Uwaga 2 27 45" xfId="39324"/>
    <cellStyle name="Uwaga 2 27 45 2" xfId="39325"/>
    <cellStyle name="Uwaga 2 27 45 3" xfId="39326"/>
    <cellStyle name="Uwaga 2 27 46" xfId="39327"/>
    <cellStyle name="Uwaga 2 27 46 2" xfId="39328"/>
    <cellStyle name="Uwaga 2 27 46 3" xfId="39329"/>
    <cellStyle name="Uwaga 2 27 47" xfId="39330"/>
    <cellStyle name="Uwaga 2 27 47 2" xfId="39331"/>
    <cellStyle name="Uwaga 2 27 47 3" xfId="39332"/>
    <cellStyle name="Uwaga 2 27 48" xfId="39333"/>
    <cellStyle name="Uwaga 2 27 48 2" xfId="39334"/>
    <cellStyle name="Uwaga 2 27 48 3" xfId="39335"/>
    <cellStyle name="Uwaga 2 27 49" xfId="39336"/>
    <cellStyle name="Uwaga 2 27 49 2" xfId="39337"/>
    <cellStyle name="Uwaga 2 27 49 3" xfId="39338"/>
    <cellStyle name="Uwaga 2 27 5" xfId="39339"/>
    <cellStyle name="Uwaga 2 27 5 2" xfId="39340"/>
    <cellStyle name="Uwaga 2 27 5 3" xfId="39341"/>
    <cellStyle name="Uwaga 2 27 5 4" xfId="39342"/>
    <cellStyle name="Uwaga 2 27 50" xfId="39343"/>
    <cellStyle name="Uwaga 2 27 50 2" xfId="39344"/>
    <cellStyle name="Uwaga 2 27 50 3" xfId="39345"/>
    <cellStyle name="Uwaga 2 27 51" xfId="39346"/>
    <cellStyle name="Uwaga 2 27 51 2" xfId="39347"/>
    <cellStyle name="Uwaga 2 27 51 3" xfId="39348"/>
    <cellStyle name="Uwaga 2 27 52" xfId="39349"/>
    <cellStyle name="Uwaga 2 27 52 2" xfId="39350"/>
    <cellStyle name="Uwaga 2 27 52 3" xfId="39351"/>
    <cellStyle name="Uwaga 2 27 53" xfId="39352"/>
    <cellStyle name="Uwaga 2 27 53 2" xfId="39353"/>
    <cellStyle name="Uwaga 2 27 53 3" xfId="39354"/>
    <cellStyle name="Uwaga 2 27 54" xfId="39355"/>
    <cellStyle name="Uwaga 2 27 54 2" xfId="39356"/>
    <cellStyle name="Uwaga 2 27 54 3" xfId="39357"/>
    <cellStyle name="Uwaga 2 27 55" xfId="39358"/>
    <cellStyle name="Uwaga 2 27 55 2" xfId="39359"/>
    <cellStyle name="Uwaga 2 27 55 3" xfId="39360"/>
    <cellStyle name="Uwaga 2 27 56" xfId="39361"/>
    <cellStyle name="Uwaga 2 27 56 2" xfId="39362"/>
    <cellStyle name="Uwaga 2 27 56 3" xfId="39363"/>
    <cellStyle name="Uwaga 2 27 57" xfId="39364"/>
    <cellStyle name="Uwaga 2 27 58" xfId="39365"/>
    <cellStyle name="Uwaga 2 27 6" xfId="39366"/>
    <cellStyle name="Uwaga 2 27 6 2" xfId="39367"/>
    <cellStyle name="Uwaga 2 27 6 3" xfId="39368"/>
    <cellStyle name="Uwaga 2 27 6 4" xfId="39369"/>
    <cellStyle name="Uwaga 2 27 7" xfId="39370"/>
    <cellStyle name="Uwaga 2 27 7 2" xfId="39371"/>
    <cellStyle name="Uwaga 2 27 7 3" xfId="39372"/>
    <cellStyle name="Uwaga 2 27 7 4" xfId="39373"/>
    <cellStyle name="Uwaga 2 27 8" xfId="39374"/>
    <cellStyle name="Uwaga 2 27 8 2" xfId="39375"/>
    <cellStyle name="Uwaga 2 27 8 3" xfId="39376"/>
    <cellStyle name="Uwaga 2 27 8 4" xfId="39377"/>
    <cellStyle name="Uwaga 2 27 9" xfId="39378"/>
    <cellStyle name="Uwaga 2 27 9 2" xfId="39379"/>
    <cellStyle name="Uwaga 2 27 9 3" xfId="39380"/>
    <cellStyle name="Uwaga 2 27 9 4" xfId="39381"/>
    <cellStyle name="Uwaga 2 28" xfId="39382"/>
    <cellStyle name="Uwaga 2 28 10" xfId="39383"/>
    <cellStyle name="Uwaga 2 28 10 2" xfId="39384"/>
    <cellStyle name="Uwaga 2 28 10 3" xfId="39385"/>
    <cellStyle name="Uwaga 2 28 10 4" xfId="39386"/>
    <cellStyle name="Uwaga 2 28 11" xfId="39387"/>
    <cellStyle name="Uwaga 2 28 11 2" xfId="39388"/>
    <cellStyle name="Uwaga 2 28 11 3" xfId="39389"/>
    <cellStyle name="Uwaga 2 28 11 4" xfId="39390"/>
    <cellStyle name="Uwaga 2 28 12" xfId="39391"/>
    <cellStyle name="Uwaga 2 28 12 2" xfId="39392"/>
    <cellStyle name="Uwaga 2 28 12 3" xfId="39393"/>
    <cellStyle name="Uwaga 2 28 12 4" xfId="39394"/>
    <cellStyle name="Uwaga 2 28 13" xfId="39395"/>
    <cellStyle name="Uwaga 2 28 13 2" xfId="39396"/>
    <cellStyle name="Uwaga 2 28 13 3" xfId="39397"/>
    <cellStyle name="Uwaga 2 28 13 4" xfId="39398"/>
    <cellStyle name="Uwaga 2 28 14" xfId="39399"/>
    <cellStyle name="Uwaga 2 28 14 2" xfId="39400"/>
    <cellStyle name="Uwaga 2 28 14 3" xfId="39401"/>
    <cellStyle name="Uwaga 2 28 14 4" xfId="39402"/>
    <cellStyle name="Uwaga 2 28 15" xfId="39403"/>
    <cellStyle name="Uwaga 2 28 15 2" xfId="39404"/>
    <cellStyle name="Uwaga 2 28 15 3" xfId="39405"/>
    <cellStyle name="Uwaga 2 28 15 4" xfId="39406"/>
    <cellStyle name="Uwaga 2 28 16" xfId="39407"/>
    <cellStyle name="Uwaga 2 28 16 2" xfId="39408"/>
    <cellStyle name="Uwaga 2 28 16 3" xfId="39409"/>
    <cellStyle name="Uwaga 2 28 16 4" xfId="39410"/>
    <cellStyle name="Uwaga 2 28 17" xfId="39411"/>
    <cellStyle name="Uwaga 2 28 17 2" xfId="39412"/>
    <cellStyle name="Uwaga 2 28 17 3" xfId="39413"/>
    <cellStyle name="Uwaga 2 28 17 4" xfId="39414"/>
    <cellStyle name="Uwaga 2 28 18" xfId="39415"/>
    <cellStyle name="Uwaga 2 28 18 2" xfId="39416"/>
    <cellStyle name="Uwaga 2 28 18 3" xfId="39417"/>
    <cellStyle name="Uwaga 2 28 18 4" xfId="39418"/>
    <cellStyle name="Uwaga 2 28 19" xfId="39419"/>
    <cellStyle name="Uwaga 2 28 19 2" xfId="39420"/>
    <cellStyle name="Uwaga 2 28 19 3" xfId="39421"/>
    <cellStyle name="Uwaga 2 28 19 4" xfId="39422"/>
    <cellStyle name="Uwaga 2 28 2" xfId="39423"/>
    <cellStyle name="Uwaga 2 28 2 2" xfId="39424"/>
    <cellStyle name="Uwaga 2 28 2 3" xfId="39425"/>
    <cellStyle name="Uwaga 2 28 2 4" xfId="39426"/>
    <cellStyle name="Uwaga 2 28 20" xfId="39427"/>
    <cellStyle name="Uwaga 2 28 20 2" xfId="39428"/>
    <cellStyle name="Uwaga 2 28 20 3" xfId="39429"/>
    <cellStyle name="Uwaga 2 28 20 4" xfId="39430"/>
    <cellStyle name="Uwaga 2 28 21" xfId="39431"/>
    <cellStyle name="Uwaga 2 28 21 2" xfId="39432"/>
    <cellStyle name="Uwaga 2 28 21 3" xfId="39433"/>
    <cellStyle name="Uwaga 2 28 22" xfId="39434"/>
    <cellStyle name="Uwaga 2 28 22 2" xfId="39435"/>
    <cellStyle name="Uwaga 2 28 22 3" xfId="39436"/>
    <cellStyle name="Uwaga 2 28 23" xfId="39437"/>
    <cellStyle name="Uwaga 2 28 23 2" xfId="39438"/>
    <cellStyle name="Uwaga 2 28 23 3" xfId="39439"/>
    <cellStyle name="Uwaga 2 28 24" xfId="39440"/>
    <cellStyle name="Uwaga 2 28 24 2" xfId="39441"/>
    <cellStyle name="Uwaga 2 28 24 3" xfId="39442"/>
    <cellStyle name="Uwaga 2 28 25" xfId="39443"/>
    <cellStyle name="Uwaga 2 28 25 2" xfId="39444"/>
    <cellStyle name="Uwaga 2 28 25 3" xfId="39445"/>
    <cellStyle name="Uwaga 2 28 26" xfId="39446"/>
    <cellStyle name="Uwaga 2 28 26 2" xfId="39447"/>
    <cellStyle name="Uwaga 2 28 26 3" xfId="39448"/>
    <cellStyle name="Uwaga 2 28 27" xfId="39449"/>
    <cellStyle name="Uwaga 2 28 27 2" xfId="39450"/>
    <cellStyle name="Uwaga 2 28 27 3" xfId="39451"/>
    <cellStyle name="Uwaga 2 28 28" xfId="39452"/>
    <cellStyle name="Uwaga 2 28 28 2" xfId="39453"/>
    <cellStyle name="Uwaga 2 28 28 3" xfId="39454"/>
    <cellStyle name="Uwaga 2 28 29" xfId="39455"/>
    <cellStyle name="Uwaga 2 28 29 2" xfId="39456"/>
    <cellStyle name="Uwaga 2 28 29 3" xfId="39457"/>
    <cellStyle name="Uwaga 2 28 3" xfId="39458"/>
    <cellStyle name="Uwaga 2 28 3 2" xfId="39459"/>
    <cellStyle name="Uwaga 2 28 3 3" xfId="39460"/>
    <cellStyle name="Uwaga 2 28 3 4" xfId="39461"/>
    <cellStyle name="Uwaga 2 28 30" xfId="39462"/>
    <cellStyle name="Uwaga 2 28 30 2" xfId="39463"/>
    <cellStyle name="Uwaga 2 28 30 3" xfId="39464"/>
    <cellStyle name="Uwaga 2 28 31" xfId="39465"/>
    <cellStyle name="Uwaga 2 28 31 2" xfId="39466"/>
    <cellStyle name="Uwaga 2 28 31 3" xfId="39467"/>
    <cellStyle name="Uwaga 2 28 32" xfId="39468"/>
    <cellStyle name="Uwaga 2 28 32 2" xfId="39469"/>
    <cellStyle name="Uwaga 2 28 32 3" xfId="39470"/>
    <cellStyle name="Uwaga 2 28 33" xfId="39471"/>
    <cellStyle name="Uwaga 2 28 33 2" xfId="39472"/>
    <cellStyle name="Uwaga 2 28 33 3" xfId="39473"/>
    <cellStyle name="Uwaga 2 28 34" xfId="39474"/>
    <cellStyle name="Uwaga 2 28 34 2" xfId="39475"/>
    <cellStyle name="Uwaga 2 28 34 3" xfId="39476"/>
    <cellStyle name="Uwaga 2 28 35" xfId="39477"/>
    <cellStyle name="Uwaga 2 28 35 2" xfId="39478"/>
    <cellStyle name="Uwaga 2 28 35 3" xfId="39479"/>
    <cellStyle name="Uwaga 2 28 36" xfId="39480"/>
    <cellStyle name="Uwaga 2 28 36 2" xfId="39481"/>
    <cellStyle name="Uwaga 2 28 36 3" xfId="39482"/>
    <cellStyle name="Uwaga 2 28 37" xfId="39483"/>
    <cellStyle name="Uwaga 2 28 37 2" xfId="39484"/>
    <cellStyle name="Uwaga 2 28 37 3" xfId="39485"/>
    <cellStyle name="Uwaga 2 28 38" xfId="39486"/>
    <cellStyle name="Uwaga 2 28 38 2" xfId="39487"/>
    <cellStyle name="Uwaga 2 28 38 3" xfId="39488"/>
    <cellStyle name="Uwaga 2 28 39" xfId="39489"/>
    <cellStyle name="Uwaga 2 28 39 2" xfId="39490"/>
    <cellStyle name="Uwaga 2 28 39 3" xfId="39491"/>
    <cellStyle name="Uwaga 2 28 4" xfId="39492"/>
    <cellStyle name="Uwaga 2 28 4 2" xfId="39493"/>
    <cellStyle name="Uwaga 2 28 4 3" xfId="39494"/>
    <cellStyle name="Uwaga 2 28 4 4" xfId="39495"/>
    <cellStyle name="Uwaga 2 28 40" xfId="39496"/>
    <cellStyle name="Uwaga 2 28 40 2" xfId="39497"/>
    <cellStyle name="Uwaga 2 28 40 3" xfId="39498"/>
    <cellStyle name="Uwaga 2 28 41" xfId="39499"/>
    <cellStyle name="Uwaga 2 28 41 2" xfId="39500"/>
    <cellStyle name="Uwaga 2 28 41 3" xfId="39501"/>
    <cellStyle name="Uwaga 2 28 42" xfId="39502"/>
    <cellStyle name="Uwaga 2 28 42 2" xfId="39503"/>
    <cellStyle name="Uwaga 2 28 42 3" xfId="39504"/>
    <cellStyle name="Uwaga 2 28 43" xfId="39505"/>
    <cellStyle name="Uwaga 2 28 43 2" xfId="39506"/>
    <cellStyle name="Uwaga 2 28 43 3" xfId="39507"/>
    <cellStyle name="Uwaga 2 28 44" xfId="39508"/>
    <cellStyle name="Uwaga 2 28 44 2" xfId="39509"/>
    <cellStyle name="Uwaga 2 28 44 3" xfId="39510"/>
    <cellStyle name="Uwaga 2 28 45" xfId="39511"/>
    <cellStyle name="Uwaga 2 28 45 2" xfId="39512"/>
    <cellStyle name="Uwaga 2 28 45 3" xfId="39513"/>
    <cellStyle name="Uwaga 2 28 46" xfId="39514"/>
    <cellStyle name="Uwaga 2 28 46 2" xfId="39515"/>
    <cellStyle name="Uwaga 2 28 46 3" xfId="39516"/>
    <cellStyle name="Uwaga 2 28 47" xfId="39517"/>
    <cellStyle name="Uwaga 2 28 47 2" xfId="39518"/>
    <cellStyle name="Uwaga 2 28 47 3" xfId="39519"/>
    <cellStyle name="Uwaga 2 28 48" xfId="39520"/>
    <cellStyle name="Uwaga 2 28 48 2" xfId="39521"/>
    <cellStyle name="Uwaga 2 28 48 3" xfId="39522"/>
    <cellStyle name="Uwaga 2 28 49" xfId="39523"/>
    <cellStyle name="Uwaga 2 28 49 2" xfId="39524"/>
    <cellStyle name="Uwaga 2 28 49 3" xfId="39525"/>
    <cellStyle name="Uwaga 2 28 5" xfId="39526"/>
    <cellStyle name="Uwaga 2 28 5 2" xfId="39527"/>
    <cellStyle name="Uwaga 2 28 5 3" xfId="39528"/>
    <cellStyle name="Uwaga 2 28 5 4" xfId="39529"/>
    <cellStyle name="Uwaga 2 28 50" xfId="39530"/>
    <cellStyle name="Uwaga 2 28 50 2" xfId="39531"/>
    <cellStyle name="Uwaga 2 28 50 3" xfId="39532"/>
    <cellStyle name="Uwaga 2 28 51" xfId="39533"/>
    <cellStyle name="Uwaga 2 28 51 2" xfId="39534"/>
    <cellStyle name="Uwaga 2 28 51 3" xfId="39535"/>
    <cellStyle name="Uwaga 2 28 52" xfId="39536"/>
    <cellStyle name="Uwaga 2 28 52 2" xfId="39537"/>
    <cellStyle name="Uwaga 2 28 52 3" xfId="39538"/>
    <cellStyle name="Uwaga 2 28 53" xfId="39539"/>
    <cellStyle name="Uwaga 2 28 53 2" xfId="39540"/>
    <cellStyle name="Uwaga 2 28 53 3" xfId="39541"/>
    <cellStyle name="Uwaga 2 28 54" xfId="39542"/>
    <cellStyle name="Uwaga 2 28 54 2" xfId="39543"/>
    <cellStyle name="Uwaga 2 28 54 3" xfId="39544"/>
    <cellStyle name="Uwaga 2 28 55" xfId="39545"/>
    <cellStyle name="Uwaga 2 28 55 2" xfId="39546"/>
    <cellStyle name="Uwaga 2 28 55 3" xfId="39547"/>
    <cellStyle name="Uwaga 2 28 56" xfId="39548"/>
    <cellStyle name="Uwaga 2 28 56 2" xfId="39549"/>
    <cellStyle name="Uwaga 2 28 56 3" xfId="39550"/>
    <cellStyle name="Uwaga 2 28 57" xfId="39551"/>
    <cellStyle name="Uwaga 2 28 58" xfId="39552"/>
    <cellStyle name="Uwaga 2 28 6" xfId="39553"/>
    <cellStyle name="Uwaga 2 28 6 2" xfId="39554"/>
    <cellStyle name="Uwaga 2 28 6 3" xfId="39555"/>
    <cellStyle name="Uwaga 2 28 6 4" xfId="39556"/>
    <cellStyle name="Uwaga 2 28 7" xfId="39557"/>
    <cellStyle name="Uwaga 2 28 7 2" xfId="39558"/>
    <cellStyle name="Uwaga 2 28 7 3" xfId="39559"/>
    <cellStyle name="Uwaga 2 28 7 4" xfId="39560"/>
    <cellStyle name="Uwaga 2 28 8" xfId="39561"/>
    <cellStyle name="Uwaga 2 28 8 2" xfId="39562"/>
    <cellStyle name="Uwaga 2 28 8 3" xfId="39563"/>
    <cellStyle name="Uwaga 2 28 8 4" xfId="39564"/>
    <cellStyle name="Uwaga 2 28 9" xfId="39565"/>
    <cellStyle name="Uwaga 2 28 9 2" xfId="39566"/>
    <cellStyle name="Uwaga 2 28 9 3" xfId="39567"/>
    <cellStyle name="Uwaga 2 28 9 4" xfId="39568"/>
    <cellStyle name="Uwaga 2 29" xfId="39569"/>
    <cellStyle name="Uwaga 2 29 2" xfId="39570"/>
    <cellStyle name="Uwaga 2 3" xfId="39571"/>
    <cellStyle name="Uwaga 2 3 10" xfId="39572"/>
    <cellStyle name="Uwaga 2 3 10 2" xfId="39573"/>
    <cellStyle name="Uwaga 2 3 10 3" xfId="39574"/>
    <cellStyle name="Uwaga 2 3 10 4" xfId="39575"/>
    <cellStyle name="Uwaga 2 3 11" xfId="39576"/>
    <cellStyle name="Uwaga 2 3 11 2" xfId="39577"/>
    <cellStyle name="Uwaga 2 3 11 3" xfId="39578"/>
    <cellStyle name="Uwaga 2 3 11 4" xfId="39579"/>
    <cellStyle name="Uwaga 2 3 12" xfId="39580"/>
    <cellStyle name="Uwaga 2 3 12 2" xfId="39581"/>
    <cellStyle name="Uwaga 2 3 12 3" xfId="39582"/>
    <cellStyle name="Uwaga 2 3 12 4" xfId="39583"/>
    <cellStyle name="Uwaga 2 3 13" xfId="39584"/>
    <cellStyle name="Uwaga 2 3 13 2" xfId="39585"/>
    <cellStyle name="Uwaga 2 3 13 3" xfId="39586"/>
    <cellStyle name="Uwaga 2 3 13 4" xfId="39587"/>
    <cellStyle name="Uwaga 2 3 14" xfId="39588"/>
    <cellStyle name="Uwaga 2 3 14 2" xfId="39589"/>
    <cellStyle name="Uwaga 2 3 14 3" xfId="39590"/>
    <cellStyle name="Uwaga 2 3 14 4" xfId="39591"/>
    <cellStyle name="Uwaga 2 3 15" xfId="39592"/>
    <cellStyle name="Uwaga 2 3 15 2" xfId="39593"/>
    <cellStyle name="Uwaga 2 3 15 3" xfId="39594"/>
    <cellStyle name="Uwaga 2 3 15 4" xfId="39595"/>
    <cellStyle name="Uwaga 2 3 16" xfId="39596"/>
    <cellStyle name="Uwaga 2 3 16 2" xfId="39597"/>
    <cellStyle name="Uwaga 2 3 16 3" xfId="39598"/>
    <cellStyle name="Uwaga 2 3 16 4" xfId="39599"/>
    <cellStyle name="Uwaga 2 3 17" xfId="39600"/>
    <cellStyle name="Uwaga 2 3 17 2" xfId="39601"/>
    <cellStyle name="Uwaga 2 3 17 3" xfId="39602"/>
    <cellStyle name="Uwaga 2 3 17 4" xfId="39603"/>
    <cellStyle name="Uwaga 2 3 18" xfId="39604"/>
    <cellStyle name="Uwaga 2 3 18 2" xfId="39605"/>
    <cellStyle name="Uwaga 2 3 18 3" xfId="39606"/>
    <cellStyle name="Uwaga 2 3 18 4" xfId="39607"/>
    <cellStyle name="Uwaga 2 3 19" xfId="39608"/>
    <cellStyle name="Uwaga 2 3 19 2" xfId="39609"/>
    <cellStyle name="Uwaga 2 3 19 3" xfId="39610"/>
    <cellStyle name="Uwaga 2 3 19 4" xfId="39611"/>
    <cellStyle name="Uwaga 2 3 2" xfId="39612"/>
    <cellStyle name="Uwaga 2 3 2 2" xfId="39613"/>
    <cellStyle name="Uwaga 2 3 2 3" xfId="39614"/>
    <cellStyle name="Uwaga 2 3 2 4" xfId="39615"/>
    <cellStyle name="Uwaga 2 3 20" xfId="39616"/>
    <cellStyle name="Uwaga 2 3 20 2" xfId="39617"/>
    <cellStyle name="Uwaga 2 3 20 3" xfId="39618"/>
    <cellStyle name="Uwaga 2 3 20 4" xfId="39619"/>
    <cellStyle name="Uwaga 2 3 21" xfId="39620"/>
    <cellStyle name="Uwaga 2 3 21 2" xfId="39621"/>
    <cellStyle name="Uwaga 2 3 21 3" xfId="39622"/>
    <cellStyle name="Uwaga 2 3 22" xfId="39623"/>
    <cellStyle name="Uwaga 2 3 22 2" xfId="39624"/>
    <cellStyle name="Uwaga 2 3 22 3" xfId="39625"/>
    <cellStyle name="Uwaga 2 3 23" xfId="39626"/>
    <cellStyle name="Uwaga 2 3 23 2" xfId="39627"/>
    <cellStyle name="Uwaga 2 3 23 3" xfId="39628"/>
    <cellStyle name="Uwaga 2 3 24" xfId="39629"/>
    <cellStyle name="Uwaga 2 3 24 2" xfId="39630"/>
    <cellStyle name="Uwaga 2 3 24 3" xfId="39631"/>
    <cellStyle name="Uwaga 2 3 25" xfId="39632"/>
    <cellStyle name="Uwaga 2 3 25 2" xfId="39633"/>
    <cellStyle name="Uwaga 2 3 25 3" xfId="39634"/>
    <cellStyle name="Uwaga 2 3 26" xfId="39635"/>
    <cellStyle name="Uwaga 2 3 26 2" xfId="39636"/>
    <cellStyle name="Uwaga 2 3 26 3" xfId="39637"/>
    <cellStyle name="Uwaga 2 3 27" xfId="39638"/>
    <cellStyle name="Uwaga 2 3 27 2" xfId="39639"/>
    <cellStyle name="Uwaga 2 3 27 3" xfId="39640"/>
    <cellStyle name="Uwaga 2 3 28" xfId="39641"/>
    <cellStyle name="Uwaga 2 3 28 2" xfId="39642"/>
    <cellStyle name="Uwaga 2 3 28 3" xfId="39643"/>
    <cellStyle name="Uwaga 2 3 29" xfId="39644"/>
    <cellStyle name="Uwaga 2 3 29 2" xfId="39645"/>
    <cellStyle name="Uwaga 2 3 29 3" xfId="39646"/>
    <cellStyle name="Uwaga 2 3 3" xfId="39647"/>
    <cellStyle name="Uwaga 2 3 3 2" xfId="39648"/>
    <cellStyle name="Uwaga 2 3 3 3" xfId="39649"/>
    <cellStyle name="Uwaga 2 3 3 4" xfId="39650"/>
    <cellStyle name="Uwaga 2 3 30" xfId="39651"/>
    <cellStyle name="Uwaga 2 3 30 2" xfId="39652"/>
    <cellStyle name="Uwaga 2 3 30 3" xfId="39653"/>
    <cellStyle name="Uwaga 2 3 31" xfId="39654"/>
    <cellStyle name="Uwaga 2 3 31 2" xfId="39655"/>
    <cellStyle name="Uwaga 2 3 31 3" xfId="39656"/>
    <cellStyle name="Uwaga 2 3 32" xfId="39657"/>
    <cellStyle name="Uwaga 2 3 32 2" xfId="39658"/>
    <cellStyle name="Uwaga 2 3 32 3" xfId="39659"/>
    <cellStyle name="Uwaga 2 3 33" xfId="39660"/>
    <cellStyle name="Uwaga 2 3 33 2" xfId="39661"/>
    <cellStyle name="Uwaga 2 3 33 3" xfId="39662"/>
    <cellStyle name="Uwaga 2 3 34" xfId="39663"/>
    <cellStyle name="Uwaga 2 3 34 2" xfId="39664"/>
    <cellStyle name="Uwaga 2 3 34 3" xfId="39665"/>
    <cellStyle name="Uwaga 2 3 35" xfId="39666"/>
    <cellStyle name="Uwaga 2 3 35 2" xfId="39667"/>
    <cellStyle name="Uwaga 2 3 35 3" xfId="39668"/>
    <cellStyle name="Uwaga 2 3 36" xfId="39669"/>
    <cellStyle name="Uwaga 2 3 36 2" xfId="39670"/>
    <cellStyle name="Uwaga 2 3 36 3" xfId="39671"/>
    <cellStyle name="Uwaga 2 3 37" xfId="39672"/>
    <cellStyle name="Uwaga 2 3 37 2" xfId="39673"/>
    <cellStyle name="Uwaga 2 3 37 3" xfId="39674"/>
    <cellStyle name="Uwaga 2 3 38" xfId="39675"/>
    <cellStyle name="Uwaga 2 3 38 2" xfId="39676"/>
    <cellStyle name="Uwaga 2 3 38 3" xfId="39677"/>
    <cellStyle name="Uwaga 2 3 39" xfId="39678"/>
    <cellStyle name="Uwaga 2 3 39 2" xfId="39679"/>
    <cellStyle name="Uwaga 2 3 39 3" xfId="39680"/>
    <cellStyle name="Uwaga 2 3 4" xfId="39681"/>
    <cellStyle name="Uwaga 2 3 4 2" xfId="39682"/>
    <cellStyle name="Uwaga 2 3 4 3" xfId="39683"/>
    <cellStyle name="Uwaga 2 3 4 4" xfId="39684"/>
    <cellStyle name="Uwaga 2 3 40" xfId="39685"/>
    <cellStyle name="Uwaga 2 3 40 2" xfId="39686"/>
    <cellStyle name="Uwaga 2 3 40 3" xfId="39687"/>
    <cellStyle name="Uwaga 2 3 41" xfId="39688"/>
    <cellStyle name="Uwaga 2 3 41 2" xfId="39689"/>
    <cellStyle name="Uwaga 2 3 41 3" xfId="39690"/>
    <cellStyle name="Uwaga 2 3 42" xfId="39691"/>
    <cellStyle name="Uwaga 2 3 42 2" xfId="39692"/>
    <cellStyle name="Uwaga 2 3 42 3" xfId="39693"/>
    <cellStyle name="Uwaga 2 3 43" xfId="39694"/>
    <cellStyle name="Uwaga 2 3 43 2" xfId="39695"/>
    <cellStyle name="Uwaga 2 3 43 3" xfId="39696"/>
    <cellStyle name="Uwaga 2 3 44" xfId="39697"/>
    <cellStyle name="Uwaga 2 3 44 2" xfId="39698"/>
    <cellStyle name="Uwaga 2 3 44 3" xfId="39699"/>
    <cellStyle name="Uwaga 2 3 45" xfId="39700"/>
    <cellStyle name="Uwaga 2 3 45 2" xfId="39701"/>
    <cellStyle name="Uwaga 2 3 45 3" xfId="39702"/>
    <cellStyle name="Uwaga 2 3 46" xfId="39703"/>
    <cellStyle name="Uwaga 2 3 46 2" xfId="39704"/>
    <cellStyle name="Uwaga 2 3 46 3" xfId="39705"/>
    <cellStyle name="Uwaga 2 3 47" xfId="39706"/>
    <cellStyle name="Uwaga 2 3 47 2" xfId="39707"/>
    <cellStyle name="Uwaga 2 3 47 3" xfId="39708"/>
    <cellStyle name="Uwaga 2 3 48" xfId="39709"/>
    <cellStyle name="Uwaga 2 3 48 2" xfId="39710"/>
    <cellStyle name="Uwaga 2 3 48 3" xfId="39711"/>
    <cellStyle name="Uwaga 2 3 49" xfId="39712"/>
    <cellStyle name="Uwaga 2 3 49 2" xfId="39713"/>
    <cellStyle name="Uwaga 2 3 49 3" xfId="39714"/>
    <cellStyle name="Uwaga 2 3 5" xfId="39715"/>
    <cellStyle name="Uwaga 2 3 5 2" xfId="39716"/>
    <cellStyle name="Uwaga 2 3 5 3" xfId="39717"/>
    <cellStyle name="Uwaga 2 3 5 4" xfId="39718"/>
    <cellStyle name="Uwaga 2 3 50" xfId="39719"/>
    <cellStyle name="Uwaga 2 3 50 2" xfId="39720"/>
    <cellStyle name="Uwaga 2 3 50 3" xfId="39721"/>
    <cellStyle name="Uwaga 2 3 51" xfId="39722"/>
    <cellStyle name="Uwaga 2 3 51 2" xfId="39723"/>
    <cellStyle name="Uwaga 2 3 51 3" xfId="39724"/>
    <cellStyle name="Uwaga 2 3 52" xfId="39725"/>
    <cellStyle name="Uwaga 2 3 52 2" xfId="39726"/>
    <cellStyle name="Uwaga 2 3 52 3" xfId="39727"/>
    <cellStyle name="Uwaga 2 3 53" xfId="39728"/>
    <cellStyle name="Uwaga 2 3 53 2" xfId="39729"/>
    <cellStyle name="Uwaga 2 3 53 3" xfId="39730"/>
    <cellStyle name="Uwaga 2 3 54" xfId="39731"/>
    <cellStyle name="Uwaga 2 3 54 2" xfId="39732"/>
    <cellStyle name="Uwaga 2 3 54 3" xfId="39733"/>
    <cellStyle name="Uwaga 2 3 55" xfId="39734"/>
    <cellStyle name="Uwaga 2 3 55 2" xfId="39735"/>
    <cellStyle name="Uwaga 2 3 55 3" xfId="39736"/>
    <cellStyle name="Uwaga 2 3 56" xfId="39737"/>
    <cellStyle name="Uwaga 2 3 56 2" xfId="39738"/>
    <cellStyle name="Uwaga 2 3 56 3" xfId="39739"/>
    <cellStyle name="Uwaga 2 3 57" xfId="39740"/>
    <cellStyle name="Uwaga 2 3 58" xfId="39741"/>
    <cellStyle name="Uwaga 2 3 59" xfId="39742"/>
    <cellStyle name="Uwaga 2 3 6" xfId="39743"/>
    <cellStyle name="Uwaga 2 3 6 2" xfId="39744"/>
    <cellStyle name="Uwaga 2 3 6 3" xfId="39745"/>
    <cellStyle name="Uwaga 2 3 6 4" xfId="39746"/>
    <cellStyle name="Uwaga 2 3 7" xfId="39747"/>
    <cellStyle name="Uwaga 2 3 7 2" xfId="39748"/>
    <cellStyle name="Uwaga 2 3 7 3" xfId="39749"/>
    <cellStyle name="Uwaga 2 3 7 4" xfId="39750"/>
    <cellStyle name="Uwaga 2 3 8" xfId="39751"/>
    <cellStyle name="Uwaga 2 3 8 2" xfId="39752"/>
    <cellStyle name="Uwaga 2 3 8 3" xfId="39753"/>
    <cellStyle name="Uwaga 2 3 8 4" xfId="39754"/>
    <cellStyle name="Uwaga 2 3 9" xfId="39755"/>
    <cellStyle name="Uwaga 2 3 9 2" xfId="39756"/>
    <cellStyle name="Uwaga 2 3 9 3" xfId="39757"/>
    <cellStyle name="Uwaga 2 3 9 4" xfId="39758"/>
    <cellStyle name="Uwaga 2 30" xfId="39759"/>
    <cellStyle name="Uwaga 2 30 2" xfId="39760"/>
    <cellStyle name="Uwaga 2 31" xfId="39761"/>
    <cellStyle name="Uwaga 2 31 2" xfId="39762"/>
    <cellStyle name="Uwaga 2 31 3" xfId="39763"/>
    <cellStyle name="Uwaga 2 31 4" xfId="39764"/>
    <cellStyle name="Uwaga 2 32" xfId="39765"/>
    <cellStyle name="Uwaga 2 32 2" xfId="39766"/>
    <cellStyle name="Uwaga 2 32 3" xfId="39767"/>
    <cellStyle name="Uwaga 2 32 4" xfId="39768"/>
    <cellStyle name="Uwaga 2 33" xfId="39769"/>
    <cellStyle name="Uwaga 2 33 2" xfId="39770"/>
    <cellStyle name="Uwaga 2 33 3" xfId="39771"/>
    <cellStyle name="Uwaga 2 33 4" xfId="39772"/>
    <cellStyle name="Uwaga 2 34" xfId="39773"/>
    <cellStyle name="Uwaga 2 34 2" xfId="39774"/>
    <cellStyle name="Uwaga 2 34 3" xfId="39775"/>
    <cellStyle name="Uwaga 2 34 4" xfId="39776"/>
    <cellStyle name="Uwaga 2 35" xfId="39777"/>
    <cellStyle name="Uwaga 2 35 2" xfId="39778"/>
    <cellStyle name="Uwaga 2 35 3" xfId="39779"/>
    <cellStyle name="Uwaga 2 35 4" xfId="39780"/>
    <cellStyle name="Uwaga 2 36" xfId="39781"/>
    <cellStyle name="Uwaga 2 36 2" xfId="39782"/>
    <cellStyle name="Uwaga 2 36 3" xfId="39783"/>
    <cellStyle name="Uwaga 2 36 4" xfId="39784"/>
    <cellStyle name="Uwaga 2 37" xfId="39785"/>
    <cellStyle name="Uwaga 2 37 2" xfId="39786"/>
    <cellStyle name="Uwaga 2 37 3" xfId="39787"/>
    <cellStyle name="Uwaga 2 37 4" xfId="39788"/>
    <cellStyle name="Uwaga 2 38" xfId="39789"/>
    <cellStyle name="Uwaga 2 38 2" xfId="39790"/>
    <cellStyle name="Uwaga 2 38 3" xfId="39791"/>
    <cellStyle name="Uwaga 2 38 4" xfId="39792"/>
    <cellStyle name="Uwaga 2 39" xfId="39793"/>
    <cellStyle name="Uwaga 2 39 2" xfId="39794"/>
    <cellStyle name="Uwaga 2 39 3" xfId="39795"/>
    <cellStyle name="Uwaga 2 39 4" xfId="39796"/>
    <cellStyle name="Uwaga 2 4" xfId="39797"/>
    <cellStyle name="Uwaga 2 4 10" xfId="39798"/>
    <cellStyle name="Uwaga 2 4 10 2" xfId="39799"/>
    <cellStyle name="Uwaga 2 4 10 3" xfId="39800"/>
    <cellStyle name="Uwaga 2 4 10 4" xfId="39801"/>
    <cellStyle name="Uwaga 2 4 11" xfId="39802"/>
    <cellStyle name="Uwaga 2 4 11 2" xfId="39803"/>
    <cellStyle name="Uwaga 2 4 11 3" xfId="39804"/>
    <cellStyle name="Uwaga 2 4 11 4" xfId="39805"/>
    <cellStyle name="Uwaga 2 4 12" xfId="39806"/>
    <cellStyle name="Uwaga 2 4 12 2" xfId="39807"/>
    <cellStyle name="Uwaga 2 4 12 3" xfId="39808"/>
    <cellStyle name="Uwaga 2 4 12 4" xfId="39809"/>
    <cellStyle name="Uwaga 2 4 13" xfId="39810"/>
    <cellStyle name="Uwaga 2 4 13 2" xfId="39811"/>
    <cellStyle name="Uwaga 2 4 13 3" xfId="39812"/>
    <cellStyle name="Uwaga 2 4 13 4" xfId="39813"/>
    <cellStyle name="Uwaga 2 4 14" xfId="39814"/>
    <cellStyle name="Uwaga 2 4 14 2" xfId="39815"/>
    <cellStyle name="Uwaga 2 4 14 3" xfId="39816"/>
    <cellStyle name="Uwaga 2 4 14 4" xfId="39817"/>
    <cellStyle name="Uwaga 2 4 15" xfId="39818"/>
    <cellStyle name="Uwaga 2 4 15 2" xfId="39819"/>
    <cellStyle name="Uwaga 2 4 15 3" xfId="39820"/>
    <cellStyle name="Uwaga 2 4 15 4" xfId="39821"/>
    <cellStyle name="Uwaga 2 4 16" xfId="39822"/>
    <cellStyle name="Uwaga 2 4 16 2" xfId="39823"/>
    <cellStyle name="Uwaga 2 4 16 3" xfId="39824"/>
    <cellStyle name="Uwaga 2 4 16 4" xfId="39825"/>
    <cellStyle name="Uwaga 2 4 17" xfId="39826"/>
    <cellStyle name="Uwaga 2 4 17 2" xfId="39827"/>
    <cellStyle name="Uwaga 2 4 17 3" xfId="39828"/>
    <cellStyle name="Uwaga 2 4 17 4" xfId="39829"/>
    <cellStyle name="Uwaga 2 4 18" xfId="39830"/>
    <cellStyle name="Uwaga 2 4 18 2" xfId="39831"/>
    <cellStyle name="Uwaga 2 4 18 3" xfId="39832"/>
    <cellStyle name="Uwaga 2 4 18 4" xfId="39833"/>
    <cellStyle name="Uwaga 2 4 19" xfId="39834"/>
    <cellStyle name="Uwaga 2 4 19 2" xfId="39835"/>
    <cellStyle name="Uwaga 2 4 19 3" xfId="39836"/>
    <cellStyle name="Uwaga 2 4 19 4" xfId="39837"/>
    <cellStyle name="Uwaga 2 4 2" xfId="39838"/>
    <cellStyle name="Uwaga 2 4 2 2" xfId="39839"/>
    <cellStyle name="Uwaga 2 4 2 3" xfId="39840"/>
    <cellStyle name="Uwaga 2 4 2 4" xfId="39841"/>
    <cellStyle name="Uwaga 2 4 20" xfId="39842"/>
    <cellStyle name="Uwaga 2 4 20 2" xfId="39843"/>
    <cellStyle name="Uwaga 2 4 20 3" xfId="39844"/>
    <cellStyle name="Uwaga 2 4 20 4" xfId="39845"/>
    <cellStyle name="Uwaga 2 4 21" xfId="39846"/>
    <cellStyle name="Uwaga 2 4 21 2" xfId="39847"/>
    <cellStyle name="Uwaga 2 4 21 3" xfId="39848"/>
    <cellStyle name="Uwaga 2 4 22" xfId="39849"/>
    <cellStyle name="Uwaga 2 4 22 2" xfId="39850"/>
    <cellStyle name="Uwaga 2 4 22 3" xfId="39851"/>
    <cellStyle name="Uwaga 2 4 23" xfId="39852"/>
    <cellStyle name="Uwaga 2 4 23 2" xfId="39853"/>
    <cellStyle name="Uwaga 2 4 23 3" xfId="39854"/>
    <cellStyle name="Uwaga 2 4 24" xfId="39855"/>
    <cellStyle name="Uwaga 2 4 24 2" xfId="39856"/>
    <cellStyle name="Uwaga 2 4 24 3" xfId="39857"/>
    <cellStyle name="Uwaga 2 4 25" xfId="39858"/>
    <cellStyle name="Uwaga 2 4 25 2" xfId="39859"/>
    <cellStyle name="Uwaga 2 4 25 3" xfId="39860"/>
    <cellStyle name="Uwaga 2 4 26" xfId="39861"/>
    <cellStyle name="Uwaga 2 4 26 2" xfId="39862"/>
    <cellStyle name="Uwaga 2 4 26 3" xfId="39863"/>
    <cellStyle name="Uwaga 2 4 27" xfId="39864"/>
    <cellStyle name="Uwaga 2 4 27 2" xfId="39865"/>
    <cellStyle name="Uwaga 2 4 27 3" xfId="39866"/>
    <cellStyle name="Uwaga 2 4 28" xfId="39867"/>
    <cellStyle name="Uwaga 2 4 28 2" xfId="39868"/>
    <cellStyle name="Uwaga 2 4 28 3" xfId="39869"/>
    <cellStyle name="Uwaga 2 4 29" xfId="39870"/>
    <cellStyle name="Uwaga 2 4 29 2" xfId="39871"/>
    <cellStyle name="Uwaga 2 4 29 3" xfId="39872"/>
    <cellStyle name="Uwaga 2 4 3" xfId="39873"/>
    <cellStyle name="Uwaga 2 4 3 2" xfId="39874"/>
    <cellStyle name="Uwaga 2 4 3 3" xfId="39875"/>
    <cellStyle name="Uwaga 2 4 3 4" xfId="39876"/>
    <cellStyle name="Uwaga 2 4 30" xfId="39877"/>
    <cellStyle name="Uwaga 2 4 30 2" xfId="39878"/>
    <cellStyle name="Uwaga 2 4 30 3" xfId="39879"/>
    <cellStyle name="Uwaga 2 4 31" xfId="39880"/>
    <cellStyle name="Uwaga 2 4 31 2" xfId="39881"/>
    <cellStyle name="Uwaga 2 4 31 3" xfId="39882"/>
    <cellStyle name="Uwaga 2 4 32" xfId="39883"/>
    <cellStyle name="Uwaga 2 4 32 2" xfId="39884"/>
    <cellStyle name="Uwaga 2 4 32 3" xfId="39885"/>
    <cellStyle name="Uwaga 2 4 33" xfId="39886"/>
    <cellStyle name="Uwaga 2 4 33 2" xfId="39887"/>
    <cellStyle name="Uwaga 2 4 33 3" xfId="39888"/>
    <cellStyle name="Uwaga 2 4 34" xfId="39889"/>
    <cellStyle name="Uwaga 2 4 34 2" xfId="39890"/>
    <cellStyle name="Uwaga 2 4 34 3" xfId="39891"/>
    <cellStyle name="Uwaga 2 4 35" xfId="39892"/>
    <cellStyle name="Uwaga 2 4 35 2" xfId="39893"/>
    <cellStyle name="Uwaga 2 4 35 3" xfId="39894"/>
    <cellStyle name="Uwaga 2 4 36" xfId="39895"/>
    <cellStyle name="Uwaga 2 4 36 2" xfId="39896"/>
    <cellStyle name="Uwaga 2 4 36 3" xfId="39897"/>
    <cellStyle name="Uwaga 2 4 37" xfId="39898"/>
    <cellStyle name="Uwaga 2 4 37 2" xfId="39899"/>
    <cellStyle name="Uwaga 2 4 37 3" xfId="39900"/>
    <cellStyle name="Uwaga 2 4 38" xfId="39901"/>
    <cellStyle name="Uwaga 2 4 38 2" xfId="39902"/>
    <cellStyle name="Uwaga 2 4 38 3" xfId="39903"/>
    <cellStyle name="Uwaga 2 4 39" xfId="39904"/>
    <cellStyle name="Uwaga 2 4 39 2" xfId="39905"/>
    <cellStyle name="Uwaga 2 4 39 3" xfId="39906"/>
    <cellStyle name="Uwaga 2 4 4" xfId="39907"/>
    <cellStyle name="Uwaga 2 4 4 2" xfId="39908"/>
    <cellStyle name="Uwaga 2 4 4 3" xfId="39909"/>
    <cellStyle name="Uwaga 2 4 4 4" xfId="39910"/>
    <cellStyle name="Uwaga 2 4 40" xfId="39911"/>
    <cellStyle name="Uwaga 2 4 40 2" xfId="39912"/>
    <cellStyle name="Uwaga 2 4 40 3" xfId="39913"/>
    <cellStyle name="Uwaga 2 4 41" xfId="39914"/>
    <cellStyle name="Uwaga 2 4 41 2" xfId="39915"/>
    <cellStyle name="Uwaga 2 4 41 3" xfId="39916"/>
    <cellStyle name="Uwaga 2 4 42" xfId="39917"/>
    <cellStyle name="Uwaga 2 4 42 2" xfId="39918"/>
    <cellStyle name="Uwaga 2 4 42 3" xfId="39919"/>
    <cellStyle name="Uwaga 2 4 43" xfId="39920"/>
    <cellStyle name="Uwaga 2 4 43 2" xfId="39921"/>
    <cellStyle name="Uwaga 2 4 43 3" xfId="39922"/>
    <cellStyle name="Uwaga 2 4 44" xfId="39923"/>
    <cellStyle name="Uwaga 2 4 44 2" xfId="39924"/>
    <cellStyle name="Uwaga 2 4 44 3" xfId="39925"/>
    <cellStyle name="Uwaga 2 4 45" xfId="39926"/>
    <cellStyle name="Uwaga 2 4 45 2" xfId="39927"/>
    <cellStyle name="Uwaga 2 4 45 3" xfId="39928"/>
    <cellStyle name="Uwaga 2 4 46" xfId="39929"/>
    <cellStyle name="Uwaga 2 4 46 2" xfId="39930"/>
    <cellStyle name="Uwaga 2 4 46 3" xfId="39931"/>
    <cellStyle name="Uwaga 2 4 47" xfId="39932"/>
    <cellStyle name="Uwaga 2 4 47 2" xfId="39933"/>
    <cellStyle name="Uwaga 2 4 47 3" xfId="39934"/>
    <cellStyle name="Uwaga 2 4 48" xfId="39935"/>
    <cellStyle name="Uwaga 2 4 48 2" xfId="39936"/>
    <cellStyle name="Uwaga 2 4 48 3" xfId="39937"/>
    <cellStyle name="Uwaga 2 4 49" xfId="39938"/>
    <cellStyle name="Uwaga 2 4 49 2" xfId="39939"/>
    <cellStyle name="Uwaga 2 4 49 3" xfId="39940"/>
    <cellStyle name="Uwaga 2 4 5" xfId="39941"/>
    <cellStyle name="Uwaga 2 4 5 2" xfId="39942"/>
    <cellStyle name="Uwaga 2 4 5 3" xfId="39943"/>
    <cellStyle name="Uwaga 2 4 5 4" xfId="39944"/>
    <cellStyle name="Uwaga 2 4 50" xfId="39945"/>
    <cellStyle name="Uwaga 2 4 50 2" xfId="39946"/>
    <cellStyle name="Uwaga 2 4 50 3" xfId="39947"/>
    <cellStyle name="Uwaga 2 4 51" xfId="39948"/>
    <cellStyle name="Uwaga 2 4 51 2" xfId="39949"/>
    <cellStyle name="Uwaga 2 4 51 3" xfId="39950"/>
    <cellStyle name="Uwaga 2 4 52" xfId="39951"/>
    <cellStyle name="Uwaga 2 4 52 2" xfId="39952"/>
    <cellStyle name="Uwaga 2 4 52 3" xfId="39953"/>
    <cellStyle name="Uwaga 2 4 53" xfId="39954"/>
    <cellStyle name="Uwaga 2 4 53 2" xfId="39955"/>
    <cellStyle name="Uwaga 2 4 53 3" xfId="39956"/>
    <cellStyle name="Uwaga 2 4 54" xfId="39957"/>
    <cellStyle name="Uwaga 2 4 54 2" xfId="39958"/>
    <cellStyle name="Uwaga 2 4 54 3" xfId="39959"/>
    <cellStyle name="Uwaga 2 4 55" xfId="39960"/>
    <cellStyle name="Uwaga 2 4 55 2" xfId="39961"/>
    <cellStyle name="Uwaga 2 4 55 3" xfId="39962"/>
    <cellStyle name="Uwaga 2 4 56" xfId="39963"/>
    <cellStyle name="Uwaga 2 4 56 2" xfId="39964"/>
    <cellStyle name="Uwaga 2 4 56 3" xfId="39965"/>
    <cellStyle name="Uwaga 2 4 57" xfId="39966"/>
    <cellStyle name="Uwaga 2 4 58" xfId="39967"/>
    <cellStyle name="Uwaga 2 4 59" xfId="39968"/>
    <cellStyle name="Uwaga 2 4 6" xfId="39969"/>
    <cellStyle name="Uwaga 2 4 6 2" xfId="39970"/>
    <cellStyle name="Uwaga 2 4 6 3" xfId="39971"/>
    <cellStyle name="Uwaga 2 4 6 4" xfId="39972"/>
    <cellStyle name="Uwaga 2 4 7" xfId="39973"/>
    <cellStyle name="Uwaga 2 4 7 2" xfId="39974"/>
    <cellStyle name="Uwaga 2 4 7 3" xfId="39975"/>
    <cellStyle name="Uwaga 2 4 7 4" xfId="39976"/>
    <cellStyle name="Uwaga 2 4 8" xfId="39977"/>
    <cellStyle name="Uwaga 2 4 8 2" xfId="39978"/>
    <cellStyle name="Uwaga 2 4 8 3" xfId="39979"/>
    <cellStyle name="Uwaga 2 4 8 4" xfId="39980"/>
    <cellStyle name="Uwaga 2 4 9" xfId="39981"/>
    <cellStyle name="Uwaga 2 4 9 2" xfId="39982"/>
    <cellStyle name="Uwaga 2 4 9 3" xfId="39983"/>
    <cellStyle name="Uwaga 2 4 9 4" xfId="39984"/>
    <cellStyle name="Uwaga 2 40" xfId="39985"/>
    <cellStyle name="Uwaga 2 40 2" xfId="39986"/>
    <cellStyle name="Uwaga 2 40 3" xfId="39987"/>
    <cellStyle name="Uwaga 2 40 4" xfId="39988"/>
    <cellStyle name="Uwaga 2 41" xfId="39989"/>
    <cellStyle name="Uwaga 2 41 2" xfId="39990"/>
    <cellStyle name="Uwaga 2 41 3" xfId="39991"/>
    <cellStyle name="Uwaga 2 41 4" xfId="39992"/>
    <cellStyle name="Uwaga 2 42" xfId="39993"/>
    <cellStyle name="Uwaga 2 42 2" xfId="39994"/>
    <cellStyle name="Uwaga 2 42 3" xfId="39995"/>
    <cellStyle name="Uwaga 2 42 4" xfId="39996"/>
    <cellStyle name="Uwaga 2 43" xfId="39997"/>
    <cellStyle name="Uwaga 2 43 2" xfId="39998"/>
    <cellStyle name="Uwaga 2 43 3" xfId="39999"/>
    <cellStyle name="Uwaga 2 43 4" xfId="40000"/>
    <cellStyle name="Uwaga 2 44" xfId="40001"/>
    <cellStyle name="Uwaga 2 44 2" xfId="40002"/>
    <cellStyle name="Uwaga 2 44 3" xfId="40003"/>
    <cellStyle name="Uwaga 2 44 4" xfId="40004"/>
    <cellStyle name="Uwaga 2 45" xfId="40005"/>
    <cellStyle name="Uwaga 2 45 2" xfId="40006"/>
    <cellStyle name="Uwaga 2 45 3" xfId="40007"/>
    <cellStyle name="Uwaga 2 45 4" xfId="40008"/>
    <cellStyle name="Uwaga 2 46" xfId="40009"/>
    <cellStyle name="Uwaga 2 46 2" xfId="40010"/>
    <cellStyle name="Uwaga 2 46 3" xfId="40011"/>
    <cellStyle name="Uwaga 2 46 4" xfId="40012"/>
    <cellStyle name="Uwaga 2 47" xfId="40013"/>
    <cellStyle name="Uwaga 2 47 2" xfId="40014"/>
    <cellStyle name="Uwaga 2 47 3" xfId="40015"/>
    <cellStyle name="Uwaga 2 47 4" xfId="40016"/>
    <cellStyle name="Uwaga 2 48" xfId="40017"/>
    <cellStyle name="Uwaga 2 48 2" xfId="40018"/>
    <cellStyle name="Uwaga 2 48 3" xfId="40019"/>
    <cellStyle name="Uwaga 2 48 4" xfId="40020"/>
    <cellStyle name="Uwaga 2 49" xfId="40021"/>
    <cellStyle name="Uwaga 2 49 2" xfId="40022"/>
    <cellStyle name="Uwaga 2 49 3" xfId="40023"/>
    <cellStyle name="Uwaga 2 49 4" xfId="40024"/>
    <cellStyle name="Uwaga 2 5" xfId="40025"/>
    <cellStyle name="Uwaga 2 5 10" xfId="40026"/>
    <cellStyle name="Uwaga 2 5 10 2" xfId="40027"/>
    <cellStyle name="Uwaga 2 5 10 3" xfId="40028"/>
    <cellStyle name="Uwaga 2 5 10 4" xfId="40029"/>
    <cellStyle name="Uwaga 2 5 11" xfId="40030"/>
    <cellStyle name="Uwaga 2 5 11 2" xfId="40031"/>
    <cellStyle name="Uwaga 2 5 11 3" xfId="40032"/>
    <cellStyle name="Uwaga 2 5 11 4" xfId="40033"/>
    <cellStyle name="Uwaga 2 5 12" xfId="40034"/>
    <cellStyle name="Uwaga 2 5 12 2" xfId="40035"/>
    <cellStyle name="Uwaga 2 5 12 3" xfId="40036"/>
    <cellStyle name="Uwaga 2 5 12 4" xfId="40037"/>
    <cellStyle name="Uwaga 2 5 13" xfId="40038"/>
    <cellStyle name="Uwaga 2 5 13 2" xfId="40039"/>
    <cellStyle name="Uwaga 2 5 13 3" xfId="40040"/>
    <cellStyle name="Uwaga 2 5 13 4" xfId="40041"/>
    <cellStyle name="Uwaga 2 5 14" xfId="40042"/>
    <cellStyle name="Uwaga 2 5 14 2" xfId="40043"/>
    <cellStyle name="Uwaga 2 5 14 3" xfId="40044"/>
    <cellStyle name="Uwaga 2 5 14 4" xfId="40045"/>
    <cellStyle name="Uwaga 2 5 15" xfId="40046"/>
    <cellStyle name="Uwaga 2 5 15 2" xfId="40047"/>
    <cellStyle name="Uwaga 2 5 15 3" xfId="40048"/>
    <cellStyle name="Uwaga 2 5 15 4" xfId="40049"/>
    <cellStyle name="Uwaga 2 5 16" xfId="40050"/>
    <cellStyle name="Uwaga 2 5 16 2" xfId="40051"/>
    <cellStyle name="Uwaga 2 5 16 3" xfId="40052"/>
    <cellStyle name="Uwaga 2 5 16 4" xfId="40053"/>
    <cellStyle name="Uwaga 2 5 17" xfId="40054"/>
    <cellStyle name="Uwaga 2 5 17 2" xfId="40055"/>
    <cellStyle name="Uwaga 2 5 17 3" xfId="40056"/>
    <cellStyle name="Uwaga 2 5 17 4" xfId="40057"/>
    <cellStyle name="Uwaga 2 5 18" xfId="40058"/>
    <cellStyle name="Uwaga 2 5 18 2" xfId="40059"/>
    <cellStyle name="Uwaga 2 5 18 3" xfId="40060"/>
    <cellStyle name="Uwaga 2 5 18 4" xfId="40061"/>
    <cellStyle name="Uwaga 2 5 19" xfId="40062"/>
    <cellStyle name="Uwaga 2 5 19 2" xfId="40063"/>
    <cellStyle name="Uwaga 2 5 19 3" xfId="40064"/>
    <cellStyle name="Uwaga 2 5 19 4" xfId="40065"/>
    <cellStyle name="Uwaga 2 5 2" xfId="40066"/>
    <cellStyle name="Uwaga 2 5 2 2" xfId="40067"/>
    <cellStyle name="Uwaga 2 5 2 3" xfId="40068"/>
    <cellStyle name="Uwaga 2 5 2 4" xfId="40069"/>
    <cellStyle name="Uwaga 2 5 20" xfId="40070"/>
    <cellStyle name="Uwaga 2 5 20 2" xfId="40071"/>
    <cellStyle name="Uwaga 2 5 20 3" xfId="40072"/>
    <cellStyle name="Uwaga 2 5 20 4" xfId="40073"/>
    <cellStyle name="Uwaga 2 5 21" xfId="40074"/>
    <cellStyle name="Uwaga 2 5 21 2" xfId="40075"/>
    <cellStyle name="Uwaga 2 5 21 3" xfId="40076"/>
    <cellStyle name="Uwaga 2 5 22" xfId="40077"/>
    <cellStyle name="Uwaga 2 5 22 2" xfId="40078"/>
    <cellStyle name="Uwaga 2 5 22 3" xfId="40079"/>
    <cellStyle name="Uwaga 2 5 23" xfId="40080"/>
    <cellStyle name="Uwaga 2 5 23 2" xfId="40081"/>
    <cellStyle name="Uwaga 2 5 23 3" xfId="40082"/>
    <cellStyle name="Uwaga 2 5 24" xfId="40083"/>
    <cellStyle name="Uwaga 2 5 24 2" xfId="40084"/>
    <cellStyle name="Uwaga 2 5 24 3" xfId="40085"/>
    <cellStyle name="Uwaga 2 5 25" xfId="40086"/>
    <cellStyle name="Uwaga 2 5 25 2" xfId="40087"/>
    <cellStyle name="Uwaga 2 5 25 3" xfId="40088"/>
    <cellStyle name="Uwaga 2 5 26" xfId="40089"/>
    <cellStyle name="Uwaga 2 5 26 2" xfId="40090"/>
    <cellStyle name="Uwaga 2 5 26 3" xfId="40091"/>
    <cellStyle name="Uwaga 2 5 27" xfId="40092"/>
    <cellStyle name="Uwaga 2 5 27 2" xfId="40093"/>
    <cellStyle name="Uwaga 2 5 27 3" xfId="40094"/>
    <cellStyle name="Uwaga 2 5 28" xfId="40095"/>
    <cellStyle name="Uwaga 2 5 28 2" xfId="40096"/>
    <cellStyle name="Uwaga 2 5 28 3" xfId="40097"/>
    <cellStyle name="Uwaga 2 5 29" xfId="40098"/>
    <cellStyle name="Uwaga 2 5 29 2" xfId="40099"/>
    <cellStyle name="Uwaga 2 5 29 3" xfId="40100"/>
    <cellStyle name="Uwaga 2 5 3" xfId="40101"/>
    <cellStyle name="Uwaga 2 5 3 2" xfId="40102"/>
    <cellStyle name="Uwaga 2 5 3 3" xfId="40103"/>
    <cellStyle name="Uwaga 2 5 3 4" xfId="40104"/>
    <cellStyle name="Uwaga 2 5 30" xfId="40105"/>
    <cellStyle name="Uwaga 2 5 30 2" xfId="40106"/>
    <cellStyle name="Uwaga 2 5 30 3" xfId="40107"/>
    <cellStyle name="Uwaga 2 5 31" xfId="40108"/>
    <cellStyle name="Uwaga 2 5 31 2" xfId="40109"/>
    <cellStyle name="Uwaga 2 5 31 3" xfId="40110"/>
    <cellStyle name="Uwaga 2 5 32" xfId="40111"/>
    <cellStyle name="Uwaga 2 5 32 2" xfId="40112"/>
    <cellStyle name="Uwaga 2 5 32 3" xfId="40113"/>
    <cellStyle name="Uwaga 2 5 33" xfId="40114"/>
    <cellStyle name="Uwaga 2 5 33 2" xfId="40115"/>
    <cellStyle name="Uwaga 2 5 33 3" xfId="40116"/>
    <cellStyle name="Uwaga 2 5 34" xfId="40117"/>
    <cellStyle name="Uwaga 2 5 34 2" xfId="40118"/>
    <cellStyle name="Uwaga 2 5 34 3" xfId="40119"/>
    <cellStyle name="Uwaga 2 5 35" xfId="40120"/>
    <cellStyle name="Uwaga 2 5 35 2" xfId="40121"/>
    <cellStyle name="Uwaga 2 5 35 3" xfId="40122"/>
    <cellStyle name="Uwaga 2 5 36" xfId="40123"/>
    <cellStyle name="Uwaga 2 5 36 2" xfId="40124"/>
    <cellStyle name="Uwaga 2 5 36 3" xfId="40125"/>
    <cellStyle name="Uwaga 2 5 37" xfId="40126"/>
    <cellStyle name="Uwaga 2 5 37 2" xfId="40127"/>
    <cellStyle name="Uwaga 2 5 37 3" xfId="40128"/>
    <cellStyle name="Uwaga 2 5 38" xfId="40129"/>
    <cellStyle name="Uwaga 2 5 38 2" xfId="40130"/>
    <cellStyle name="Uwaga 2 5 38 3" xfId="40131"/>
    <cellStyle name="Uwaga 2 5 39" xfId="40132"/>
    <cellStyle name="Uwaga 2 5 39 2" xfId="40133"/>
    <cellStyle name="Uwaga 2 5 39 3" xfId="40134"/>
    <cellStyle name="Uwaga 2 5 4" xfId="40135"/>
    <cellStyle name="Uwaga 2 5 4 2" xfId="40136"/>
    <cellStyle name="Uwaga 2 5 4 3" xfId="40137"/>
    <cellStyle name="Uwaga 2 5 4 4" xfId="40138"/>
    <cellStyle name="Uwaga 2 5 40" xfId="40139"/>
    <cellStyle name="Uwaga 2 5 40 2" xfId="40140"/>
    <cellStyle name="Uwaga 2 5 40 3" xfId="40141"/>
    <cellStyle name="Uwaga 2 5 41" xfId="40142"/>
    <cellStyle name="Uwaga 2 5 41 2" xfId="40143"/>
    <cellStyle name="Uwaga 2 5 41 3" xfId="40144"/>
    <cellStyle name="Uwaga 2 5 42" xfId="40145"/>
    <cellStyle name="Uwaga 2 5 42 2" xfId="40146"/>
    <cellStyle name="Uwaga 2 5 42 3" xfId="40147"/>
    <cellStyle name="Uwaga 2 5 43" xfId="40148"/>
    <cellStyle name="Uwaga 2 5 43 2" xfId="40149"/>
    <cellStyle name="Uwaga 2 5 43 3" xfId="40150"/>
    <cellStyle name="Uwaga 2 5 44" xfId="40151"/>
    <cellStyle name="Uwaga 2 5 44 2" xfId="40152"/>
    <cellStyle name="Uwaga 2 5 44 3" xfId="40153"/>
    <cellStyle name="Uwaga 2 5 45" xfId="40154"/>
    <cellStyle name="Uwaga 2 5 45 2" xfId="40155"/>
    <cellStyle name="Uwaga 2 5 45 3" xfId="40156"/>
    <cellStyle name="Uwaga 2 5 46" xfId="40157"/>
    <cellStyle name="Uwaga 2 5 46 2" xfId="40158"/>
    <cellStyle name="Uwaga 2 5 46 3" xfId="40159"/>
    <cellStyle name="Uwaga 2 5 47" xfId="40160"/>
    <cellStyle name="Uwaga 2 5 47 2" xfId="40161"/>
    <cellStyle name="Uwaga 2 5 47 3" xfId="40162"/>
    <cellStyle name="Uwaga 2 5 48" xfId="40163"/>
    <cellStyle name="Uwaga 2 5 48 2" xfId="40164"/>
    <cellStyle name="Uwaga 2 5 48 3" xfId="40165"/>
    <cellStyle name="Uwaga 2 5 49" xfId="40166"/>
    <cellStyle name="Uwaga 2 5 49 2" xfId="40167"/>
    <cellStyle name="Uwaga 2 5 49 3" xfId="40168"/>
    <cellStyle name="Uwaga 2 5 5" xfId="40169"/>
    <cellStyle name="Uwaga 2 5 5 2" xfId="40170"/>
    <cellStyle name="Uwaga 2 5 5 3" xfId="40171"/>
    <cellStyle name="Uwaga 2 5 5 4" xfId="40172"/>
    <cellStyle name="Uwaga 2 5 50" xfId="40173"/>
    <cellStyle name="Uwaga 2 5 50 2" xfId="40174"/>
    <cellStyle name="Uwaga 2 5 50 3" xfId="40175"/>
    <cellStyle name="Uwaga 2 5 51" xfId="40176"/>
    <cellStyle name="Uwaga 2 5 51 2" xfId="40177"/>
    <cellStyle name="Uwaga 2 5 51 3" xfId="40178"/>
    <cellStyle name="Uwaga 2 5 52" xfId="40179"/>
    <cellStyle name="Uwaga 2 5 52 2" xfId="40180"/>
    <cellStyle name="Uwaga 2 5 52 3" xfId="40181"/>
    <cellStyle name="Uwaga 2 5 53" xfId="40182"/>
    <cellStyle name="Uwaga 2 5 53 2" xfId="40183"/>
    <cellStyle name="Uwaga 2 5 53 3" xfId="40184"/>
    <cellStyle name="Uwaga 2 5 54" xfId="40185"/>
    <cellStyle name="Uwaga 2 5 54 2" xfId="40186"/>
    <cellStyle name="Uwaga 2 5 54 3" xfId="40187"/>
    <cellStyle name="Uwaga 2 5 55" xfId="40188"/>
    <cellStyle name="Uwaga 2 5 55 2" xfId="40189"/>
    <cellStyle name="Uwaga 2 5 55 3" xfId="40190"/>
    <cellStyle name="Uwaga 2 5 56" xfId="40191"/>
    <cellStyle name="Uwaga 2 5 56 2" xfId="40192"/>
    <cellStyle name="Uwaga 2 5 56 3" xfId="40193"/>
    <cellStyle name="Uwaga 2 5 57" xfId="40194"/>
    <cellStyle name="Uwaga 2 5 58" xfId="40195"/>
    <cellStyle name="Uwaga 2 5 6" xfId="40196"/>
    <cellStyle name="Uwaga 2 5 6 2" xfId="40197"/>
    <cellStyle name="Uwaga 2 5 6 3" xfId="40198"/>
    <cellStyle name="Uwaga 2 5 6 4" xfId="40199"/>
    <cellStyle name="Uwaga 2 5 7" xfId="40200"/>
    <cellStyle name="Uwaga 2 5 7 2" xfId="40201"/>
    <cellStyle name="Uwaga 2 5 7 3" xfId="40202"/>
    <cellStyle name="Uwaga 2 5 7 4" xfId="40203"/>
    <cellStyle name="Uwaga 2 5 8" xfId="40204"/>
    <cellStyle name="Uwaga 2 5 8 2" xfId="40205"/>
    <cellStyle name="Uwaga 2 5 8 3" xfId="40206"/>
    <cellStyle name="Uwaga 2 5 8 4" xfId="40207"/>
    <cellStyle name="Uwaga 2 5 9" xfId="40208"/>
    <cellStyle name="Uwaga 2 5 9 2" xfId="40209"/>
    <cellStyle name="Uwaga 2 5 9 3" xfId="40210"/>
    <cellStyle name="Uwaga 2 5 9 4" xfId="40211"/>
    <cellStyle name="Uwaga 2 50" xfId="40212"/>
    <cellStyle name="Uwaga 2 50 2" xfId="40213"/>
    <cellStyle name="Uwaga 2 50 3" xfId="40214"/>
    <cellStyle name="Uwaga 2 50 4" xfId="40215"/>
    <cellStyle name="Uwaga 2 51" xfId="40216"/>
    <cellStyle name="Uwaga 2 51 2" xfId="40217"/>
    <cellStyle name="Uwaga 2 51 3" xfId="40218"/>
    <cellStyle name="Uwaga 2 51 4" xfId="40219"/>
    <cellStyle name="Uwaga 2 52" xfId="40220"/>
    <cellStyle name="Uwaga 2 52 2" xfId="40221"/>
    <cellStyle name="Uwaga 2 52 3" xfId="40222"/>
    <cellStyle name="Uwaga 2 52 4" xfId="40223"/>
    <cellStyle name="Uwaga 2 53" xfId="40224"/>
    <cellStyle name="Uwaga 2 53 2" xfId="40225"/>
    <cellStyle name="Uwaga 2 53 3" xfId="40226"/>
    <cellStyle name="Uwaga 2 53 4" xfId="40227"/>
    <cellStyle name="Uwaga 2 54" xfId="40228"/>
    <cellStyle name="Uwaga 2 54 2" xfId="40229"/>
    <cellStyle name="Uwaga 2 54 3" xfId="40230"/>
    <cellStyle name="Uwaga 2 54 4" xfId="40231"/>
    <cellStyle name="Uwaga 2 55" xfId="40232"/>
    <cellStyle name="Uwaga 2 55 2" xfId="40233"/>
    <cellStyle name="Uwaga 2 55 3" xfId="40234"/>
    <cellStyle name="Uwaga 2 55 4" xfId="40235"/>
    <cellStyle name="Uwaga 2 56" xfId="40236"/>
    <cellStyle name="Uwaga 2 56 2" xfId="40237"/>
    <cellStyle name="Uwaga 2 56 3" xfId="40238"/>
    <cellStyle name="Uwaga 2 56 4" xfId="40239"/>
    <cellStyle name="Uwaga 2 57" xfId="40240"/>
    <cellStyle name="Uwaga 2 57 2" xfId="40241"/>
    <cellStyle name="Uwaga 2 57 3" xfId="40242"/>
    <cellStyle name="Uwaga 2 57 4" xfId="40243"/>
    <cellStyle name="Uwaga 2 58" xfId="40244"/>
    <cellStyle name="Uwaga 2 58 2" xfId="40245"/>
    <cellStyle name="Uwaga 2 58 3" xfId="40246"/>
    <cellStyle name="Uwaga 2 58 4" xfId="40247"/>
    <cellStyle name="Uwaga 2 59" xfId="40248"/>
    <cellStyle name="Uwaga 2 59 2" xfId="40249"/>
    <cellStyle name="Uwaga 2 59 3" xfId="40250"/>
    <cellStyle name="Uwaga 2 59 4" xfId="40251"/>
    <cellStyle name="Uwaga 2 6" xfId="40252"/>
    <cellStyle name="Uwaga 2 6 10" xfId="40253"/>
    <cellStyle name="Uwaga 2 6 10 2" xfId="40254"/>
    <cellStyle name="Uwaga 2 6 10 3" xfId="40255"/>
    <cellStyle name="Uwaga 2 6 10 4" xfId="40256"/>
    <cellStyle name="Uwaga 2 6 11" xfId="40257"/>
    <cellStyle name="Uwaga 2 6 11 2" xfId="40258"/>
    <cellStyle name="Uwaga 2 6 11 3" xfId="40259"/>
    <cellStyle name="Uwaga 2 6 11 4" xfId="40260"/>
    <cellStyle name="Uwaga 2 6 12" xfId="40261"/>
    <cellStyle name="Uwaga 2 6 12 2" xfId="40262"/>
    <cellStyle name="Uwaga 2 6 12 3" xfId="40263"/>
    <cellStyle name="Uwaga 2 6 12 4" xfId="40264"/>
    <cellStyle name="Uwaga 2 6 13" xfId="40265"/>
    <cellStyle name="Uwaga 2 6 13 2" xfId="40266"/>
    <cellStyle name="Uwaga 2 6 13 3" xfId="40267"/>
    <cellStyle name="Uwaga 2 6 13 4" xfId="40268"/>
    <cellStyle name="Uwaga 2 6 14" xfId="40269"/>
    <cellStyle name="Uwaga 2 6 14 2" xfId="40270"/>
    <cellStyle name="Uwaga 2 6 14 3" xfId="40271"/>
    <cellStyle name="Uwaga 2 6 14 4" xfId="40272"/>
    <cellStyle name="Uwaga 2 6 15" xfId="40273"/>
    <cellStyle name="Uwaga 2 6 15 2" xfId="40274"/>
    <cellStyle name="Uwaga 2 6 15 3" xfId="40275"/>
    <cellStyle name="Uwaga 2 6 15 4" xfId="40276"/>
    <cellStyle name="Uwaga 2 6 16" xfId="40277"/>
    <cellStyle name="Uwaga 2 6 16 2" xfId="40278"/>
    <cellStyle name="Uwaga 2 6 16 3" xfId="40279"/>
    <cellStyle name="Uwaga 2 6 16 4" xfId="40280"/>
    <cellStyle name="Uwaga 2 6 17" xfId="40281"/>
    <cellStyle name="Uwaga 2 6 17 2" xfId="40282"/>
    <cellStyle name="Uwaga 2 6 17 3" xfId="40283"/>
    <cellStyle name="Uwaga 2 6 17 4" xfId="40284"/>
    <cellStyle name="Uwaga 2 6 18" xfId="40285"/>
    <cellStyle name="Uwaga 2 6 18 2" xfId="40286"/>
    <cellStyle name="Uwaga 2 6 18 3" xfId="40287"/>
    <cellStyle name="Uwaga 2 6 18 4" xfId="40288"/>
    <cellStyle name="Uwaga 2 6 19" xfId="40289"/>
    <cellStyle name="Uwaga 2 6 19 2" xfId="40290"/>
    <cellStyle name="Uwaga 2 6 19 3" xfId="40291"/>
    <cellStyle name="Uwaga 2 6 19 4" xfId="40292"/>
    <cellStyle name="Uwaga 2 6 2" xfId="40293"/>
    <cellStyle name="Uwaga 2 6 2 2" xfId="40294"/>
    <cellStyle name="Uwaga 2 6 2 3" xfId="40295"/>
    <cellStyle name="Uwaga 2 6 2 4" xfId="40296"/>
    <cellStyle name="Uwaga 2 6 20" xfId="40297"/>
    <cellStyle name="Uwaga 2 6 20 2" xfId="40298"/>
    <cellStyle name="Uwaga 2 6 20 3" xfId="40299"/>
    <cellStyle name="Uwaga 2 6 20 4" xfId="40300"/>
    <cellStyle name="Uwaga 2 6 21" xfId="40301"/>
    <cellStyle name="Uwaga 2 6 21 2" xfId="40302"/>
    <cellStyle name="Uwaga 2 6 21 3" xfId="40303"/>
    <cellStyle name="Uwaga 2 6 22" xfId="40304"/>
    <cellStyle name="Uwaga 2 6 22 2" xfId="40305"/>
    <cellStyle name="Uwaga 2 6 22 3" xfId="40306"/>
    <cellStyle name="Uwaga 2 6 23" xfId="40307"/>
    <cellStyle name="Uwaga 2 6 23 2" xfId="40308"/>
    <cellStyle name="Uwaga 2 6 23 3" xfId="40309"/>
    <cellStyle name="Uwaga 2 6 24" xfId="40310"/>
    <cellStyle name="Uwaga 2 6 24 2" xfId="40311"/>
    <cellStyle name="Uwaga 2 6 24 3" xfId="40312"/>
    <cellStyle name="Uwaga 2 6 25" xfId="40313"/>
    <cellStyle name="Uwaga 2 6 25 2" xfId="40314"/>
    <cellStyle name="Uwaga 2 6 25 3" xfId="40315"/>
    <cellStyle name="Uwaga 2 6 26" xfId="40316"/>
    <cellStyle name="Uwaga 2 6 26 2" xfId="40317"/>
    <cellStyle name="Uwaga 2 6 26 3" xfId="40318"/>
    <cellStyle name="Uwaga 2 6 27" xfId="40319"/>
    <cellStyle name="Uwaga 2 6 27 2" xfId="40320"/>
    <cellStyle name="Uwaga 2 6 27 3" xfId="40321"/>
    <cellStyle name="Uwaga 2 6 28" xfId="40322"/>
    <cellStyle name="Uwaga 2 6 28 2" xfId="40323"/>
    <cellStyle name="Uwaga 2 6 28 3" xfId="40324"/>
    <cellStyle name="Uwaga 2 6 29" xfId="40325"/>
    <cellStyle name="Uwaga 2 6 29 2" xfId="40326"/>
    <cellStyle name="Uwaga 2 6 29 3" xfId="40327"/>
    <cellStyle name="Uwaga 2 6 3" xfId="40328"/>
    <cellStyle name="Uwaga 2 6 3 2" xfId="40329"/>
    <cellStyle name="Uwaga 2 6 3 3" xfId="40330"/>
    <cellStyle name="Uwaga 2 6 3 4" xfId="40331"/>
    <cellStyle name="Uwaga 2 6 30" xfId="40332"/>
    <cellStyle name="Uwaga 2 6 30 2" xfId="40333"/>
    <cellStyle name="Uwaga 2 6 30 3" xfId="40334"/>
    <cellStyle name="Uwaga 2 6 31" xfId="40335"/>
    <cellStyle name="Uwaga 2 6 31 2" xfId="40336"/>
    <cellStyle name="Uwaga 2 6 31 3" xfId="40337"/>
    <cellStyle name="Uwaga 2 6 32" xfId="40338"/>
    <cellStyle name="Uwaga 2 6 32 2" xfId="40339"/>
    <cellStyle name="Uwaga 2 6 32 3" xfId="40340"/>
    <cellStyle name="Uwaga 2 6 33" xfId="40341"/>
    <cellStyle name="Uwaga 2 6 33 2" xfId="40342"/>
    <cellStyle name="Uwaga 2 6 33 3" xfId="40343"/>
    <cellStyle name="Uwaga 2 6 34" xfId="40344"/>
    <cellStyle name="Uwaga 2 6 34 2" xfId="40345"/>
    <cellStyle name="Uwaga 2 6 34 3" xfId="40346"/>
    <cellStyle name="Uwaga 2 6 35" xfId="40347"/>
    <cellStyle name="Uwaga 2 6 35 2" xfId="40348"/>
    <cellStyle name="Uwaga 2 6 35 3" xfId="40349"/>
    <cellStyle name="Uwaga 2 6 36" xfId="40350"/>
    <cellStyle name="Uwaga 2 6 36 2" xfId="40351"/>
    <cellStyle name="Uwaga 2 6 36 3" xfId="40352"/>
    <cellStyle name="Uwaga 2 6 37" xfId="40353"/>
    <cellStyle name="Uwaga 2 6 37 2" xfId="40354"/>
    <cellStyle name="Uwaga 2 6 37 3" xfId="40355"/>
    <cellStyle name="Uwaga 2 6 38" xfId="40356"/>
    <cellStyle name="Uwaga 2 6 38 2" xfId="40357"/>
    <cellStyle name="Uwaga 2 6 38 3" xfId="40358"/>
    <cellStyle name="Uwaga 2 6 39" xfId="40359"/>
    <cellStyle name="Uwaga 2 6 39 2" xfId="40360"/>
    <cellStyle name="Uwaga 2 6 39 3" xfId="40361"/>
    <cellStyle name="Uwaga 2 6 4" xfId="40362"/>
    <cellStyle name="Uwaga 2 6 4 2" xfId="40363"/>
    <cellStyle name="Uwaga 2 6 4 3" xfId="40364"/>
    <cellStyle name="Uwaga 2 6 4 4" xfId="40365"/>
    <cellStyle name="Uwaga 2 6 40" xfId="40366"/>
    <cellStyle name="Uwaga 2 6 40 2" xfId="40367"/>
    <cellStyle name="Uwaga 2 6 40 3" xfId="40368"/>
    <cellStyle name="Uwaga 2 6 41" xfId="40369"/>
    <cellStyle name="Uwaga 2 6 41 2" xfId="40370"/>
    <cellStyle name="Uwaga 2 6 41 3" xfId="40371"/>
    <cellStyle name="Uwaga 2 6 42" xfId="40372"/>
    <cellStyle name="Uwaga 2 6 42 2" xfId="40373"/>
    <cellStyle name="Uwaga 2 6 42 3" xfId="40374"/>
    <cellStyle name="Uwaga 2 6 43" xfId="40375"/>
    <cellStyle name="Uwaga 2 6 43 2" xfId="40376"/>
    <cellStyle name="Uwaga 2 6 43 3" xfId="40377"/>
    <cellStyle name="Uwaga 2 6 44" xfId="40378"/>
    <cellStyle name="Uwaga 2 6 44 2" xfId="40379"/>
    <cellStyle name="Uwaga 2 6 44 3" xfId="40380"/>
    <cellStyle name="Uwaga 2 6 45" xfId="40381"/>
    <cellStyle name="Uwaga 2 6 45 2" xfId="40382"/>
    <cellStyle name="Uwaga 2 6 45 3" xfId="40383"/>
    <cellStyle name="Uwaga 2 6 46" xfId="40384"/>
    <cellStyle name="Uwaga 2 6 46 2" xfId="40385"/>
    <cellStyle name="Uwaga 2 6 46 3" xfId="40386"/>
    <cellStyle name="Uwaga 2 6 47" xfId="40387"/>
    <cellStyle name="Uwaga 2 6 47 2" xfId="40388"/>
    <cellStyle name="Uwaga 2 6 47 3" xfId="40389"/>
    <cellStyle name="Uwaga 2 6 48" xfId="40390"/>
    <cellStyle name="Uwaga 2 6 48 2" xfId="40391"/>
    <cellStyle name="Uwaga 2 6 48 3" xfId="40392"/>
    <cellStyle name="Uwaga 2 6 49" xfId="40393"/>
    <cellStyle name="Uwaga 2 6 49 2" xfId="40394"/>
    <cellStyle name="Uwaga 2 6 49 3" xfId="40395"/>
    <cellStyle name="Uwaga 2 6 5" xfId="40396"/>
    <cellStyle name="Uwaga 2 6 5 2" xfId="40397"/>
    <cellStyle name="Uwaga 2 6 5 3" xfId="40398"/>
    <cellStyle name="Uwaga 2 6 5 4" xfId="40399"/>
    <cellStyle name="Uwaga 2 6 50" xfId="40400"/>
    <cellStyle name="Uwaga 2 6 50 2" xfId="40401"/>
    <cellStyle name="Uwaga 2 6 50 3" xfId="40402"/>
    <cellStyle name="Uwaga 2 6 51" xfId="40403"/>
    <cellStyle name="Uwaga 2 6 51 2" xfId="40404"/>
    <cellStyle name="Uwaga 2 6 51 3" xfId="40405"/>
    <cellStyle name="Uwaga 2 6 52" xfId="40406"/>
    <cellStyle name="Uwaga 2 6 52 2" xfId="40407"/>
    <cellStyle name="Uwaga 2 6 52 3" xfId="40408"/>
    <cellStyle name="Uwaga 2 6 53" xfId="40409"/>
    <cellStyle name="Uwaga 2 6 53 2" xfId="40410"/>
    <cellStyle name="Uwaga 2 6 53 3" xfId="40411"/>
    <cellStyle name="Uwaga 2 6 54" xfId="40412"/>
    <cellStyle name="Uwaga 2 6 54 2" xfId="40413"/>
    <cellStyle name="Uwaga 2 6 54 3" xfId="40414"/>
    <cellStyle name="Uwaga 2 6 55" xfId="40415"/>
    <cellStyle name="Uwaga 2 6 55 2" xfId="40416"/>
    <cellStyle name="Uwaga 2 6 55 3" xfId="40417"/>
    <cellStyle name="Uwaga 2 6 56" xfId="40418"/>
    <cellStyle name="Uwaga 2 6 56 2" xfId="40419"/>
    <cellStyle name="Uwaga 2 6 56 3" xfId="40420"/>
    <cellStyle name="Uwaga 2 6 57" xfId="40421"/>
    <cellStyle name="Uwaga 2 6 58" xfId="40422"/>
    <cellStyle name="Uwaga 2 6 6" xfId="40423"/>
    <cellStyle name="Uwaga 2 6 6 2" xfId="40424"/>
    <cellStyle name="Uwaga 2 6 6 3" xfId="40425"/>
    <cellStyle name="Uwaga 2 6 6 4" xfId="40426"/>
    <cellStyle name="Uwaga 2 6 7" xfId="40427"/>
    <cellStyle name="Uwaga 2 6 7 2" xfId="40428"/>
    <cellStyle name="Uwaga 2 6 7 3" xfId="40429"/>
    <cellStyle name="Uwaga 2 6 7 4" xfId="40430"/>
    <cellStyle name="Uwaga 2 6 8" xfId="40431"/>
    <cellStyle name="Uwaga 2 6 8 2" xfId="40432"/>
    <cellStyle name="Uwaga 2 6 8 3" xfId="40433"/>
    <cellStyle name="Uwaga 2 6 8 4" xfId="40434"/>
    <cellStyle name="Uwaga 2 6 9" xfId="40435"/>
    <cellStyle name="Uwaga 2 6 9 2" xfId="40436"/>
    <cellStyle name="Uwaga 2 6 9 3" xfId="40437"/>
    <cellStyle name="Uwaga 2 6 9 4" xfId="40438"/>
    <cellStyle name="Uwaga 2 60" xfId="40439"/>
    <cellStyle name="Uwaga 2 60 2" xfId="40440"/>
    <cellStyle name="Uwaga 2 60 3" xfId="40441"/>
    <cellStyle name="Uwaga 2 60 4" xfId="40442"/>
    <cellStyle name="Uwaga 2 61" xfId="40443"/>
    <cellStyle name="Uwaga 2 61 2" xfId="40444"/>
    <cellStyle name="Uwaga 2 61 3" xfId="40445"/>
    <cellStyle name="Uwaga 2 61 4" xfId="40446"/>
    <cellStyle name="Uwaga 2 62" xfId="40447"/>
    <cellStyle name="Uwaga 2 62 2" xfId="40448"/>
    <cellStyle name="Uwaga 2 62 3" xfId="40449"/>
    <cellStyle name="Uwaga 2 62 4" xfId="40450"/>
    <cellStyle name="Uwaga 2 63" xfId="40451"/>
    <cellStyle name="Uwaga 2 63 2" xfId="40452"/>
    <cellStyle name="Uwaga 2 63 3" xfId="40453"/>
    <cellStyle name="Uwaga 2 63 4" xfId="40454"/>
    <cellStyle name="Uwaga 2 64" xfId="40455"/>
    <cellStyle name="Uwaga 2 64 2" xfId="40456"/>
    <cellStyle name="Uwaga 2 64 3" xfId="40457"/>
    <cellStyle name="Uwaga 2 64 4" xfId="40458"/>
    <cellStyle name="Uwaga 2 65" xfId="40459"/>
    <cellStyle name="Uwaga 2 65 2" xfId="40460"/>
    <cellStyle name="Uwaga 2 65 3" xfId="40461"/>
    <cellStyle name="Uwaga 2 65 4" xfId="40462"/>
    <cellStyle name="Uwaga 2 66" xfId="40463"/>
    <cellStyle name="Uwaga 2 66 2" xfId="40464"/>
    <cellStyle name="Uwaga 2 66 3" xfId="40465"/>
    <cellStyle name="Uwaga 2 66 4" xfId="40466"/>
    <cellStyle name="Uwaga 2 67" xfId="40467"/>
    <cellStyle name="Uwaga 2 67 2" xfId="40468"/>
    <cellStyle name="Uwaga 2 67 3" xfId="40469"/>
    <cellStyle name="Uwaga 2 67 4" xfId="40470"/>
    <cellStyle name="Uwaga 2 68" xfId="40471"/>
    <cellStyle name="Uwaga 2 68 2" xfId="40472"/>
    <cellStyle name="Uwaga 2 68 3" xfId="40473"/>
    <cellStyle name="Uwaga 2 68 4" xfId="40474"/>
    <cellStyle name="Uwaga 2 69" xfId="40475"/>
    <cellStyle name="Uwaga 2 69 2" xfId="40476"/>
    <cellStyle name="Uwaga 2 69 3" xfId="40477"/>
    <cellStyle name="Uwaga 2 69 4" xfId="40478"/>
    <cellStyle name="Uwaga 2 7" xfId="40479"/>
    <cellStyle name="Uwaga 2 7 10" xfId="40480"/>
    <cellStyle name="Uwaga 2 7 10 2" xfId="40481"/>
    <cellStyle name="Uwaga 2 7 10 3" xfId="40482"/>
    <cellStyle name="Uwaga 2 7 10 4" xfId="40483"/>
    <cellStyle name="Uwaga 2 7 11" xfId="40484"/>
    <cellStyle name="Uwaga 2 7 11 2" xfId="40485"/>
    <cellStyle name="Uwaga 2 7 11 3" xfId="40486"/>
    <cellStyle name="Uwaga 2 7 11 4" xfId="40487"/>
    <cellStyle name="Uwaga 2 7 12" xfId="40488"/>
    <cellStyle name="Uwaga 2 7 12 2" xfId="40489"/>
    <cellStyle name="Uwaga 2 7 12 3" xfId="40490"/>
    <cellStyle name="Uwaga 2 7 12 4" xfId="40491"/>
    <cellStyle name="Uwaga 2 7 13" xfId="40492"/>
    <cellStyle name="Uwaga 2 7 13 2" xfId="40493"/>
    <cellStyle name="Uwaga 2 7 13 3" xfId="40494"/>
    <cellStyle name="Uwaga 2 7 13 4" xfId="40495"/>
    <cellStyle name="Uwaga 2 7 14" xfId="40496"/>
    <cellStyle name="Uwaga 2 7 14 2" xfId="40497"/>
    <cellStyle name="Uwaga 2 7 14 3" xfId="40498"/>
    <cellStyle name="Uwaga 2 7 14 4" xfId="40499"/>
    <cellStyle name="Uwaga 2 7 15" xfId="40500"/>
    <cellStyle name="Uwaga 2 7 15 2" xfId="40501"/>
    <cellStyle name="Uwaga 2 7 15 3" xfId="40502"/>
    <cellStyle name="Uwaga 2 7 15 4" xfId="40503"/>
    <cellStyle name="Uwaga 2 7 16" xfId="40504"/>
    <cellStyle name="Uwaga 2 7 16 2" xfId="40505"/>
    <cellStyle name="Uwaga 2 7 16 3" xfId="40506"/>
    <cellStyle name="Uwaga 2 7 16 4" xfId="40507"/>
    <cellStyle name="Uwaga 2 7 17" xfId="40508"/>
    <cellStyle name="Uwaga 2 7 17 2" xfId="40509"/>
    <cellStyle name="Uwaga 2 7 17 3" xfId="40510"/>
    <cellStyle name="Uwaga 2 7 17 4" xfId="40511"/>
    <cellStyle name="Uwaga 2 7 18" xfId="40512"/>
    <cellStyle name="Uwaga 2 7 18 2" xfId="40513"/>
    <cellStyle name="Uwaga 2 7 18 3" xfId="40514"/>
    <cellStyle name="Uwaga 2 7 18 4" xfId="40515"/>
    <cellStyle name="Uwaga 2 7 19" xfId="40516"/>
    <cellStyle name="Uwaga 2 7 19 2" xfId="40517"/>
    <cellStyle name="Uwaga 2 7 19 3" xfId="40518"/>
    <cellStyle name="Uwaga 2 7 19 4" xfId="40519"/>
    <cellStyle name="Uwaga 2 7 2" xfId="40520"/>
    <cellStyle name="Uwaga 2 7 2 2" xfId="40521"/>
    <cellStyle name="Uwaga 2 7 2 3" xfId="40522"/>
    <cellStyle name="Uwaga 2 7 2 4" xfId="40523"/>
    <cellStyle name="Uwaga 2 7 20" xfId="40524"/>
    <cellStyle name="Uwaga 2 7 20 2" xfId="40525"/>
    <cellStyle name="Uwaga 2 7 20 3" xfId="40526"/>
    <cellStyle name="Uwaga 2 7 20 4" xfId="40527"/>
    <cellStyle name="Uwaga 2 7 21" xfId="40528"/>
    <cellStyle name="Uwaga 2 7 21 2" xfId="40529"/>
    <cellStyle name="Uwaga 2 7 21 3" xfId="40530"/>
    <cellStyle name="Uwaga 2 7 22" xfId="40531"/>
    <cellStyle name="Uwaga 2 7 22 2" xfId="40532"/>
    <cellStyle name="Uwaga 2 7 22 3" xfId="40533"/>
    <cellStyle name="Uwaga 2 7 23" xfId="40534"/>
    <cellStyle name="Uwaga 2 7 23 2" xfId="40535"/>
    <cellStyle name="Uwaga 2 7 23 3" xfId="40536"/>
    <cellStyle name="Uwaga 2 7 24" xfId="40537"/>
    <cellStyle name="Uwaga 2 7 24 2" xfId="40538"/>
    <cellStyle name="Uwaga 2 7 24 3" xfId="40539"/>
    <cellStyle name="Uwaga 2 7 25" xfId="40540"/>
    <cellStyle name="Uwaga 2 7 25 2" xfId="40541"/>
    <cellStyle name="Uwaga 2 7 25 3" xfId="40542"/>
    <cellStyle name="Uwaga 2 7 26" xfId="40543"/>
    <cellStyle name="Uwaga 2 7 26 2" xfId="40544"/>
    <cellStyle name="Uwaga 2 7 26 3" xfId="40545"/>
    <cellStyle name="Uwaga 2 7 27" xfId="40546"/>
    <cellStyle name="Uwaga 2 7 27 2" xfId="40547"/>
    <cellStyle name="Uwaga 2 7 27 3" xfId="40548"/>
    <cellStyle name="Uwaga 2 7 28" xfId="40549"/>
    <cellStyle name="Uwaga 2 7 28 2" xfId="40550"/>
    <cellStyle name="Uwaga 2 7 28 3" xfId="40551"/>
    <cellStyle name="Uwaga 2 7 29" xfId="40552"/>
    <cellStyle name="Uwaga 2 7 29 2" xfId="40553"/>
    <cellStyle name="Uwaga 2 7 29 3" xfId="40554"/>
    <cellStyle name="Uwaga 2 7 3" xfId="40555"/>
    <cellStyle name="Uwaga 2 7 3 2" xfId="40556"/>
    <cellStyle name="Uwaga 2 7 3 3" xfId="40557"/>
    <cellStyle name="Uwaga 2 7 3 4" xfId="40558"/>
    <cellStyle name="Uwaga 2 7 30" xfId="40559"/>
    <cellStyle name="Uwaga 2 7 30 2" xfId="40560"/>
    <cellStyle name="Uwaga 2 7 30 3" xfId="40561"/>
    <cellStyle name="Uwaga 2 7 31" xfId="40562"/>
    <cellStyle name="Uwaga 2 7 31 2" xfId="40563"/>
    <cellStyle name="Uwaga 2 7 31 3" xfId="40564"/>
    <cellStyle name="Uwaga 2 7 32" xfId="40565"/>
    <cellStyle name="Uwaga 2 7 32 2" xfId="40566"/>
    <cellStyle name="Uwaga 2 7 32 3" xfId="40567"/>
    <cellStyle name="Uwaga 2 7 33" xfId="40568"/>
    <cellStyle name="Uwaga 2 7 33 2" xfId="40569"/>
    <cellStyle name="Uwaga 2 7 33 3" xfId="40570"/>
    <cellStyle name="Uwaga 2 7 34" xfId="40571"/>
    <cellStyle name="Uwaga 2 7 34 2" xfId="40572"/>
    <cellStyle name="Uwaga 2 7 34 3" xfId="40573"/>
    <cellStyle name="Uwaga 2 7 35" xfId="40574"/>
    <cellStyle name="Uwaga 2 7 35 2" xfId="40575"/>
    <cellStyle name="Uwaga 2 7 35 3" xfId="40576"/>
    <cellStyle name="Uwaga 2 7 36" xfId="40577"/>
    <cellStyle name="Uwaga 2 7 36 2" xfId="40578"/>
    <cellStyle name="Uwaga 2 7 36 3" xfId="40579"/>
    <cellStyle name="Uwaga 2 7 37" xfId="40580"/>
    <cellStyle name="Uwaga 2 7 37 2" xfId="40581"/>
    <cellStyle name="Uwaga 2 7 37 3" xfId="40582"/>
    <cellStyle name="Uwaga 2 7 38" xfId="40583"/>
    <cellStyle name="Uwaga 2 7 38 2" xfId="40584"/>
    <cellStyle name="Uwaga 2 7 38 3" xfId="40585"/>
    <cellStyle name="Uwaga 2 7 39" xfId="40586"/>
    <cellStyle name="Uwaga 2 7 39 2" xfId="40587"/>
    <cellStyle name="Uwaga 2 7 39 3" xfId="40588"/>
    <cellStyle name="Uwaga 2 7 4" xfId="40589"/>
    <cellStyle name="Uwaga 2 7 4 2" xfId="40590"/>
    <cellStyle name="Uwaga 2 7 4 3" xfId="40591"/>
    <cellStyle name="Uwaga 2 7 4 4" xfId="40592"/>
    <cellStyle name="Uwaga 2 7 40" xfId="40593"/>
    <cellStyle name="Uwaga 2 7 40 2" xfId="40594"/>
    <cellStyle name="Uwaga 2 7 40 3" xfId="40595"/>
    <cellStyle name="Uwaga 2 7 41" xfId="40596"/>
    <cellStyle name="Uwaga 2 7 41 2" xfId="40597"/>
    <cellStyle name="Uwaga 2 7 41 3" xfId="40598"/>
    <cellStyle name="Uwaga 2 7 42" xfId="40599"/>
    <cellStyle name="Uwaga 2 7 42 2" xfId="40600"/>
    <cellStyle name="Uwaga 2 7 42 3" xfId="40601"/>
    <cellStyle name="Uwaga 2 7 43" xfId="40602"/>
    <cellStyle name="Uwaga 2 7 43 2" xfId="40603"/>
    <cellStyle name="Uwaga 2 7 43 3" xfId="40604"/>
    <cellStyle name="Uwaga 2 7 44" xfId="40605"/>
    <cellStyle name="Uwaga 2 7 44 2" xfId="40606"/>
    <cellStyle name="Uwaga 2 7 44 3" xfId="40607"/>
    <cellStyle name="Uwaga 2 7 45" xfId="40608"/>
    <cellStyle name="Uwaga 2 7 45 2" xfId="40609"/>
    <cellStyle name="Uwaga 2 7 45 3" xfId="40610"/>
    <cellStyle name="Uwaga 2 7 46" xfId="40611"/>
    <cellStyle name="Uwaga 2 7 46 2" xfId="40612"/>
    <cellStyle name="Uwaga 2 7 46 3" xfId="40613"/>
    <cellStyle name="Uwaga 2 7 47" xfId="40614"/>
    <cellStyle name="Uwaga 2 7 47 2" xfId="40615"/>
    <cellStyle name="Uwaga 2 7 47 3" xfId="40616"/>
    <cellStyle name="Uwaga 2 7 48" xfId="40617"/>
    <cellStyle name="Uwaga 2 7 48 2" xfId="40618"/>
    <cellStyle name="Uwaga 2 7 48 3" xfId="40619"/>
    <cellStyle name="Uwaga 2 7 49" xfId="40620"/>
    <cellStyle name="Uwaga 2 7 49 2" xfId="40621"/>
    <cellStyle name="Uwaga 2 7 49 3" xfId="40622"/>
    <cellStyle name="Uwaga 2 7 5" xfId="40623"/>
    <cellStyle name="Uwaga 2 7 5 2" xfId="40624"/>
    <cellStyle name="Uwaga 2 7 5 3" xfId="40625"/>
    <cellStyle name="Uwaga 2 7 5 4" xfId="40626"/>
    <cellStyle name="Uwaga 2 7 50" xfId="40627"/>
    <cellStyle name="Uwaga 2 7 50 2" xfId="40628"/>
    <cellStyle name="Uwaga 2 7 50 3" xfId="40629"/>
    <cellStyle name="Uwaga 2 7 51" xfId="40630"/>
    <cellStyle name="Uwaga 2 7 51 2" xfId="40631"/>
    <cellStyle name="Uwaga 2 7 51 3" xfId="40632"/>
    <cellStyle name="Uwaga 2 7 52" xfId="40633"/>
    <cellStyle name="Uwaga 2 7 52 2" xfId="40634"/>
    <cellStyle name="Uwaga 2 7 52 3" xfId="40635"/>
    <cellStyle name="Uwaga 2 7 53" xfId="40636"/>
    <cellStyle name="Uwaga 2 7 53 2" xfId="40637"/>
    <cellStyle name="Uwaga 2 7 53 3" xfId="40638"/>
    <cellStyle name="Uwaga 2 7 54" xfId="40639"/>
    <cellStyle name="Uwaga 2 7 54 2" xfId="40640"/>
    <cellStyle name="Uwaga 2 7 54 3" xfId="40641"/>
    <cellStyle name="Uwaga 2 7 55" xfId="40642"/>
    <cellStyle name="Uwaga 2 7 55 2" xfId="40643"/>
    <cellStyle name="Uwaga 2 7 55 3" xfId="40644"/>
    <cellStyle name="Uwaga 2 7 56" xfId="40645"/>
    <cellStyle name="Uwaga 2 7 56 2" xfId="40646"/>
    <cellStyle name="Uwaga 2 7 56 3" xfId="40647"/>
    <cellStyle name="Uwaga 2 7 57" xfId="40648"/>
    <cellStyle name="Uwaga 2 7 58" xfId="40649"/>
    <cellStyle name="Uwaga 2 7 6" xfId="40650"/>
    <cellStyle name="Uwaga 2 7 6 2" xfId="40651"/>
    <cellStyle name="Uwaga 2 7 6 3" xfId="40652"/>
    <cellStyle name="Uwaga 2 7 6 4" xfId="40653"/>
    <cellStyle name="Uwaga 2 7 7" xfId="40654"/>
    <cellStyle name="Uwaga 2 7 7 2" xfId="40655"/>
    <cellStyle name="Uwaga 2 7 7 3" xfId="40656"/>
    <cellStyle name="Uwaga 2 7 7 4" xfId="40657"/>
    <cellStyle name="Uwaga 2 7 8" xfId="40658"/>
    <cellStyle name="Uwaga 2 7 8 2" xfId="40659"/>
    <cellStyle name="Uwaga 2 7 8 3" xfId="40660"/>
    <cellStyle name="Uwaga 2 7 8 4" xfId="40661"/>
    <cellStyle name="Uwaga 2 7 9" xfId="40662"/>
    <cellStyle name="Uwaga 2 7 9 2" xfId="40663"/>
    <cellStyle name="Uwaga 2 7 9 3" xfId="40664"/>
    <cellStyle name="Uwaga 2 7 9 4" xfId="40665"/>
    <cellStyle name="Uwaga 2 70" xfId="40666"/>
    <cellStyle name="Uwaga 2 70 2" xfId="40667"/>
    <cellStyle name="Uwaga 2 70 3" xfId="40668"/>
    <cellStyle name="Uwaga 2 71" xfId="40669"/>
    <cellStyle name="Uwaga 2 71 2" xfId="40670"/>
    <cellStyle name="Uwaga 2 71 3" xfId="40671"/>
    <cellStyle name="Uwaga 2 72" xfId="40672"/>
    <cellStyle name="Uwaga 2 72 2" xfId="40673"/>
    <cellStyle name="Uwaga 2 72 3" xfId="40674"/>
    <cellStyle name="Uwaga 2 73" xfId="40675"/>
    <cellStyle name="Uwaga 2 73 2" xfId="40676"/>
    <cellStyle name="Uwaga 2 73 3" xfId="40677"/>
    <cellStyle name="Uwaga 2 74" xfId="40678"/>
    <cellStyle name="Uwaga 2 74 2" xfId="40679"/>
    <cellStyle name="Uwaga 2 74 3" xfId="40680"/>
    <cellStyle name="Uwaga 2 75" xfId="40681"/>
    <cellStyle name="Uwaga 2 75 2" xfId="40682"/>
    <cellStyle name="Uwaga 2 75 3" xfId="40683"/>
    <cellStyle name="Uwaga 2 76" xfId="40684"/>
    <cellStyle name="Uwaga 2 76 2" xfId="40685"/>
    <cellStyle name="Uwaga 2 76 3" xfId="40686"/>
    <cellStyle name="Uwaga 2 77" xfId="40687"/>
    <cellStyle name="Uwaga 2 77 2" xfId="40688"/>
    <cellStyle name="Uwaga 2 77 3" xfId="40689"/>
    <cellStyle name="Uwaga 2 78" xfId="40690"/>
    <cellStyle name="Uwaga 2 78 2" xfId="40691"/>
    <cellStyle name="Uwaga 2 78 3" xfId="40692"/>
    <cellStyle name="Uwaga 2 79" xfId="40693"/>
    <cellStyle name="Uwaga 2 79 2" xfId="40694"/>
    <cellStyle name="Uwaga 2 79 3" xfId="40695"/>
    <cellStyle name="Uwaga 2 8" xfId="40696"/>
    <cellStyle name="Uwaga 2 8 10" xfId="40697"/>
    <cellStyle name="Uwaga 2 8 10 2" xfId="40698"/>
    <cellStyle name="Uwaga 2 8 10 3" xfId="40699"/>
    <cellStyle name="Uwaga 2 8 10 4" xfId="40700"/>
    <cellStyle name="Uwaga 2 8 11" xfId="40701"/>
    <cellStyle name="Uwaga 2 8 11 2" xfId="40702"/>
    <cellStyle name="Uwaga 2 8 11 3" xfId="40703"/>
    <cellStyle name="Uwaga 2 8 11 4" xfId="40704"/>
    <cellStyle name="Uwaga 2 8 12" xfId="40705"/>
    <cellStyle name="Uwaga 2 8 12 2" xfId="40706"/>
    <cellStyle name="Uwaga 2 8 12 3" xfId="40707"/>
    <cellStyle name="Uwaga 2 8 12 4" xfId="40708"/>
    <cellStyle name="Uwaga 2 8 13" xfId="40709"/>
    <cellStyle name="Uwaga 2 8 13 2" xfId="40710"/>
    <cellStyle name="Uwaga 2 8 13 3" xfId="40711"/>
    <cellStyle name="Uwaga 2 8 13 4" xfId="40712"/>
    <cellStyle name="Uwaga 2 8 14" xfId="40713"/>
    <cellStyle name="Uwaga 2 8 14 2" xfId="40714"/>
    <cellStyle name="Uwaga 2 8 14 3" xfId="40715"/>
    <cellStyle name="Uwaga 2 8 14 4" xfId="40716"/>
    <cellStyle name="Uwaga 2 8 15" xfId="40717"/>
    <cellStyle name="Uwaga 2 8 15 2" xfId="40718"/>
    <cellStyle name="Uwaga 2 8 15 3" xfId="40719"/>
    <cellStyle name="Uwaga 2 8 15 4" xfId="40720"/>
    <cellStyle name="Uwaga 2 8 16" xfId="40721"/>
    <cellStyle name="Uwaga 2 8 16 2" xfId="40722"/>
    <cellStyle name="Uwaga 2 8 16 3" xfId="40723"/>
    <cellStyle name="Uwaga 2 8 16 4" xfId="40724"/>
    <cellStyle name="Uwaga 2 8 17" xfId="40725"/>
    <cellStyle name="Uwaga 2 8 17 2" xfId="40726"/>
    <cellStyle name="Uwaga 2 8 17 3" xfId="40727"/>
    <cellStyle name="Uwaga 2 8 17 4" xfId="40728"/>
    <cellStyle name="Uwaga 2 8 18" xfId="40729"/>
    <cellStyle name="Uwaga 2 8 18 2" xfId="40730"/>
    <cellStyle name="Uwaga 2 8 18 3" xfId="40731"/>
    <cellStyle name="Uwaga 2 8 18 4" xfId="40732"/>
    <cellStyle name="Uwaga 2 8 19" xfId="40733"/>
    <cellStyle name="Uwaga 2 8 19 2" xfId="40734"/>
    <cellStyle name="Uwaga 2 8 19 3" xfId="40735"/>
    <cellStyle name="Uwaga 2 8 19 4" xfId="40736"/>
    <cellStyle name="Uwaga 2 8 2" xfId="40737"/>
    <cellStyle name="Uwaga 2 8 2 2" xfId="40738"/>
    <cellStyle name="Uwaga 2 8 2 3" xfId="40739"/>
    <cellStyle name="Uwaga 2 8 2 4" xfId="40740"/>
    <cellStyle name="Uwaga 2 8 20" xfId="40741"/>
    <cellStyle name="Uwaga 2 8 20 2" xfId="40742"/>
    <cellStyle name="Uwaga 2 8 20 3" xfId="40743"/>
    <cellStyle name="Uwaga 2 8 20 4" xfId="40744"/>
    <cellStyle name="Uwaga 2 8 21" xfId="40745"/>
    <cellStyle name="Uwaga 2 8 21 2" xfId="40746"/>
    <cellStyle name="Uwaga 2 8 21 3" xfId="40747"/>
    <cellStyle name="Uwaga 2 8 22" xfId="40748"/>
    <cellStyle name="Uwaga 2 8 22 2" xfId="40749"/>
    <cellStyle name="Uwaga 2 8 22 3" xfId="40750"/>
    <cellStyle name="Uwaga 2 8 23" xfId="40751"/>
    <cellStyle name="Uwaga 2 8 23 2" xfId="40752"/>
    <cellStyle name="Uwaga 2 8 23 3" xfId="40753"/>
    <cellStyle name="Uwaga 2 8 24" xfId="40754"/>
    <cellStyle name="Uwaga 2 8 24 2" xfId="40755"/>
    <cellStyle name="Uwaga 2 8 24 3" xfId="40756"/>
    <cellStyle name="Uwaga 2 8 25" xfId="40757"/>
    <cellStyle name="Uwaga 2 8 25 2" xfId="40758"/>
    <cellStyle name="Uwaga 2 8 25 3" xfId="40759"/>
    <cellStyle name="Uwaga 2 8 26" xfId="40760"/>
    <cellStyle name="Uwaga 2 8 26 2" xfId="40761"/>
    <cellStyle name="Uwaga 2 8 26 3" xfId="40762"/>
    <cellStyle name="Uwaga 2 8 27" xfId="40763"/>
    <cellStyle name="Uwaga 2 8 27 2" xfId="40764"/>
    <cellStyle name="Uwaga 2 8 27 3" xfId="40765"/>
    <cellStyle name="Uwaga 2 8 28" xfId="40766"/>
    <cellStyle name="Uwaga 2 8 28 2" xfId="40767"/>
    <cellStyle name="Uwaga 2 8 28 3" xfId="40768"/>
    <cellStyle name="Uwaga 2 8 29" xfId="40769"/>
    <cellStyle name="Uwaga 2 8 29 2" xfId="40770"/>
    <cellStyle name="Uwaga 2 8 29 3" xfId="40771"/>
    <cellStyle name="Uwaga 2 8 3" xfId="40772"/>
    <cellStyle name="Uwaga 2 8 3 2" xfId="40773"/>
    <cellStyle name="Uwaga 2 8 3 3" xfId="40774"/>
    <cellStyle name="Uwaga 2 8 3 4" xfId="40775"/>
    <cellStyle name="Uwaga 2 8 30" xfId="40776"/>
    <cellStyle name="Uwaga 2 8 30 2" xfId="40777"/>
    <cellStyle name="Uwaga 2 8 30 3" xfId="40778"/>
    <cellStyle name="Uwaga 2 8 31" xfId="40779"/>
    <cellStyle name="Uwaga 2 8 31 2" xfId="40780"/>
    <cellStyle name="Uwaga 2 8 31 3" xfId="40781"/>
    <cellStyle name="Uwaga 2 8 32" xfId="40782"/>
    <cellStyle name="Uwaga 2 8 32 2" xfId="40783"/>
    <cellStyle name="Uwaga 2 8 32 3" xfId="40784"/>
    <cellStyle name="Uwaga 2 8 33" xfId="40785"/>
    <cellStyle name="Uwaga 2 8 33 2" xfId="40786"/>
    <cellStyle name="Uwaga 2 8 33 3" xfId="40787"/>
    <cellStyle name="Uwaga 2 8 34" xfId="40788"/>
    <cellStyle name="Uwaga 2 8 34 2" xfId="40789"/>
    <cellStyle name="Uwaga 2 8 34 3" xfId="40790"/>
    <cellStyle name="Uwaga 2 8 35" xfId="40791"/>
    <cellStyle name="Uwaga 2 8 35 2" xfId="40792"/>
    <cellStyle name="Uwaga 2 8 35 3" xfId="40793"/>
    <cellStyle name="Uwaga 2 8 36" xfId="40794"/>
    <cellStyle name="Uwaga 2 8 36 2" xfId="40795"/>
    <cellStyle name="Uwaga 2 8 36 3" xfId="40796"/>
    <cellStyle name="Uwaga 2 8 37" xfId="40797"/>
    <cellStyle name="Uwaga 2 8 37 2" xfId="40798"/>
    <cellStyle name="Uwaga 2 8 37 3" xfId="40799"/>
    <cellStyle name="Uwaga 2 8 38" xfId="40800"/>
    <cellStyle name="Uwaga 2 8 38 2" xfId="40801"/>
    <cellStyle name="Uwaga 2 8 38 3" xfId="40802"/>
    <cellStyle name="Uwaga 2 8 39" xfId="40803"/>
    <cellStyle name="Uwaga 2 8 39 2" xfId="40804"/>
    <cellStyle name="Uwaga 2 8 39 3" xfId="40805"/>
    <cellStyle name="Uwaga 2 8 4" xfId="40806"/>
    <cellStyle name="Uwaga 2 8 4 2" xfId="40807"/>
    <cellStyle name="Uwaga 2 8 4 3" xfId="40808"/>
    <cellStyle name="Uwaga 2 8 4 4" xfId="40809"/>
    <cellStyle name="Uwaga 2 8 40" xfId="40810"/>
    <cellStyle name="Uwaga 2 8 40 2" xfId="40811"/>
    <cellStyle name="Uwaga 2 8 40 3" xfId="40812"/>
    <cellStyle name="Uwaga 2 8 41" xfId="40813"/>
    <cellStyle name="Uwaga 2 8 41 2" xfId="40814"/>
    <cellStyle name="Uwaga 2 8 41 3" xfId="40815"/>
    <cellStyle name="Uwaga 2 8 42" xfId="40816"/>
    <cellStyle name="Uwaga 2 8 42 2" xfId="40817"/>
    <cellStyle name="Uwaga 2 8 42 3" xfId="40818"/>
    <cellStyle name="Uwaga 2 8 43" xfId="40819"/>
    <cellStyle name="Uwaga 2 8 43 2" xfId="40820"/>
    <cellStyle name="Uwaga 2 8 43 3" xfId="40821"/>
    <cellStyle name="Uwaga 2 8 44" xfId="40822"/>
    <cellStyle name="Uwaga 2 8 44 2" xfId="40823"/>
    <cellStyle name="Uwaga 2 8 44 3" xfId="40824"/>
    <cellStyle name="Uwaga 2 8 45" xfId="40825"/>
    <cellStyle name="Uwaga 2 8 45 2" xfId="40826"/>
    <cellStyle name="Uwaga 2 8 45 3" xfId="40827"/>
    <cellStyle name="Uwaga 2 8 46" xfId="40828"/>
    <cellStyle name="Uwaga 2 8 46 2" xfId="40829"/>
    <cellStyle name="Uwaga 2 8 46 3" xfId="40830"/>
    <cellStyle name="Uwaga 2 8 47" xfId="40831"/>
    <cellStyle name="Uwaga 2 8 47 2" xfId="40832"/>
    <cellStyle name="Uwaga 2 8 47 3" xfId="40833"/>
    <cellStyle name="Uwaga 2 8 48" xfId="40834"/>
    <cellStyle name="Uwaga 2 8 48 2" xfId="40835"/>
    <cellStyle name="Uwaga 2 8 48 3" xfId="40836"/>
    <cellStyle name="Uwaga 2 8 49" xfId="40837"/>
    <cellStyle name="Uwaga 2 8 49 2" xfId="40838"/>
    <cellStyle name="Uwaga 2 8 49 3" xfId="40839"/>
    <cellStyle name="Uwaga 2 8 5" xfId="40840"/>
    <cellStyle name="Uwaga 2 8 5 2" xfId="40841"/>
    <cellStyle name="Uwaga 2 8 5 3" xfId="40842"/>
    <cellStyle name="Uwaga 2 8 5 4" xfId="40843"/>
    <cellStyle name="Uwaga 2 8 50" xfId="40844"/>
    <cellStyle name="Uwaga 2 8 50 2" xfId="40845"/>
    <cellStyle name="Uwaga 2 8 50 3" xfId="40846"/>
    <cellStyle name="Uwaga 2 8 51" xfId="40847"/>
    <cellStyle name="Uwaga 2 8 51 2" xfId="40848"/>
    <cellStyle name="Uwaga 2 8 51 3" xfId="40849"/>
    <cellStyle name="Uwaga 2 8 52" xfId="40850"/>
    <cellStyle name="Uwaga 2 8 52 2" xfId="40851"/>
    <cellStyle name="Uwaga 2 8 52 3" xfId="40852"/>
    <cellStyle name="Uwaga 2 8 53" xfId="40853"/>
    <cellStyle name="Uwaga 2 8 53 2" xfId="40854"/>
    <cellStyle name="Uwaga 2 8 53 3" xfId="40855"/>
    <cellStyle name="Uwaga 2 8 54" xfId="40856"/>
    <cellStyle name="Uwaga 2 8 54 2" xfId="40857"/>
    <cellStyle name="Uwaga 2 8 54 3" xfId="40858"/>
    <cellStyle name="Uwaga 2 8 55" xfId="40859"/>
    <cellStyle name="Uwaga 2 8 55 2" xfId="40860"/>
    <cellStyle name="Uwaga 2 8 55 3" xfId="40861"/>
    <cellStyle name="Uwaga 2 8 56" xfId="40862"/>
    <cellStyle name="Uwaga 2 8 56 2" xfId="40863"/>
    <cellStyle name="Uwaga 2 8 56 3" xfId="40864"/>
    <cellStyle name="Uwaga 2 8 57" xfId="40865"/>
    <cellStyle name="Uwaga 2 8 58" xfId="40866"/>
    <cellStyle name="Uwaga 2 8 6" xfId="40867"/>
    <cellStyle name="Uwaga 2 8 6 2" xfId="40868"/>
    <cellStyle name="Uwaga 2 8 6 3" xfId="40869"/>
    <cellStyle name="Uwaga 2 8 6 4" xfId="40870"/>
    <cellStyle name="Uwaga 2 8 7" xfId="40871"/>
    <cellStyle name="Uwaga 2 8 7 2" xfId="40872"/>
    <cellStyle name="Uwaga 2 8 7 3" xfId="40873"/>
    <cellStyle name="Uwaga 2 8 7 4" xfId="40874"/>
    <cellStyle name="Uwaga 2 8 8" xfId="40875"/>
    <cellStyle name="Uwaga 2 8 8 2" xfId="40876"/>
    <cellStyle name="Uwaga 2 8 8 3" xfId="40877"/>
    <cellStyle name="Uwaga 2 8 8 4" xfId="40878"/>
    <cellStyle name="Uwaga 2 8 9" xfId="40879"/>
    <cellStyle name="Uwaga 2 8 9 2" xfId="40880"/>
    <cellStyle name="Uwaga 2 8 9 3" xfId="40881"/>
    <cellStyle name="Uwaga 2 8 9 4" xfId="40882"/>
    <cellStyle name="Uwaga 2 80" xfId="40883"/>
    <cellStyle name="Uwaga 2 80 2" xfId="40884"/>
    <cellStyle name="Uwaga 2 80 3" xfId="40885"/>
    <cellStyle name="Uwaga 2 81" xfId="40886"/>
    <cellStyle name="Uwaga 2 81 2" xfId="40887"/>
    <cellStyle name="Uwaga 2 81 3" xfId="40888"/>
    <cellStyle name="Uwaga 2 82" xfId="40889"/>
    <cellStyle name="Uwaga 2 82 2" xfId="40890"/>
    <cellStyle name="Uwaga 2 82 3" xfId="40891"/>
    <cellStyle name="Uwaga 2 83" xfId="40892"/>
    <cellStyle name="Uwaga 2 83 2" xfId="40893"/>
    <cellStyle name="Uwaga 2 83 3" xfId="40894"/>
    <cellStyle name="Uwaga 2 84" xfId="40895"/>
    <cellStyle name="Uwaga 2 84 2" xfId="40896"/>
    <cellStyle name="Uwaga 2 84 3" xfId="40897"/>
    <cellStyle name="Uwaga 2 85" xfId="40898"/>
    <cellStyle name="Uwaga 2 85 2" xfId="40899"/>
    <cellStyle name="Uwaga 2 85 3" xfId="40900"/>
    <cellStyle name="Uwaga 2 86" xfId="40901"/>
    <cellStyle name="Uwaga 2 86 2" xfId="40902"/>
    <cellStyle name="Uwaga 2 86 3" xfId="40903"/>
    <cellStyle name="Uwaga 2 87" xfId="40904"/>
    <cellStyle name="Uwaga 2 87 2" xfId="40905"/>
    <cellStyle name="Uwaga 2 87 3" xfId="40906"/>
    <cellStyle name="Uwaga 2 88" xfId="40907"/>
    <cellStyle name="Uwaga 2 88 2" xfId="40908"/>
    <cellStyle name="Uwaga 2 88 3" xfId="40909"/>
    <cellStyle name="Uwaga 2 89" xfId="40910"/>
    <cellStyle name="Uwaga 2 89 2" xfId="40911"/>
    <cellStyle name="Uwaga 2 89 3" xfId="40912"/>
    <cellStyle name="Uwaga 2 9" xfId="40913"/>
    <cellStyle name="Uwaga 2 9 10" xfId="40914"/>
    <cellStyle name="Uwaga 2 9 10 2" xfId="40915"/>
    <cellStyle name="Uwaga 2 9 10 3" xfId="40916"/>
    <cellStyle name="Uwaga 2 9 10 4" xfId="40917"/>
    <cellStyle name="Uwaga 2 9 11" xfId="40918"/>
    <cellStyle name="Uwaga 2 9 11 2" xfId="40919"/>
    <cellStyle name="Uwaga 2 9 11 3" xfId="40920"/>
    <cellStyle name="Uwaga 2 9 11 4" xfId="40921"/>
    <cellStyle name="Uwaga 2 9 12" xfId="40922"/>
    <cellStyle name="Uwaga 2 9 12 2" xfId="40923"/>
    <cellStyle name="Uwaga 2 9 12 3" xfId="40924"/>
    <cellStyle name="Uwaga 2 9 12 4" xfId="40925"/>
    <cellStyle name="Uwaga 2 9 13" xfId="40926"/>
    <cellStyle name="Uwaga 2 9 13 2" xfId="40927"/>
    <cellStyle name="Uwaga 2 9 13 3" xfId="40928"/>
    <cellStyle name="Uwaga 2 9 13 4" xfId="40929"/>
    <cellStyle name="Uwaga 2 9 14" xfId="40930"/>
    <cellStyle name="Uwaga 2 9 14 2" xfId="40931"/>
    <cellStyle name="Uwaga 2 9 14 3" xfId="40932"/>
    <cellStyle name="Uwaga 2 9 14 4" xfId="40933"/>
    <cellStyle name="Uwaga 2 9 15" xfId="40934"/>
    <cellStyle name="Uwaga 2 9 15 2" xfId="40935"/>
    <cellStyle name="Uwaga 2 9 15 3" xfId="40936"/>
    <cellStyle name="Uwaga 2 9 15 4" xfId="40937"/>
    <cellStyle name="Uwaga 2 9 16" xfId="40938"/>
    <cellStyle name="Uwaga 2 9 16 2" xfId="40939"/>
    <cellStyle name="Uwaga 2 9 16 3" xfId="40940"/>
    <cellStyle name="Uwaga 2 9 16 4" xfId="40941"/>
    <cellStyle name="Uwaga 2 9 17" xfId="40942"/>
    <cellStyle name="Uwaga 2 9 17 2" xfId="40943"/>
    <cellStyle name="Uwaga 2 9 17 3" xfId="40944"/>
    <cellStyle name="Uwaga 2 9 17 4" xfId="40945"/>
    <cellStyle name="Uwaga 2 9 18" xfId="40946"/>
    <cellStyle name="Uwaga 2 9 18 2" xfId="40947"/>
    <cellStyle name="Uwaga 2 9 18 3" xfId="40948"/>
    <cellStyle name="Uwaga 2 9 18 4" xfId="40949"/>
    <cellStyle name="Uwaga 2 9 19" xfId="40950"/>
    <cellStyle name="Uwaga 2 9 19 2" xfId="40951"/>
    <cellStyle name="Uwaga 2 9 19 3" xfId="40952"/>
    <cellStyle name="Uwaga 2 9 19 4" xfId="40953"/>
    <cellStyle name="Uwaga 2 9 2" xfId="40954"/>
    <cellStyle name="Uwaga 2 9 2 2" xfId="40955"/>
    <cellStyle name="Uwaga 2 9 2 3" xfId="40956"/>
    <cellStyle name="Uwaga 2 9 2 4" xfId="40957"/>
    <cellStyle name="Uwaga 2 9 20" xfId="40958"/>
    <cellStyle name="Uwaga 2 9 20 2" xfId="40959"/>
    <cellStyle name="Uwaga 2 9 20 3" xfId="40960"/>
    <cellStyle name="Uwaga 2 9 20 4" xfId="40961"/>
    <cellStyle name="Uwaga 2 9 21" xfId="40962"/>
    <cellStyle name="Uwaga 2 9 21 2" xfId="40963"/>
    <cellStyle name="Uwaga 2 9 21 3" xfId="40964"/>
    <cellStyle name="Uwaga 2 9 22" xfId="40965"/>
    <cellStyle name="Uwaga 2 9 22 2" xfId="40966"/>
    <cellStyle name="Uwaga 2 9 22 3" xfId="40967"/>
    <cellStyle name="Uwaga 2 9 23" xfId="40968"/>
    <cellStyle name="Uwaga 2 9 23 2" xfId="40969"/>
    <cellStyle name="Uwaga 2 9 23 3" xfId="40970"/>
    <cellStyle name="Uwaga 2 9 24" xfId="40971"/>
    <cellStyle name="Uwaga 2 9 24 2" xfId="40972"/>
    <cellStyle name="Uwaga 2 9 24 3" xfId="40973"/>
    <cellStyle name="Uwaga 2 9 25" xfId="40974"/>
    <cellStyle name="Uwaga 2 9 25 2" xfId="40975"/>
    <cellStyle name="Uwaga 2 9 25 3" xfId="40976"/>
    <cellStyle name="Uwaga 2 9 26" xfId="40977"/>
    <cellStyle name="Uwaga 2 9 26 2" xfId="40978"/>
    <cellStyle name="Uwaga 2 9 26 3" xfId="40979"/>
    <cellStyle name="Uwaga 2 9 27" xfId="40980"/>
    <cellStyle name="Uwaga 2 9 27 2" xfId="40981"/>
    <cellStyle name="Uwaga 2 9 27 3" xfId="40982"/>
    <cellStyle name="Uwaga 2 9 28" xfId="40983"/>
    <cellStyle name="Uwaga 2 9 28 2" xfId="40984"/>
    <cellStyle name="Uwaga 2 9 28 3" xfId="40985"/>
    <cellStyle name="Uwaga 2 9 29" xfId="40986"/>
    <cellStyle name="Uwaga 2 9 29 2" xfId="40987"/>
    <cellStyle name="Uwaga 2 9 29 3" xfId="40988"/>
    <cellStyle name="Uwaga 2 9 3" xfId="40989"/>
    <cellStyle name="Uwaga 2 9 3 2" xfId="40990"/>
    <cellStyle name="Uwaga 2 9 3 3" xfId="40991"/>
    <cellStyle name="Uwaga 2 9 3 4" xfId="40992"/>
    <cellStyle name="Uwaga 2 9 30" xfId="40993"/>
    <cellStyle name="Uwaga 2 9 30 2" xfId="40994"/>
    <cellStyle name="Uwaga 2 9 30 3" xfId="40995"/>
    <cellStyle name="Uwaga 2 9 31" xfId="40996"/>
    <cellStyle name="Uwaga 2 9 31 2" xfId="40997"/>
    <cellStyle name="Uwaga 2 9 31 3" xfId="40998"/>
    <cellStyle name="Uwaga 2 9 32" xfId="40999"/>
    <cellStyle name="Uwaga 2 9 32 2" xfId="41000"/>
    <cellStyle name="Uwaga 2 9 32 3" xfId="41001"/>
    <cellStyle name="Uwaga 2 9 33" xfId="41002"/>
    <cellStyle name="Uwaga 2 9 33 2" xfId="41003"/>
    <cellStyle name="Uwaga 2 9 33 3" xfId="41004"/>
    <cellStyle name="Uwaga 2 9 34" xfId="41005"/>
    <cellStyle name="Uwaga 2 9 34 2" xfId="41006"/>
    <cellStyle name="Uwaga 2 9 34 3" xfId="41007"/>
    <cellStyle name="Uwaga 2 9 35" xfId="41008"/>
    <cellStyle name="Uwaga 2 9 35 2" xfId="41009"/>
    <cellStyle name="Uwaga 2 9 35 3" xfId="41010"/>
    <cellStyle name="Uwaga 2 9 36" xfId="41011"/>
    <cellStyle name="Uwaga 2 9 36 2" xfId="41012"/>
    <cellStyle name="Uwaga 2 9 36 3" xfId="41013"/>
    <cellStyle name="Uwaga 2 9 37" xfId="41014"/>
    <cellStyle name="Uwaga 2 9 37 2" xfId="41015"/>
    <cellStyle name="Uwaga 2 9 37 3" xfId="41016"/>
    <cellStyle name="Uwaga 2 9 38" xfId="41017"/>
    <cellStyle name="Uwaga 2 9 38 2" xfId="41018"/>
    <cellStyle name="Uwaga 2 9 38 3" xfId="41019"/>
    <cellStyle name="Uwaga 2 9 39" xfId="41020"/>
    <cellStyle name="Uwaga 2 9 39 2" xfId="41021"/>
    <cellStyle name="Uwaga 2 9 39 3" xfId="41022"/>
    <cellStyle name="Uwaga 2 9 4" xfId="41023"/>
    <cellStyle name="Uwaga 2 9 4 2" xfId="41024"/>
    <cellStyle name="Uwaga 2 9 4 3" xfId="41025"/>
    <cellStyle name="Uwaga 2 9 4 4" xfId="41026"/>
    <cellStyle name="Uwaga 2 9 40" xfId="41027"/>
    <cellStyle name="Uwaga 2 9 40 2" xfId="41028"/>
    <cellStyle name="Uwaga 2 9 40 3" xfId="41029"/>
    <cellStyle name="Uwaga 2 9 41" xfId="41030"/>
    <cellStyle name="Uwaga 2 9 41 2" xfId="41031"/>
    <cellStyle name="Uwaga 2 9 41 3" xfId="41032"/>
    <cellStyle name="Uwaga 2 9 42" xfId="41033"/>
    <cellStyle name="Uwaga 2 9 42 2" xfId="41034"/>
    <cellStyle name="Uwaga 2 9 42 3" xfId="41035"/>
    <cellStyle name="Uwaga 2 9 43" xfId="41036"/>
    <cellStyle name="Uwaga 2 9 43 2" xfId="41037"/>
    <cellStyle name="Uwaga 2 9 43 3" xfId="41038"/>
    <cellStyle name="Uwaga 2 9 44" xfId="41039"/>
    <cellStyle name="Uwaga 2 9 44 2" xfId="41040"/>
    <cellStyle name="Uwaga 2 9 44 3" xfId="41041"/>
    <cellStyle name="Uwaga 2 9 45" xfId="41042"/>
    <cellStyle name="Uwaga 2 9 45 2" xfId="41043"/>
    <cellStyle name="Uwaga 2 9 45 3" xfId="41044"/>
    <cellStyle name="Uwaga 2 9 46" xfId="41045"/>
    <cellStyle name="Uwaga 2 9 46 2" xfId="41046"/>
    <cellStyle name="Uwaga 2 9 46 3" xfId="41047"/>
    <cellStyle name="Uwaga 2 9 47" xfId="41048"/>
    <cellStyle name="Uwaga 2 9 47 2" xfId="41049"/>
    <cellStyle name="Uwaga 2 9 47 3" xfId="41050"/>
    <cellStyle name="Uwaga 2 9 48" xfId="41051"/>
    <cellStyle name="Uwaga 2 9 48 2" xfId="41052"/>
    <cellStyle name="Uwaga 2 9 48 3" xfId="41053"/>
    <cellStyle name="Uwaga 2 9 49" xfId="41054"/>
    <cellStyle name="Uwaga 2 9 49 2" xfId="41055"/>
    <cellStyle name="Uwaga 2 9 49 3" xfId="41056"/>
    <cellStyle name="Uwaga 2 9 5" xfId="41057"/>
    <cellStyle name="Uwaga 2 9 5 2" xfId="41058"/>
    <cellStyle name="Uwaga 2 9 5 3" xfId="41059"/>
    <cellStyle name="Uwaga 2 9 5 4" xfId="41060"/>
    <cellStyle name="Uwaga 2 9 50" xfId="41061"/>
    <cellStyle name="Uwaga 2 9 50 2" xfId="41062"/>
    <cellStyle name="Uwaga 2 9 50 3" xfId="41063"/>
    <cellStyle name="Uwaga 2 9 51" xfId="41064"/>
    <cellStyle name="Uwaga 2 9 51 2" xfId="41065"/>
    <cellStyle name="Uwaga 2 9 51 3" xfId="41066"/>
    <cellStyle name="Uwaga 2 9 52" xfId="41067"/>
    <cellStyle name="Uwaga 2 9 52 2" xfId="41068"/>
    <cellStyle name="Uwaga 2 9 52 3" xfId="41069"/>
    <cellStyle name="Uwaga 2 9 53" xfId="41070"/>
    <cellStyle name="Uwaga 2 9 53 2" xfId="41071"/>
    <cellStyle name="Uwaga 2 9 53 3" xfId="41072"/>
    <cellStyle name="Uwaga 2 9 54" xfId="41073"/>
    <cellStyle name="Uwaga 2 9 54 2" xfId="41074"/>
    <cellStyle name="Uwaga 2 9 54 3" xfId="41075"/>
    <cellStyle name="Uwaga 2 9 55" xfId="41076"/>
    <cellStyle name="Uwaga 2 9 55 2" xfId="41077"/>
    <cellStyle name="Uwaga 2 9 55 3" xfId="41078"/>
    <cellStyle name="Uwaga 2 9 56" xfId="41079"/>
    <cellStyle name="Uwaga 2 9 56 2" xfId="41080"/>
    <cellStyle name="Uwaga 2 9 56 3" xfId="41081"/>
    <cellStyle name="Uwaga 2 9 57" xfId="41082"/>
    <cellStyle name="Uwaga 2 9 58" xfId="41083"/>
    <cellStyle name="Uwaga 2 9 6" xfId="41084"/>
    <cellStyle name="Uwaga 2 9 6 2" xfId="41085"/>
    <cellStyle name="Uwaga 2 9 6 3" xfId="41086"/>
    <cellStyle name="Uwaga 2 9 6 4" xfId="41087"/>
    <cellStyle name="Uwaga 2 9 7" xfId="41088"/>
    <cellStyle name="Uwaga 2 9 7 2" xfId="41089"/>
    <cellStyle name="Uwaga 2 9 7 3" xfId="41090"/>
    <cellStyle name="Uwaga 2 9 7 4" xfId="41091"/>
    <cellStyle name="Uwaga 2 9 8" xfId="41092"/>
    <cellStyle name="Uwaga 2 9 8 2" xfId="41093"/>
    <cellStyle name="Uwaga 2 9 8 3" xfId="41094"/>
    <cellStyle name="Uwaga 2 9 8 4" xfId="41095"/>
    <cellStyle name="Uwaga 2 9 9" xfId="41096"/>
    <cellStyle name="Uwaga 2 9 9 2" xfId="41097"/>
    <cellStyle name="Uwaga 2 9 9 3" xfId="41098"/>
    <cellStyle name="Uwaga 2 9 9 4" xfId="41099"/>
    <cellStyle name="Uwaga 2 90" xfId="41100"/>
    <cellStyle name="Uwaga 2 91" xfId="41101"/>
    <cellStyle name="Uwaga 20" xfId="41102"/>
    <cellStyle name="Uwaga 21" xfId="41103"/>
    <cellStyle name="Uwaga 22" xfId="41104"/>
    <cellStyle name="Uwaga 23" xfId="41105"/>
    <cellStyle name="Uwaga 24" xfId="41106"/>
    <cellStyle name="Uwaga 25" xfId="41107"/>
    <cellStyle name="Uwaga 26" xfId="41108"/>
    <cellStyle name="Uwaga 27" xfId="41109"/>
    <cellStyle name="Uwaga 28" xfId="41110"/>
    <cellStyle name="Uwaga 29" xfId="41111"/>
    <cellStyle name="Uwaga 3" xfId="41112"/>
    <cellStyle name="Uwaga 3 10" xfId="41113"/>
    <cellStyle name="Uwaga 3 10 2" xfId="41114"/>
    <cellStyle name="Uwaga 3 11" xfId="41115"/>
    <cellStyle name="Uwaga 3 11 2" xfId="41116"/>
    <cellStyle name="Uwaga 3 12" xfId="41117"/>
    <cellStyle name="Uwaga 3 12 2" xfId="41118"/>
    <cellStyle name="Uwaga 3 13" xfId="41119"/>
    <cellStyle name="Uwaga 3 13 2" xfId="41120"/>
    <cellStyle name="Uwaga 3 14" xfId="41121"/>
    <cellStyle name="Uwaga 3 14 2" xfId="41122"/>
    <cellStyle name="Uwaga 3 15" xfId="41123"/>
    <cellStyle name="Uwaga 3 15 2" xfId="41124"/>
    <cellStyle name="Uwaga 3 16" xfId="41125"/>
    <cellStyle name="Uwaga 3 16 2" xfId="41126"/>
    <cellStyle name="Uwaga 3 17" xfId="41127"/>
    <cellStyle name="Uwaga 3 17 2" xfId="41128"/>
    <cellStyle name="Uwaga 3 18" xfId="41129"/>
    <cellStyle name="Uwaga 3 18 2" xfId="41130"/>
    <cellStyle name="Uwaga 3 19" xfId="41131"/>
    <cellStyle name="Uwaga 3 19 2" xfId="41132"/>
    <cellStyle name="Uwaga 3 2" xfId="41133"/>
    <cellStyle name="Uwaga 3 2 10" xfId="41134"/>
    <cellStyle name="Uwaga 3 2 10 2" xfId="41135"/>
    <cellStyle name="Uwaga 3 2 11" xfId="41136"/>
    <cellStyle name="Uwaga 3 2 11 2" xfId="41137"/>
    <cellStyle name="Uwaga 3 2 12" xfId="41138"/>
    <cellStyle name="Uwaga 3 2 12 2" xfId="41139"/>
    <cellStyle name="Uwaga 3 2 13" xfId="41140"/>
    <cellStyle name="Uwaga 3 2 13 2" xfId="41141"/>
    <cellStyle name="Uwaga 3 2 14" xfId="41142"/>
    <cellStyle name="Uwaga 3 2 14 2" xfId="41143"/>
    <cellStyle name="Uwaga 3 2 15" xfId="41144"/>
    <cellStyle name="Uwaga 3 2 15 2" xfId="41145"/>
    <cellStyle name="Uwaga 3 2 16" xfId="41146"/>
    <cellStyle name="Uwaga 3 2 16 2" xfId="41147"/>
    <cellStyle name="Uwaga 3 2 17" xfId="41148"/>
    <cellStyle name="Uwaga 3 2 17 2" xfId="41149"/>
    <cellStyle name="Uwaga 3 2 18" xfId="41150"/>
    <cellStyle name="Uwaga 3 2 18 2" xfId="41151"/>
    <cellStyle name="Uwaga 3 2 19" xfId="41152"/>
    <cellStyle name="Uwaga 3 2 19 2" xfId="41153"/>
    <cellStyle name="Uwaga 3 2 2" xfId="41154"/>
    <cellStyle name="Uwaga 3 2 2 10" xfId="41155"/>
    <cellStyle name="Uwaga 3 2 2 11" xfId="41156"/>
    <cellStyle name="Uwaga 3 2 2 12" xfId="41157"/>
    <cellStyle name="Uwaga 3 2 2 13" xfId="41158"/>
    <cellStyle name="Uwaga 3 2 2 14" xfId="41159"/>
    <cellStyle name="Uwaga 3 2 2 15" xfId="41160"/>
    <cellStyle name="Uwaga 3 2 2 16" xfId="41161"/>
    <cellStyle name="Uwaga 3 2 2 17" xfId="41162"/>
    <cellStyle name="Uwaga 3 2 2 18" xfId="41163"/>
    <cellStyle name="Uwaga 3 2 2 19" xfId="41164"/>
    <cellStyle name="Uwaga 3 2 2 2" xfId="41165"/>
    <cellStyle name="Uwaga 3 2 2 3" xfId="41166"/>
    <cellStyle name="Uwaga 3 2 2 4" xfId="41167"/>
    <cellStyle name="Uwaga 3 2 2 5" xfId="41168"/>
    <cellStyle name="Uwaga 3 2 2 6" xfId="41169"/>
    <cellStyle name="Uwaga 3 2 2 7" xfId="41170"/>
    <cellStyle name="Uwaga 3 2 2 8" xfId="41171"/>
    <cellStyle name="Uwaga 3 2 2 9" xfId="41172"/>
    <cellStyle name="Uwaga 3 2 20" xfId="41173"/>
    <cellStyle name="Uwaga 3 2 20 2" xfId="41174"/>
    <cellStyle name="Uwaga 3 2 21" xfId="41175"/>
    <cellStyle name="Uwaga 3 2 21 2" xfId="41176"/>
    <cellStyle name="Uwaga 3 2 22" xfId="41177"/>
    <cellStyle name="Uwaga 3 2 22 2" xfId="41178"/>
    <cellStyle name="Uwaga 3 2 23" xfId="41179"/>
    <cellStyle name="Uwaga 3 2 23 2" xfId="41180"/>
    <cellStyle name="Uwaga 3 2 24" xfId="41181"/>
    <cellStyle name="Uwaga 3 2 24 2" xfId="41182"/>
    <cellStyle name="Uwaga 3 2 25" xfId="41183"/>
    <cellStyle name="Uwaga 3 2 25 2" xfId="41184"/>
    <cellStyle name="Uwaga 3 2 26" xfId="41185"/>
    <cellStyle name="Uwaga 3 2 26 2" xfId="41186"/>
    <cellStyle name="Uwaga 3 2 27" xfId="41187"/>
    <cellStyle name="Uwaga 3 2 27 2" xfId="41188"/>
    <cellStyle name="Uwaga 3 2 28" xfId="41189"/>
    <cellStyle name="Uwaga 3 2 28 2" xfId="41190"/>
    <cellStyle name="Uwaga 3 2 29" xfId="41191"/>
    <cellStyle name="Uwaga 3 2 29 2" xfId="41192"/>
    <cellStyle name="Uwaga 3 2 3" xfId="41193"/>
    <cellStyle name="Uwaga 3 2 3 10" xfId="41194"/>
    <cellStyle name="Uwaga 3 2 3 11" xfId="41195"/>
    <cellStyle name="Uwaga 3 2 3 12" xfId="41196"/>
    <cellStyle name="Uwaga 3 2 3 13" xfId="41197"/>
    <cellStyle name="Uwaga 3 2 3 14" xfId="41198"/>
    <cellStyle name="Uwaga 3 2 3 15" xfId="41199"/>
    <cellStyle name="Uwaga 3 2 3 16" xfId="41200"/>
    <cellStyle name="Uwaga 3 2 3 17" xfId="41201"/>
    <cellStyle name="Uwaga 3 2 3 18" xfId="41202"/>
    <cellStyle name="Uwaga 3 2 3 19" xfId="41203"/>
    <cellStyle name="Uwaga 3 2 3 2" xfId="41204"/>
    <cellStyle name="Uwaga 3 2 3 3" xfId="41205"/>
    <cellStyle name="Uwaga 3 2 3 4" xfId="41206"/>
    <cellStyle name="Uwaga 3 2 3 5" xfId="41207"/>
    <cellStyle name="Uwaga 3 2 3 6" xfId="41208"/>
    <cellStyle name="Uwaga 3 2 3 7" xfId="41209"/>
    <cellStyle name="Uwaga 3 2 3 8" xfId="41210"/>
    <cellStyle name="Uwaga 3 2 3 9" xfId="41211"/>
    <cellStyle name="Uwaga 3 2 30" xfId="41212"/>
    <cellStyle name="Uwaga 3 2 30 2" xfId="41213"/>
    <cellStyle name="Uwaga 3 2 31" xfId="41214"/>
    <cellStyle name="Uwaga 3 2 31 2" xfId="41215"/>
    <cellStyle name="Uwaga 3 2 32" xfId="41216"/>
    <cellStyle name="Uwaga 3 2 33" xfId="41217"/>
    <cellStyle name="Uwaga 3 2 34" xfId="41218"/>
    <cellStyle name="Uwaga 3 2 35" xfId="41219"/>
    <cellStyle name="Uwaga 3 2 36" xfId="41220"/>
    <cellStyle name="Uwaga 3 2 37" xfId="41221"/>
    <cellStyle name="Uwaga 3 2 38" xfId="41222"/>
    <cellStyle name="Uwaga 3 2 39" xfId="41223"/>
    <cellStyle name="Uwaga 3 2 4" xfId="41224"/>
    <cellStyle name="Uwaga 3 2 4 10" xfId="41225"/>
    <cellStyle name="Uwaga 3 2 4 11" xfId="41226"/>
    <cellStyle name="Uwaga 3 2 4 12" xfId="41227"/>
    <cellStyle name="Uwaga 3 2 4 13" xfId="41228"/>
    <cellStyle name="Uwaga 3 2 4 14" xfId="41229"/>
    <cellStyle name="Uwaga 3 2 4 15" xfId="41230"/>
    <cellStyle name="Uwaga 3 2 4 16" xfId="41231"/>
    <cellStyle name="Uwaga 3 2 4 17" xfId="41232"/>
    <cellStyle name="Uwaga 3 2 4 18" xfId="41233"/>
    <cellStyle name="Uwaga 3 2 4 19" xfId="41234"/>
    <cellStyle name="Uwaga 3 2 4 2" xfId="41235"/>
    <cellStyle name="Uwaga 3 2 4 3" xfId="41236"/>
    <cellStyle name="Uwaga 3 2 4 4" xfId="41237"/>
    <cellStyle name="Uwaga 3 2 4 5" xfId="41238"/>
    <cellStyle name="Uwaga 3 2 4 6" xfId="41239"/>
    <cellStyle name="Uwaga 3 2 4 7" xfId="41240"/>
    <cellStyle name="Uwaga 3 2 4 8" xfId="41241"/>
    <cellStyle name="Uwaga 3 2 4 9" xfId="41242"/>
    <cellStyle name="Uwaga 3 2 40" xfId="41243"/>
    <cellStyle name="Uwaga 3 2 41" xfId="41244"/>
    <cellStyle name="Uwaga 3 2 42" xfId="41245"/>
    <cellStyle name="Uwaga 3 2 43" xfId="41246"/>
    <cellStyle name="Uwaga 3 2 44" xfId="41247"/>
    <cellStyle name="Uwaga 3 2 45" xfId="41248"/>
    <cellStyle name="Uwaga 3 2 46" xfId="41249"/>
    <cellStyle name="Uwaga 3 2 47" xfId="41250"/>
    <cellStyle name="Uwaga 3 2 48" xfId="41251"/>
    <cellStyle name="Uwaga 3 2 49" xfId="41252"/>
    <cellStyle name="Uwaga 3 2 5" xfId="41253"/>
    <cellStyle name="Uwaga 3 2 5 10" xfId="41254"/>
    <cellStyle name="Uwaga 3 2 5 11" xfId="41255"/>
    <cellStyle name="Uwaga 3 2 5 12" xfId="41256"/>
    <cellStyle name="Uwaga 3 2 5 13" xfId="41257"/>
    <cellStyle name="Uwaga 3 2 5 14" xfId="41258"/>
    <cellStyle name="Uwaga 3 2 5 15" xfId="41259"/>
    <cellStyle name="Uwaga 3 2 5 16" xfId="41260"/>
    <cellStyle name="Uwaga 3 2 5 17" xfId="41261"/>
    <cellStyle name="Uwaga 3 2 5 18" xfId="41262"/>
    <cellStyle name="Uwaga 3 2 5 19" xfId="41263"/>
    <cellStyle name="Uwaga 3 2 5 2" xfId="41264"/>
    <cellStyle name="Uwaga 3 2 5 3" xfId="41265"/>
    <cellStyle name="Uwaga 3 2 5 4" xfId="41266"/>
    <cellStyle name="Uwaga 3 2 5 5" xfId="41267"/>
    <cellStyle name="Uwaga 3 2 5 6" xfId="41268"/>
    <cellStyle name="Uwaga 3 2 5 7" xfId="41269"/>
    <cellStyle name="Uwaga 3 2 5 8" xfId="41270"/>
    <cellStyle name="Uwaga 3 2 5 9" xfId="41271"/>
    <cellStyle name="Uwaga 3 2 50" xfId="41272"/>
    <cellStyle name="Uwaga 3 2 51" xfId="41273"/>
    <cellStyle name="Uwaga 3 2 52" xfId="41274"/>
    <cellStyle name="Uwaga 3 2 53" xfId="41275"/>
    <cellStyle name="Uwaga 3 2 54" xfId="41276"/>
    <cellStyle name="Uwaga 3 2 55" xfId="41277"/>
    <cellStyle name="Uwaga 3 2 56" xfId="41278"/>
    <cellStyle name="Uwaga 3 2 57" xfId="41279"/>
    <cellStyle name="Uwaga 3 2 58" xfId="41280"/>
    <cellStyle name="Uwaga 3 2 59" xfId="41281"/>
    <cellStyle name="Uwaga 3 2 6" xfId="41282"/>
    <cellStyle name="Uwaga 3 2 6 2" xfId="41283"/>
    <cellStyle name="Uwaga 3 2 60" xfId="41284"/>
    <cellStyle name="Uwaga 3 2 61" xfId="41285"/>
    <cellStyle name="Uwaga 3 2 62" xfId="41286"/>
    <cellStyle name="Uwaga 3 2 63" xfId="41287"/>
    <cellStyle name="Uwaga 3 2 64" xfId="41288"/>
    <cellStyle name="Uwaga 3 2 65" xfId="41289"/>
    <cellStyle name="Uwaga 3 2 66" xfId="41290"/>
    <cellStyle name="Uwaga 3 2 67" xfId="41291"/>
    <cellStyle name="Uwaga 3 2 68" xfId="41292"/>
    <cellStyle name="Uwaga 3 2 69" xfId="41293"/>
    <cellStyle name="Uwaga 3 2 7" xfId="41294"/>
    <cellStyle name="Uwaga 3 2 7 2" xfId="41295"/>
    <cellStyle name="Uwaga 3 2 70" xfId="41296"/>
    <cellStyle name="Uwaga 3 2 71" xfId="41297"/>
    <cellStyle name="Uwaga 3 2 72" xfId="41298"/>
    <cellStyle name="Uwaga 3 2 73" xfId="41299"/>
    <cellStyle name="Uwaga 3 2 74" xfId="41300"/>
    <cellStyle name="Uwaga 3 2 75" xfId="41301"/>
    <cellStyle name="Uwaga 3 2 8" xfId="41302"/>
    <cellStyle name="Uwaga 3 2 8 2" xfId="41303"/>
    <cellStyle name="Uwaga 3 2 9" xfId="41304"/>
    <cellStyle name="Uwaga 3 2 9 2" xfId="41305"/>
    <cellStyle name="Uwaga 3 20" xfId="41306"/>
    <cellStyle name="Uwaga 3 20 2" xfId="41307"/>
    <cellStyle name="Uwaga 3 21" xfId="41308"/>
    <cellStyle name="Uwaga 3 21 2" xfId="41309"/>
    <cellStyle name="Uwaga 3 22" xfId="41310"/>
    <cellStyle name="Uwaga 3 22 2" xfId="41311"/>
    <cellStyle name="Uwaga 3 23" xfId="41312"/>
    <cellStyle name="Uwaga 3 23 2" xfId="41313"/>
    <cellStyle name="Uwaga 3 24" xfId="41314"/>
    <cellStyle name="Uwaga 3 24 2" xfId="41315"/>
    <cellStyle name="Uwaga 3 25" xfId="41316"/>
    <cellStyle name="Uwaga 3 25 2" xfId="41317"/>
    <cellStyle name="Uwaga 3 26" xfId="41318"/>
    <cellStyle name="Uwaga 3 26 2" xfId="41319"/>
    <cellStyle name="Uwaga 3 27" xfId="41320"/>
    <cellStyle name="Uwaga 3 27 2" xfId="41321"/>
    <cellStyle name="Uwaga 3 28" xfId="41322"/>
    <cellStyle name="Uwaga 3 28 2" xfId="41323"/>
    <cellStyle name="Uwaga 3 29" xfId="41324"/>
    <cellStyle name="Uwaga 3 29 2" xfId="41325"/>
    <cellStyle name="Uwaga 3 3" xfId="41326"/>
    <cellStyle name="Uwaga 3 3 10" xfId="41327"/>
    <cellStyle name="Uwaga 3 3 10 2" xfId="41328"/>
    <cellStyle name="Uwaga 3 3 11" xfId="41329"/>
    <cellStyle name="Uwaga 3 3 11 2" xfId="41330"/>
    <cellStyle name="Uwaga 3 3 12" xfId="41331"/>
    <cellStyle name="Uwaga 3 3 12 2" xfId="41332"/>
    <cellStyle name="Uwaga 3 3 13" xfId="41333"/>
    <cellStyle name="Uwaga 3 3 13 2" xfId="41334"/>
    <cellStyle name="Uwaga 3 3 14" xfId="41335"/>
    <cellStyle name="Uwaga 3 3 14 2" xfId="41336"/>
    <cellStyle name="Uwaga 3 3 15" xfId="41337"/>
    <cellStyle name="Uwaga 3 3 15 2" xfId="41338"/>
    <cellStyle name="Uwaga 3 3 16" xfId="41339"/>
    <cellStyle name="Uwaga 3 3 16 2" xfId="41340"/>
    <cellStyle name="Uwaga 3 3 17" xfId="41341"/>
    <cellStyle name="Uwaga 3 3 17 2" xfId="41342"/>
    <cellStyle name="Uwaga 3 3 18" xfId="41343"/>
    <cellStyle name="Uwaga 3 3 18 2" xfId="41344"/>
    <cellStyle name="Uwaga 3 3 19" xfId="41345"/>
    <cellStyle name="Uwaga 3 3 19 2" xfId="41346"/>
    <cellStyle name="Uwaga 3 3 2" xfId="41347"/>
    <cellStyle name="Uwaga 3 3 2 10" xfId="41348"/>
    <cellStyle name="Uwaga 3 3 2 11" xfId="41349"/>
    <cellStyle name="Uwaga 3 3 2 12" xfId="41350"/>
    <cellStyle name="Uwaga 3 3 2 13" xfId="41351"/>
    <cellStyle name="Uwaga 3 3 2 14" xfId="41352"/>
    <cellStyle name="Uwaga 3 3 2 15" xfId="41353"/>
    <cellStyle name="Uwaga 3 3 2 16" xfId="41354"/>
    <cellStyle name="Uwaga 3 3 2 17" xfId="41355"/>
    <cellStyle name="Uwaga 3 3 2 18" xfId="41356"/>
    <cellStyle name="Uwaga 3 3 2 19" xfId="41357"/>
    <cellStyle name="Uwaga 3 3 2 2" xfId="41358"/>
    <cellStyle name="Uwaga 3 3 2 3" xfId="41359"/>
    <cellStyle name="Uwaga 3 3 2 4" xfId="41360"/>
    <cellStyle name="Uwaga 3 3 2 5" xfId="41361"/>
    <cellStyle name="Uwaga 3 3 2 6" xfId="41362"/>
    <cellStyle name="Uwaga 3 3 2 7" xfId="41363"/>
    <cellStyle name="Uwaga 3 3 2 8" xfId="41364"/>
    <cellStyle name="Uwaga 3 3 2 9" xfId="41365"/>
    <cellStyle name="Uwaga 3 3 20" xfId="41366"/>
    <cellStyle name="Uwaga 3 3 20 2" xfId="41367"/>
    <cellStyle name="Uwaga 3 3 21" xfId="41368"/>
    <cellStyle name="Uwaga 3 3 21 2" xfId="41369"/>
    <cellStyle name="Uwaga 3 3 22" xfId="41370"/>
    <cellStyle name="Uwaga 3 3 22 2" xfId="41371"/>
    <cellStyle name="Uwaga 3 3 23" xfId="41372"/>
    <cellStyle name="Uwaga 3 3 23 2" xfId="41373"/>
    <cellStyle name="Uwaga 3 3 24" xfId="41374"/>
    <cellStyle name="Uwaga 3 3 24 2" xfId="41375"/>
    <cellStyle name="Uwaga 3 3 25" xfId="41376"/>
    <cellStyle name="Uwaga 3 3 25 2" xfId="41377"/>
    <cellStyle name="Uwaga 3 3 26" xfId="41378"/>
    <cellStyle name="Uwaga 3 3 26 2" xfId="41379"/>
    <cellStyle name="Uwaga 3 3 27" xfId="41380"/>
    <cellStyle name="Uwaga 3 3 27 2" xfId="41381"/>
    <cellStyle name="Uwaga 3 3 28" xfId="41382"/>
    <cellStyle name="Uwaga 3 3 28 2" xfId="41383"/>
    <cellStyle name="Uwaga 3 3 29" xfId="41384"/>
    <cellStyle name="Uwaga 3 3 29 2" xfId="41385"/>
    <cellStyle name="Uwaga 3 3 3" xfId="41386"/>
    <cellStyle name="Uwaga 3 3 3 10" xfId="41387"/>
    <cellStyle name="Uwaga 3 3 3 11" xfId="41388"/>
    <cellStyle name="Uwaga 3 3 3 12" xfId="41389"/>
    <cellStyle name="Uwaga 3 3 3 13" xfId="41390"/>
    <cellStyle name="Uwaga 3 3 3 14" xfId="41391"/>
    <cellStyle name="Uwaga 3 3 3 15" xfId="41392"/>
    <cellStyle name="Uwaga 3 3 3 16" xfId="41393"/>
    <cellStyle name="Uwaga 3 3 3 17" xfId="41394"/>
    <cellStyle name="Uwaga 3 3 3 18" xfId="41395"/>
    <cellStyle name="Uwaga 3 3 3 19" xfId="41396"/>
    <cellStyle name="Uwaga 3 3 3 2" xfId="41397"/>
    <cellStyle name="Uwaga 3 3 3 3" xfId="41398"/>
    <cellStyle name="Uwaga 3 3 3 4" xfId="41399"/>
    <cellStyle name="Uwaga 3 3 3 5" xfId="41400"/>
    <cellStyle name="Uwaga 3 3 3 6" xfId="41401"/>
    <cellStyle name="Uwaga 3 3 3 7" xfId="41402"/>
    <cellStyle name="Uwaga 3 3 3 8" xfId="41403"/>
    <cellStyle name="Uwaga 3 3 3 9" xfId="41404"/>
    <cellStyle name="Uwaga 3 3 30" xfId="41405"/>
    <cellStyle name="Uwaga 3 3 30 2" xfId="41406"/>
    <cellStyle name="Uwaga 3 3 31" xfId="41407"/>
    <cellStyle name="Uwaga 3 3 31 2" xfId="41408"/>
    <cellStyle name="Uwaga 3 3 32" xfId="41409"/>
    <cellStyle name="Uwaga 3 3 32 2" xfId="41410"/>
    <cellStyle name="Uwaga 3 3 33" xfId="41411"/>
    <cellStyle name="Uwaga 3 3 33 2" xfId="41412"/>
    <cellStyle name="Uwaga 3 3 34" xfId="41413"/>
    <cellStyle name="Uwaga 3 3 34 2" xfId="41414"/>
    <cellStyle name="Uwaga 3 3 35" xfId="41415"/>
    <cellStyle name="Uwaga 3 3 35 2" xfId="41416"/>
    <cellStyle name="Uwaga 3 3 36" xfId="41417"/>
    <cellStyle name="Uwaga 3 3 36 2" xfId="41418"/>
    <cellStyle name="Uwaga 3 3 37" xfId="41419"/>
    <cellStyle name="Uwaga 3 3 37 2" xfId="41420"/>
    <cellStyle name="Uwaga 3 3 38" xfId="41421"/>
    <cellStyle name="Uwaga 3 3 38 2" xfId="41422"/>
    <cellStyle name="Uwaga 3 3 39" xfId="41423"/>
    <cellStyle name="Uwaga 3 3 39 2" xfId="41424"/>
    <cellStyle name="Uwaga 3 3 4" xfId="41425"/>
    <cellStyle name="Uwaga 3 3 4 10" xfId="41426"/>
    <cellStyle name="Uwaga 3 3 4 11" xfId="41427"/>
    <cellStyle name="Uwaga 3 3 4 12" xfId="41428"/>
    <cellStyle name="Uwaga 3 3 4 13" xfId="41429"/>
    <cellStyle name="Uwaga 3 3 4 14" xfId="41430"/>
    <cellStyle name="Uwaga 3 3 4 15" xfId="41431"/>
    <cellStyle name="Uwaga 3 3 4 16" xfId="41432"/>
    <cellStyle name="Uwaga 3 3 4 17" xfId="41433"/>
    <cellStyle name="Uwaga 3 3 4 18" xfId="41434"/>
    <cellStyle name="Uwaga 3 3 4 19" xfId="41435"/>
    <cellStyle name="Uwaga 3 3 4 2" xfId="41436"/>
    <cellStyle name="Uwaga 3 3 4 3" xfId="41437"/>
    <cellStyle name="Uwaga 3 3 4 4" xfId="41438"/>
    <cellStyle name="Uwaga 3 3 4 5" xfId="41439"/>
    <cellStyle name="Uwaga 3 3 4 6" xfId="41440"/>
    <cellStyle name="Uwaga 3 3 4 7" xfId="41441"/>
    <cellStyle name="Uwaga 3 3 4 8" xfId="41442"/>
    <cellStyle name="Uwaga 3 3 4 9" xfId="41443"/>
    <cellStyle name="Uwaga 3 3 40" xfId="41444"/>
    <cellStyle name="Uwaga 3 3 40 2" xfId="41445"/>
    <cellStyle name="Uwaga 3 3 41" xfId="41446"/>
    <cellStyle name="Uwaga 3 3 41 2" xfId="41447"/>
    <cellStyle name="Uwaga 3 3 42" xfId="41448"/>
    <cellStyle name="Uwaga 3 3 42 2" xfId="41449"/>
    <cellStyle name="Uwaga 3 3 43" xfId="41450"/>
    <cellStyle name="Uwaga 3 3 43 2" xfId="41451"/>
    <cellStyle name="Uwaga 3 3 44" xfId="41452"/>
    <cellStyle name="Uwaga 3 3 45" xfId="41453"/>
    <cellStyle name="Uwaga 3 3 46" xfId="41454"/>
    <cellStyle name="Uwaga 3 3 47" xfId="41455"/>
    <cellStyle name="Uwaga 3 3 48" xfId="41456"/>
    <cellStyle name="Uwaga 3 3 49" xfId="41457"/>
    <cellStyle name="Uwaga 3 3 5" xfId="41458"/>
    <cellStyle name="Uwaga 3 3 5 10" xfId="41459"/>
    <cellStyle name="Uwaga 3 3 5 11" xfId="41460"/>
    <cellStyle name="Uwaga 3 3 5 12" xfId="41461"/>
    <cellStyle name="Uwaga 3 3 5 13" xfId="41462"/>
    <cellStyle name="Uwaga 3 3 5 14" xfId="41463"/>
    <cellStyle name="Uwaga 3 3 5 15" xfId="41464"/>
    <cellStyle name="Uwaga 3 3 5 16" xfId="41465"/>
    <cellStyle name="Uwaga 3 3 5 17" xfId="41466"/>
    <cellStyle name="Uwaga 3 3 5 18" xfId="41467"/>
    <cellStyle name="Uwaga 3 3 5 19" xfId="41468"/>
    <cellStyle name="Uwaga 3 3 5 2" xfId="41469"/>
    <cellStyle name="Uwaga 3 3 5 3" xfId="41470"/>
    <cellStyle name="Uwaga 3 3 5 4" xfId="41471"/>
    <cellStyle name="Uwaga 3 3 5 5" xfId="41472"/>
    <cellStyle name="Uwaga 3 3 5 6" xfId="41473"/>
    <cellStyle name="Uwaga 3 3 5 7" xfId="41474"/>
    <cellStyle name="Uwaga 3 3 5 8" xfId="41475"/>
    <cellStyle name="Uwaga 3 3 5 9" xfId="41476"/>
    <cellStyle name="Uwaga 3 3 50" xfId="41477"/>
    <cellStyle name="Uwaga 3 3 51" xfId="41478"/>
    <cellStyle name="Uwaga 3 3 52" xfId="41479"/>
    <cellStyle name="Uwaga 3 3 53" xfId="41480"/>
    <cellStyle name="Uwaga 3 3 54" xfId="41481"/>
    <cellStyle name="Uwaga 3 3 55" xfId="41482"/>
    <cellStyle name="Uwaga 3 3 56" xfId="41483"/>
    <cellStyle name="Uwaga 3 3 57" xfId="41484"/>
    <cellStyle name="Uwaga 3 3 58" xfId="41485"/>
    <cellStyle name="Uwaga 3 3 59" xfId="41486"/>
    <cellStyle name="Uwaga 3 3 6" xfId="41487"/>
    <cellStyle name="Uwaga 3 3 6 2" xfId="41488"/>
    <cellStyle name="Uwaga 3 3 60" xfId="41489"/>
    <cellStyle name="Uwaga 3 3 61" xfId="41490"/>
    <cellStyle name="Uwaga 3 3 62" xfId="41491"/>
    <cellStyle name="Uwaga 3 3 63" xfId="41492"/>
    <cellStyle name="Uwaga 3 3 64" xfId="41493"/>
    <cellStyle name="Uwaga 3 3 65" xfId="41494"/>
    <cellStyle name="Uwaga 3 3 66" xfId="41495"/>
    <cellStyle name="Uwaga 3 3 67" xfId="41496"/>
    <cellStyle name="Uwaga 3 3 68" xfId="41497"/>
    <cellStyle name="Uwaga 3 3 69" xfId="41498"/>
    <cellStyle name="Uwaga 3 3 7" xfId="41499"/>
    <cellStyle name="Uwaga 3 3 7 2" xfId="41500"/>
    <cellStyle name="Uwaga 3 3 70" xfId="41501"/>
    <cellStyle name="Uwaga 3 3 71" xfId="41502"/>
    <cellStyle name="Uwaga 3 3 72" xfId="41503"/>
    <cellStyle name="Uwaga 3 3 73" xfId="41504"/>
    <cellStyle name="Uwaga 3 3 74" xfId="41505"/>
    <cellStyle name="Uwaga 3 3 75" xfId="41506"/>
    <cellStyle name="Uwaga 3 3 8" xfId="41507"/>
    <cellStyle name="Uwaga 3 3 8 2" xfId="41508"/>
    <cellStyle name="Uwaga 3 3 9" xfId="41509"/>
    <cellStyle name="Uwaga 3 3 9 2" xfId="41510"/>
    <cellStyle name="Uwaga 3 30" xfId="41511"/>
    <cellStyle name="Uwaga 3 30 2" xfId="41512"/>
    <cellStyle name="Uwaga 3 31" xfId="41513"/>
    <cellStyle name="Uwaga 3 31 2" xfId="41514"/>
    <cellStyle name="Uwaga 3 32" xfId="41515"/>
    <cellStyle name="Uwaga 3 32 2" xfId="41516"/>
    <cellStyle name="Uwaga 3 33" xfId="41517"/>
    <cellStyle name="Uwaga 3 33 2" xfId="41518"/>
    <cellStyle name="Uwaga 3 34" xfId="41519"/>
    <cellStyle name="Uwaga 3 34 2" xfId="41520"/>
    <cellStyle name="Uwaga 3 35" xfId="41521"/>
    <cellStyle name="Uwaga 3 35 2" xfId="41522"/>
    <cellStyle name="Uwaga 3 36" xfId="41523"/>
    <cellStyle name="Uwaga 3 36 2" xfId="41524"/>
    <cellStyle name="Uwaga 3 37" xfId="41525"/>
    <cellStyle name="Uwaga 3 37 2" xfId="41526"/>
    <cellStyle name="Uwaga 3 38" xfId="41527"/>
    <cellStyle name="Uwaga 3 38 2" xfId="41528"/>
    <cellStyle name="Uwaga 3 39" xfId="41529"/>
    <cellStyle name="Uwaga 3 39 2" xfId="41530"/>
    <cellStyle name="Uwaga 3 4" xfId="41531"/>
    <cellStyle name="Uwaga 3 4 10" xfId="41532"/>
    <cellStyle name="Uwaga 3 4 10 2" xfId="41533"/>
    <cellStyle name="Uwaga 3 4 11" xfId="41534"/>
    <cellStyle name="Uwaga 3 4 11 2" xfId="41535"/>
    <cellStyle name="Uwaga 3 4 12" xfId="41536"/>
    <cellStyle name="Uwaga 3 4 12 2" xfId="41537"/>
    <cellStyle name="Uwaga 3 4 13" xfId="41538"/>
    <cellStyle name="Uwaga 3 4 13 2" xfId="41539"/>
    <cellStyle name="Uwaga 3 4 14" xfId="41540"/>
    <cellStyle name="Uwaga 3 4 14 2" xfId="41541"/>
    <cellStyle name="Uwaga 3 4 15" xfId="41542"/>
    <cellStyle name="Uwaga 3 4 15 2" xfId="41543"/>
    <cellStyle name="Uwaga 3 4 16" xfId="41544"/>
    <cellStyle name="Uwaga 3 4 16 2" xfId="41545"/>
    <cellStyle name="Uwaga 3 4 17" xfId="41546"/>
    <cellStyle name="Uwaga 3 4 17 2" xfId="41547"/>
    <cellStyle name="Uwaga 3 4 18" xfId="41548"/>
    <cellStyle name="Uwaga 3 4 18 2" xfId="41549"/>
    <cellStyle name="Uwaga 3 4 19" xfId="41550"/>
    <cellStyle name="Uwaga 3 4 19 2" xfId="41551"/>
    <cellStyle name="Uwaga 3 4 2" xfId="41552"/>
    <cellStyle name="Uwaga 3 4 2 10" xfId="41553"/>
    <cellStyle name="Uwaga 3 4 2 11" xfId="41554"/>
    <cellStyle name="Uwaga 3 4 2 12" xfId="41555"/>
    <cellStyle name="Uwaga 3 4 2 13" xfId="41556"/>
    <cellStyle name="Uwaga 3 4 2 14" xfId="41557"/>
    <cellStyle name="Uwaga 3 4 2 15" xfId="41558"/>
    <cellStyle name="Uwaga 3 4 2 16" xfId="41559"/>
    <cellStyle name="Uwaga 3 4 2 17" xfId="41560"/>
    <cellStyle name="Uwaga 3 4 2 18" xfId="41561"/>
    <cellStyle name="Uwaga 3 4 2 19" xfId="41562"/>
    <cellStyle name="Uwaga 3 4 2 2" xfId="41563"/>
    <cellStyle name="Uwaga 3 4 2 3" xfId="41564"/>
    <cellStyle name="Uwaga 3 4 2 4" xfId="41565"/>
    <cellStyle name="Uwaga 3 4 2 5" xfId="41566"/>
    <cellStyle name="Uwaga 3 4 2 6" xfId="41567"/>
    <cellStyle name="Uwaga 3 4 2 7" xfId="41568"/>
    <cellStyle name="Uwaga 3 4 2 8" xfId="41569"/>
    <cellStyle name="Uwaga 3 4 2 9" xfId="41570"/>
    <cellStyle name="Uwaga 3 4 20" xfId="41571"/>
    <cellStyle name="Uwaga 3 4 20 2" xfId="41572"/>
    <cellStyle name="Uwaga 3 4 21" xfId="41573"/>
    <cellStyle name="Uwaga 3 4 21 2" xfId="41574"/>
    <cellStyle name="Uwaga 3 4 22" xfId="41575"/>
    <cellStyle name="Uwaga 3 4 22 2" xfId="41576"/>
    <cellStyle name="Uwaga 3 4 23" xfId="41577"/>
    <cellStyle name="Uwaga 3 4 23 2" xfId="41578"/>
    <cellStyle name="Uwaga 3 4 24" xfId="41579"/>
    <cellStyle name="Uwaga 3 4 24 2" xfId="41580"/>
    <cellStyle name="Uwaga 3 4 25" xfId="41581"/>
    <cellStyle name="Uwaga 3 4 25 2" xfId="41582"/>
    <cellStyle name="Uwaga 3 4 26" xfId="41583"/>
    <cellStyle name="Uwaga 3 4 26 2" xfId="41584"/>
    <cellStyle name="Uwaga 3 4 27" xfId="41585"/>
    <cellStyle name="Uwaga 3 4 27 2" xfId="41586"/>
    <cellStyle name="Uwaga 3 4 28" xfId="41587"/>
    <cellStyle name="Uwaga 3 4 28 2" xfId="41588"/>
    <cellStyle name="Uwaga 3 4 29" xfId="41589"/>
    <cellStyle name="Uwaga 3 4 29 2" xfId="41590"/>
    <cellStyle name="Uwaga 3 4 3" xfId="41591"/>
    <cellStyle name="Uwaga 3 4 3 10" xfId="41592"/>
    <cellStyle name="Uwaga 3 4 3 11" xfId="41593"/>
    <cellStyle name="Uwaga 3 4 3 12" xfId="41594"/>
    <cellStyle name="Uwaga 3 4 3 13" xfId="41595"/>
    <cellStyle name="Uwaga 3 4 3 14" xfId="41596"/>
    <cellStyle name="Uwaga 3 4 3 15" xfId="41597"/>
    <cellStyle name="Uwaga 3 4 3 16" xfId="41598"/>
    <cellStyle name="Uwaga 3 4 3 17" xfId="41599"/>
    <cellStyle name="Uwaga 3 4 3 18" xfId="41600"/>
    <cellStyle name="Uwaga 3 4 3 19" xfId="41601"/>
    <cellStyle name="Uwaga 3 4 3 2" xfId="41602"/>
    <cellStyle name="Uwaga 3 4 3 3" xfId="41603"/>
    <cellStyle name="Uwaga 3 4 3 4" xfId="41604"/>
    <cellStyle name="Uwaga 3 4 3 5" xfId="41605"/>
    <cellStyle name="Uwaga 3 4 3 6" xfId="41606"/>
    <cellStyle name="Uwaga 3 4 3 7" xfId="41607"/>
    <cellStyle name="Uwaga 3 4 3 8" xfId="41608"/>
    <cellStyle name="Uwaga 3 4 3 9" xfId="41609"/>
    <cellStyle name="Uwaga 3 4 30" xfId="41610"/>
    <cellStyle name="Uwaga 3 4 30 2" xfId="41611"/>
    <cellStyle name="Uwaga 3 4 31" xfId="41612"/>
    <cellStyle name="Uwaga 3 4 31 2" xfId="41613"/>
    <cellStyle name="Uwaga 3 4 32" xfId="41614"/>
    <cellStyle name="Uwaga 3 4 32 2" xfId="41615"/>
    <cellStyle name="Uwaga 3 4 33" xfId="41616"/>
    <cellStyle name="Uwaga 3 4 33 2" xfId="41617"/>
    <cellStyle name="Uwaga 3 4 34" xfId="41618"/>
    <cellStyle name="Uwaga 3 4 34 2" xfId="41619"/>
    <cellStyle name="Uwaga 3 4 35" xfId="41620"/>
    <cellStyle name="Uwaga 3 4 35 2" xfId="41621"/>
    <cellStyle name="Uwaga 3 4 36" xfId="41622"/>
    <cellStyle name="Uwaga 3 4 36 2" xfId="41623"/>
    <cellStyle name="Uwaga 3 4 37" xfId="41624"/>
    <cellStyle name="Uwaga 3 4 37 2" xfId="41625"/>
    <cellStyle name="Uwaga 3 4 38" xfId="41626"/>
    <cellStyle name="Uwaga 3 4 38 2" xfId="41627"/>
    <cellStyle name="Uwaga 3 4 39" xfId="41628"/>
    <cellStyle name="Uwaga 3 4 39 2" xfId="41629"/>
    <cellStyle name="Uwaga 3 4 4" xfId="41630"/>
    <cellStyle name="Uwaga 3 4 4 10" xfId="41631"/>
    <cellStyle name="Uwaga 3 4 4 11" xfId="41632"/>
    <cellStyle name="Uwaga 3 4 4 12" xfId="41633"/>
    <cellStyle name="Uwaga 3 4 4 13" xfId="41634"/>
    <cellStyle name="Uwaga 3 4 4 14" xfId="41635"/>
    <cellStyle name="Uwaga 3 4 4 15" xfId="41636"/>
    <cellStyle name="Uwaga 3 4 4 16" xfId="41637"/>
    <cellStyle name="Uwaga 3 4 4 17" xfId="41638"/>
    <cellStyle name="Uwaga 3 4 4 18" xfId="41639"/>
    <cellStyle name="Uwaga 3 4 4 19" xfId="41640"/>
    <cellStyle name="Uwaga 3 4 4 2" xfId="41641"/>
    <cellStyle name="Uwaga 3 4 4 3" xfId="41642"/>
    <cellStyle name="Uwaga 3 4 4 4" xfId="41643"/>
    <cellStyle name="Uwaga 3 4 4 5" xfId="41644"/>
    <cellStyle name="Uwaga 3 4 4 6" xfId="41645"/>
    <cellStyle name="Uwaga 3 4 4 7" xfId="41646"/>
    <cellStyle name="Uwaga 3 4 4 8" xfId="41647"/>
    <cellStyle name="Uwaga 3 4 4 9" xfId="41648"/>
    <cellStyle name="Uwaga 3 4 40" xfId="41649"/>
    <cellStyle name="Uwaga 3 4 40 2" xfId="41650"/>
    <cellStyle name="Uwaga 3 4 41" xfId="41651"/>
    <cellStyle name="Uwaga 3 4 41 2" xfId="41652"/>
    <cellStyle name="Uwaga 3 4 42" xfId="41653"/>
    <cellStyle name="Uwaga 3 4 42 2" xfId="41654"/>
    <cellStyle name="Uwaga 3 4 43" xfId="41655"/>
    <cellStyle name="Uwaga 3 4 43 2" xfId="41656"/>
    <cellStyle name="Uwaga 3 4 44" xfId="41657"/>
    <cellStyle name="Uwaga 3 4 45" xfId="41658"/>
    <cellStyle name="Uwaga 3 4 46" xfId="41659"/>
    <cellStyle name="Uwaga 3 4 47" xfId="41660"/>
    <cellStyle name="Uwaga 3 4 48" xfId="41661"/>
    <cellStyle name="Uwaga 3 4 49" xfId="41662"/>
    <cellStyle name="Uwaga 3 4 5" xfId="41663"/>
    <cellStyle name="Uwaga 3 4 5 10" xfId="41664"/>
    <cellStyle name="Uwaga 3 4 5 11" xfId="41665"/>
    <cellStyle name="Uwaga 3 4 5 12" xfId="41666"/>
    <cellStyle name="Uwaga 3 4 5 13" xfId="41667"/>
    <cellStyle name="Uwaga 3 4 5 14" xfId="41668"/>
    <cellStyle name="Uwaga 3 4 5 15" xfId="41669"/>
    <cellStyle name="Uwaga 3 4 5 16" xfId="41670"/>
    <cellStyle name="Uwaga 3 4 5 17" xfId="41671"/>
    <cellStyle name="Uwaga 3 4 5 18" xfId="41672"/>
    <cellStyle name="Uwaga 3 4 5 19" xfId="41673"/>
    <cellStyle name="Uwaga 3 4 5 2" xfId="41674"/>
    <cellStyle name="Uwaga 3 4 5 3" xfId="41675"/>
    <cellStyle name="Uwaga 3 4 5 4" xfId="41676"/>
    <cellStyle name="Uwaga 3 4 5 5" xfId="41677"/>
    <cellStyle name="Uwaga 3 4 5 6" xfId="41678"/>
    <cellStyle name="Uwaga 3 4 5 7" xfId="41679"/>
    <cellStyle name="Uwaga 3 4 5 8" xfId="41680"/>
    <cellStyle name="Uwaga 3 4 5 9" xfId="41681"/>
    <cellStyle name="Uwaga 3 4 50" xfId="41682"/>
    <cellStyle name="Uwaga 3 4 51" xfId="41683"/>
    <cellStyle name="Uwaga 3 4 52" xfId="41684"/>
    <cellStyle name="Uwaga 3 4 53" xfId="41685"/>
    <cellStyle name="Uwaga 3 4 54" xfId="41686"/>
    <cellStyle name="Uwaga 3 4 55" xfId="41687"/>
    <cellStyle name="Uwaga 3 4 56" xfId="41688"/>
    <cellStyle name="Uwaga 3 4 57" xfId="41689"/>
    <cellStyle name="Uwaga 3 4 58" xfId="41690"/>
    <cellStyle name="Uwaga 3 4 59" xfId="41691"/>
    <cellStyle name="Uwaga 3 4 6" xfId="41692"/>
    <cellStyle name="Uwaga 3 4 6 2" xfId="41693"/>
    <cellStyle name="Uwaga 3 4 60" xfId="41694"/>
    <cellStyle name="Uwaga 3 4 61" xfId="41695"/>
    <cellStyle name="Uwaga 3 4 62" xfId="41696"/>
    <cellStyle name="Uwaga 3 4 63" xfId="41697"/>
    <cellStyle name="Uwaga 3 4 64" xfId="41698"/>
    <cellStyle name="Uwaga 3 4 65" xfId="41699"/>
    <cellStyle name="Uwaga 3 4 66" xfId="41700"/>
    <cellStyle name="Uwaga 3 4 67" xfId="41701"/>
    <cellStyle name="Uwaga 3 4 68" xfId="41702"/>
    <cellStyle name="Uwaga 3 4 69" xfId="41703"/>
    <cellStyle name="Uwaga 3 4 7" xfId="41704"/>
    <cellStyle name="Uwaga 3 4 7 2" xfId="41705"/>
    <cellStyle name="Uwaga 3 4 70" xfId="41706"/>
    <cellStyle name="Uwaga 3 4 71" xfId="41707"/>
    <cellStyle name="Uwaga 3 4 72" xfId="41708"/>
    <cellStyle name="Uwaga 3 4 73" xfId="41709"/>
    <cellStyle name="Uwaga 3 4 74" xfId="41710"/>
    <cellStyle name="Uwaga 3 4 75" xfId="41711"/>
    <cellStyle name="Uwaga 3 4 8" xfId="41712"/>
    <cellStyle name="Uwaga 3 4 8 2" xfId="41713"/>
    <cellStyle name="Uwaga 3 4 9" xfId="41714"/>
    <cellStyle name="Uwaga 3 4 9 2" xfId="41715"/>
    <cellStyle name="Uwaga 3 40" xfId="41716"/>
    <cellStyle name="Uwaga 3 40 2" xfId="41717"/>
    <cellStyle name="Uwaga 3 41" xfId="41718"/>
    <cellStyle name="Uwaga 3 41 2" xfId="41719"/>
    <cellStyle name="Uwaga 3 42" xfId="41720"/>
    <cellStyle name="Uwaga 3 42 2" xfId="41721"/>
    <cellStyle name="Uwaga 3 43" xfId="41722"/>
    <cellStyle name="Uwaga 3 43 2" xfId="41723"/>
    <cellStyle name="Uwaga 3 44" xfId="41724"/>
    <cellStyle name="Uwaga 3 44 2" xfId="41725"/>
    <cellStyle name="Uwaga 3 45" xfId="41726"/>
    <cellStyle name="Uwaga 3 45 2" xfId="41727"/>
    <cellStyle name="Uwaga 3 46" xfId="41728"/>
    <cellStyle name="Uwaga 3 46 2" xfId="41729"/>
    <cellStyle name="Uwaga 3 47" xfId="41730"/>
    <cellStyle name="Uwaga 3 47 2" xfId="41731"/>
    <cellStyle name="Uwaga 3 48" xfId="41732"/>
    <cellStyle name="Uwaga 3 48 2" xfId="41733"/>
    <cellStyle name="Uwaga 3 49" xfId="41734"/>
    <cellStyle name="Uwaga 3 49 2" xfId="41735"/>
    <cellStyle name="Uwaga 3 5" xfId="41736"/>
    <cellStyle name="Uwaga 3 5 10" xfId="41737"/>
    <cellStyle name="Uwaga 3 5 10 2" xfId="41738"/>
    <cellStyle name="Uwaga 3 5 11" xfId="41739"/>
    <cellStyle name="Uwaga 3 5 11 2" xfId="41740"/>
    <cellStyle name="Uwaga 3 5 12" xfId="41741"/>
    <cellStyle name="Uwaga 3 5 12 2" xfId="41742"/>
    <cellStyle name="Uwaga 3 5 13" xfId="41743"/>
    <cellStyle name="Uwaga 3 5 13 2" xfId="41744"/>
    <cellStyle name="Uwaga 3 5 14" xfId="41745"/>
    <cellStyle name="Uwaga 3 5 14 2" xfId="41746"/>
    <cellStyle name="Uwaga 3 5 15" xfId="41747"/>
    <cellStyle name="Uwaga 3 5 15 2" xfId="41748"/>
    <cellStyle name="Uwaga 3 5 16" xfId="41749"/>
    <cellStyle name="Uwaga 3 5 16 2" xfId="41750"/>
    <cellStyle name="Uwaga 3 5 17" xfId="41751"/>
    <cellStyle name="Uwaga 3 5 17 2" xfId="41752"/>
    <cellStyle name="Uwaga 3 5 18" xfId="41753"/>
    <cellStyle name="Uwaga 3 5 18 2" xfId="41754"/>
    <cellStyle name="Uwaga 3 5 19" xfId="41755"/>
    <cellStyle name="Uwaga 3 5 19 2" xfId="41756"/>
    <cellStyle name="Uwaga 3 5 2" xfId="41757"/>
    <cellStyle name="Uwaga 3 5 2 10" xfId="41758"/>
    <cellStyle name="Uwaga 3 5 2 11" xfId="41759"/>
    <cellStyle name="Uwaga 3 5 2 12" xfId="41760"/>
    <cellStyle name="Uwaga 3 5 2 13" xfId="41761"/>
    <cellStyle name="Uwaga 3 5 2 14" xfId="41762"/>
    <cellStyle name="Uwaga 3 5 2 15" xfId="41763"/>
    <cellStyle name="Uwaga 3 5 2 16" xfId="41764"/>
    <cellStyle name="Uwaga 3 5 2 17" xfId="41765"/>
    <cellStyle name="Uwaga 3 5 2 18" xfId="41766"/>
    <cellStyle name="Uwaga 3 5 2 19" xfId="41767"/>
    <cellStyle name="Uwaga 3 5 2 2" xfId="41768"/>
    <cellStyle name="Uwaga 3 5 2 3" xfId="41769"/>
    <cellStyle name="Uwaga 3 5 2 4" xfId="41770"/>
    <cellStyle name="Uwaga 3 5 2 5" xfId="41771"/>
    <cellStyle name="Uwaga 3 5 2 6" xfId="41772"/>
    <cellStyle name="Uwaga 3 5 2 7" xfId="41773"/>
    <cellStyle name="Uwaga 3 5 2 8" xfId="41774"/>
    <cellStyle name="Uwaga 3 5 2 9" xfId="41775"/>
    <cellStyle name="Uwaga 3 5 20" xfId="41776"/>
    <cellStyle name="Uwaga 3 5 20 2" xfId="41777"/>
    <cellStyle name="Uwaga 3 5 21" xfId="41778"/>
    <cellStyle name="Uwaga 3 5 21 2" xfId="41779"/>
    <cellStyle name="Uwaga 3 5 22" xfId="41780"/>
    <cellStyle name="Uwaga 3 5 22 2" xfId="41781"/>
    <cellStyle name="Uwaga 3 5 23" xfId="41782"/>
    <cellStyle name="Uwaga 3 5 23 2" xfId="41783"/>
    <cellStyle name="Uwaga 3 5 24" xfId="41784"/>
    <cellStyle name="Uwaga 3 5 24 2" xfId="41785"/>
    <cellStyle name="Uwaga 3 5 25" xfId="41786"/>
    <cellStyle name="Uwaga 3 5 25 2" xfId="41787"/>
    <cellStyle name="Uwaga 3 5 26" xfId="41788"/>
    <cellStyle name="Uwaga 3 5 26 2" xfId="41789"/>
    <cellStyle name="Uwaga 3 5 27" xfId="41790"/>
    <cellStyle name="Uwaga 3 5 27 2" xfId="41791"/>
    <cellStyle name="Uwaga 3 5 28" xfId="41792"/>
    <cellStyle name="Uwaga 3 5 28 2" xfId="41793"/>
    <cellStyle name="Uwaga 3 5 29" xfId="41794"/>
    <cellStyle name="Uwaga 3 5 29 2" xfId="41795"/>
    <cellStyle name="Uwaga 3 5 3" xfId="41796"/>
    <cellStyle name="Uwaga 3 5 3 10" xfId="41797"/>
    <cellStyle name="Uwaga 3 5 3 11" xfId="41798"/>
    <cellStyle name="Uwaga 3 5 3 12" xfId="41799"/>
    <cellStyle name="Uwaga 3 5 3 13" xfId="41800"/>
    <cellStyle name="Uwaga 3 5 3 14" xfId="41801"/>
    <cellStyle name="Uwaga 3 5 3 15" xfId="41802"/>
    <cellStyle name="Uwaga 3 5 3 16" xfId="41803"/>
    <cellStyle name="Uwaga 3 5 3 17" xfId="41804"/>
    <cellStyle name="Uwaga 3 5 3 18" xfId="41805"/>
    <cellStyle name="Uwaga 3 5 3 19" xfId="41806"/>
    <cellStyle name="Uwaga 3 5 3 2" xfId="41807"/>
    <cellStyle name="Uwaga 3 5 3 3" xfId="41808"/>
    <cellStyle name="Uwaga 3 5 3 4" xfId="41809"/>
    <cellStyle name="Uwaga 3 5 3 5" xfId="41810"/>
    <cellStyle name="Uwaga 3 5 3 6" xfId="41811"/>
    <cellStyle name="Uwaga 3 5 3 7" xfId="41812"/>
    <cellStyle name="Uwaga 3 5 3 8" xfId="41813"/>
    <cellStyle name="Uwaga 3 5 3 9" xfId="41814"/>
    <cellStyle name="Uwaga 3 5 30" xfId="41815"/>
    <cellStyle name="Uwaga 3 5 30 2" xfId="41816"/>
    <cellStyle name="Uwaga 3 5 31" xfId="41817"/>
    <cellStyle name="Uwaga 3 5 31 2" xfId="41818"/>
    <cellStyle name="Uwaga 3 5 32" xfId="41819"/>
    <cellStyle name="Uwaga 3 5 32 2" xfId="41820"/>
    <cellStyle name="Uwaga 3 5 33" xfId="41821"/>
    <cellStyle name="Uwaga 3 5 33 2" xfId="41822"/>
    <cellStyle name="Uwaga 3 5 34" xfId="41823"/>
    <cellStyle name="Uwaga 3 5 34 2" xfId="41824"/>
    <cellStyle name="Uwaga 3 5 35" xfId="41825"/>
    <cellStyle name="Uwaga 3 5 35 2" xfId="41826"/>
    <cellStyle name="Uwaga 3 5 36" xfId="41827"/>
    <cellStyle name="Uwaga 3 5 36 2" xfId="41828"/>
    <cellStyle name="Uwaga 3 5 37" xfId="41829"/>
    <cellStyle name="Uwaga 3 5 37 2" xfId="41830"/>
    <cellStyle name="Uwaga 3 5 38" xfId="41831"/>
    <cellStyle name="Uwaga 3 5 38 2" xfId="41832"/>
    <cellStyle name="Uwaga 3 5 39" xfId="41833"/>
    <cellStyle name="Uwaga 3 5 39 2" xfId="41834"/>
    <cellStyle name="Uwaga 3 5 4" xfId="41835"/>
    <cellStyle name="Uwaga 3 5 4 10" xfId="41836"/>
    <cellStyle name="Uwaga 3 5 4 11" xfId="41837"/>
    <cellStyle name="Uwaga 3 5 4 12" xfId="41838"/>
    <cellStyle name="Uwaga 3 5 4 13" xfId="41839"/>
    <cellStyle name="Uwaga 3 5 4 14" xfId="41840"/>
    <cellStyle name="Uwaga 3 5 4 15" xfId="41841"/>
    <cellStyle name="Uwaga 3 5 4 16" xfId="41842"/>
    <cellStyle name="Uwaga 3 5 4 17" xfId="41843"/>
    <cellStyle name="Uwaga 3 5 4 18" xfId="41844"/>
    <cellStyle name="Uwaga 3 5 4 19" xfId="41845"/>
    <cellStyle name="Uwaga 3 5 4 2" xfId="41846"/>
    <cellStyle name="Uwaga 3 5 4 3" xfId="41847"/>
    <cellStyle name="Uwaga 3 5 4 4" xfId="41848"/>
    <cellStyle name="Uwaga 3 5 4 5" xfId="41849"/>
    <cellStyle name="Uwaga 3 5 4 6" xfId="41850"/>
    <cellStyle name="Uwaga 3 5 4 7" xfId="41851"/>
    <cellStyle name="Uwaga 3 5 4 8" xfId="41852"/>
    <cellStyle name="Uwaga 3 5 4 9" xfId="41853"/>
    <cellStyle name="Uwaga 3 5 40" xfId="41854"/>
    <cellStyle name="Uwaga 3 5 40 2" xfId="41855"/>
    <cellStyle name="Uwaga 3 5 41" xfId="41856"/>
    <cellStyle name="Uwaga 3 5 41 2" xfId="41857"/>
    <cellStyle name="Uwaga 3 5 42" xfId="41858"/>
    <cellStyle name="Uwaga 3 5 42 2" xfId="41859"/>
    <cellStyle name="Uwaga 3 5 43" xfId="41860"/>
    <cellStyle name="Uwaga 3 5 43 2" xfId="41861"/>
    <cellStyle name="Uwaga 3 5 44" xfId="41862"/>
    <cellStyle name="Uwaga 3 5 45" xfId="41863"/>
    <cellStyle name="Uwaga 3 5 46" xfId="41864"/>
    <cellStyle name="Uwaga 3 5 47" xfId="41865"/>
    <cellStyle name="Uwaga 3 5 48" xfId="41866"/>
    <cellStyle name="Uwaga 3 5 49" xfId="41867"/>
    <cellStyle name="Uwaga 3 5 5" xfId="41868"/>
    <cellStyle name="Uwaga 3 5 5 10" xfId="41869"/>
    <cellStyle name="Uwaga 3 5 5 11" xfId="41870"/>
    <cellStyle name="Uwaga 3 5 5 12" xfId="41871"/>
    <cellStyle name="Uwaga 3 5 5 13" xfId="41872"/>
    <cellStyle name="Uwaga 3 5 5 14" xfId="41873"/>
    <cellStyle name="Uwaga 3 5 5 15" xfId="41874"/>
    <cellStyle name="Uwaga 3 5 5 16" xfId="41875"/>
    <cellStyle name="Uwaga 3 5 5 17" xfId="41876"/>
    <cellStyle name="Uwaga 3 5 5 18" xfId="41877"/>
    <cellStyle name="Uwaga 3 5 5 19" xfId="41878"/>
    <cellStyle name="Uwaga 3 5 5 2" xfId="41879"/>
    <cellStyle name="Uwaga 3 5 5 3" xfId="41880"/>
    <cellStyle name="Uwaga 3 5 5 4" xfId="41881"/>
    <cellStyle name="Uwaga 3 5 5 5" xfId="41882"/>
    <cellStyle name="Uwaga 3 5 5 6" xfId="41883"/>
    <cellStyle name="Uwaga 3 5 5 7" xfId="41884"/>
    <cellStyle name="Uwaga 3 5 5 8" xfId="41885"/>
    <cellStyle name="Uwaga 3 5 5 9" xfId="41886"/>
    <cellStyle name="Uwaga 3 5 50" xfId="41887"/>
    <cellStyle name="Uwaga 3 5 51" xfId="41888"/>
    <cellStyle name="Uwaga 3 5 52" xfId="41889"/>
    <cellStyle name="Uwaga 3 5 53" xfId="41890"/>
    <cellStyle name="Uwaga 3 5 54" xfId="41891"/>
    <cellStyle name="Uwaga 3 5 55" xfId="41892"/>
    <cellStyle name="Uwaga 3 5 56" xfId="41893"/>
    <cellStyle name="Uwaga 3 5 57" xfId="41894"/>
    <cellStyle name="Uwaga 3 5 58" xfId="41895"/>
    <cellStyle name="Uwaga 3 5 59" xfId="41896"/>
    <cellStyle name="Uwaga 3 5 6" xfId="41897"/>
    <cellStyle name="Uwaga 3 5 6 2" xfId="41898"/>
    <cellStyle name="Uwaga 3 5 60" xfId="41899"/>
    <cellStyle name="Uwaga 3 5 61" xfId="41900"/>
    <cellStyle name="Uwaga 3 5 62" xfId="41901"/>
    <cellStyle name="Uwaga 3 5 63" xfId="41902"/>
    <cellStyle name="Uwaga 3 5 64" xfId="41903"/>
    <cellStyle name="Uwaga 3 5 65" xfId="41904"/>
    <cellStyle name="Uwaga 3 5 66" xfId="41905"/>
    <cellStyle name="Uwaga 3 5 67" xfId="41906"/>
    <cellStyle name="Uwaga 3 5 68" xfId="41907"/>
    <cellStyle name="Uwaga 3 5 69" xfId="41908"/>
    <cellStyle name="Uwaga 3 5 7" xfId="41909"/>
    <cellStyle name="Uwaga 3 5 7 2" xfId="41910"/>
    <cellStyle name="Uwaga 3 5 70" xfId="41911"/>
    <cellStyle name="Uwaga 3 5 71" xfId="41912"/>
    <cellStyle name="Uwaga 3 5 72" xfId="41913"/>
    <cellStyle name="Uwaga 3 5 73" xfId="41914"/>
    <cellStyle name="Uwaga 3 5 74" xfId="41915"/>
    <cellStyle name="Uwaga 3 5 8" xfId="41916"/>
    <cellStyle name="Uwaga 3 5 8 2" xfId="41917"/>
    <cellStyle name="Uwaga 3 5 9" xfId="41918"/>
    <cellStyle name="Uwaga 3 5 9 2" xfId="41919"/>
    <cellStyle name="Uwaga 3 50" xfId="41920"/>
    <cellStyle name="Uwaga 3 50 2" xfId="41921"/>
    <cellStyle name="Uwaga 3 51" xfId="41922"/>
    <cellStyle name="Uwaga 3 51 2" xfId="41923"/>
    <cellStyle name="Uwaga 3 52" xfId="41924"/>
    <cellStyle name="Uwaga 3 53" xfId="41925"/>
    <cellStyle name="Uwaga 3 54" xfId="41926"/>
    <cellStyle name="Uwaga 3 55" xfId="41927"/>
    <cellStyle name="Uwaga 3 56" xfId="41928"/>
    <cellStyle name="Uwaga 3 57" xfId="41929"/>
    <cellStyle name="Uwaga 3 58" xfId="41930"/>
    <cellStyle name="Uwaga 3 59" xfId="41931"/>
    <cellStyle name="Uwaga 3 6" xfId="41932"/>
    <cellStyle name="Uwaga 3 6 10" xfId="41933"/>
    <cellStyle name="Uwaga 3 6 11" xfId="41934"/>
    <cellStyle name="Uwaga 3 6 12" xfId="41935"/>
    <cellStyle name="Uwaga 3 6 13" xfId="41936"/>
    <cellStyle name="Uwaga 3 6 14" xfId="41937"/>
    <cellStyle name="Uwaga 3 6 15" xfId="41938"/>
    <cellStyle name="Uwaga 3 6 16" xfId="41939"/>
    <cellStyle name="Uwaga 3 6 17" xfId="41940"/>
    <cellStyle name="Uwaga 3 6 18" xfId="41941"/>
    <cellStyle name="Uwaga 3 6 19" xfId="41942"/>
    <cellStyle name="Uwaga 3 6 2" xfId="41943"/>
    <cellStyle name="Uwaga 3 6 3" xfId="41944"/>
    <cellStyle name="Uwaga 3 6 4" xfId="41945"/>
    <cellStyle name="Uwaga 3 6 5" xfId="41946"/>
    <cellStyle name="Uwaga 3 6 6" xfId="41947"/>
    <cellStyle name="Uwaga 3 6 7" xfId="41948"/>
    <cellStyle name="Uwaga 3 6 8" xfId="41949"/>
    <cellStyle name="Uwaga 3 6 9" xfId="41950"/>
    <cellStyle name="Uwaga 3 60" xfId="41951"/>
    <cellStyle name="Uwaga 3 61" xfId="41952"/>
    <cellStyle name="Uwaga 3 62" xfId="41953"/>
    <cellStyle name="Uwaga 3 63" xfId="41954"/>
    <cellStyle name="Uwaga 3 64" xfId="41955"/>
    <cellStyle name="Uwaga 3 65" xfId="41956"/>
    <cellStyle name="Uwaga 3 66" xfId="41957"/>
    <cellStyle name="Uwaga 3 67" xfId="41958"/>
    <cellStyle name="Uwaga 3 68" xfId="41959"/>
    <cellStyle name="Uwaga 3 69" xfId="41960"/>
    <cellStyle name="Uwaga 3 7" xfId="41961"/>
    <cellStyle name="Uwaga 3 7 10" xfId="41962"/>
    <cellStyle name="Uwaga 3 7 11" xfId="41963"/>
    <cellStyle name="Uwaga 3 7 12" xfId="41964"/>
    <cellStyle name="Uwaga 3 7 13" xfId="41965"/>
    <cellStyle name="Uwaga 3 7 14" xfId="41966"/>
    <cellStyle name="Uwaga 3 7 15" xfId="41967"/>
    <cellStyle name="Uwaga 3 7 16" xfId="41968"/>
    <cellStyle name="Uwaga 3 7 17" xfId="41969"/>
    <cellStyle name="Uwaga 3 7 18" xfId="41970"/>
    <cellStyle name="Uwaga 3 7 19" xfId="41971"/>
    <cellStyle name="Uwaga 3 7 2" xfId="41972"/>
    <cellStyle name="Uwaga 3 7 3" xfId="41973"/>
    <cellStyle name="Uwaga 3 7 4" xfId="41974"/>
    <cellStyle name="Uwaga 3 7 5" xfId="41975"/>
    <cellStyle name="Uwaga 3 7 6" xfId="41976"/>
    <cellStyle name="Uwaga 3 7 7" xfId="41977"/>
    <cellStyle name="Uwaga 3 7 8" xfId="41978"/>
    <cellStyle name="Uwaga 3 7 9" xfId="41979"/>
    <cellStyle name="Uwaga 3 70" xfId="41980"/>
    <cellStyle name="Uwaga 3 71" xfId="41981"/>
    <cellStyle name="Uwaga 3 72" xfId="41982"/>
    <cellStyle name="Uwaga 3 73" xfId="41983"/>
    <cellStyle name="Uwaga 3 74" xfId="41984"/>
    <cellStyle name="Uwaga 3 75" xfId="41985"/>
    <cellStyle name="Uwaga 3 76" xfId="41986"/>
    <cellStyle name="Uwaga 3 77" xfId="41987"/>
    <cellStyle name="Uwaga 3 78" xfId="41988"/>
    <cellStyle name="Uwaga 3 79" xfId="41989"/>
    <cellStyle name="Uwaga 3 8" xfId="41990"/>
    <cellStyle name="Uwaga 3 8 10" xfId="41991"/>
    <cellStyle name="Uwaga 3 8 11" xfId="41992"/>
    <cellStyle name="Uwaga 3 8 12" xfId="41993"/>
    <cellStyle name="Uwaga 3 8 13" xfId="41994"/>
    <cellStyle name="Uwaga 3 8 14" xfId="41995"/>
    <cellStyle name="Uwaga 3 8 15" xfId="41996"/>
    <cellStyle name="Uwaga 3 8 16" xfId="41997"/>
    <cellStyle name="Uwaga 3 8 17" xfId="41998"/>
    <cellStyle name="Uwaga 3 8 18" xfId="41999"/>
    <cellStyle name="Uwaga 3 8 19" xfId="42000"/>
    <cellStyle name="Uwaga 3 8 2" xfId="42001"/>
    <cellStyle name="Uwaga 3 8 3" xfId="42002"/>
    <cellStyle name="Uwaga 3 8 4" xfId="42003"/>
    <cellStyle name="Uwaga 3 8 5" xfId="42004"/>
    <cellStyle name="Uwaga 3 8 6" xfId="42005"/>
    <cellStyle name="Uwaga 3 8 7" xfId="42006"/>
    <cellStyle name="Uwaga 3 8 8" xfId="42007"/>
    <cellStyle name="Uwaga 3 8 9" xfId="42008"/>
    <cellStyle name="Uwaga 3 9" xfId="42009"/>
    <cellStyle name="Uwaga 3 9 10" xfId="42010"/>
    <cellStyle name="Uwaga 3 9 11" xfId="42011"/>
    <cellStyle name="Uwaga 3 9 12" xfId="42012"/>
    <cellStyle name="Uwaga 3 9 13" xfId="42013"/>
    <cellStyle name="Uwaga 3 9 14" xfId="42014"/>
    <cellStyle name="Uwaga 3 9 15" xfId="42015"/>
    <cellStyle name="Uwaga 3 9 16" xfId="42016"/>
    <cellStyle name="Uwaga 3 9 17" xfId="42017"/>
    <cellStyle name="Uwaga 3 9 18" xfId="42018"/>
    <cellStyle name="Uwaga 3 9 19" xfId="42019"/>
    <cellStyle name="Uwaga 3 9 2" xfId="42020"/>
    <cellStyle name="Uwaga 3 9 3" xfId="42021"/>
    <cellStyle name="Uwaga 3 9 4" xfId="42022"/>
    <cellStyle name="Uwaga 3 9 5" xfId="42023"/>
    <cellStyle name="Uwaga 3 9 6" xfId="42024"/>
    <cellStyle name="Uwaga 3 9 7" xfId="42025"/>
    <cellStyle name="Uwaga 3 9 8" xfId="42026"/>
    <cellStyle name="Uwaga 3 9 9" xfId="42027"/>
    <cellStyle name="Uwaga 30" xfId="42028"/>
    <cellStyle name="Uwaga 31" xfId="42029"/>
    <cellStyle name="Uwaga 32" xfId="42030"/>
    <cellStyle name="Uwaga 33" xfId="42031"/>
    <cellStyle name="Uwaga 33 2" xfId="42032"/>
    <cellStyle name="Uwaga 34" xfId="42033"/>
    <cellStyle name="Uwaga 34 2" xfId="42034"/>
    <cellStyle name="Uwaga 35" xfId="42035"/>
    <cellStyle name="Uwaga 35 2" xfId="42036"/>
    <cellStyle name="Uwaga 36" xfId="42037"/>
    <cellStyle name="Uwaga 36 2" xfId="42038"/>
    <cellStyle name="Uwaga 37" xfId="42039"/>
    <cellStyle name="Uwaga 37 2" xfId="42040"/>
    <cellStyle name="Uwaga 38" xfId="42041"/>
    <cellStyle name="Uwaga 38 2" xfId="42042"/>
    <cellStyle name="Uwaga 39" xfId="42043"/>
    <cellStyle name="Uwaga 39 2" xfId="42044"/>
    <cellStyle name="Uwaga 4" xfId="42045"/>
    <cellStyle name="Uwaga 4 10" xfId="42046"/>
    <cellStyle name="Uwaga 4 11" xfId="42047"/>
    <cellStyle name="Uwaga 4 12" xfId="42048"/>
    <cellStyle name="Uwaga 4 13" xfId="42049"/>
    <cellStyle name="Uwaga 4 14" xfId="42050"/>
    <cellStyle name="Uwaga 4 15" xfId="42051"/>
    <cellStyle name="Uwaga 4 16" xfId="42052"/>
    <cellStyle name="Uwaga 4 17" xfId="42053"/>
    <cellStyle name="Uwaga 4 18" xfId="42054"/>
    <cellStyle name="Uwaga 4 19" xfId="42055"/>
    <cellStyle name="Uwaga 4 2" xfId="42056"/>
    <cellStyle name="Uwaga 4 2 2" xfId="42057"/>
    <cellStyle name="Uwaga 4 20" xfId="42058"/>
    <cellStyle name="Uwaga 4 21" xfId="42059"/>
    <cellStyle name="Uwaga 4 22" xfId="42060"/>
    <cellStyle name="Uwaga 4 23" xfId="42061"/>
    <cellStyle name="Uwaga 4 3" xfId="42062"/>
    <cellStyle name="Uwaga 4 3 2" xfId="42063"/>
    <cellStyle name="Uwaga 4 4" xfId="42064"/>
    <cellStyle name="Uwaga 4 4 2" xfId="42065"/>
    <cellStyle name="Uwaga 4 5" xfId="42066"/>
    <cellStyle name="Uwaga 4 6" xfId="42067"/>
    <cellStyle name="Uwaga 4 7" xfId="42068"/>
    <cellStyle name="Uwaga 4 8" xfId="42069"/>
    <cellStyle name="Uwaga 4 9" xfId="42070"/>
    <cellStyle name="Uwaga 40" xfId="42071"/>
    <cellStyle name="Uwaga 40 2" xfId="42072"/>
    <cellStyle name="Uwaga 41" xfId="42073"/>
    <cellStyle name="Uwaga 41 2" xfId="42074"/>
    <cellStyle name="Uwaga 42" xfId="42075"/>
    <cellStyle name="Uwaga 42 2" xfId="42076"/>
    <cellStyle name="Uwaga 43" xfId="42077"/>
    <cellStyle name="Uwaga 43 2" xfId="42078"/>
    <cellStyle name="Uwaga 44" xfId="42079"/>
    <cellStyle name="Uwaga 44 2" xfId="42080"/>
    <cellStyle name="Uwaga 45" xfId="42081"/>
    <cellStyle name="Uwaga 45 2" xfId="42082"/>
    <cellStyle name="Uwaga 46" xfId="42083"/>
    <cellStyle name="Uwaga 46 2" xfId="42084"/>
    <cellStyle name="Uwaga 47" xfId="42085"/>
    <cellStyle name="Uwaga 47 2" xfId="42086"/>
    <cellStyle name="Uwaga 48" xfId="42087"/>
    <cellStyle name="Uwaga 48 2" xfId="42088"/>
    <cellStyle name="Uwaga 49" xfId="42089"/>
    <cellStyle name="Uwaga 49 2" xfId="42090"/>
    <cellStyle name="Uwaga 5" xfId="42091"/>
    <cellStyle name="Uwaga 5 2" xfId="42092"/>
    <cellStyle name="Uwaga 5 3" xfId="42093"/>
    <cellStyle name="Uwaga 5 4" xfId="42094"/>
    <cellStyle name="Uwaga 50" xfId="42095"/>
    <cellStyle name="Uwaga 50 2" xfId="42096"/>
    <cellStyle name="Uwaga 51" xfId="42097"/>
    <cellStyle name="Uwaga 51 2" xfId="42098"/>
    <cellStyle name="Uwaga 52" xfId="42099"/>
    <cellStyle name="Uwaga 52 2" xfId="42100"/>
    <cellStyle name="Uwaga 53" xfId="42101"/>
    <cellStyle name="Uwaga 53 2" xfId="42102"/>
    <cellStyle name="Uwaga 54" xfId="42103"/>
    <cellStyle name="Uwaga 54 2" xfId="42104"/>
    <cellStyle name="Uwaga 55" xfId="42105"/>
    <cellStyle name="Uwaga 55 2" xfId="42106"/>
    <cellStyle name="Uwaga 56" xfId="42107"/>
    <cellStyle name="Uwaga 56 2" xfId="42108"/>
    <cellStyle name="Uwaga 57" xfId="42109"/>
    <cellStyle name="Uwaga 57 2" xfId="42110"/>
    <cellStyle name="Uwaga 58" xfId="42111"/>
    <cellStyle name="Uwaga 58 2" xfId="42112"/>
    <cellStyle name="Uwaga 59" xfId="42113"/>
    <cellStyle name="Uwaga 59 2" xfId="42114"/>
    <cellStyle name="Uwaga 6" xfId="42115"/>
    <cellStyle name="Uwaga 6 2" xfId="42116"/>
    <cellStyle name="Uwaga 6 3" xfId="42117"/>
    <cellStyle name="Uwaga 6 4" xfId="42118"/>
    <cellStyle name="Uwaga 60" xfId="42119"/>
    <cellStyle name="Uwaga 60 2" xfId="42120"/>
    <cellStyle name="Uwaga 61" xfId="42121"/>
    <cellStyle name="Uwaga 61 2" xfId="42122"/>
    <cellStyle name="Uwaga 62" xfId="42123"/>
    <cellStyle name="Uwaga 62 2" xfId="42124"/>
    <cellStyle name="Uwaga 63" xfId="42125"/>
    <cellStyle name="Uwaga 63 2" xfId="42126"/>
    <cellStyle name="Uwaga 64" xfId="42127"/>
    <cellStyle name="Uwaga 64 2" xfId="42128"/>
    <cellStyle name="Uwaga 65" xfId="42129"/>
    <cellStyle name="Uwaga 65 2" xfId="42130"/>
    <cellStyle name="Uwaga 66" xfId="42131"/>
    <cellStyle name="Uwaga 66 2" xfId="42132"/>
    <cellStyle name="Uwaga 67" xfId="42133"/>
    <cellStyle name="Uwaga 67 2" xfId="42134"/>
    <cellStyle name="Uwaga 68" xfId="42135"/>
    <cellStyle name="Uwaga 68 2" xfId="42136"/>
    <cellStyle name="Uwaga 69" xfId="42137"/>
    <cellStyle name="Uwaga 69 2" xfId="42138"/>
    <cellStyle name="Uwaga 7" xfId="42139"/>
    <cellStyle name="Uwaga 7 2" xfId="42140"/>
    <cellStyle name="Uwaga 7 3" xfId="42141"/>
    <cellStyle name="Uwaga 7 4" xfId="42142"/>
    <cellStyle name="Uwaga 70" xfId="42143"/>
    <cellStyle name="Uwaga 70 2" xfId="42144"/>
    <cellStyle name="Uwaga 71" xfId="42145"/>
    <cellStyle name="Uwaga 71 2" xfId="42146"/>
    <cellStyle name="Uwaga 72" xfId="42147"/>
    <cellStyle name="Uwaga 72 2" xfId="42148"/>
    <cellStyle name="Uwaga 73" xfId="42149"/>
    <cellStyle name="Uwaga 73 2" xfId="42150"/>
    <cellStyle name="Uwaga 74" xfId="42151"/>
    <cellStyle name="Uwaga 74 2" xfId="42152"/>
    <cellStyle name="Uwaga 75" xfId="42153"/>
    <cellStyle name="Uwaga 75 2" xfId="42154"/>
    <cellStyle name="Uwaga 76" xfId="42155"/>
    <cellStyle name="Uwaga 76 2" xfId="42156"/>
    <cellStyle name="Uwaga 77" xfId="42157"/>
    <cellStyle name="Uwaga 77 2" xfId="42158"/>
    <cellStyle name="Uwaga 78" xfId="42159"/>
    <cellStyle name="Uwaga 78 2" xfId="42160"/>
    <cellStyle name="Uwaga 79" xfId="42161"/>
    <cellStyle name="Uwaga 79 2" xfId="42162"/>
    <cellStyle name="Uwaga 8" xfId="42163"/>
    <cellStyle name="Uwaga 8 2" xfId="42164"/>
    <cellStyle name="Uwaga 8 3" xfId="42165"/>
    <cellStyle name="Uwaga 80" xfId="42166"/>
    <cellStyle name="Uwaga 80 2" xfId="42167"/>
    <cellStyle name="Uwaga 81" xfId="42168"/>
    <cellStyle name="Uwaga 81 2" xfId="42169"/>
    <cellStyle name="Uwaga 82" xfId="42170"/>
    <cellStyle name="Uwaga 82 2" xfId="42171"/>
    <cellStyle name="Uwaga 83" xfId="42172"/>
    <cellStyle name="Uwaga 83 2" xfId="42173"/>
    <cellStyle name="Uwaga 84" xfId="42174"/>
    <cellStyle name="Uwaga 84 2" xfId="42175"/>
    <cellStyle name="Uwaga 85" xfId="42176"/>
    <cellStyle name="Uwaga 85 2" xfId="42177"/>
    <cellStyle name="Uwaga 86" xfId="42178"/>
    <cellStyle name="Uwaga 86 2" xfId="42179"/>
    <cellStyle name="Uwaga 87" xfId="42180"/>
    <cellStyle name="Uwaga 87 2" xfId="42181"/>
    <cellStyle name="Uwaga 88" xfId="42182"/>
    <cellStyle name="Uwaga 88 2" xfId="42183"/>
    <cellStyle name="Uwaga 89" xfId="42184"/>
    <cellStyle name="Uwaga 89 2" xfId="42185"/>
    <cellStyle name="Uwaga 9" xfId="42186"/>
    <cellStyle name="Uwaga 90" xfId="42187"/>
    <cellStyle name="Uwaga 90 2" xfId="42188"/>
    <cellStyle name="Uwaga 91" xfId="42189"/>
    <cellStyle name="Uwaga 91 2" xfId="42190"/>
    <cellStyle name="Uwaga 92" xfId="42191"/>
    <cellStyle name="Uwaga 92 2" xfId="42192"/>
    <cellStyle name="Uwaga 93" xfId="42193"/>
    <cellStyle name="Uwaga 93 2" xfId="42194"/>
    <cellStyle name="Uwaga 94" xfId="42195"/>
    <cellStyle name="Uwaga 94 2" xfId="42196"/>
    <cellStyle name="Uwaga 95" xfId="42197"/>
    <cellStyle name="Uwaga 95 2" xfId="42198"/>
    <cellStyle name="Uwaga 96" xfId="42199"/>
    <cellStyle name="Uwaga 96 2" xfId="42200"/>
    <cellStyle name="Uwaga 97" xfId="42201"/>
    <cellStyle name="Uwaga 97 2" xfId="42202"/>
    <cellStyle name="Uwaga 98" xfId="42203"/>
    <cellStyle name="Uwaga 98 2" xfId="42204"/>
    <cellStyle name="Uwaga 99" xfId="42205"/>
    <cellStyle name="Uwaga 99 2" xfId="42206"/>
    <cellStyle name="Valuta - Style2" xfId="42207"/>
    <cellStyle name="Valuta (0)" xfId="42208"/>
    <cellStyle name="Valuta_Ark1" xfId="42209"/>
    <cellStyle name="Währung [0]_Bal sheet - Liab. IHSW" xfId="42210"/>
    <cellStyle name="Währung_Bal sheet - Liab. IHSW" xfId="42211"/>
    <cellStyle name="Walutowy 2" xfId="42212"/>
    <cellStyle name="Walutowy 2 10" xfId="42213"/>
    <cellStyle name="Walutowy 2 11" xfId="42214"/>
    <cellStyle name="Walutowy 2 12" xfId="42215"/>
    <cellStyle name="Walutowy 2 13" xfId="42216"/>
    <cellStyle name="Walutowy 2 14" xfId="42217"/>
    <cellStyle name="Walutowy 2 15" xfId="42218"/>
    <cellStyle name="Walutowy 2 16" xfId="42219"/>
    <cellStyle name="Walutowy 2 17" xfId="42220"/>
    <cellStyle name="Walutowy 2 18" xfId="42221"/>
    <cellStyle name="Walutowy 2 2" xfId="42222"/>
    <cellStyle name="Walutowy 2 2 2" xfId="42223"/>
    <cellStyle name="Walutowy 2 2 3" xfId="42224"/>
    <cellStyle name="Walutowy 2 2 4" xfId="42225"/>
    <cellStyle name="Walutowy 2 2 5" xfId="42226"/>
    <cellStyle name="Walutowy 2 2 6" xfId="42227"/>
    <cellStyle name="Walutowy 2 2 7" xfId="42228"/>
    <cellStyle name="Walutowy 2 3" xfId="42229"/>
    <cellStyle name="Walutowy 2 3 2" xfId="42230"/>
    <cellStyle name="Walutowy 2 3 3" xfId="42231"/>
    <cellStyle name="Walutowy 2 3 4" xfId="42232"/>
    <cellStyle name="Walutowy 2 4" xfId="42233"/>
    <cellStyle name="Walutowy 2 5" xfId="42234"/>
    <cellStyle name="Walutowy 2 6" xfId="42235"/>
    <cellStyle name="Walutowy 2 7" xfId="42236"/>
    <cellStyle name="Walutowy 2 8" xfId="42237"/>
    <cellStyle name="Walutowy 2 9" xfId="42238"/>
    <cellStyle name="Walutowy 3" xfId="42239"/>
    <cellStyle name="Walutowy 3 10" xfId="42240"/>
    <cellStyle name="Walutowy 3 11" xfId="42241"/>
    <cellStyle name="Walutowy 3 12" xfId="42242"/>
    <cellStyle name="Walutowy 3 13" xfId="42243"/>
    <cellStyle name="Walutowy 3 14" xfId="42244"/>
    <cellStyle name="Walutowy 3 15" xfId="42245"/>
    <cellStyle name="Walutowy 3 16" xfId="42246"/>
    <cellStyle name="Walutowy 3 17" xfId="42247"/>
    <cellStyle name="Walutowy 3 18" xfId="42248"/>
    <cellStyle name="Walutowy 3 19" xfId="42249"/>
    <cellStyle name="Walutowy 3 2" xfId="42250"/>
    <cellStyle name="Walutowy 3 20" xfId="42251"/>
    <cellStyle name="Walutowy 3 3" xfId="42252"/>
    <cellStyle name="Walutowy 3 4" xfId="42253"/>
    <cellStyle name="Walutowy 3 5" xfId="42254"/>
    <cellStyle name="Walutowy 3 6" xfId="42255"/>
    <cellStyle name="Walutowy 3 7" xfId="42256"/>
    <cellStyle name="Walutowy 3 8" xfId="42257"/>
    <cellStyle name="Walutowy 3 9" xfId="42258"/>
    <cellStyle name="Walutowy 4" xfId="42259"/>
    <cellStyle name="Walutowy 5" xfId="42260"/>
    <cellStyle name="Złe 2" xfId="42261"/>
    <cellStyle name="Złe 2 10" xfId="42262"/>
    <cellStyle name="Złe 2 10 10" xfId="42263"/>
    <cellStyle name="Złe 2 10 11" xfId="42264"/>
    <cellStyle name="Złe 2 10 12" xfId="42265"/>
    <cellStyle name="Złe 2 10 13" xfId="42266"/>
    <cellStyle name="Złe 2 10 14" xfId="42267"/>
    <cellStyle name="Złe 2 10 15" xfId="42268"/>
    <cellStyle name="Złe 2 10 16" xfId="42269"/>
    <cellStyle name="Złe 2 10 17" xfId="42270"/>
    <cellStyle name="Złe 2 10 18" xfId="42271"/>
    <cellStyle name="Złe 2 10 19" xfId="42272"/>
    <cellStyle name="Złe 2 10 2" xfId="42273"/>
    <cellStyle name="Złe 2 10 3" xfId="42274"/>
    <cellStyle name="Złe 2 10 4" xfId="42275"/>
    <cellStyle name="Złe 2 10 5" xfId="42276"/>
    <cellStyle name="Złe 2 10 6" xfId="42277"/>
    <cellStyle name="Złe 2 10 7" xfId="42278"/>
    <cellStyle name="Złe 2 10 8" xfId="42279"/>
    <cellStyle name="Złe 2 10 9" xfId="42280"/>
    <cellStyle name="Złe 2 11" xfId="42281"/>
    <cellStyle name="Złe 2 11 10" xfId="42282"/>
    <cellStyle name="Złe 2 11 11" xfId="42283"/>
    <cellStyle name="Złe 2 11 12" xfId="42284"/>
    <cellStyle name="Złe 2 11 13" xfId="42285"/>
    <cellStyle name="Złe 2 11 14" xfId="42286"/>
    <cellStyle name="Złe 2 11 15" xfId="42287"/>
    <cellStyle name="Złe 2 11 16" xfId="42288"/>
    <cellStyle name="Złe 2 11 17" xfId="42289"/>
    <cellStyle name="Złe 2 11 18" xfId="42290"/>
    <cellStyle name="Złe 2 11 19" xfId="42291"/>
    <cellStyle name="Złe 2 11 2" xfId="42292"/>
    <cellStyle name="Złe 2 11 3" xfId="42293"/>
    <cellStyle name="Złe 2 11 4" xfId="42294"/>
    <cellStyle name="Złe 2 11 5" xfId="42295"/>
    <cellStyle name="Złe 2 11 6" xfId="42296"/>
    <cellStyle name="Złe 2 11 7" xfId="42297"/>
    <cellStyle name="Złe 2 11 8" xfId="42298"/>
    <cellStyle name="Złe 2 11 9" xfId="42299"/>
    <cellStyle name="Złe 2 12" xfId="42300"/>
    <cellStyle name="Złe 2 12 10" xfId="42301"/>
    <cellStyle name="Złe 2 12 11" xfId="42302"/>
    <cellStyle name="Złe 2 12 12" xfId="42303"/>
    <cellStyle name="Złe 2 12 13" xfId="42304"/>
    <cellStyle name="Złe 2 12 14" xfId="42305"/>
    <cellStyle name="Złe 2 12 15" xfId="42306"/>
    <cellStyle name="Złe 2 12 16" xfId="42307"/>
    <cellStyle name="Złe 2 12 17" xfId="42308"/>
    <cellStyle name="Złe 2 12 18" xfId="42309"/>
    <cellStyle name="Złe 2 12 19" xfId="42310"/>
    <cellStyle name="Złe 2 12 2" xfId="42311"/>
    <cellStyle name="Złe 2 12 3" xfId="42312"/>
    <cellStyle name="Złe 2 12 4" xfId="42313"/>
    <cellStyle name="Złe 2 12 5" xfId="42314"/>
    <cellStyle name="Złe 2 12 6" xfId="42315"/>
    <cellStyle name="Złe 2 12 7" xfId="42316"/>
    <cellStyle name="Złe 2 12 8" xfId="42317"/>
    <cellStyle name="Złe 2 12 9" xfId="42318"/>
    <cellStyle name="Złe 2 13" xfId="42319"/>
    <cellStyle name="Złe 2 13 10" xfId="42320"/>
    <cellStyle name="Złe 2 13 11" xfId="42321"/>
    <cellStyle name="Złe 2 13 12" xfId="42322"/>
    <cellStyle name="Złe 2 13 13" xfId="42323"/>
    <cellStyle name="Złe 2 13 14" xfId="42324"/>
    <cellStyle name="Złe 2 13 15" xfId="42325"/>
    <cellStyle name="Złe 2 13 16" xfId="42326"/>
    <cellStyle name="Złe 2 13 17" xfId="42327"/>
    <cellStyle name="Złe 2 13 18" xfId="42328"/>
    <cellStyle name="Złe 2 13 19" xfId="42329"/>
    <cellStyle name="Złe 2 13 2" xfId="42330"/>
    <cellStyle name="Złe 2 13 3" xfId="42331"/>
    <cellStyle name="Złe 2 13 4" xfId="42332"/>
    <cellStyle name="Złe 2 13 5" xfId="42333"/>
    <cellStyle name="Złe 2 13 6" xfId="42334"/>
    <cellStyle name="Złe 2 13 7" xfId="42335"/>
    <cellStyle name="Złe 2 13 8" xfId="42336"/>
    <cellStyle name="Złe 2 13 9" xfId="42337"/>
    <cellStyle name="Złe 2 14" xfId="42338"/>
    <cellStyle name="Złe 2 14 10" xfId="42339"/>
    <cellStyle name="Złe 2 14 11" xfId="42340"/>
    <cellStyle name="Złe 2 14 12" xfId="42341"/>
    <cellStyle name="Złe 2 14 13" xfId="42342"/>
    <cellStyle name="Złe 2 14 14" xfId="42343"/>
    <cellStyle name="Złe 2 14 15" xfId="42344"/>
    <cellStyle name="Złe 2 14 16" xfId="42345"/>
    <cellStyle name="Złe 2 14 17" xfId="42346"/>
    <cellStyle name="Złe 2 14 18" xfId="42347"/>
    <cellStyle name="Złe 2 14 19" xfId="42348"/>
    <cellStyle name="Złe 2 14 2" xfId="42349"/>
    <cellStyle name="Złe 2 14 3" xfId="42350"/>
    <cellStyle name="Złe 2 14 4" xfId="42351"/>
    <cellStyle name="Złe 2 14 5" xfId="42352"/>
    <cellStyle name="Złe 2 14 6" xfId="42353"/>
    <cellStyle name="Złe 2 14 7" xfId="42354"/>
    <cellStyle name="Złe 2 14 8" xfId="42355"/>
    <cellStyle name="Złe 2 14 9" xfId="42356"/>
    <cellStyle name="Złe 2 15" xfId="42357"/>
    <cellStyle name="Złe 2 15 10" xfId="42358"/>
    <cellStyle name="Złe 2 15 11" xfId="42359"/>
    <cellStyle name="Złe 2 15 12" xfId="42360"/>
    <cellStyle name="Złe 2 15 13" xfId="42361"/>
    <cellStyle name="Złe 2 15 14" xfId="42362"/>
    <cellStyle name="Złe 2 15 15" xfId="42363"/>
    <cellStyle name="Złe 2 15 16" xfId="42364"/>
    <cellStyle name="Złe 2 15 17" xfId="42365"/>
    <cellStyle name="Złe 2 15 18" xfId="42366"/>
    <cellStyle name="Złe 2 15 19" xfId="42367"/>
    <cellStyle name="Złe 2 15 2" xfId="42368"/>
    <cellStyle name="Złe 2 15 3" xfId="42369"/>
    <cellStyle name="Złe 2 15 4" xfId="42370"/>
    <cellStyle name="Złe 2 15 5" xfId="42371"/>
    <cellStyle name="Złe 2 15 6" xfId="42372"/>
    <cellStyle name="Złe 2 15 7" xfId="42373"/>
    <cellStyle name="Złe 2 15 8" xfId="42374"/>
    <cellStyle name="Złe 2 15 9" xfId="42375"/>
    <cellStyle name="Złe 2 16" xfId="42376"/>
    <cellStyle name="Złe 2 16 10" xfId="42377"/>
    <cellStyle name="Złe 2 16 11" xfId="42378"/>
    <cellStyle name="Złe 2 16 12" xfId="42379"/>
    <cellStyle name="Złe 2 16 13" xfId="42380"/>
    <cellStyle name="Złe 2 16 14" xfId="42381"/>
    <cellStyle name="Złe 2 16 15" xfId="42382"/>
    <cellStyle name="Złe 2 16 16" xfId="42383"/>
    <cellStyle name="Złe 2 16 17" xfId="42384"/>
    <cellStyle name="Złe 2 16 18" xfId="42385"/>
    <cellStyle name="Złe 2 16 19" xfId="42386"/>
    <cellStyle name="Złe 2 16 2" xfId="42387"/>
    <cellStyle name="Złe 2 16 3" xfId="42388"/>
    <cellStyle name="Złe 2 16 4" xfId="42389"/>
    <cellStyle name="Złe 2 16 5" xfId="42390"/>
    <cellStyle name="Złe 2 16 6" xfId="42391"/>
    <cellStyle name="Złe 2 16 7" xfId="42392"/>
    <cellStyle name="Złe 2 16 8" xfId="42393"/>
    <cellStyle name="Złe 2 16 9" xfId="42394"/>
    <cellStyle name="Złe 2 17" xfId="42395"/>
    <cellStyle name="Złe 2 17 10" xfId="42396"/>
    <cellStyle name="Złe 2 17 11" xfId="42397"/>
    <cellStyle name="Złe 2 17 12" xfId="42398"/>
    <cellStyle name="Złe 2 17 13" xfId="42399"/>
    <cellStyle name="Złe 2 17 14" xfId="42400"/>
    <cellStyle name="Złe 2 17 15" xfId="42401"/>
    <cellStyle name="Złe 2 17 16" xfId="42402"/>
    <cellStyle name="Złe 2 17 17" xfId="42403"/>
    <cellStyle name="Złe 2 17 18" xfId="42404"/>
    <cellStyle name="Złe 2 17 19" xfId="42405"/>
    <cellStyle name="Złe 2 17 2" xfId="42406"/>
    <cellStyle name="Złe 2 17 3" xfId="42407"/>
    <cellStyle name="Złe 2 17 4" xfId="42408"/>
    <cellStyle name="Złe 2 17 5" xfId="42409"/>
    <cellStyle name="Złe 2 17 6" xfId="42410"/>
    <cellStyle name="Złe 2 17 7" xfId="42411"/>
    <cellStyle name="Złe 2 17 8" xfId="42412"/>
    <cellStyle name="Złe 2 17 9" xfId="42413"/>
    <cellStyle name="Złe 2 18" xfId="42414"/>
    <cellStyle name="Złe 2 18 10" xfId="42415"/>
    <cellStyle name="Złe 2 18 11" xfId="42416"/>
    <cellStyle name="Złe 2 18 12" xfId="42417"/>
    <cellStyle name="Złe 2 18 13" xfId="42418"/>
    <cellStyle name="Złe 2 18 14" xfId="42419"/>
    <cellStyle name="Złe 2 18 15" xfId="42420"/>
    <cellStyle name="Złe 2 18 16" xfId="42421"/>
    <cellStyle name="Złe 2 18 17" xfId="42422"/>
    <cellStyle name="Złe 2 18 18" xfId="42423"/>
    <cellStyle name="Złe 2 18 19" xfId="42424"/>
    <cellStyle name="Złe 2 18 2" xfId="42425"/>
    <cellStyle name="Złe 2 18 3" xfId="42426"/>
    <cellStyle name="Złe 2 18 4" xfId="42427"/>
    <cellStyle name="Złe 2 18 5" xfId="42428"/>
    <cellStyle name="Złe 2 18 6" xfId="42429"/>
    <cellStyle name="Złe 2 18 7" xfId="42430"/>
    <cellStyle name="Złe 2 18 8" xfId="42431"/>
    <cellStyle name="Złe 2 18 9" xfId="42432"/>
    <cellStyle name="Złe 2 19" xfId="42433"/>
    <cellStyle name="Złe 2 19 10" xfId="42434"/>
    <cellStyle name="Złe 2 19 11" xfId="42435"/>
    <cellStyle name="Złe 2 19 12" xfId="42436"/>
    <cellStyle name="Złe 2 19 13" xfId="42437"/>
    <cellStyle name="Złe 2 19 14" xfId="42438"/>
    <cellStyle name="Złe 2 19 15" xfId="42439"/>
    <cellStyle name="Złe 2 19 16" xfId="42440"/>
    <cellStyle name="Złe 2 19 17" xfId="42441"/>
    <cellStyle name="Złe 2 19 18" xfId="42442"/>
    <cellStyle name="Złe 2 19 19" xfId="42443"/>
    <cellStyle name="Złe 2 19 2" xfId="42444"/>
    <cellStyle name="Złe 2 19 3" xfId="42445"/>
    <cellStyle name="Złe 2 19 4" xfId="42446"/>
    <cellStyle name="Złe 2 19 5" xfId="42447"/>
    <cellStyle name="Złe 2 19 6" xfId="42448"/>
    <cellStyle name="Złe 2 19 7" xfId="42449"/>
    <cellStyle name="Złe 2 19 8" xfId="42450"/>
    <cellStyle name="Złe 2 19 9" xfId="42451"/>
    <cellStyle name="Złe 2 2" xfId="42452"/>
    <cellStyle name="Złe 2 2 10" xfId="42453"/>
    <cellStyle name="Złe 2 2 11" xfId="42454"/>
    <cellStyle name="Złe 2 2 12" xfId="42455"/>
    <cellStyle name="Złe 2 2 13" xfId="42456"/>
    <cellStyle name="Złe 2 2 14" xfId="42457"/>
    <cellStyle name="Złe 2 2 15" xfId="42458"/>
    <cellStyle name="Złe 2 2 16" xfId="42459"/>
    <cellStyle name="Złe 2 2 17" xfId="42460"/>
    <cellStyle name="Złe 2 2 18" xfId="42461"/>
    <cellStyle name="Złe 2 2 19" xfId="42462"/>
    <cellStyle name="Złe 2 2 2" xfId="42463"/>
    <cellStyle name="Złe 2 2 20" xfId="42464"/>
    <cellStyle name="Złe 2 2 3" xfId="42465"/>
    <cellStyle name="Złe 2 2 4" xfId="42466"/>
    <cellStyle name="Złe 2 2 5" xfId="42467"/>
    <cellStyle name="Złe 2 2 6" xfId="42468"/>
    <cellStyle name="Złe 2 2 7" xfId="42469"/>
    <cellStyle name="Złe 2 2 8" xfId="42470"/>
    <cellStyle name="Złe 2 2 9" xfId="42471"/>
    <cellStyle name="Złe 2 20" xfId="42472"/>
    <cellStyle name="Złe 2 20 10" xfId="42473"/>
    <cellStyle name="Złe 2 20 11" xfId="42474"/>
    <cellStyle name="Złe 2 20 12" xfId="42475"/>
    <cellStyle name="Złe 2 20 13" xfId="42476"/>
    <cellStyle name="Złe 2 20 14" xfId="42477"/>
    <cellStyle name="Złe 2 20 15" xfId="42478"/>
    <cellStyle name="Złe 2 20 16" xfId="42479"/>
    <cellStyle name="Złe 2 20 17" xfId="42480"/>
    <cellStyle name="Złe 2 20 18" xfId="42481"/>
    <cellStyle name="Złe 2 20 19" xfId="42482"/>
    <cellStyle name="Złe 2 20 2" xfId="42483"/>
    <cellStyle name="Złe 2 20 3" xfId="42484"/>
    <cellStyle name="Złe 2 20 4" xfId="42485"/>
    <cellStyle name="Złe 2 20 5" xfId="42486"/>
    <cellStyle name="Złe 2 20 6" xfId="42487"/>
    <cellStyle name="Złe 2 20 7" xfId="42488"/>
    <cellStyle name="Złe 2 20 8" xfId="42489"/>
    <cellStyle name="Złe 2 20 9" xfId="42490"/>
    <cellStyle name="Złe 2 21" xfId="42491"/>
    <cellStyle name="Złe 2 21 10" xfId="42492"/>
    <cellStyle name="Złe 2 21 11" xfId="42493"/>
    <cellStyle name="Złe 2 21 12" xfId="42494"/>
    <cellStyle name="Złe 2 21 13" xfId="42495"/>
    <cellStyle name="Złe 2 21 14" xfId="42496"/>
    <cellStyle name="Złe 2 21 15" xfId="42497"/>
    <cellStyle name="Złe 2 21 16" xfId="42498"/>
    <cellStyle name="Złe 2 21 17" xfId="42499"/>
    <cellStyle name="Złe 2 21 18" xfId="42500"/>
    <cellStyle name="Złe 2 21 19" xfId="42501"/>
    <cellStyle name="Złe 2 21 2" xfId="42502"/>
    <cellStyle name="Złe 2 21 3" xfId="42503"/>
    <cellStyle name="Złe 2 21 4" xfId="42504"/>
    <cellStyle name="Złe 2 21 5" xfId="42505"/>
    <cellStyle name="Złe 2 21 6" xfId="42506"/>
    <cellStyle name="Złe 2 21 7" xfId="42507"/>
    <cellStyle name="Złe 2 21 8" xfId="42508"/>
    <cellStyle name="Złe 2 21 9" xfId="42509"/>
    <cellStyle name="Złe 2 22" xfId="42510"/>
    <cellStyle name="Złe 2 22 10" xfId="42511"/>
    <cellStyle name="Złe 2 22 11" xfId="42512"/>
    <cellStyle name="Złe 2 22 12" xfId="42513"/>
    <cellStyle name="Złe 2 22 13" xfId="42514"/>
    <cellStyle name="Złe 2 22 14" xfId="42515"/>
    <cellStyle name="Złe 2 22 15" xfId="42516"/>
    <cellStyle name="Złe 2 22 16" xfId="42517"/>
    <cellStyle name="Złe 2 22 17" xfId="42518"/>
    <cellStyle name="Złe 2 22 18" xfId="42519"/>
    <cellStyle name="Złe 2 22 19" xfId="42520"/>
    <cellStyle name="Złe 2 22 2" xfId="42521"/>
    <cellStyle name="Złe 2 22 3" xfId="42522"/>
    <cellStyle name="Złe 2 22 4" xfId="42523"/>
    <cellStyle name="Złe 2 22 5" xfId="42524"/>
    <cellStyle name="Złe 2 22 6" xfId="42525"/>
    <cellStyle name="Złe 2 22 7" xfId="42526"/>
    <cellStyle name="Złe 2 22 8" xfId="42527"/>
    <cellStyle name="Złe 2 22 9" xfId="42528"/>
    <cellStyle name="Złe 2 23" xfId="42529"/>
    <cellStyle name="Złe 2 23 10" xfId="42530"/>
    <cellStyle name="Złe 2 23 11" xfId="42531"/>
    <cellStyle name="Złe 2 23 12" xfId="42532"/>
    <cellStyle name="Złe 2 23 13" xfId="42533"/>
    <cellStyle name="Złe 2 23 14" xfId="42534"/>
    <cellStyle name="Złe 2 23 15" xfId="42535"/>
    <cellStyle name="Złe 2 23 16" xfId="42536"/>
    <cellStyle name="Złe 2 23 17" xfId="42537"/>
    <cellStyle name="Złe 2 23 18" xfId="42538"/>
    <cellStyle name="Złe 2 23 19" xfId="42539"/>
    <cellStyle name="Złe 2 23 2" xfId="42540"/>
    <cellStyle name="Złe 2 23 3" xfId="42541"/>
    <cellStyle name="Złe 2 23 4" xfId="42542"/>
    <cellStyle name="Złe 2 23 5" xfId="42543"/>
    <cellStyle name="Złe 2 23 6" xfId="42544"/>
    <cellStyle name="Złe 2 23 7" xfId="42545"/>
    <cellStyle name="Złe 2 23 8" xfId="42546"/>
    <cellStyle name="Złe 2 23 9" xfId="42547"/>
    <cellStyle name="Złe 2 24" xfId="42548"/>
    <cellStyle name="Złe 2 24 10" xfId="42549"/>
    <cellStyle name="Złe 2 24 11" xfId="42550"/>
    <cellStyle name="Złe 2 24 12" xfId="42551"/>
    <cellStyle name="Złe 2 24 13" xfId="42552"/>
    <cellStyle name="Złe 2 24 14" xfId="42553"/>
    <cellStyle name="Złe 2 24 15" xfId="42554"/>
    <cellStyle name="Złe 2 24 16" xfId="42555"/>
    <cellStyle name="Złe 2 24 17" xfId="42556"/>
    <cellStyle name="Złe 2 24 18" xfId="42557"/>
    <cellStyle name="Złe 2 24 19" xfId="42558"/>
    <cellStyle name="Złe 2 24 2" xfId="42559"/>
    <cellStyle name="Złe 2 24 3" xfId="42560"/>
    <cellStyle name="Złe 2 24 4" xfId="42561"/>
    <cellStyle name="Złe 2 24 5" xfId="42562"/>
    <cellStyle name="Złe 2 24 6" xfId="42563"/>
    <cellStyle name="Złe 2 24 7" xfId="42564"/>
    <cellStyle name="Złe 2 24 8" xfId="42565"/>
    <cellStyle name="Złe 2 24 9" xfId="42566"/>
    <cellStyle name="Złe 2 25" xfId="42567"/>
    <cellStyle name="Złe 2 25 10" xfId="42568"/>
    <cellStyle name="Złe 2 25 11" xfId="42569"/>
    <cellStyle name="Złe 2 25 12" xfId="42570"/>
    <cellStyle name="Złe 2 25 13" xfId="42571"/>
    <cellStyle name="Złe 2 25 14" xfId="42572"/>
    <cellStyle name="Złe 2 25 15" xfId="42573"/>
    <cellStyle name="Złe 2 25 16" xfId="42574"/>
    <cellStyle name="Złe 2 25 17" xfId="42575"/>
    <cellStyle name="Złe 2 25 18" xfId="42576"/>
    <cellStyle name="Złe 2 25 19" xfId="42577"/>
    <cellStyle name="Złe 2 25 2" xfId="42578"/>
    <cellStyle name="Złe 2 25 3" xfId="42579"/>
    <cellStyle name="Złe 2 25 4" xfId="42580"/>
    <cellStyle name="Złe 2 25 5" xfId="42581"/>
    <cellStyle name="Złe 2 25 6" xfId="42582"/>
    <cellStyle name="Złe 2 25 7" xfId="42583"/>
    <cellStyle name="Złe 2 25 8" xfId="42584"/>
    <cellStyle name="Złe 2 25 9" xfId="42585"/>
    <cellStyle name="Złe 2 26" xfId="42586"/>
    <cellStyle name="Złe 2 26 10" xfId="42587"/>
    <cellStyle name="Złe 2 26 11" xfId="42588"/>
    <cellStyle name="Złe 2 26 12" xfId="42589"/>
    <cellStyle name="Złe 2 26 13" xfId="42590"/>
    <cellStyle name="Złe 2 26 14" xfId="42591"/>
    <cellStyle name="Złe 2 26 15" xfId="42592"/>
    <cellStyle name="Złe 2 26 16" xfId="42593"/>
    <cellStyle name="Złe 2 26 17" xfId="42594"/>
    <cellStyle name="Złe 2 26 18" xfId="42595"/>
    <cellStyle name="Złe 2 26 19" xfId="42596"/>
    <cellStyle name="Złe 2 26 2" xfId="42597"/>
    <cellStyle name="Złe 2 26 3" xfId="42598"/>
    <cellStyle name="Złe 2 26 4" xfId="42599"/>
    <cellStyle name="Złe 2 26 5" xfId="42600"/>
    <cellStyle name="Złe 2 26 6" xfId="42601"/>
    <cellStyle name="Złe 2 26 7" xfId="42602"/>
    <cellStyle name="Złe 2 26 8" xfId="42603"/>
    <cellStyle name="Złe 2 26 9" xfId="42604"/>
    <cellStyle name="Złe 2 27" xfId="42605"/>
    <cellStyle name="Złe 2 27 10" xfId="42606"/>
    <cellStyle name="Złe 2 27 11" xfId="42607"/>
    <cellStyle name="Złe 2 27 12" xfId="42608"/>
    <cellStyle name="Złe 2 27 13" xfId="42609"/>
    <cellStyle name="Złe 2 27 14" xfId="42610"/>
    <cellStyle name="Złe 2 27 15" xfId="42611"/>
    <cellStyle name="Złe 2 27 16" xfId="42612"/>
    <cellStyle name="Złe 2 27 17" xfId="42613"/>
    <cellStyle name="Złe 2 27 18" xfId="42614"/>
    <cellStyle name="Złe 2 27 19" xfId="42615"/>
    <cellStyle name="Złe 2 27 2" xfId="42616"/>
    <cellStyle name="Złe 2 27 3" xfId="42617"/>
    <cellStyle name="Złe 2 27 4" xfId="42618"/>
    <cellStyle name="Złe 2 27 5" xfId="42619"/>
    <cellStyle name="Złe 2 27 6" xfId="42620"/>
    <cellStyle name="Złe 2 27 7" xfId="42621"/>
    <cellStyle name="Złe 2 27 8" xfId="42622"/>
    <cellStyle name="Złe 2 27 9" xfId="42623"/>
    <cellStyle name="Złe 2 28" xfId="42624"/>
    <cellStyle name="Złe 2 28 10" xfId="42625"/>
    <cellStyle name="Złe 2 28 11" xfId="42626"/>
    <cellStyle name="Złe 2 28 12" xfId="42627"/>
    <cellStyle name="Złe 2 28 13" xfId="42628"/>
    <cellStyle name="Złe 2 28 14" xfId="42629"/>
    <cellStyle name="Złe 2 28 15" xfId="42630"/>
    <cellStyle name="Złe 2 28 16" xfId="42631"/>
    <cellStyle name="Złe 2 28 17" xfId="42632"/>
    <cellStyle name="Złe 2 28 18" xfId="42633"/>
    <cellStyle name="Złe 2 28 19" xfId="42634"/>
    <cellStyle name="Złe 2 28 2" xfId="42635"/>
    <cellStyle name="Złe 2 28 3" xfId="42636"/>
    <cellStyle name="Złe 2 28 4" xfId="42637"/>
    <cellStyle name="Złe 2 28 5" xfId="42638"/>
    <cellStyle name="Złe 2 28 6" xfId="42639"/>
    <cellStyle name="Złe 2 28 7" xfId="42640"/>
    <cellStyle name="Złe 2 28 8" xfId="42641"/>
    <cellStyle name="Złe 2 28 9" xfId="42642"/>
    <cellStyle name="Złe 2 29" xfId="42643"/>
    <cellStyle name="Złe 2 29 2" xfId="42644"/>
    <cellStyle name="Złe 2 3" xfId="42645"/>
    <cellStyle name="Złe 2 3 10" xfId="42646"/>
    <cellStyle name="Złe 2 3 11" xfId="42647"/>
    <cellStyle name="Złe 2 3 12" xfId="42648"/>
    <cellStyle name="Złe 2 3 13" xfId="42649"/>
    <cellStyle name="Złe 2 3 14" xfId="42650"/>
    <cellStyle name="Złe 2 3 15" xfId="42651"/>
    <cellStyle name="Złe 2 3 16" xfId="42652"/>
    <cellStyle name="Złe 2 3 17" xfId="42653"/>
    <cellStyle name="Złe 2 3 18" xfId="42654"/>
    <cellStyle name="Złe 2 3 19" xfId="42655"/>
    <cellStyle name="Złe 2 3 2" xfId="42656"/>
    <cellStyle name="Złe 2 3 3" xfId="42657"/>
    <cellStyle name="Złe 2 3 4" xfId="42658"/>
    <cellStyle name="Złe 2 3 5" xfId="42659"/>
    <cellStyle name="Złe 2 3 6" xfId="42660"/>
    <cellStyle name="Złe 2 3 7" xfId="42661"/>
    <cellStyle name="Złe 2 3 8" xfId="42662"/>
    <cellStyle name="Złe 2 3 9" xfId="42663"/>
    <cellStyle name="Złe 2 30" xfId="42664"/>
    <cellStyle name="Złe 2 30 2" xfId="42665"/>
    <cellStyle name="Złe 2 31" xfId="42666"/>
    <cellStyle name="Złe 2 31 2" xfId="42667"/>
    <cellStyle name="Złe 2 32" xfId="42668"/>
    <cellStyle name="Złe 2 32 2" xfId="42669"/>
    <cellStyle name="Złe 2 33" xfId="42670"/>
    <cellStyle name="Złe 2 34" xfId="42671"/>
    <cellStyle name="Złe 2 35" xfId="42672"/>
    <cellStyle name="Złe 2 36" xfId="42673"/>
    <cellStyle name="Złe 2 37" xfId="42674"/>
    <cellStyle name="Złe 2 38" xfId="42675"/>
    <cellStyle name="Złe 2 39" xfId="42676"/>
    <cellStyle name="Złe 2 4" xfId="42677"/>
    <cellStyle name="Złe 2 4 10" xfId="42678"/>
    <cellStyle name="Złe 2 4 11" xfId="42679"/>
    <cellStyle name="Złe 2 4 12" xfId="42680"/>
    <cellStyle name="Złe 2 4 13" xfId="42681"/>
    <cellStyle name="Złe 2 4 14" xfId="42682"/>
    <cellStyle name="Złe 2 4 15" xfId="42683"/>
    <cellStyle name="Złe 2 4 16" xfId="42684"/>
    <cellStyle name="Złe 2 4 17" xfId="42685"/>
    <cellStyle name="Złe 2 4 18" xfId="42686"/>
    <cellStyle name="Złe 2 4 19" xfId="42687"/>
    <cellStyle name="Złe 2 4 2" xfId="42688"/>
    <cellStyle name="Złe 2 4 3" xfId="42689"/>
    <cellStyle name="Złe 2 4 4" xfId="42690"/>
    <cellStyle name="Złe 2 4 5" xfId="42691"/>
    <cellStyle name="Złe 2 4 6" xfId="42692"/>
    <cellStyle name="Złe 2 4 7" xfId="42693"/>
    <cellStyle name="Złe 2 4 8" xfId="42694"/>
    <cellStyle name="Złe 2 4 9" xfId="42695"/>
    <cellStyle name="Złe 2 40" xfId="42696"/>
    <cellStyle name="Złe 2 41" xfId="42697"/>
    <cellStyle name="Złe 2 42" xfId="42698"/>
    <cellStyle name="Złe 2 43" xfId="42699"/>
    <cellStyle name="Złe 2 44" xfId="42700"/>
    <cellStyle name="Złe 2 45" xfId="42701"/>
    <cellStyle name="Złe 2 46" xfId="42702"/>
    <cellStyle name="Złe 2 47" xfId="42703"/>
    <cellStyle name="Złe 2 48" xfId="42704"/>
    <cellStyle name="Złe 2 49" xfId="42705"/>
    <cellStyle name="Złe 2 5" xfId="42706"/>
    <cellStyle name="Złe 2 5 10" xfId="42707"/>
    <cellStyle name="Złe 2 5 11" xfId="42708"/>
    <cellStyle name="Złe 2 5 12" xfId="42709"/>
    <cellStyle name="Złe 2 5 13" xfId="42710"/>
    <cellStyle name="Złe 2 5 14" xfId="42711"/>
    <cellStyle name="Złe 2 5 15" xfId="42712"/>
    <cellStyle name="Złe 2 5 16" xfId="42713"/>
    <cellStyle name="Złe 2 5 17" xfId="42714"/>
    <cellStyle name="Złe 2 5 18" xfId="42715"/>
    <cellStyle name="Złe 2 5 19" xfId="42716"/>
    <cellStyle name="Złe 2 5 2" xfId="42717"/>
    <cellStyle name="Złe 2 5 3" xfId="42718"/>
    <cellStyle name="Złe 2 5 4" xfId="42719"/>
    <cellStyle name="Złe 2 5 5" xfId="42720"/>
    <cellStyle name="Złe 2 5 6" xfId="42721"/>
    <cellStyle name="Złe 2 5 7" xfId="42722"/>
    <cellStyle name="Złe 2 5 8" xfId="42723"/>
    <cellStyle name="Złe 2 5 9" xfId="42724"/>
    <cellStyle name="Złe 2 50" xfId="42725"/>
    <cellStyle name="Złe 2 51" xfId="42726"/>
    <cellStyle name="Złe 2 52" xfId="42727"/>
    <cellStyle name="Złe 2 53" xfId="42728"/>
    <cellStyle name="Złe 2 54" xfId="42729"/>
    <cellStyle name="Złe 2 6" xfId="42730"/>
    <cellStyle name="Złe 2 6 10" xfId="42731"/>
    <cellStyle name="Złe 2 6 11" xfId="42732"/>
    <cellStyle name="Złe 2 6 12" xfId="42733"/>
    <cellStyle name="Złe 2 6 13" xfId="42734"/>
    <cellStyle name="Złe 2 6 14" xfId="42735"/>
    <cellStyle name="Złe 2 6 15" xfId="42736"/>
    <cellStyle name="Złe 2 6 16" xfId="42737"/>
    <cellStyle name="Złe 2 6 17" xfId="42738"/>
    <cellStyle name="Złe 2 6 18" xfId="42739"/>
    <cellStyle name="Złe 2 6 19" xfId="42740"/>
    <cellStyle name="Złe 2 6 2" xfId="42741"/>
    <cellStyle name="Złe 2 6 3" xfId="42742"/>
    <cellStyle name="Złe 2 6 4" xfId="42743"/>
    <cellStyle name="Złe 2 6 5" xfId="42744"/>
    <cellStyle name="Złe 2 6 6" xfId="42745"/>
    <cellStyle name="Złe 2 6 7" xfId="42746"/>
    <cellStyle name="Złe 2 6 8" xfId="42747"/>
    <cellStyle name="Złe 2 6 9" xfId="42748"/>
    <cellStyle name="Złe 2 7" xfId="42749"/>
    <cellStyle name="Złe 2 7 10" xfId="42750"/>
    <cellStyle name="Złe 2 7 11" xfId="42751"/>
    <cellStyle name="Złe 2 7 12" xfId="42752"/>
    <cellStyle name="Złe 2 7 13" xfId="42753"/>
    <cellStyle name="Złe 2 7 14" xfId="42754"/>
    <cellStyle name="Złe 2 7 15" xfId="42755"/>
    <cellStyle name="Złe 2 7 16" xfId="42756"/>
    <cellStyle name="Złe 2 7 17" xfId="42757"/>
    <cellStyle name="Złe 2 7 18" xfId="42758"/>
    <cellStyle name="Złe 2 7 19" xfId="42759"/>
    <cellStyle name="Złe 2 7 2" xfId="42760"/>
    <cellStyle name="Złe 2 7 3" xfId="42761"/>
    <cellStyle name="Złe 2 7 4" xfId="42762"/>
    <cellStyle name="Złe 2 7 5" xfId="42763"/>
    <cellStyle name="Złe 2 7 6" xfId="42764"/>
    <cellStyle name="Złe 2 7 7" xfId="42765"/>
    <cellStyle name="Złe 2 7 8" xfId="42766"/>
    <cellStyle name="Złe 2 7 9" xfId="42767"/>
    <cellStyle name="Złe 2 8" xfId="42768"/>
    <cellStyle name="Złe 2 8 10" xfId="42769"/>
    <cellStyle name="Złe 2 8 11" xfId="42770"/>
    <cellStyle name="Złe 2 8 12" xfId="42771"/>
    <cellStyle name="Złe 2 8 13" xfId="42772"/>
    <cellStyle name="Złe 2 8 14" xfId="42773"/>
    <cellStyle name="Złe 2 8 15" xfId="42774"/>
    <cellStyle name="Złe 2 8 16" xfId="42775"/>
    <cellStyle name="Złe 2 8 17" xfId="42776"/>
    <cellStyle name="Złe 2 8 18" xfId="42777"/>
    <cellStyle name="Złe 2 8 19" xfId="42778"/>
    <cellStyle name="Złe 2 8 2" xfId="42779"/>
    <cellStyle name="Złe 2 8 3" xfId="42780"/>
    <cellStyle name="Złe 2 8 4" xfId="42781"/>
    <cellStyle name="Złe 2 8 5" xfId="42782"/>
    <cellStyle name="Złe 2 8 6" xfId="42783"/>
    <cellStyle name="Złe 2 8 7" xfId="42784"/>
    <cellStyle name="Złe 2 8 8" xfId="42785"/>
    <cellStyle name="Złe 2 8 9" xfId="42786"/>
    <cellStyle name="Złe 2 9" xfId="42787"/>
    <cellStyle name="Złe 2 9 10" xfId="42788"/>
    <cellStyle name="Złe 2 9 11" xfId="42789"/>
    <cellStyle name="Złe 2 9 12" xfId="42790"/>
    <cellStyle name="Złe 2 9 13" xfId="42791"/>
    <cellStyle name="Złe 2 9 14" xfId="42792"/>
    <cellStyle name="Złe 2 9 15" xfId="42793"/>
    <cellStyle name="Złe 2 9 16" xfId="42794"/>
    <cellStyle name="Złe 2 9 17" xfId="42795"/>
    <cellStyle name="Złe 2 9 18" xfId="42796"/>
    <cellStyle name="Złe 2 9 19" xfId="42797"/>
    <cellStyle name="Złe 2 9 2" xfId="42798"/>
    <cellStyle name="Złe 2 9 3" xfId="42799"/>
    <cellStyle name="Złe 2 9 4" xfId="42800"/>
    <cellStyle name="Złe 2 9 5" xfId="42801"/>
    <cellStyle name="Złe 2 9 6" xfId="42802"/>
    <cellStyle name="Złe 2 9 7" xfId="42803"/>
    <cellStyle name="Złe 2 9 8" xfId="42804"/>
    <cellStyle name="Złe 2 9 9" xfId="42805"/>
    <cellStyle name="Złe 3" xfId="42806"/>
    <cellStyle name="Złe 3 10" xfId="42807"/>
    <cellStyle name="Złe 3 11" xfId="42808"/>
    <cellStyle name="Złe 3 12" xfId="42809"/>
    <cellStyle name="Złe 3 13" xfId="42810"/>
    <cellStyle name="Złe 3 14" xfId="42811"/>
    <cellStyle name="Złe 3 15" xfId="42812"/>
    <cellStyle name="Złe 3 16" xfId="42813"/>
    <cellStyle name="Złe 3 17" xfId="42814"/>
    <cellStyle name="Złe 3 18" xfId="42815"/>
    <cellStyle name="Złe 3 19" xfId="42816"/>
    <cellStyle name="Złe 3 2" xfId="42817"/>
    <cellStyle name="Złe 3 2 2" xfId="42818"/>
    <cellStyle name="Złe 3 20" xfId="42819"/>
    <cellStyle name="Złe 3 21" xfId="42820"/>
    <cellStyle name="Złe 3 22" xfId="42821"/>
    <cellStyle name="Złe 3 23" xfId="42822"/>
    <cellStyle name="Złe 3 3" xfId="42823"/>
    <cellStyle name="Złe 3 4" xfId="42824"/>
    <cellStyle name="Złe 3 5" xfId="42825"/>
    <cellStyle name="Złe 3 6" xfId="42826"/>
    <cellStyle name="Złe 3 7" xfId="42827"/>
    <cellStyle name="Złe 3 8" xfId="42828"/>
    <cellStyle name="Złe 3 9" xfId="42829"/>
    <cellStyle name="Złe 4" xfId="42830"/>
    <cellStyle name="Złe 4 2" xfId="42831"/>
    <cellStyle name="Złe 4 3" xfId="42832"/>
    <cellStyle name="Złe 4 4" xfId="42833"/>
    <cellStyle name="Złe 4 5" xfId="42834"/>
    <cellStyle name="Złe 4 6" xfId="42835"/>
    <cellStyle name="Złe 4 7" xfId="42836"/>
    <cellStyle name="Złe 4 8" xfId="42837"/>
    <cellStyle name="Złe 4 9" xfId="42838"/>
    <cellStyle name="Złe 5" xfId="42839"/>
    <cellStyle name="Złe 5 2" xfId="42840"/>
    <cellStyle name="Złe 5 3" xfId="42841"/>
    <cellStyle name="Złe 6" xfId="42842"/>
    <cellStyle name="Złe 6 2" xfId="42843"/>
    <cellStyle name="Złe 7" xfId="42844"/>
  </cellStyles>
  <dxfs count="0"/>
  <tableStyles count="0" defaultTableStyle="TableStyleMedium9" defaultPivotStyle="PivotStyleLight16"/>
  <colors>
    <mruColors>
      <color rgb="FFF7A8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XFB52"/>
  <sheetViews>
    <sheetView showGridLines="0" zoomScale="115" zoomScaleNormal="115" zoomScaleSheetLayoutView="85" workbookViewId="0">
      <pane xSplit="1" ySplit="3" topLeftCell="AR15" activePane="bottomRight" state="frozen"/>
      <selection pane="topRight" activeCell="B1" sqref="B1"/>
      <selection pane="bottomLeft" activeCell="A4" sqref="A4"/>
      <selection pane="bottomRight" activeCell="AS9" sqref="AS9"/>
    </sheetView>
  </sheetViews>
  <sheetFormatPr defaultColWidth="9" defaultRowHeight="28.5" customHeight="1"/>
  <cols>
    <col min="1" max="1" width="41.625" style="7" customWidth="1"/>
    <col min="2" max="7" width="9" style="6"/>
    <col min="8" max="8" width="9" style="378"/>
    <col min="9" max="9" width="9" style="379"/>
    <col min="10" max="11" width="10.125" style="6" bestFit="1" customWidth="1"/>
    <col min="12" max="12" width="10.125" style="6" customWidth="1"/>
    <col min="13" max="15" width="9.125" style="6" customWidth="1"/>
    <col min="16" max="16" width="10.125" style="6" bestFit="1" customWidth="1"/>
    <col min="17" max="20" width="10.125" style="6" customWidth="1"/>
    <col min="21" max="21" width="10.125" style="6" bestFit="1" customWidth="1"/>
    <col min="22" max="23" width="10.125" style="6" customWidth="1"/>
    <col min="24" max="24" width="10.125" style="283" customWidth="1"/>
    <col min="25" max="25" width="10.125" style="6" customWidth="1"/>
    <col min="26" max="26" width="10.125" style="6" bestFit="1" customWidth="1"/>
    <col min="27" max="28" width="10.125" style="6" customWidth="1"/>
    <col min="29" max="29" width="10.125" style="283" customWidth="1"/>
    <col min="30" max="30" width="10.125" style="6" customWidth="1"/>
    <col min="31" max="31" width="10.125" style="6" bestFit="1" customWidth="1"/>
    <col min="32" max="33" width="10.125" style="6" customWidth="1"/>
    <col min="34" max="34" width="10.125" style="283" customWidth="1"/>
    <col min="35" max="35" width="10.125" style="6" customWidth="1"/>
    <col min="36" max="36" width="10.125" style="616" bestFit="1" customWidth="1"/>
    <col min="37" max="37" width="4" customWidth="1"/>
    <col min="38" max="39" width="10.125" style="6" customWidth="1"/>
    <col min="40" max="40" width="10.125" style="283" customWidth="1"/>
    <col min="41" max="41" width="10.125" style="6" customWidth="1"/>
    <col min="42" max="42" width="10.125" style="6" bestFit="1" customWidth="1"/>
    <col min="43" max="44" width="10.125" style="6" customWidth="1"/>
    <col min="45" max="45" width="10.125" style="283" customWidth="1"/>
    <col min="46" max="46" width="10.125" style="6" customWidth="1"/>
    <col min="47" max="47" width="10.125" style="6" bestFit="1" customWidth="1"/>
    <col min="48" max="48" width="3.875" style="7" customWidth="1"/>
    <col min="49" max="50" width="10.125" style="6" customWidth="1"/>
    <col min="51" max="51" width="10.125" style="283" customWidth="1"/>
    <col min="52" max="52" width="10.125" style="6" customWidth="1"/>
    <col min="53" max="53" width="10.125" style="6" bestFit="1" customWidth="1"/>
    <col min="54" max="16384" width="9" style="7"/>
  </cols>
  <sheetData>
    <row r="1" spans="1:56" s="12" customFormat="1" ht="28.5" customHeight="1" thickBot="1">
      <c r="A1" s="318" t="s">
        <v>95</v>
      </c>
      <c r="B1" s="10"/>
      <c r="C1" s="10"/>
      <c r="D1" s="10"/>
      <c r="E1" s="10"/>
      <c r="F1" s="10"/>
      <c r="G1" s="10"/>
      <c r="H1" s="319"/>
      <c r="I1" s="11"/>
      <c r="J1" s="10"/>
      <c r="K1" s="10"/>
      <c r="L1" s="10"/>
      <c r="M1" s="10"/>
      <c r="N1" s="10"/>
      <c r="O1" s="10"/>
      <c r="P1" s="10"/>
      <c r="Q1" s="10"/>
      <c r="R1" s="10"/>
      <c r="S1" s="10"/>
      <c r="T1" s="320"/>
      <c r="U1" s="320"/>
      <c r="V1" s="320"/>
      <c r="W1" s="320"/>
      <c r="X1" s="321"/>
      <c r="Y1" s="320"/>
      <c r="Z1" s="320"/>
      <c r="AA1" s="320"/>
      <c r="AB1" s="320"/>
      <c r="AC1" s="321"/>
      <c r="AD1" s="320"/>
      <c r="AE1" s="320"/>
      <c r="AF1" s="320"/>
      <c r="AG1" s="333"/>
      <c r="AH1" s="436"/>
      <c r="AI1" s="320"/>
      <c r="AJ1" s="603"/>
      <c r="AL1" s="320"/>
      <c r="AM1" s="320"/>
      <c r="AN1" s="436"/>
      <c r="AO1" s="320"/>
      <c r="AP1" s="320"/>
      <c r="AQ1" s="320"/>
      <c r="AR1" s="320"/>
      <c r="AS1" s="436"/>
      <c r="AT1" s="320"/>
      <c r="AU1" s="320"/>
      <c r="AW1" s="320"/>
      <c r="AX1" s="320"/>
      <c r="AY1" s="436"/>
      <c r="AZ1" s="320"/>
      <c r="BA1" s="320"/>
    </row>
    <row r="2" spans="1:56" ht="28.5" customHeight="1">
      <c r="A2" s="322" t="s">
        <v>96</v>
      </c>
      <c r="B2" s="689">
        <v>2012</v>
      </c>
      <c r="C2" s="689"/>
      <c r="D2" s="689"/>
      <c r="E2" s="689"/>
      <c r="F2" s="690"/>
      <c r="G2" s="689">
        <v>2013</v>
      </c>
      <c r="H2" s="689"/>
      <c r="I2" s="689"/>
      <c r="J2" s="689"/>
      <c r="K2" s="690"/>
      <c r="L2" s="688">
        <v>2014</v>
      </c>
      <c r="M2" s="689"/>
      <c r="N2" s="689"/>
      <c r="O2" s="689"/>
      <c r="P2" s="690"/>
      <c r="Q2" s="688">
        <v>2015</v>
      </c>
      <c r="R2" s="689"/>
      <c r="S2" s="689"/>
      <c r="T2" s="689"/>
      <c r="U2" s="690"/>
      <c r="V2" s="688">
        <v>2016</v>
      </c>
      <c r="W2" s="689"/>
      <c r="X2" s="689"/>
      <c r="Y2" s="689"/>
      <c r="Z2" s="690"/>
      <c r="AA2" s="688">
        <v>2017</v>
      </c>
      <c r="AB2" s="689"/>
      <c r="AC2" s="689"/>
      <c r="AD2" s="689"/>
      <c r="AE2" s="690"/>
      <c r="AF2" s="688" t="s">
        <v>254</v>
      </c>
      <c r="AG2" s="689"/>
      <c r="AH2" s="689"/>
      <c r="AI2" s="689"/>
      <c r="AJ2" s="690"/>
      <c r="AL2" s="685" t="s">
        <v>255</v>
      </c>
      <c r="AM2" s="686"/>
      <c r="AN2" s="686"/>
      <c r="AO2" s="686"/>
      <c r="AP2" s="687"/>
      <c r="AQ2" s="685" t="s">
        <v>257</v>
      </c>
      <c r="AR2" s="686"/>
      <c r="AS2" s="686"/>
      <c r="AT2" s="686"/>
      <c r="AU2" s="687"/>
      <c r="AW2" s="692" t="s">
        <v>258</v>
      </c>
      <c r="AX2" s="693"/>
      <c r="AY2" s="693"/>
      <c r="AZ2" s="693"/>
      <c r="BA2" s="694"/>
      <c r="BB2" s="7" t="s">
        <v>275</v>
      </c>
    </row>
    <row r="3" spans="1:56" ht="16.5" customHeight="1" thickBot="1">
      <c r="A3" s="323" t="s">
        <v>97</v>
      </c>
      <c r="B3" s="430" t="s">
        <v>98</v>
      </c>
      <c r="C3" s="430" t="s">
        <v>99</v>
      </c>
      <c r="D3" s="430" t="s">
        <v>100</v>
      </c>
      <c r="E3" s="430" t="s">
        <v>101</v>
      </c>
      <c r="F3" s="431">
        <v>2012</v>
      </c>
      <c r="G3" s="432" t="s">
        <v>98</v>
      </c>
      <c r="H3" s="430" t="s">
        <v>99</v>
      </c>
      <c r="I3" s="430" t="s">
        <v>100</v>
      </c>
      <c r="J3" s="430" t="s">
        <v>101</v>
      </c>
      <c r="K3" s="431">
        <v>2013</v>
      </c>
      <c r="L3" s="432" t="s">
        <v>98</v>
      </c>
      <c r="M3" s="430" t="s">
        <v>99</v>
      </c>
      <c r="N3" s="430" t="s">
        <v>100</v>
      </c>
      <c r="O3" s="430" t="s">
        <v>101</v>
      </c>
      <c r="P3" s="433">
        <v>2014</v>
      </c>
      <c r="Q3" s="430" t="s">
        <v>98</v>
      </c>
      <c r="R3" s="430" t="s">
        <v>99</v>
      </c>
      <c r="S3" s="430" t="s">
        <v>100</v>
      </c>
      <c r="T3" s="430" t="s">
        <v>101</v>
      </c>
      <c r="U3" s="433">
        <v>2015</v>
      </c>
      <c r="V3" s="430" t="s">
        <v>196</v>
      </c>
      <c r="W3" s="430" t="s">
        <v>99</v>
      </c>
      <c r="X3" s="434" t="s">
        <v>100</v>
      </c>
      <c r="Y3" s="430" t="s">
        <v>101</v>
      </c>
      <c r="Z3" s="433" t="s">
        <v>197</v>
      </c>
      <c r="AA3" s="430" t="s">
        <v>98</v>
      </c>
      <c r="AB3" s="430" t="s">
        <v>99</v>
      </c>
      <c r="AC3" s="434" t="s">
        <v>100</v>
      </c>
      <c r="AD3" s="430" t="s">
        <v>101</v>
      </c>
      <c r="AE3" s="433">
        <v>2017</v>
      </c>
      <c r="AF3" s="324" t="s">
        <v>98</v>
      </c>
      <c r="AG3" s="324" t="s">
        <v>99</v>
      </c>
      <c r="AH3" s="276" t="s">
        <v>100</v>
      </c>
      <c r="AI3" s="324" t="s">
        <v>101</v>
      </c>
      <c r="AJ3" s="604">
        <v>2018</v>
      </c>
      <c r="AK3" s="7"/>
      <c r="AL3" s="325" t="s">
        <v>98</v>
      </c>
      <c r="AM3" s="324" t="s">
        <v>99</v>
      </c>
      <c r="AN3" s="276" t="s">
        <v>100</v>
      </c>
      <c r="AO3" s="324" t="s">
        <v>101</v>
      </c>
      <c r="AP3" s="326">
        <v>2018</v>
      </c>
      <c r="AQ3" s="325" t="s">
        <v>98</v>
      </c>
      <c r="AR3" s="324" t="s">
        <v>99</v>
      </c>
      <c r="AS3" s="276" t="s">
        <v>100</v>
      </c>
      <c r="AT3" s="324" t="s">
        <v>101</v>
      </c>
      <c r="AU3" s="326" t="s">
        <v>276</v>
      </c>
      <c r="AW3" s="325" t="s">
        <v>98</v>
      </c>
      <c r="AX3" s="324" t="s">
        <v>99</v>
      </c>
      <c r="AY3" s="276" t="s">
        <v>100</v>
      </c>
      <c r="AZ3" s="324" t="s">
        <v>101</v>
      </c>
      <c r="BA3" s="326" t="s">
        <v>276</v>
      </c>
    </row>
    <row r="4" spans="1:56" ht="34.5" customHeight="1" thickBot="1">
      <c r="A4" s="327" t="s">
        <v>68</v>
      </c>
      <c r="B4" s="328">
        <f>SUM(B5:B8)</f>
        <v>669.2</v>
      </c>
      <c r="C4" s="328">
        <f t="shared" ref="C4:O4" si="0">SUM(C5:C8)</f>
        <v>713.8</v>
      </c>
      <c r="D4" s="328">
        <f t="shared" si="0"/>
        <v>644.5</v>
      </c>
      <c r="E4" s="328">
        <f t="shared" si="0"/>
        <v>750.60000000000014</v>
      </c>
      <c r="F4" s="329">
        <f>SUM(F5:F8)</f>
        <v>2778.0999999999995</v>
      </c>
      <c r="G4" s="330">
        <f t="shared" si="0"/>
        <v>697.1</v>
      </c>
      <c r="H4" s="328">
        <f t="shared" si="0"/>
        <v>735.9</v>
      </c>
      <c r="I4" s="328">
        <f t="shared" si="0"/>
        <v>677.3</v>
      </c>
      <c r="J4" s="328">
        <f t="shared" si="0"/>
        <v>800.5</v>
      </c>
      <c r="K4" s="329">
        <f>SUM(K5:K8)</f>
        <v>2910.8</v>
      </c>
      <c r="L4" s="330">
        <f t="shared" si="0"/>
        <v>723.29999999999984</v>
      </c>
      <c r="M4" s="328">
        <f t="shared" si="0"/>
        <v>1745.9</v>
      </c>
      <c r="N4" s="328">
        <f t="shared" si="0"/>
        <v>2419.6</v>
      </c>
      <c r="O4" s="328">
        <f t="shared" si="0"/>
        <v>2521.1000000000004</v>
      </c>
      <c r="P4" s="331">
        <f>SUM(P5:P8)</f>
        <v>7409.9</v>
      </c>
      <c r="Q4" s="328">
        <f t="shared" ref="Q4:T4" si="1">SUM(Q5:Q8)</f>
        <v>2329</v>
      </c>
      <c r="R4" s="328">
        <f t="shared" si="1"/>
        <v>2469.1999999999998</v>
      </c>
      <c r="S4" s="328">
        <f t="shared" si="1"/>
        <v>2414.8999999999996</v>
      </c>
      <c r="T4" s="328">
        <f t="shared" si="1"/>
        <v>2609.9</v>
      </c>
      <c r="U4" s="331">
        <f>SUM(U5:U8)</f>
        <v>9823</v>
      </c>
      <c r="V4" s="328">
        <f t="shared" ref="V4:Y4" si="2">SUM(V5:V8)</f>
        <v>2364</v>
      </c>
      <c r="W4" s="328">
        <f t="shared" si="2"/>
        <v>2442.9</v>
      </c>
      <c r="X4" s="277">
        <f t="shared" si="2"/>
        <v>2387.8000000000002</v>
      </c>
      <c r="Y4" s="277">
        <f t="shared" si="2"/>
        <v>2535.1</v>
      </c>
      <c r="Z4" s="331">
        <f>SUM(Z5:Z8)</f>
        <v>9729.7999999999993</v>
      </c>
      <c r="AA4" s="328">
        <f t="shared" ref="AA4:AE4" si="3">SUM(AA5:AA8)</f>
        <v>2388.6</v>
      </c>
      <c r="AB4" s="328">
        <f t="shared" si="3"/>
        <v>2469.9</v>
      </c>
      <c r="AC4" s="328">
        <f t="shared" si="3"/>
        <v>2390.9</v>
      </c>
      <c r="AD4" s="328">
        <f t="shared" si="3"/>
        <v>2579.1999999999998</v>
      </c>
      <c r="AE4" s="331">
        <f t="shared" si="3"/>
        <v>9828.6</v>
      </c>
      <c r="AF4" s="328">
        <f>SUM(AF5:AF8)</f>
        <v>2360.6999999999998</v>
      </c>
      <c r="AG4" s="328">
        <f>SUM(AG5:AG8)</f>
        <v>2476.9</v>
      </c>
      <c r="AH4" s="328">
        <f>SUM(AH5:AH8)</f>
        <v>2435.4</v>
      </c>
      <c r="AI4" s="240">
        <f t="shared" ref="AI4:AJ4" si="4">SUM(AI5:AI8)</f>
        <v>2682</v>
      </c>
      <c r="AJ4" s="605">
        <f t="shared" si="4"/>
        <v>9955</v>
      </c>
      <c r="AK4" s="574"/>
      <c r="AL4" s="330">
        <f>SUM(AL5:AL8)</f>
        <v>2345.9</v>
      </c>
      <c r="AM4" s="328">
        <f>SUM(AM5:AM8)</f>
        <v>2603.1999999999998</v>
      </c>
      <c r="AN4" s="328">
        <f>SUM(AN5:AN8)</f>
        <v>2735</v>
      </c>
      <c r="AO4" s="240">
        <f t="shared" ref="AO4:AP4" si="5">SUM(AO5:AO8)</f>
        <v>3002</v>
      </c>
      <c r="AP4" s="331">
        <f t="shared" si="5"/>
        <v>10686.100000000002</v>
      </c>
      <c r="AQ4" s="330">
        <f>SUM(AQ5:AQ8)</f>
        <v>2782.4</v>
      </c>
      <c r="AR4" s="328">
        <f>SUM(AR5:AR8)</f>
        <v>2913</v>
      </c>
      <c r="AS4" s="328">
        <f>SUM(AS5:AS8)</f>
        <v>2882.3</v>
      </c>
      <c r="AT4" s="568"/>
      <c r="AU4" s="331">
        <f t="shared" ref="AU4" si="6">SUM(AU5:AU8)</f>
        <v>8577.6999999999989</v>
      </c>
      <c r="AW4" s="330">
        <f>SUM(AW5:AW8)</f>
        <v>2791.6</v>
      </c>
      <c r="AX4" s="328">
        <f>SUM(AX5:AX8)</f>
        <v>2923</v>
      </c>
      <c r="AY4" s="328">
        <f>SUM(AY5:AY8)</f>
        <v>2892.4</v>
      </c>
      <c r="AZ4" s="568"/>
      <c r="BA4" s="331">
        <f t="shared" ref="BA4" si="7">SUM(BA5:BA8)</f>
        <v>8607</v>
      </c>
      <c r="BD4" s="620"/>
    </row>
    <row r="5" spans="1:56" ht="24.75" customHeight="1">
      <c r="A5" s="332" t="s">
        <v>74</v>
      </c>
      <c r="B5" s="333">
        <v>424</v>
      </c>
      <c r="C5" s="333">
        <v>427.1</v>
      </c>
      <c r="D5" s="333">
        <v>434.4</v>
      </c>
      <c r="E5" s="333">
        <v>446.6</v>
      </c>
      <c r="F5" s="334">
        <f>SUM(B5:E5)</f>
        <v>1732.1</v>
      </c>
      <c r="G5" s="335">
        <v>451.7</v>
      </c>
      <c r="H5" s="333">
        <v>452</v>
      </c>
      <c r="I5" s="333">
        <v>460.3</v>
      </c>
      <c r="J5" s="333">
        <v>466.1</v>
      </c>
      <c r="K5" s="334">
        <f>SUM(G5:J5)</f>
        <v>1830.1</v>
      </c>
      <c r="L5" s="335">
        <v>467.79999999999995</v>
      </c>
      <c r="M5" s="333">
        <v>1204.5</v>
      </c>
      <c r="N5" s="333">
        <v>1710.7</v>
      </c>
      <c r="O5" s="333">
        <v>1701.7</v>
      </c>
      <c r="P5" s="336">
        <f>SUM(L5:O5)</f>
        <v>5084.7</v>
      </c>
      <c r="Q5" s="333">
        <v>1637.2</v>
      </c>
      <c r="R5" s="333">
        <v>1652</v>
      </c>
      <c r="S5" s="333">
        <v>1643.3</v>
      </c>
      <c r="T5" s="337">
        <v>1620.6</v>
      </c>
      <c r="U5" s="336">
        <v>6553.1</v>
      </c>
      <c r="V5" s="338">
        <v>1565.7</v>
      </c>
      <c r="W5" s="338">
        <v>1586.9</v>
      </c>
      <c r="X5" s="278">
        <v>1583.7</v>
      </c>
      <c r="Y5" s="337">
        <v>1589</v>
      </c>
      <c r="Z5" s="336">
        <f>SUM(V5:Y5)</f>
        <v>6325.3</v>
      </c>
      <c r="AA5" s="338">
        <v>1542.7</v>
      </c>
      <c r="AB5" s="338">
        <v>1533.3</v>
      </c>
      <c r="AC5" s="278">
        <v>1494</v>
      </c>
      <c r="AD5" s="278">
        <v>1497.9</v>
      </c>
      <c r="AE5" s="336">
        <f>SUM(AA5:AD5)</f>
        <v>6067.9</v>
      </c>
      <c r="AF5" s="338">
        <v>1470.2</v>
      </c>
      <c r="AG5" s="333">
        <v>1483.8</v>
      </c>
      <c r="AH5" s="333">
        <v>1481.7</v>
      </c>
      <c r="AI5" s="278">
        <v>1484.8</v>
      </c>
      <c r="AJ5" s="606">
        <f>SUM(AF5:AI5)</f>
        <v>5920.5</v>
      </c>
      <c r="AK5" s="574"/>
      <c r="AL5" s="621">
        <v>1352.2</v>
      </c>
      <c r="AM5" s="333">
        <v>1482.1</v>
      </c>
      <c r="AN5" s="333">
        <v>1630.5</v>
      </c>
      <c r="AO5" s="278">
        <v>1627.8000000000002</v>
      </c>
      <c r="AP5" s="336">
        <f>SUM(AL5:AO5)</f>
        <v>6092.6</v>
      </c>
      <c r="AQ5" s="278">
        <v>1606</v>
      </c>
      <c r="AR5" s="333">
        <v>1616.1</v>
      </c>
      <c r="AS5" s="333">
        <v>1618.3</v>
      </c>
      <c r="AT5" s="278"/>
      <c r="AU5" s="336">
        <f>SUM(AQ5:AT5)</f>
        <v>4840.3999999999996</v>
      </c>
      <c r="AW5" s="624">
        <v>1606</v>
      </c>
      <c r="AX5" s="333">
        <v>1616.1</v>
      </c>
      <c r="AY5" s="333">
        <v>1618.3</v>
      </c>
      <c r="AZ5" s="278"/>
      <c r="BA5" s="336">
        <f>SUM(AW5:AZ5)</f>
        <v>4840.3999999999996</v>
      </c>
      <c r="BD5" s="620"/>
    </row>
    <row r="6" spans="1:56" ht="20.100000000000001" customHeight="1">
      <c r="A6" s="332" t="s">
        <v>75</v>
      </c>
      <c r="B6" s="333">
        <v>234.6</v>
      </c>
      <c r="C6" s="333">
        <v>272.7</v>
      </c>
      <c r="D6" s="333">
        <v>198</v>
      </c>
      <c r="E6" s="333">
        <v>286.3</v>
      </c>
      <c r="F6" s="334">
        <f t="shared" ref="F6:F8" si="8">SUM(B6:E6)</f>
        <v>991.59999999999991</v>
      </c>
      <c r="G6" s="335">
        <v>223.8</v>
      </c>
      <c r="H6" s="333">
        <v>265.2</v>
      </c>
      <c r="I6" s="333">
        <v>204</v>
      </c>
      <c r="J6" s="333">
        <v>317.2</v>
      </c>
      <c r="K6" s="334">
        <f t="shared" ref="K6:K8" si="9">SUM(G6:J6)</f>
        <v>1010.2</v>
      </c>
      <c r="L6" s="335">
        <v>242.19999999999993</v>
      </c>
      <c r="M6" s="333">
        <v>479.1</v>
      </c>
      <c r="N6" s="333">
        <v>591.6</v>
      </c>
      <c r="O6" s="333">
        <v>641.1</v>
      </c>
      <c r="P6" s="336">
        <f t="shared" ref="P6:P8" si="10">SUM(L6:O6)</f>
        <v>1954</v>
      </c>
      <c r="Q6" s="333">
        <v>553.29999999999995</v>
      </c>
      <c r="R6" s="333">
        <v>688.7</v>
      </c>
      <c r="S6" s="333">
        <v>616.9</v>
      </c>
      <c r="T6" s="339">
        <v>738</v>
      </c>
      <c r="U6" s="336">
        <v>2596.9</v>
      </c>
      <c r="V6" s="338">
        <v>599.79999999999995</v>
      </c>
      <c r="W6" s="338">
        <v>645</v>
      </c>
      <c r="X6" s="278">
        <v>562.9</v>
      </c>
      <c r="Y6" s="339">
        <v>658.4</v>
      </c>
      <c r="Z6" s="336">
        <f t="shared" ref="Z6:Z28" si="11">SUM(V6:Y6)</f>
        <v>2466.1</v>
      </c>
      <c r="AA6" s="338">
        <v>562.1</v>
      </c>
      <c r="AB6" s="338">
        <v>652.29999999999995</v>
      </c>
      <c r="AC6" s="278">
        <v>588.4</v>
      </c>
      <c r="AD6" s="278">
        <v>735.8</v>
      </c>
      <c r="AE6" s="336">
        <f t="shared" ref="AE6:AE28" si="12">SUM(AA6:AD6)</f>
        <v>2538.6000000000004</v>
      </c>
      <c r="AF6" s="338">
        <v>635.9</v>
      </c>
      <c r="AG6" s="333">
        <v>708.5</v>
      </c>
      <c r="AH6" s="333">
        <v>677.7</v>
      </c>
      <c r="AI6" s="278">
        <v>860.1</v>
      </c>
      <c r="AJ6" s="606">
        <f t="shared" ref="AJ6:AJ8" si="13">SUM(AF6:AI6)</f>
        <v>2882.2000000000003</v>
      </c>
      <c r="AK6" s="575"/>
      <c r="AL6" s="621">
        <v>635.9</v>
      </c>
      <c r="AM6" s="333">
        <v>738.5</v>
      </c>
      <c r="AN6" s="333">
        <v>741.6</v>
      </c>
      <c r="AO6" s="278">
        <v>927.80000000000018</v>
      </c>
      <c r="AP6" s="336">
        <f t="shared" ref="AP6:AP8" si="14">SUM(AL6:AO6)</f>
        <v>3043.8</v>
      </c>
      <c r="AQ6" s="278">
        <v>772.7</v>
      </c>
      <c r="AR6" s="333">
        <v>861.6</v>
      </c>
      <c r="AS6" s="333">
        <v>790.5</v>
      </c>
      <c r="AT6" s="278"/>
      <c r="AU6" s="336">
        <f t="shared" ref="AU6:AU8" si="15">SUM(AQ6:AT6)</f>
        <v>2424.8000000000002</v>
      </c>
      <c r="AW6" s="625">
        <v>772.7</v>
      </c>
      <c r="AX6" s="333">
        <v>861.6</v>
      </c>
      <c r="AY6" s="333">
        <v>790.5</v>
      </c>
      <c r="AZ6" s="278"/>
      <c r="BA6" s="336">
        <f t="shared" ref="BA6:BA8" si="16">SUM(AW6:AZ6)</f>
        <v>2424.8000000000002</v>
      </c>
      <c r="BD6" s="620"/>
    </row>
    <row r="7" spans="1:56" ht="20.100000000000001" customHeight="1">
      <c r="A7" s="332" t="s">
        <v>76</v>
      </c>
      <c r="B7" s="333">
        <v>2.7</v>
      </c>
      <c r="C7" s="333">
        <v>6.2</v>
      </c>
      <c r="D7" s="333">
        <v>2.6</v>
      </c>
      <c r="E7" s="333">
        <v>7.2</v>
      </c>
      <c r="F7" s="334">
        <f t="shared" si="8"/>
        <v>18.7</v>
      </c>
      <c r="G7" s="335">
        <v>13.1</v>
      </c>
      <c r="H7" s="333">
        <v>11.8</v>
      </c>
      <c r="I7" s="333">
        <v>7.1</v>
      </c>
      <c r="J7" s="333">
        <v>9.6999999999999993</v>
      </c>
      <c r="K7" s="334">
        <f t="shared" si="9"/>
        <v>41.7</v>
      </c>
      <c r="L7" s="335">
        <v>7.8999999999999986</v>
      </c>
      <c r="M7" s="333">
        <v>55.4</v>
      </c>
      <c r="N7" s="333">
        <v>104.1</v>
      </c>
      <c r="O7" s="333">
        <v>159.9</v>
      </c>
      <c r="P7" s="336">
        <f t="shared" si="10"/>
        <v>327.29999999999995</v>
      </c>
      <c r="Q7" s="333">
        <v>118.4</v>
      </c>
      <c r="R7" s="333">
        <v>106.9</v>
      </c>
      <c r="S7" s="333">
        <v>131.19999999999999</v>
      </c>
      <c r="T7" s="339">
        <v>226.89999999999998</v>
      </c>
      <c r="U7" s="336">
        <v>583.4</v>
      </c>
      <c r="V7" s="338">
        <v>172.8</v>
      </c>
      <c r="W7" s="338">
        <v>191.1</v>
      </c>
      <c r="X7" s="278">
        <v>221.3</v>
      </c>
      <c r="Y7" s="339">
        <v>265.60000000000002</v>
      </c>
      <c r="Z7" s="336">
        <f t="shared" si="11"/>
        <v>850.80000000000007</v>
      </c>
      <c r="AA7" s="338">
        <v>248.6</v>
      </c>
      <c r="AB7" s="338">
        <v>243.3</v>
      </c>
      <c r="AC7" s="278">
        <v>264.5</v>
      </c>
      <c r="AD7" s="278">
        <v>298.8</v>
      </c>
      <c r="AE7" s="336">
        <f t="shared" si="12"/>
        <v>1055.2</v>
      </c>
      <c r="AF7" s="338">
        <v>208.6</v>
      </c>
      <c r="AG7" s="333">
        <v>239</v>
      </c>
      <c r="AH7" s="333">
        <v>237.6</v>
      </c>
      <c r="AI7" s="278">
        <v>286.2</v>
      </c>
      <c r="AJ7" s="606">
        <f t="shared" si="13"/>
        <v>971.40000000000009</v>
      </c>
      <c r="AK7" s="575"/>
      <c r="AL7" s="621">
        <v>317.5</v>
      </c>
      <c r="AM7" s="333">
        <v>341.7</v>
      </c>
      <c r="AN7" s="333">
        <v>328.6</v>
      </c>
      <c r="AO7" s="278">
        <v>398.20000000000005</v>
      </c>
      <c r="AP7" s="336">
        <f t="shared" si="14"/>
        <v>1386</v>
      </c>
      <c r="AQ7" s="278">
        <v>347.4</v>
      </c>
      <c r="AR7" s="333">
        <v>379.3</v>
      </c>
      <c r="AS7" s="333">
        <v>412.9</v>
      </c>
      <c r="AT7" s="278"/>
      <c r="AU7" s="336">
        <f t="shared" si="15"/>
        <v>1139.5999999999999</v>
      </c>
      <c r="AW7" s="625">
        <v>347.4</v>
      </c>
      <c r="AX7" s="333">
        <v>379.3</v>
      </c>
      <c r="AY7" s="333">
        <v>412.9</v>
      </c>
      <c r="AZ7" s="278"/>
      <c r="BA7" s="336">
        <f t="shared" si="16"/>
        <v>1139.5999999999999</v>
      </c>
      <c r="BD7" s="620"/>
    </row>
    <row r="8" spans="1:56" ht="20.100000000000001" customHeight="1" thickBot="1">
      <c r="A8" s="332" t="s">
        <v>77</v>
      </c>
      <c r="B8" s="333">
        <v>7.9</v>
      </c>
      <c r="C8" s="333">
        <v>7.8</v>
      </c>
      <c r="D8" s="333">
        <v>9.5</v>
      </c>
      <c r="E8" s="333">
        <v>10.5</v>
      </c>
      <c r="F8" s="334">
        <f t="shared" si="8"/>
        <v>35.700000000000003</v>
      </c>
      <c r="G8" s="335">
        <v>8.5</v>
      </c>
      <c r="H8" s="333">
        <v>6.9</v>
      </c>
      <c r="I8" s="333">
        <v>5.9</v>
      </c>
      <c r="J8" s="333">
        <v>7.5</v>
      </c>
      <c r="K8" s="334">
        <f t="shared" si="9"/>
        <v>28.8</v>
      </c>
      <c r="L8" s="335">
        <v>5.4</v>
      </c>
      <c r="M8" s="333">
        <v>6.9</v>
      </c>
      <c r="N8" s="333">
        <v>13.2</v>
      </c>
      <c r="O8" s="333">
        <v>18.399999999999999</v>
      </c>
      <c r="P8" s="336">
        <f t="shared" si="10"/>
        <v>43.9</v>
      </c>
      <c r="Q8" s="333">
        <v>20.100000000000001</v>
      </c>
      <c r="R8" s="333">
        <v>21.6</v>
      </c>
      <c r="S8" s="333">
        <v>23.5</v>
      </c>
      <c r="T8" s="339">
        <v>24.399999999999991</v>
      </c>
      <c r="U8" s="336">
        <v>89.6</v>
      </c>
      <c r="V8" s="338">
        <v>25.7</v>
      </c>
      <c r="W8" s="338">
        <v>19.899999999999999</v>
      </c>
      <c r="X8" s="278">
        <v>19.899999999999999</v>
      </c>
      <c r="Y8" s="339">
        <v>22.1</v>
      </c>
      <c r="Z8" s="336">
        <f t="shared" si="11"/>
        <v>87.6</v>
      </c>
      <c r="AA8" s="338">
        <v>35.200000000000003</v>
      </c>
      <c r="AB8" s="338">
        <v>41</v>
      </c>
      <c r="AC8" s="278">
        <v>44</v>
      </c>
      <c r="AD8" s="278">
        <v>46.7</v>
      </c>
      <c r="AE8" s="336">
        <f t="shared" si="12"/>
        <v>166.9</v>
      </c>
      <c r="AF8" s="338">
        <v>46</v>
      </c>
      <c r="AG8" s="333">
        <f>45.6</f>
        <v>45.6</v>
      </c>
      <c r="AH8" s="333">
        <v>38.4</v>
      </c>
      <c r="AI8" s="278">
        <v>50.9</v>
      </c>
      <c r="AJ8" s="606">
        <f t="shared" si="13"/>
        <v>180.9</v>
      </c>
      <c r="AK8" s="575"/>
      <c r="AL8" s="621">
        <v>40.299999999999997</v>
      </c>
      <c r="AM8" s="333">
        <v>40.9</v>
      </c>
      <c r="AN8" s="333">
        <v>34.299999999999997</v>
      </c>
      <c r="AO8" s="278">
        <v>48.199999999999989</v>
      </c>
      <c r="AP8" s="336">
        <f t="shared" si="14"/>
        <v>163.69999999999999</v>
      </c>
      <c r="AQ8" s="278">
        <v>56.3</v>
      </c>
      <c r="AR8" s="333">
        <v>56</v>
      </c>
      <c r="AS8" s="333">
        <v>60.6</v>
      </c>
      <c r="AT8" s="278"/>
      <c r="AU8" s="336">
        <f t="shared" si="15"/>
        <v>172.9</v>
      </c>
      <c r="AW8" s="626">
        <v>65.5</v>
      </c>
      <c r="AX8" s="333">
        <v>66</v>
      </c>
      <c r="AY8" s="333">
        <v>70.7</v>
      </c>
      <c r="AZ8" s="278"/>
      <c r="BA8" s="336">
        <f t="shared" si="16"/>
        <v>202.2</v>
      </c>
      <c r="BD8" s="620"/>
    </row>
    <row r="9" spans="1:56" s="344" customFormat="1" ht="20.100000000000001" customHeight="1" thickBot="1">
      <c r="A9" s="327" t="s">
        <v>67</v>
      </c>
      <c r="B9" s="340">
        <f t="shared" ref="B9:Z9" si="17">SUM(B10:B17)</f>
        <v>-464.5</v>
      </c>
      <c r="C9" s="340">
        <f t="shared" si="17"/>
        <v>-499.7</v>
      </c>
      <c r="D9" s="340">
        <f t="shared" si="17"/>
        <v>-444.9</v>
      </c>
      <c r="E9" s="340">
        <f t="shared" si="17"/>
        <v>-562.4</v>
      </c>
      <c r="F9" s="341">
        <f t="shared" si="17"/>
        <v>-1971.5000000000002</v>
      </c>
      <c r="G9" s="342">
        <f t="shared" si="17"/>
        <v>-512.92000000000007</v>
      </c>
      <c r="H9" s="340">
        <f t="shared" si="17"/>
        <v>-542.4</v>
      </c>
      <c r="I9" s="340">
        <f t="shared" si="17"/>
        <v>-510.7</v>
      </c>
      <c r="J9" s="340">
        <f t="shared" si="17"/>
        <v>-591.70000000000005</v>
      </c>
      <c r="K9" s="341">
        <f t="shared" si="17"/>
        <v>-2157.7199999999998</v>
      </c>
      <c r="L9" s="342">
        <f t="shared" si="17"/>
        <v>-507.40000000000003</v>
      </c>
      <c r="M9" s="340">
        <f t="shared" si="17"/>
        <v>-1351.8000000000002</v>
      </c>
      <c r="N9" s="340">
        <f t="shared" si="17"/>
        <v>-1992.5000000000002</v>
      </c>
      <c r="O9" s="340">
        <f t="shared" si="17"/>
        <v>-2125.3999999999996</v>
      </c>
      <c r="P9" s="343">
        <f t="shared" si="17"/>
        <v>-5977.1</v>
      </c>
      <c r="Q9" s="340">
        <f t="shared" si="17"/>
        <v>-1909</v>
      </c>
      <c r="R9" s="340">
        <f t="shared" si="17"/>
        <v>-1899.4999999999998</v>
      </c>
      <c r="S9" s="340">
        <f t="shared" si="17"/>
        <v>-1900.1</v>
      </c>
      <c r="T9" s="340">
        <f t="shared" si="17"/>
        <v>-2159.2999999999997</v>
      </c>
      <c r="U9" s="343">
        <f t="shared" si="17"/>
        <v>-7867.9000000000005</v>
      </c>
      <c r="V9" s="340">
        <f t="shared" si="17"/>
        <v>-1948</v>
      </c>
      <c r="W9" s="340">
        <f t="shared" si="17"/>
        <v>-2042</v>
      </c>
      <c r="X9" s="279">
        <f t="shared" si="17"/>
        <v>-1938.6999999999998</v>
      </c>
      <c r="Y9" s="279">
        <f t="shared" si="17"/>
        <v>-2140.6</v>
      </c>
      <c r="Z9" s="343">
        <f t="shared" si="17"/>
        <v>-8069.2999999999993</v>
      </c>
      <c r="AA9" s="340">
        <f>SUM(AA10:AA17)</f>
        <v>-1938.1999999999996</v>
      </c>
      <c r="AB9" s="340">
        <f>SUM(AB10:AB17)</f>
        <v>-1962.8000000000002</v>
      </c>
      <c r="AC9" s="340">
        <f>SUM(AC10:AC17)</f>
        <v>-1975.7</v>
      </c>
      <c r="AD9" s="340">
        <f t="shared" ref="AD9:AE9" si="18">SUM(AD10:AD17)</f>
        <v>-2139.1999999999998</v>
      </c>
      <c r="AE9" s="343">
        <f t="shared" si="18"/>
        <v>-8015.9</v>
      </c>
      <c r="AF9" s="340">
        <f>SUM(AF10:AF17)</f>
        <v>-1903.1000000000001</v>
      </c>
      <c r="AG9" s="340">
        <f>SUM(AG10:AG17)</f>
        <v>-1986.5000000000002</v>
      </c>
      <c r="AH9" s="340">
        <f>SUM(AH10:AH17)</f>
        <v>-2044</v>
      </c>
      <c r="AI9" s="240">
        <f t="shared" ref="AI9:AJ9" si="19">SUM(AI10:AI17)</f>
        <v>-2266</v>
      </c>
      <c r="AJ9" s="607">
        <f t="shared" si="19"/>
        <v>-8199.6</v>
      </c>
      <c r="AK9" s="576"/>
      <c r="AL9" s="342">
        <f>SUM(AL10:AL17)</f>
        <v>-1917.1000000000001</v>
      </c>
      <c r="AM9" s="340">
        <f>SUM(AM10:AM17)</f>
        <v>-2127</v>
      </c>
      <c r="AN9" s="340">
        <f>SUM(AN10:AN17)</f>
        <v>-2345.8000000000002</v>
      </c>
      <c r="AO9" s="240">
        <f t="shared" ref="AO9:AP9" si="20">SUM(AO10:AO17)</f>
        <v>-2588.9</v>
      </c>
      <c r="AP9" s="343">
        <f t="shared" si="20"/>
        <v>-8978.7999999999993</v>
      </c>
      <c r="AQ9" s="342">
        <f>SUM(AQ10:AQ17)</f>
        <v>-2317.1</v>
      </c>
      <c r="AR9" s="340">
        <f>SUM(AR10:AR17)</f>
        <v>-2404.4</v>
      </c>
      <c r="AS9" s="340">
        <f>SUM(AS10:AS17)</f>
        <v>-2433.0000000000005</v>
      </c>
      <c r="AT9" s="568"/>
      <c r="AU9" s="343">
        <f t="shared" ref="AU9" si="21">SUM(AU10:AU17)</f>
        <v>-7154.5000000000009</v>
      </c>
      <c r="AW9" s="342">
        <f>SUM(AW10:AW17)</f>
        <v>-2317.0000000000005</v>
      </c>
      <c r="AX9" s="340">
        <f>SUM(AX10:AX17)</f>
        <v>-2407.2000000000003</v>
      </c>
      <c r="AY9" s="340">
        <f>SUM(AY10:AY17)</f>
        <v>-2436.8000000000002</v>
      </c>
      <c r="AZ9" s="568"/>
      <c r="BA9" s="343">
        <f t="shared" ref="BA9" si="22">SUM(BA10:BA17)</f>
        <v>-7161</v>
      </c>
      <c r="BC9" s="7"/>
      <c r="BD9" s="620"/>
    </row>
    <row r="10" spans="1:56" ht="20.100000000000001" customHeight="1">
      <c r="A10" s="332" t="s">
        <v>80</v>
      </c>
      <c r="B10" s="345">
        <v>-49.7</v>
      </c>
      <c r="C10" s="345">
        <v>-55.1</v>
      </c>
      <c r="D10" s="345">
        <v>-58.6</v>
      </c>
      <c r="E10" s="345">
        <v>-59.3</v>
      </c>
      <c r="F10" s="346">
        <f>SUM(B10:E10)</f>
        <v>-222.7</v>
      </c>
      <c r="G10" s="347">
        <v>-60.7</v>
      </c>
      <c r="H10" s="345">
        <v>-62</v>
      </c>
      <c r="I10" s="345">
        <v>-62.2</v>
      </c>
      <c r="J10" s="345">
        <v>-71.400000000000006</v>
      </c>
      <c r="K10" s="346">
        <f>SUM(G10:J10)</f>
        <v>-256.3</v>
      </c>
      <c r="L10" s="347">
        <v>-71.300000000000011</v>
      </c>
      <c r="M10" s="345">
        <v>-288</v>
      </c>
      <c r="N10" s="345">
        <v>-495.9</v>
      </c>
      <c r="O10" s="345">
        <v>-557.20000000000005</v>
      </c>
      <c r="P10" s="348">
        <f>SUM(L10:O10)</f>
        <v>-1412.4</v>
      </c>
      <c r="Q10" s="345">
        <v>-482.3</v>
      </c>
      <c r="R10" s="345">
        <v>-522.4</v>
      </c>
      <c r="S10" s="345">
        <v>-551.20000000000005</v>
      </c>
      <c r="T10" s="339">
        <v>-585.09999999999991</v>
      </c>
      <c r="U10" s="348">
        <v>-2141</v>
      </c>
      <c r="V10" s="349">
        <v>-550.29999999999995</v>
      </c>
      <c r="W10" s="349">
        <v>-456.6</v>
      </c>
      <c r="X10" s="280">
        <v>-459.2</v>
      </c>
      <c r="Y10" s="339">
        <v>-472.6</v>
      </c>
      <c r="Z10" s="348">
        <f>SUM(V10:Y10)</f>
        <v>-1938.6999999999998</v>
      </c>
      <c r="AA10" s="349">
        <v>-468.2</v>
      </c>
      <c r="AB10" s="349">
        <v>-483.5</v>
      </c>
      <c r="AC10" s="280">
        <v>-528.5</v>
      </c>
      <c r="AD10" s="280">
        <v>-533.79999999999995</v>
      </c>
      <c r="AE10" s="348">
        <f t="shared" si="12"/>
        <v>-2014</v>
      </c>
      <c r="AF10" s="349">
        <v>-504.5</v>
      </c>
      <c r="AG10" s="345">
        <v>-521.1</v>
      </c>
      <c r="AH10" s="345">
        <v>-550.29999999999995</v>
      </c>
      <c r="AI10" s="280">
        <v>-560.1</v>
      </c>
      <c r="AJ10" s="608">
        <f t="shared" ref="AJ10:AJ18" si="23">SUM(AF10:AI10)</f>
        <v>-2136</v>
      </c>
      <c r="AK10" s="575"/>
      <c r="AL10" s="622">
        <v>-504.5</v>
      </c>
      <c r="AM10" s="345">
        <v>-578.5</v>
      </c>
      <c r="AN10" s="345">
        <v>-674.8</v>
      </c>
      <c r="AO10" s="280">
        <v>-691.10000000000014</v>
      </c>
      <c r="AP10" s="348">
        <f t="shared" ref="AP10:AP18" si="24">SUM(AL10:AO10)</f>
        <v>-2448.9</v>
      </c>
      <c r="AQ10" s="622">
        <v>-651.29999999999995</v>
      </c>
      <c r="AR10" s="345">
        <v>-678.4</v>
      </c>
      <c r="AS10" s="345">
        <v>-664.1</v>
      </c>
      <c r="AT10" s="280"/>
      <c r="AU10" s="348">
        <f t="shared" ref="AU10:AU18" si="25">SUM(AQ10:AT10)</f>
        <v>-1993.7999999999997</v>
      </c>
      <c r="AW10" s="622">
        <v>-563.79999999999995</v>
      </c>
      <c r="AX10" s="345">
        <v>-591.4</v>
      </c>
      <c r="AY10" s="345">
        <v>-575.79999999999995</v>
      </c>
      <c r="AZ10" s="280"/>
      <c r="BA10" s="348">
        <f t="shared" ref="BA10:BA18" si="26">SUM(AW10:AZ10)</f>
        <v>-1730.9999999999998</v>
      </c>
      <c r="BD10" s="620"/>
    </row>
    <row r="11" spans="1:56" ht="18.75" customHeight="1">
      <c r="A11" s="332" t="s">
        <v>72</v>
      </c>
      <c r="B11" s="345">
        <v>-54.4</v>
      </c>
      <c r="C11" s="345">
        <v>-56.7</v>
      </c>
      <c r="D11" s="345">
        <v>-60.2</v>
      </c>
      <c r="E11" s="345">
        <v>-71.7</v>
      </c>
      <c r="F11" s="346">
        <f>SUM(B11:E11)</f>
        <v>-243</v>
      </c>
      <c r="G11" s="347">
        <v>-60.7</v>
      </c>
      <c r="H11" s="345">
        <v>-62.3</v>
      </c>
      <c r="I11" s="345">
        <v>-64.8</v>
      </c>
      <c r="J11" s="345">
        <v>-68.599999999999994</v>
      </c>
      <c r="K11" s="346">
        <f>SUM(G11:J11)</f>
        <v>-256.39999999999998</v>
      </c>
      <c r="L11" s="347">
        <v>-62.5</v>
      </c>
      <c r="M11" s="345">
        <v>-311.3</v>
      </c>
      <c r="N11" s="345">
        <v>-478.3</v>
      </c>
      <c r="O11" s="345">
        <v>-443.8</v>
      </c>
      <c r="P11" s="348">
        <f>SUM(L11:O11)</f>
        <v>-1295.9000000000001</v>
      </c>
      <c r="Q11" s="345">
        <v>-467.9</v>
      </c>
      <c r="R11" s="345">
        <v>-393.5</v>
      </c>
      <c r="S11" s="345">
        <v>-401.2</v>
      </c>
      <c r="T11" s="339">
        <v>-436.70000000000005</v>
      </c>
      <c r="U11" s="348">
        <v>-1699.3</v>
      </c>
      <c r="V11" s="349">
        <v>-423.7</v>
      </c>
      <c r="W11" s="349">
        <v>-527.5</v>
      </c>
      <c r="X11" s="280">
        <v>-507.9</v>
      </c>
      <c r="Y11" s="339">
        <v>-512.4</v>
      </c>
      <c r="Z11" s="348">
        <f>SUM(V11:Y11)</f>
        <v>-1971.5</v>
      </c>
      <c r="AA11" s="349">
        <v>-472.3</v>
      </c>
      <c r="AB11" s="349">
        <v>-446.7</v>
      </c>
      <c r="AC11" s="280">
        <v>-429.2</v>
      </c>
      <c r="AD11" s="280">
        <v>-434.8</v>
      </c>
      <c r="AE11" s="348">
        <f t="shared" si="12"/>
        <v>-1783</v>
      </c>
      <c r="AF11" s="349">
        <v>-454.5</v>
      </c>
      <c r="AG11" s="345">
        <v>-439.1</v>
      </c>
      <c r="AH11" s="345">
        <v>-452.5</v>
      </c>
      <c r="AI11" s="280">
        <v>-430.6</v>
      </c>
      <c r="AJ11" s="608">
        <f t="shared" si="23"/>
        <v>-1776.6999999999998</v>
      </c>
      <c r="AK11" s="575"/>
      <c r="AL11" s="622">
        <v>-454.5</v>
      </c>
      <c r="AM11" s="345">
        <v>-470.8</v>
      </c>
      <c r="AN11" s="345">
        <v>-523.5</v>
      </c>
      <c r="AO11" s="280">
        <v>-521.90000000000009</v>
      </c>
      <c r="AP11" s="348">
        <f t="shared" si="24"/>
        <v>-1970.7</v>
      </c>
      <c r="AQ11" s="622">
        <v>-440.1</v>
      </c>
      <c r="AR11" s="345">
        <v>-444.6</v>
      </c>
      <c r="AS11" s="345">
        <v>-448.5</v>
      </c>
      <c r="AT11" s="280"/>
      <c r="AU11" s="348">
        <f t="shared" si="25"/>
        <v>-1333.2</v>
      </c>
      <c r="AW11" s="622">
        <v>-547.1</v>
      </c>
      <c r="AX11" s="345">
        <v>-553.6</v>
      </c>
      <c r="AY11" s="345">
        <v>-561.5</v>
      </c>
      <c r="AZ11" s="280"/>
      <c r="BA11" s="348">
        <f t="shared" si="26"/>
        <v>-1662.2</v>
      </c>
      <c r="BD11" s="620"/>
    </row>
    <row r="12" spans="1:56" ht="18.75" customHeight="1">
      <c r="A12" s="332" t="s">
        <v>81</v>
      </c>
      <c r="B12" s="345">
        <v>-5.5</v>
      </c>
      <c r="C12" s="345">
        <v>-7.6</v>
      </c>
      <c r="D12" s="345">
        <v>-7</v>
      </c>
      <c r="E12" s="345">
        <v>-16.100000000000001</v>
      </c>
      <c r="F12" s="346">
        <f>SUM(B12:E12)</f>
        <v>-36.200000000000003</v>
      </c>
      <c r="G12" s="347">
        <v>-25.8</v>
      </c>
      <c r="H12" s="345">
        <v>-16.8</v>
      </c>
      <c r="I12" s="345">
        <v>-10.7</v>
      </c>
      <c r="J12" s="345">
        <v>-10.6</v>
      </c>
      <c r="K12" s="346">
        <f>SUM(G12:J12)</f>
        <v>-63.9</v>
      </c>
      <c r="L12" s="347">
        <v>-10.300000000000011</v>
      </c>
      <c r="M12" s="345">
        <v>-189.7</v>
      </c>
      <c r="N12" s="345">
        <v>-348.6</v>
      </c>
      <c r="O12" s="345">
        <v>-376.6</v>
      </c>
      <c r="P12" s="348">
        <f>SUM(L12:O12)</f>
        <v>-925.2</v>
      </c>
      <c r="Q12" s="345">
        <v>-332.5</v>
      </c>
      <c r="R12" s="345">
        <v>-291.7</v>
      </c>
      <c r="S12" s="345">
        <v>-314.89999999999998</v>
      </c>
      <c r="T12" s="339">
        <v>-393.59999999999991</v>
      </c>
      <c r="U12" s="348">
        <v>-1332.8</v>
      </c>
      <c r="V12" s="349">
        <v>-326.8</v>
      </c>
      <c r="W12" s="349">
        <v>-317.3</v>
      </c>
      <c r="X12" s="280">
        <v>-330.5</v>
      </c>
      <c r="Y12" s="339">
        <v>-380.1</v>
      </c>
      <c r="Z12" s="348">
        <f>SUM(V12:Y12)</f>
        <v>-1354.7</v>
      </c>
      <c r="AA12" s="349">
        <v>-323.60000000000002</v>
      </c>
      <c r="AB12" s="349">
        <v>-318.8</v>
      </c>
      <c r="AC12" s="280">
        <v>-323.3</v>
      </c>
      <c r="AD12" s="280">
        <v>-357.9</v>
      </c>
      <c r="AE12" s="348">
        <f t="shared" si="12"/>
        <v>-1323.6</v>
      </c>
      <c r="AF12" s="349">
        <v>-258.5</v>
      </c>
      <c r="AG12" s="345">
        <v>-275.2</v>
      </c>
      <c r="AH12" s="345">
        <v>-277.3</v>
      </c>
      <c r="AI12" s="280">
        <v>-331.7</v>
      </c>
      <c r="AJ12" s="608">
        <f t="shared" si="23"/>
        <v>-1142.7</v>
      </c>
      <c r="AK12" s="575"/>
      <c r="AL12" s="622">
        <v>-272.5</v>
      </c>
      <c r="AM12" s="345">
        <v>-282.5</v>
      </c>
      <c r="AN12" s="345">
        <v>-281.10000000000002</v>
      </c>
      <c r="AO12" s="280">
        <v>-338.1</v>
      </c>
      <c r="AP12" s="348">
        <f t="shared" si="24"/>
        <v>-1174.2</v>
      </c>
      <c r="AQ12" s="622">
        <v>-289.39999999999998</v>
      </c>
      <c r="AR12" s="345">
        <v>-321.7</v>
      </c>
      <c r="AS12" s="345">
        <v>-340.7</v>
      </c>
      <c r="AT12" s="280"/>
      <c r="AU12" s="348">
        <f t="shared" si="25"/>
        <v>-951.8</v>
      </c>
      <c r="AW12" s="622">
        <v>-289.39999999999998</v>
      </c>
      <c r="AX12" s="345">
        <v>-321.7</v>
      </c>
      <c r="AY12" s="345">
        <v>-340.7</v>
      </c>
      <c r="AZ12" s="280"/>
      <c r="BA12" s="348">
        <f t="shared" si="26"/>
        <v>-951.8</v>
      </c>
      <c r="BD12" s="620"/>
    </row>
    <row r="13" spans="1:56" ht="20.100000000000001" customHeight="1">
      <c r="A13" s="332" t="s">
        <v>78</v>
      </c>
      <c r="B13" s="345">
        <v>-206.8</v>
      </c>
      <c r="C13" s="345">
        <v>-226.6</v>
      </c>
      <c r="D13" s="345">
        <v>-171.5</v>
      </c>
      <c r="E13" s="345">
        <v>-219</v>
      </c>
      <c r="F13" s="346">
        <f>SUM(B13:E13)</f>
        <v>-823.9</v>
      </c>
      <c r="G13" s="347">
        <v>-207.5</v>
      </c>
      <c r="H13" s="345">
        <v>-239.5</v>
      </c>
      <c r="I13" s="345">
        <v>-219.3</v>
      </c>
      <c r="J13" s="345">
        <v>-260.7</v>
      </c>
      <c r="K13" s="346">
        <f>SUM(G13:J13)</f>
        <v>-927</v>
      </c>
      <c r="L13" s="347">
        <v>-210.60000000000002</v>
      </c>
      <c r="M13" s="345">
        <v>-260.89999999999998</v>
      </c>
      <c r="N13" s="345">
        <v>-262.39999999999998</v>
      </c>
      <c r="O13" s="345">
        <v>-295.60000000000002</v>
      </c>
      <c r="P13" s="348">
        <f>SUM(L13:O13)</f>
        <v>-1029.5</v>
      </c>
      <c r="Q13" s="345">
        <v>-235.5</v>
      </c>
      <c r="R13" s="345">
        <v>-274</v>
      </c>
      <c r="S13" s="345">
        <v>-257.3</v>
      </c>
      <c r="T13" s="339">
        <v>-299.10000000000014</v>
      </c>
      <c r="U13" s="348">
        <v>-1065.9000000000001</v>
      </c>
      <c r="V13" s="349">
        <v>-248.5</v>
      </c>
      <c r="W13" s="349">
        <v>-316.3</v>
      </c>
      <c r="X13" s="280">
        <v>-252.1</v>
      </c>
      <c r="Y13" s="339">
        <v>-297.3</v>
      </c>
      <c r="Z13" s="348">
        <f>SUM(V13:Y13)</f>
        <v>-1114.2</v>
      </c>
      <c r="AA13" s="349">
        <v>-264.3</v>
      </c>
      <c r="AB13" s="349">
        <v>-298.39999999999998</v>
      </c>
      <c r="AC13" s="280">
        <v>-269.7</v>
      </c>
      <c r="AD13" s="280">
        <v>-321.2</v>
      </c>
      <c r="AE13" s="348">
        <f t="shared" si="12"/>
        <v>-1153.6000000000001</v>
      </c>
      <c r="AF13" s="349">
        <v>-269.39999999999998</v>
      </c>
      <c r="AG13" s="345">
        <v>-316.8</v>
      </c>
      <c r="AH13" s="345">
        <v>-323.5</v>
      </c>
      <c r="AI13" s="280">
        <v>-406.8</v>
      </c>
      <c r="AJ13" s="608">
        <f t="shared" si="23"/>
        <v>-1316.5</v>
      </c>
      <c r="AK13" s="575"/>
      <c r="AL13" s="622">
        <v>-269.39999999999998</v>
      </c>
      <c r="AM13" s="345">
        <v>-323</v>
      </c>
      <c r="AN13" s="345">
        <v>-338.9</v>
      </c>
      <c r="AO13" s="280">
        <v>-424</v>
      </c>
      <c r="AP13" s="348">
        <f t="shared" si="24"/>
        <v>-1355.3</v>
      </c>
      <c r="AQ13" s="622">
        <v>-369</v>
      </c>
      <c r="AR13" s="345">
        <v>-418</v>
      </c>
      <c r="AS13" s="345">
        <v>-423</v>
      </c>
      <c r="AT13" s="280"/>
      <c r="AU13" s="348">
        <f t="shared" si="25"/>
        <v>-1210</v>
      </c>
      <c r="AW13" s="622">
        <v>-366.9</v>
      </c>
      <c r="AX13" s="345">
        <v>-415.8</v>
      </c>
      <c r="AY13" s="345">
        <v>-421</v>
      </c>
      <c r="AZ13" s="280"/>
      <c r="BA13" s="348">
        <f t="shared" si="26"/>
        <v>-1203.7</v>
      </c>
      <c r="BD13" s="620"/>
    </row>
    <row r="14" spans="1:56" ht="25.5">
      <c r="A14" s="332" t="s">
        <v>79</v>
      </c>
      <c r="B14" s="345">
        <v>-71.5</v>
      </c>
      <c r="C14" s="345">
        <v>-71.8</v>
      </c>
      <c r="D14" s="345">
        <v>-73.7</v>
      </c>
      <c r="E14" s="345">
        <v>-95.7</v>
      </c>
      <c r="F14" s="346">
        <f>SUM(B14:E14)</f>
        <v>-312.7</v>
      </c>
      <c r="G14" s="347">
        <v>-79</v>
      </c>
      <c r="H14" s="345">
        <v>-81.3</v>
      </c>
      <c r="I14" s="345">
        <v>-79.3</v>
      </c>
      <c r="J14" s="345">
        <v>-92.4</v>
      </c>
      <c r="K14" s="346">
        <f>SUM(G14:J14)</f>
        <v>-332</v>
      </c>
      <c r="L14" s="347">
        <v>-75.400000000000006</v>
      </c>
      <c r="M14" s="345">
        <v>-132.19999999999999</v>
      </c>
      <c r="N14" s="345">
        <v>-186.8</v>
      </c>
      <c r="O14" s="345">
        <v>-218.3</v>
      </c>
      <c r="P14" s="348">
        <f>SUM(L14:O14)</f>
        <v>-612.70000000000005</v>
      </c>
      <c r="Q14" s="345">
        <v>-189.2</v>
      </c>
      <c r="R14" s="345">
        <v>-193.2</v>
      </c>
      <c r="S14" s="345">
        <v>-200.1</v>
      </c>
      <c r="T14" s="339">
        <v>-220.1</v>
      </c>
      <c r="U14" s="348">
        <v>-802.6</v>
      </c>
      <c r="V14" s="349">
        <v>-200.5</v>
      </c>
      <c r="W14" s="349">
        <v>-202.2</v>
      </c>
      <c r="X14" s="280">
        <v>-202.6</v>
      </c>
      <c r="Y14" s="339">
        <v>-222.5</v>
      </c>
      <c r="Z14" s="348">
        <f>SUM(V14:Y14)</f>
        <v>-827.8</v>
      </c>
      <c r="AA14" s="349">
        <v>-211.1</v>
      </c>
      <c r="AB14" s="349">
        <v>-215.9</v>
      </c>
      <c r="AC14" s="280">
        <v>-224</v>
      </c>
      <c r="AD14" s="280">
        <v>-243.3</v>
      </c>
      <c r="AE14" s="348">
        <f t="shared" si="12"/>
        <v>-894.3</v>
      </c>
      <c r="AF14" s="349">
        <v>-205.2</v>
      </c>
      <c r="AG14" s="345">
        <v>-214.9</v>
      </c>
      <c r="AH14" s="345">
        <v>-217.1</v>
      </c>
      <c r="AI14" s="280">
        <v>-265.60000000000002</v>
      </c>
      <c r="AJ14" s="608">
        <f t="shared" si="23"/>
        <v>-902.80000000000007</v>
      </c>
      <c r="AK14" s="575"/>
      <c r="AL14" s="622">
        <v>-205.2</v>
      </c>
      <c r="AM14" s="345">
        <v>-223.5</v>
      </c>
      <c r="AN14" s="345">
        <v>-236.5</v>
      </c>
      <c r="AO14" s="280">
        <v>-268.69999999999993</v>
      </c>
      <c r="AP14" s="348">
        <f t="shared" si="24"/>
        <v>-933.9</v>
      </c>
      <c r="AQ14" s="622">
        <v>-249.5</v>
      </c>
      <c r="AR14" s="345">
        <v>-245.6</v>
      </c>
      <c r="AS14" s="345">
        <v>-261</v>
      </c>
      <c r="AT14" s="280"/>
      <c r="AU14" s="348">
        <f t="shared" si="25"/>
        <v>-756.1</v>
      </c>
      <c r="AW14" s="622">
        <v>-244.8</v>
      </c>
      <c r="AX14" s="345">
        <v>-241.8</v>
      </c>
      <c r="AY14" s="345">
        <v>-256.60000000000002</v>
      </c>
      <c r="AZ14" s="280"/>
      <c r="BA14" s="348">
        <f t="shared" si="26"/>
        <v>-743.2</v>
      </c>
      <c r="BD14" s="620"/>
    </row>
    <row r="15" spans="1:56" ht="20.100000000000001" customHeight="1">
      <c r="A15" s="332" t="s">
        <v>1</v>
      </c>
      <c r="B15" s="345">
        <v>-40.6</v>
      </c>
      <c r="C15" s="345">
        <v>-40.299999999999997</v>
      </c>
      <c r="D15" s="345">
        <v>-38.9</v>
      </c>
      <c r="E15" s="345">
        <v>-58.6</v>
      </c>
      <c r="F15" s="346">
        <f t="shared" ref="F15:F18" si="27">SUM(B15:E15)</f>
        <v>-178.4</v>
      </c>
      <c r="G15" s="347">
        <v>-43.1</v>
      </c>
      <c r="H15" s="345">
        <v>-41.9</v>
      </c>
      <c r="I15" s="345">
        <v>-40.4</v>
      </c>
      <c r="J15" s="345">
        <v>-53.2</v>
      </c>
      <c r="K15" s="346">
        <f t="shared" ref="K15:K18" si="28">SUM(G15:J15)</f>
        <v>-178.60000000000002</v>
      </c>
      <c r="L15" s="347">
        <v>-44.600000000000009</v>
      </c>
      <c r="M15" s="345">
        <v>-108.2</v>
      </c>
      <c r="N15" s="345">
        <v>-118</v>
      </c>
      <c r="O15" s="345">
        <v>-150.9</v>
      </c>
      <c r="P15" s="348">
        <f t="shared" ref="P15:P18" si="29">SUM(L15:O15)</f>
        <v>-421.70000000000005</v>
      </c>
      <c r="Q15" s="345">
        <v>-129.1</v>
      </c>
      <c r="R15" s="345">
        <v>-140.80000000000001</v>
      </c>
      <c r="S15" s="345">
        <v>-122.3</v>
      </c>
      <c r="T15" s="339">
        <v>-158.00000000000006</v>
      </c>
      <c r="U15" s="348">
        <v>-550.20000000000005</v>
      </c>
      <c r="V15" s="349">
        <v>-137.9</v>
      </c>
      <c r="W15" s="349">
        <v>-138.19999999999999</v>
      </c>
      <c r="X15" s="280">
        <v>-130.5</v>
      </c>
      <c r="Y15" s="339">
        <v>-163.9</v>
      </c>
      <c r="Z15" s="348">
        <f t="shared" si="11"/>
        <v>-570.5</v>
      </c>
      <c r="AA15" s="349">
        <v>-127.8</v>
      </c>
      <c r="AB15" s="349">
        <v>-133.69999999999999</v>
      </c>
      <c r="AC15" s="280">
        <v>-127.4</v>
      </c>
      <c r="AD15" s="280">
        <v>-164.2</v>
      </c>
      <c r="AE15" s="348">
        <f t="shared" si="12"/>
        <v>-553.09999999999991</v>
      </c>
      <c r="AF15" s="349">
        <v>-143.80000000000001</v>
      </c>
      <c r="AG15" s="345">
        <v>-146</v>
      </c>
      <c r="AH15" s="345">
        <v>-137</v>
      </c>
      <c r="AI15" s="280">
        <v>-184.2</v>
      </c>
      <c r="AJ15" s="608">
        <f t="shared" si="23"/>
        <v>-611</v>
      </c>
      <c r="AK15" s="577"/>
      <c r="AL15" s="622">
        <v>-143.80000000000001</v>
      </c>
      <c r="AM15" s="345">
        <v>-169.3</v>
      </c>
      <c r="AN15" s="345">
        <v>-187.1</v>
      </c>
      <c r="AO15" s="280">
        <v>-238.7</v>
      </c>
      <c r="AP15" s="348">
        <f t="shared" si="24"/>
        <v>-738.90000000000009</v>
      </c>
      <c r="AQ15" s="622">
        <v>-212.6</v>
      </c>
      <c r="AR15" s="345">
        <v>-205.6</v>
      </c>
      <c r="AS15" s="345">
        <v>-199.3</v>
      </c>
      <c r="AT15" s="280"/>
      <c r="AU15" s="348">
        <f t="shared" si="25"/>
        <v>-617.5</v>
      </c>
      <c r="AW15" s="622">
        <v>-212.6</v>
      </c>
      <c r="AX15" s="345">
        <v>-205.6</v>
      </c>
      <c r="AY15" s="345">
        <v>-199.3</v>
      </c>
      <c r="AZ15" s="280"/>
      <c r="BA15" s="348">
        <f t="shared" si="26"/>
        <v>-617.5</v>
      </c>
      <c r="BD15" s="620"/>
    </row>
    <row r="16" spans="1:56" ht="24.75" customHeight="1">
      <c r="A16" s="332" t="s">
        <v>82</v>
      </c>
      <c r="B16" s="345">
        <v>-5.9</v>
      </c>
      <c r="C16" s="345">
        <v>-8.4</v>
      </c>
      <c r="D16" s="345">
        <v>-5.3</v>
      </c>
      <c r="E16" s="345">
        <v>-7.8</v>
      </c>
      <c r="F16" s="346">
        <f t="shared" si="27"/>
        <v>-27.400000000000002</v>
      </c>
      <c r="G16" s="347">
        <v>-6.42</v>
      </c>
      <c r="H16" s="345">
        <v>-9.3000000000000007</v>
      </c>
      <c r="I16" s="345">
        <v>-5.3</v>
      </c>
      <c r="J16" s="345">
        <v>-7.2</v>
      </c>
      <c r="K16" s="346">
        <f t="shared" si="28"/>
        <v>-28.22</v>
      </c>
      <c r="L16" s="347">
        <v>-6.6999999999999993</v>
      </c>
      <c r="M16" s="345">
        <v>-18.100000000000001</v>
      </c>
      <c r="N16" s="345">
        <v>-15.3</v>
      </c>
      <c r="O16" s="345">
        <v>-27.5</v>
      </c>
      <c r="P16" s="348">
        <f t="shared" si="29"/>
        <v>-67.599999999999994</v>
      </c>
      <c r="Q16" s="345">
        <v>-18.7</v>
      </c>
      <c r="R16" s="345">
        <v>-27.8</v>
      </c>
      <c r="S16" s="345">
        <v>-8.5</v>
      </c>
      <c r="T16" s="339">
        <v>-7.6000000000000014</v>
      </c>
      <c r="U16" s="348">
        <v>-62.6</v>
      </c>
      <c r="V16" s="349">
        <v>-9.6</v>
      </c>
      <c r="W16" s="349">
        <v>-16.3</v>
      </c>
      <c r="X16" s="280">
        <v>-5.7</v>
      </c>
      <c r="Y16" s="339">
        <v>-15.3</v>
      </c>
      <c r="Z16" s="348">
        <f t="shared" si="11"/>
        <v>-46.9</v>
      </c>
      <c r="AA16" s="349">
        <v>-19.3</v>
      </c>
      <c r="AB16" s="349">
        <v>-16.3</v>
      </c>
      <c r="AC16" s="280">
        <v>-21.3</v>
      </c>
      <c r="AD16" s="280">
        <v>-10.5</v>
      </c>
      <c r="AE16" s="348">
        <f t="shared" si="12"/>
        <v>-67.400000000000006</v>
      </c>
      <c r="AF16" s="349">
        <v>-11.9</v>
      </c>
      <c r="AG16" s="345">
        <v>-18.2</v>
      </c>
      <c r="AH16" s="345">
        <v>-32.9</v>
      </c>
      <c r="AI16" s="280">
        <v>-19</v>
      </c>
      <c r="AJ16" s="608">
        <f t="shared" si="23"/>
        <v>-82</v>
      </c>
      <c r="AK16" s="575"/>
      <c r="AL16" s="622">
        <v>-11.9</v>
      </c>
      <c r="AM16" s="345">
        <v>-17.600000000000001</v>
      </c>
      <c r="AN16" s="345">
        <v>-34.799999999999997</v>
      </c>
      <c r="AO16" s="280">
        <v>-19.600000000000009</v>
      </c>
      <c r="AP16" s="348">
        <f t="shared" si="24"/>
        <v>-83.9</v>
      </c>
      <c r="AQ16" s="622">
        <v>-34.6</v>
      </c>
      <c r="AR16" s="345">
        <v>-16.899999999999999</v>
      </c>
      <c r="AS16" s="345">
        <v>-19.8</v>
      </c>
      <c r="AT16" s="280"/>
      <c r="AU16" s="348">
        <f t="shared" si="25"/>
        <v>-71.3</v>
      </c>
      <c r="AW16" s="622">
        <v>-34.6</v>
      </c>
      <c r="AX16" s="345">
        <v>-16.899999999999999</v>
      </c>
      <c r="AY16" s="345">
        <v>-19.8</v>
      </c>
      <c r="AZ16" s="280"/>
      <c r="BA16" s="348">
        <f t="shared" si="26"/>
        <v>-71.3</v>
      </c>
      <c r="BD16" s="620"/>
    </row>
    <row r="17" spans="1:56" ht="18.75" customHeight="1" thickBot="1">
      <c r="A17" s="332" t="s">
        <v>83</v>
      </c>
      <c r="B17" s="345">
        <v>-30.1</v>
      </c>
      <c r="C17" s="345">
        <v>-33.200000000000003</v>
      </c>
      <c r="D17" s="345">
        <v>-29.7</v>
      </c>
      <c r="E17" s="345">
        <v>-34.200000000000003</v>
      </c>
      <c r="F17" s="346">
        <f t="shared" si="27"/>
        <v>-127.2</v>
      </c>
      <c r="G17" s="347">
        <v>-29.7</v>
      </c>
      <c r="H17" s="345">
        <v>-29.3</v>
      </c>
      <c r="I17" s="345">
        <v>-28.7</v>
      </c>
      <c r="J17" s="345">
        <v>-27.6</v>
      </c>
      <c r="K17" s="346">
        <f t="shared" si="28"/>
        <v>-115.30000000000001</v>
      </c>
      <c r="L17" s="347">
        <v>-26.000000000000007</v>
      </c>
      <c r="M17" s="345">
        <v>-43.4</v>
      </c>
      <c r="N17" s="345">
        <v>-87.2</v>
      </c>
      <c r="O17" s="345">
        <v>-55.5</v>
      </c>
      <c r="P17" s="348">
        <f t="shared" si="29"/>
        <v>-212.10000000000002</v>
      </c>
      <c r="Q17" s="345">
        <v>-53.8</v>
      </c>
      <c r="R17" s="345">
        <v>-56.1</v>
      </c>
      <c r="S17" s="345">
        <v>-44.6</v>
      </c>
      <c r="T17" s="339">
        <v>-59.099999999999994</v>
      </c>
      <c r="U17" s="348">
        <v>-213.5</v>
      </c>
      <c r="V17" s="349">
        <v>-50.7</v>
      </c>
      <c r="W17" s="349">
        <v>-67.599999999999994</v>
      </c>
      <c r="X17" s="280">
        <v>-50.2</v>
      </c>
      <c r="Y17" s="339">
        <v>-76.5</v>
      </c>
      <c r="Z17" s="348">
        <f t="shared" si="11"/>
        <v>-245</v>
      </c>
      <c r="AA17" s="349">
        <v>-51.6</v>
      </c>
      <c r="AB17" s="349">
        <v>-49.5</v>
      </c>
      <c r="AC17" s="280">
        <v>-52.3</v>
      </c>
      <c r="AD17" s="280">
        <v>-73.5</v>
      </c>
      <c r="AE17" s="348">
        <f t="shared" si="12"/>
        <v>-226.89999999999998</v>
      </c>
      <c r="AF17" s="349">
        <v>-55.3</v>
      </c>
      <c r="AG17" s="345">
        <v>-55.2</v>
      </c>
      <c r="AH17" s="345">
        <v>-53.4</v>
      </c>
      <c r="AI17" s="280">
        <v>-68</v>
      </c>
      <c r="AJ17" s="608">
        <f t="shared" si="23"/>
        <v>-231.9</v>
      </c>
      <c r="AK17" s="575"/>
      <c r="AL17" s="622">
        <v>-55.3</v>
      </c>
      <c r="AM17" s="345">
        <v>-61.8</v>
      </c>
      <c r="AN17" s="345">
        <v>-69.099999999999994</v>
      </c>
      <c r="AO17" s="280">
        <v>-86.800000000000011</v>
      </c>
      <c r="AP17" s="348">
        <f t="shared" si="24"/>
        <v>-273</v>
      </c>
      <c r="AQ17" s="622">
        <v>-70.599999999999994</v>
      </c>
      <c r="AR17" s="345">
        <v>-73.599999999999994</v>
      </c>
      <c r="AS17" s="345">
        <v>-76.599999999999994</v>
      </c>
      <c r="AT17" s="280"/>
      <c r="AU17" s="348">
        <f t="shared" si="25"/>
        <v>-220.79999999999998</v>
      </c>
      <c r="AW17" s="622">
        <v>-57.8</v>
      </c>
      <c r="AX17" s="345">
        <v>-60.4</v>
      </c>
      <c r="AY17" s="345">
        <v>-62.1</v>
      </c>
      <c r="AZ17" s="280"/>
      <c r="BA17" s="348">
        <f t="shared" si="26"/>
        <v>-180.29999999999998</v>
      </c>
      <c r="BD17" s="620"/>
    </row>
    <row r="18" spans="1:56" s="350" customFormat="1" ht="20.100000000000001" customHeight="1" thickBot="1">
      <c r="A18" s="327" t="s">
        <v>199</v>
      </c>
      <c r="B18" s="340">
        <v>-1.7</v>
      </c>
      <c r="C18" s="340">
        <v>-1.1000000000000001</v>
      </c>
      <c r="D18" s="340">
        <v>-2</v>
      </c>
      <c r="E18" s="340">
        <v>-12.7</v>
      </c>
      <c r="F18" s="381">
        <f t="shared" si="27"/>
        <v>-17.5</v>
      </c>
      <c r="G18" s="342">
        <v>0.5</v>
      </c>
      <c r="H18" s="340">
        <v>1.5</v>
      </c>
      <c r="I18" s="340">
        <v>36.799999999999997</v>
      </c>
      <c r="J18" s="340">
        <v>-2</v>
      </c>
      <c r="K18" s="381">
        <f t="shared" si="28"/>
        <v>36.799999999999997</v>
      </c>
      <c r="L18" s="342">
        <v>3.6</v>
      </c>
      <c r="M18" s="340">
        <v>3.5</v>
      </c>
      <c r="N18" s="340">
        <v>4.7</v>
      </c>
      <c r="O18" s="340">
        <v>-2.2000000000000002</v>
      </c>
      <c r="P18" s="382">
        <f t="shared" si="29"/>
        <v>9.6000000000000014</v>
      </c>
      <c r="Q18" s="340">
        <v>8.6999999999999993</v>
      </c>
      <c r="R18" s="340">
        <v>13.8</v>
      </c>
      <c r="S18" s="340">
        <v>14.4</v>
      </c>
      <c r="T18" s="340">
        <v>-6.2</v>
      </c>
      <c r="U18" s="382">
        <v>30.7</v>
      </c>
      <c r="V18" s="383">
        <v>6.8</v>
      </c>
      <c r="W18" s="383">
        <v>6.6</v>
      </c>
      <c r="X18" s="384">
        <v>0</v>
      </c>
      <c r="Y18" s="340">
        <v>-4.5999999999999996</v>
      </c>
      <c r="Z18" s="382">
        <f t="shared" si="11"/>
        <v>8.7999999999999989</v>
      </c>
      <c r="AA18" s="383">
        <v>6.8</v>
      </c>
      <c r="AB18" s="383">
        <v>9.9</v>
      </c>
      <c r="AC18" s="384">
        <v>6.7</v>
      </c>
      <c r="AD18" s="340">
        <v>-2.1</v>
      </c>
      <c r="AE18" s="382">
        <f t="shared" si="12"/>
        <v>21.299999999999997</v>
      </c>
      <c r="AF18" s="383">
        <v>6.7</v>
      </c>
      <c r="AG18" s="383">
        <v>-1.9</v>
      </c>
      <c r="AH18" s="482">
        <v>4.5999999999999996</v>
      </c>
      <c r="AI18" s="340">
        <v>0</v>
      </c>
      <c r="AJ18" s="609">
        <f t="shared" si="23"/>
        <v>9.4</v>
      </c>
      <c r="AK18" s="578"/>
      <c r="AL18" s="623">
        <v>6.7</v>
      </c>
      <c r="AM18" s="383">
        <v>-0.6</v>
      </c>
      <c r="AN18" s="483">
        <v>7.3</v>
      </c>
      <c r="AO18" s="340">
        <v>6.2999999999999989</v>
      </c>
      <c r="AP18" s="382">
        <f t="shared" si="24"/>
        <v>19.7</v>
      </c>
      <c r="AQ18" s="623">
        <v>16.600000000000001</v>
      </c>
      <c r="AR18" s="383">
        <v>6.7</v>
      </c>
      <c r="AS18" s="483">
        <v>3.4</v>
      </c>
      <c r="AT18" s="340"/>
      <c r="AU18" s="382">
        <f t="shared" si="25"/>
        <v>26.7</v>
      </c>
      <c r="AW18" s="623">
        <v>16.600000000000001</v>
      </c>
      <c r="AX18" s="383">
        <v>6.7</v>
      </c>
      <c r="AY18" s="483">
        <v>3.4</v>
      </c>
      <c r="AZ18" s="340"/>
      <c r="BA18" s="382">
        <f t="shared" si="26"/>
        <v>26.7</v>
      </c>
      <c r="BC18" s="7"/>
      <c r="BD18" s="620"/>
    </row>
    <row r="19" spans="1:56" s="344" customFormat="1" ht="20.100000000000001" customHeight="1" thickBot="1">
      <c r="A19" s="327" t="s">
        <v>48</v>
      </c>
      <c r="B19" s="340">
        <f t="shared" ref="B19:AF19" si="30">B4+B9+B18</f>
        <v>203.00000000000006</v>
      </c>
      <c r="C19" s="340">
        <f t="shared" si="30"/>
        <v>212.99999999999997</v>
      </c>
      <c r="D19" s="340">
        <f t="shared" si="30"/>
        <v>197.60000000000002</v>
      </c>
      <c r="E19" s="340">
        <f t="shared" si="30"/>
        <v>175.50000000000017</v>
      </c>
      <c r="F19" s="351">
        <f t="shared" si="30"/>
        <v>789.09999999999923</v>
      </c>
      <c r="G19" s="330">
        <f t="shared" si="30"/>
        <v>184.67999999999995</v>
      </c>
      <c r="H19" s="328">
        <f t="shared" si="30"/>
        <v>195</v>
      </c>
      <c r="I19" s="328">
        <f t="shared" si="30"/>
        <v>203.39999999999998</v>
      </c>
      <c r="J19" s="328">
        <f t="shared" si="30"/>
        <v>206.79999999999995</v>
      </c>
      <c r="K19" s="351">
        <f t="shared" si="30"/>
        <v>789.88000000000034</v>
      </c>
      <c r="L19" s="330">
        <f t="shared" si="30"/>
        <v>219.4999999999998</v>
      </c>
      <c r="M19" s="328">
        <f t="shared" si="30"/>
        <v>397.59999999999991</v>
      </c>
      <c r="N19" s="328">
        <f t="shared" si="30"/>
        <v>431.79999999999967</v>
      </c>
      <c r="O19" s="328">
        <f t="shared" si="30"/>
        <v>393.50000000000074</v>
      </c>
      <c r="P19" s="352">
        <f t="shared" si="30"/>
        <v>1442.3999999999992</v>
      </c>
      <c r="Q19" s="328">
        <f t="shared" si="30"/>
        <v>428.7</v>
      </c>
      <c r="R19" s="328">
        <f t="shared" si="30"/>
        <v>583.5</v>
      </c>
      <c r="S19" s="328">
        <f t="shared" si="30"/>
        <v>529.1999999999997</v>
      </c>
      <c r="T19" s="328">
        <f t="shared" si="30"/>
        <v>444.40000000000038</v>
      </c>
      <c r="U19" s="352">
        <f t="shared" si="30"/>
        <v>1985.7999999999995</v>
      </c>
      <c r="V19" s="328">
        <f t="shared" si="30"/>
        <v>422.8</v>
      </c>
      <c r="W19" s="328">
        <f t="shared" si="30"/>
        <v>407.50000000000011</v>
      </c>
      <c r="X19" s="277">
        <f t="shared" si="30"/>
        <v>449.10000000000036</v>
      </c>
      <c r="Y19" s="277">
        <f t="shared" si="30"/>
        <v>389.9</v>
      </c>
      <c r="Z19" s="352">
        <f t="shared" si="30"/>
        <v>1669.3</v>
      </c>
      <c r="AA19" s="328">
        <f t="shared" si="30"/>
        <v>457.20000000000033</v>
      </c>
      <c r="AB19" s="328">
        <f t="shared" si="30"/>
        <v>516.99999999999989</v>
      </c>
      <c r="AC19" s="328">
        <f t="shared" si="30"/>
        <v>421.90000000000003</v>
      </c>
      <c r="AD19" s="328">
        <f t="shared" si="30"/>
        <v>437.9</v>
      </c>
      <c r="AE19" s="352">
        <f t="shared" si="30"/>
        <v>1834.0000000000007</v>
      </c>
      <c r="AF19" s="383">
        <f t="shared" si="30"/>
        <v>464.29999999999967</v>
      </c>
      <c r="AG19" s="328">
        <f>AG4+AG9+AG18</f>
        <v>488.49999999999989</v>
      </c>
      <c r="AH19" s="328">
        <f>AH4+AH9+AH18</f>
        <v>396.00000000000011</v>
      </c>
      <c r="AI19" s="240">
        <f>AI4+AI9+AI18</f>
        <v>416</v>
      </c>
      <c r="AJ19" s="594">
        <f t="shared" ref="AJ19" si="31">AJ4+AJ9+AJ18</f>
        <v>1764.7999999999997</v>
      </c>
      <c r="AK19" s="579"/>
      <c r="AL19" s="330">
        <f t="shared" ref="AL19" si="32">AL4+AL9+AL18</f>
        <v>435.49999999999994</v>
      </c>
      <c r="AM19" s="328">
        <f>AM4+AM9+AM18</f>
        <v>475.5999999999998</v>
      </c>
      <c r="AN19" s="328">
        <f>AN4+AN9+AN18</f>
        <v>396.49999999999983</v>
      </c>
      <c r="AO19" s="240">
        <f t="shared" ref="AO19:AP19" si="33">AO4+AO9+AO18</f>
        <v>419.39999999999992</v>
      </c>
      <c r="AP19" s="352">
        <f t="shared" si="33"/>
        <v>1727.000000000003</v>
      </c>
      <c r="AQ19" s="330">
        <f>AQ4+AQ9+AQ18</f>
        <v>481.9000000000002</v>
      </c>
      <c r="AR19" s="328">
        <f>AR4+AR9+AR18</f>
        <v>515.29999999999995</v>
      </c>
      <c r="AS19" s="328">
        <f>AS4+AS9+AS18</f>
        <v>452.6999999999997</v>
      </c>
      <c r="AT19" s="568"/>
      <c r="AU19" s="352">
        <f t="shared" ref="AU19" si="34">AU4+AU9+AU18</f>
        <v>1449.899999999998</v>
      </c>
      <c r="AW19" s="330">
        <f>AW4+AW9+AW18</f>
        <v>491.19999999999948</v>
      </c>
      <c r="AX19" s="328">
        <f>AX4+AX9+AX18</f>
        <v>522.49999999999977</v>
      </c>
      <c r="AY19" s="328">
        <f>AY4+AY9+AY18</f>
        <v>458.99999999999989</v>
      </c>
      <c r="AZ19" s="568"/>
      <c r="BA19" s="352">
        <f t="shared" ref="BA19" si="35">BA4+BA9+BA18</f>
        <v>1472.7</v>
      </c>
      <c r="BC19" s="7"/>
      <c r="BD19" s="620"/>
    </row>
    <row r="20" spans="1:56" ht="20.100000000000001" customHeight="1">
      <c r="A20" s="332" t="s">
        <v>198</v>
      </c>
      <c r="B20" s="345">
        <v>12.5</v>
      </c>
      <c r="C20" s="345">
        <v>-8.5</v>
      </c>
      <c r="D20" s="345">
        <v>5.3</v>
      </c>
      <c r="E20" s="345">
        <v>5</v>
      </c>
      <c r="F20" s="346">
        <f>SUM(B20:E20)</f>
        <v>14.3</v>
      </c>
      <c r="G20" s="347">
        <v>3.9</v>
      </c>
      <c r="H20" s="345">
        <v>0.7</v>
      </c>
      <c r="I20" s="345">
        <v>7.4</v>
      </c>
      <c r="J20" s="345">
        <v>4.0999999999999996</v>
      </c>
      <c r="K20" s="346">
        <f>SUM(G20:J20)</f>
        <v>16.100000000000001</v>
      </c>
      <c r="L20" s="347">
        <v>1.2000000000000028</v>
      </c>
      <c r="M20" s="345">
        <v>23.9</v>
      </c>
      <c r="N20" s="345">
        <v>1.5</v>
      </c>
      <c r="O20" s="345">
        <v>-11.4</v>
      </c>
      <c r="P20" s="348">
        <f>SUM(L20:O20)</f>
        <v>15.200000000000001</v>
      </c>
      <c r="Q20" s="345">
        <v>28.9</v>
      </c>
      <c r="R20" s="345">
        <v>-11.9</v>
      </c>
      <c r="S20" s="345">
        <v>-5.2</v>
      </c>
      <c r="T20" s="339">
        <v>-3.2</v>
      </c>
      <c r="U20" s="348">
        <v>8.6000000000000014</v>
      </c>
      <c r="V20" s="349">
        <v>-35.200000000000003</v>
      </c>
      <c r="W20" s="349">
        <v>-21.4</v>
      </c>
      <c r="X20" s="280">
        <v>13.1</v>
      </c>
      <c r="Y20" s="339">
        <v>-26.3</v>
      </c>
      <c r="Z20" s="348">
        <f t="shared" si="11"/>
        <v>-69.8</v>
      </c>
      <c r="AA20" s="349">
        <v>30.5</v>
      </c>
      <c r="AB20" s="349">
        <v>-14.4</v>
      </c>
      <c r="AC20" s="280">
        <v>-28</v>
      </c>
      <c r="AD20" s="280">
        <v>19.100000000000001</v>
      </c>
      <c r="AE20" s="348">
        <f t="shared" si="12"/>
        <v>7.2000000000000028</v>
      </c>
      <c r="AF20" s="349">
        <v>-3.4</v>
      </c>
      <c r="AG20" s="345">
        <v>-34.4</v>
      </c>
      <c r="AH20" s="345">
        <v>12.7</v>
      </c>
      <c r="AI20" s="280">
        <v>4.7</v>
      </c>
      <c r="AJ20" s="608">
        <f t="shared" ref="AJ20:AJ22" si="36">SUM(AF20:AI20)</f>
        <v>-20.399999999999999</v>
      </c>
      <c r="AK20" s="575"/>
      <c r="AL20" s="622">
        <v>-3.4</v>
      </c>
      <c r="AM20" s="345">
        <v>-45.9</v>
      </c>
      <c r="AN20" s="345">
        <v>11.7</v>
      </c>
      <c r="AO20" s="280">
        <v>4.6000000000000014</v>
      </c>
      <c r="AP20" s="348">
        <f t="shared" ref="AP20:AP22" si="37">SUM(AL20:AO20)</f>
        <v>-32.999999999999993</v>
      </c>
      <c r="AQ20" s="622">
        <v>1.3</v>
      </c>
      <c r="AR20" s="345">
        <v>13.6</v>
      </c>
      <c r="AS20" s="345">
        <v>-34.5</v>
      </c>
      <c r="AT20" s="280"/>
      <c r="AU20" s="348">
        <f t="shared" ref="AU20:AU22" si="38">SUM(AQ20:AT20)</f>
        <v>-19.600000000000001</v>
      </c>
      <c r="AW20" s="622">
        <v>-12.2</v>
      </c>
      <c r="AX20" s="345">
        <v>4.8</v>
      </c>
      <c r="AY20" s="345">
        <v>-53.8</v>
      </c>
      <c r="AZ20" s="280"/>
      <c r="BA20" s="348">
        <f t="shared" ref="BA20:BA22" si="39">SUM(AW20:AZ20)</f>
        <v>-61.199999999999996</v>
      </c>
      <c r="BD20" s="620"/>
    </row>
    <row r="21" spans="1:56" s="647" customFormat="1" ht="20.100000000000001" customHeight="1">
      <c r="A21" s="640" t="s">
        <v>271</v>
      </c>
      <c r="B21" s="641">
        <v>30.1</v>
      </c>
      <c r="C21" s="641">
        <v>-92.4</v>
      </c>
      <c r="D21" s="641">
        <v>-5.2</v>
      </c>
      <c r="E21" s="641">
        <v>-43.1</v>
      </c>
      <c r="F21" s="642">
        <f t="shared" ref="F21" si="40">SUM(B21:E21)</f>
        <v>-110.6</v>
      </c>
      <c r="G21" s="643">
        <v>-80.099999999999994</v>
      </c>
      <c r="H21" s="641">
        <v>-102.4</v>
      </c>
      <c r="I21" s="641">
        <v>-10.7</v>
      </c>
      <c r="J21" s="641">
        <v>-22.8</v>
      </c>
      <c r="K21" s="642">
        <f t="shared" ref="K21" si="41">SUM(G21:J21)</f>
        <v>-216</v>
      </c>
      <c r="L21" s="643">
        <v>-108.70000000000005</v>
      </c>
      <c r="M21" s="641">
        <v>-273.39999999999998</v>
      </c>
      <c r="N21" s="641">
        <v>-384.7</v>
      </c>
      <c r="O21" s="641">
        <v>-379.2</v>
      </c>
      <c r="P21" s="608">
        <f t="shared" ref="P21" si="42">SUM(L21:O21)</f>
        <v>-1146</v>
      </c>
      <c r="Q21" s="641">
        <v>-261.3</v>
      </c>
      <c r="R21" s="641">
        <v>-222.1</v>
      </c>
      <c r="S21" s="641">
        <v>88.8</v>
      </c>
      <c r="T21" s="339">
        <v>-270</v>
      </c>
      <c r="U21" s="608">
        <v>-664.59999999999991</v>
      </c>
      <c r="V21" s="644">
        <v>-182.7</v>
      </c>
      <c r="W21" s="644">
        <v>-133.19999999999999</v>
      </c>
      <c r="X21" s="595">
        <v>-127.3</v>
      </c>
      <c r="Y21" s="339">
        <v>-122.9</v>
      </c>
      <c r="Z21" s="608">
        <f t="shared" si="11"/>
        <v>-566.1</v>
      </c>
      <c r="AA21" s="644">
        <v>-185.5</v>
      </c>
      <c r="AB21" s="644">
        <v>-113.3</v>
      </c>
      <c r="AC21" s="595">
        <v>-104.8</v>
      </c>
      <c r="AD21" s="595">
        <v>-105.4</v>
      </c>
      <c r="AE21" s="608">
        <f t="shared" si="12"/>
        <v>-509</v>
      </c>
      <c r="AF21" s="644">
        <v>-72.599999999999994</v>
      </c>
      <c r="AG21" s="641">
        <v>-98.8</v>
      </c>
      <c r="AH21" s="641">
        <v>-100.9</v>
      </c>
      <c r="AI21" s="595">
        <v>-113.3</v>
      </c>
      <c r="AJ21" s="608">
        <f t="shared" si="36"/>
        <v>-385.59999999999997</v>
      </c>
      <c r="AK21" s="645"/>
      <c r="AL21" s="646">
        <v>-72.599999999999994</v>
      </c>
      <c r="AM21" s="641">
        <v>-98.9</v>
      </c>
      <c r="AN21" s="641">
        <v>-101.6</v>
      </c>
      <c r="AO21" s="595">
        <v>-113.59999999999997</v>
      </c>
      <c r="AP21" s="608">
        <f t="shared" si="37"/>
        <v>-386.7</v>
      </c>
      <c r="AQ21" s="646">
        <v>-102.7</v>
      </c>
      <c r="AR21" s="641">
        <v>-170</v>
      </c>
      <c r="AS21" s="641">
        <v>-97.9</v>
      </c>
      <c r="AT21" s="595"/>
      <c r="AU21" s="608">
        <f t="shared" si="38"/>
        <v>-370.6</v>
      </c>
      <c r="AW21" s="646">
        <v>-102.7</v>
      </c>
      <c r="AX21" s="641">
        <v>-170</v>
      </c>
      <c r="AY21" s="641">
        <v>-97.9</v>
      </c>
      <c r="AZ21" s="595"/>
      <c r="BA21" s="608">
        <f t="shared" si="39"/>
        <v>-370.6</v>
      </c>
      <c r="BD21" s="648"/>
    </row>
    <row r="22" spans="1:56" ht="26.25" customHeight="1">
      <c r="A22" s="332" t="s">
        <v>178</v>
      </c>
      <c r="B22" s="345">
        <v>0.7</v>
      </c>
      <c r="C22" s="345">
        <v>0.8</v>
      </c>
      <c r="D22" s="345">
        <v>0.5</v>
      </c>
      <c r="E22" s="345">
        <v>0.8</v>
      </c>
      <c r="F22" s="346">
        <f t="shared" ref="F22" si="43">SUM(B22:E22)</f>
        <v>2.8</v>
      </c>
      <c r="G22" s="347">
        <v>0.8</v>
      </c>
      <c r="H22" s="345">
        <v>0.8</v>
      </c>
      <c r="I22" s="345">
        <v>0.7</v>
      </c>
      <c r="J22" s="345">
        <v>0.6</v>
      </c>
      <c r="K22" s="346">
        <f t="shared" ref="K22" si="44">SUM(G22:J22)</f>
        <v>2.9</v>
      </c>
      <c r="L22" s="347">
        <v>0.60000000000000009</v>
      </c>
      <c r="M22" s="345">
        <v>0.7</v>
      </c>
      <c r="N22" s="345">
        <v>0.7</v>
      </c>
      <c r="O22" s="345">
        <v>0.6</v>
      </c>
      <c r="P22" s="348">
        <f t="shared" ref="P22" si="45">SUM(L22:O22)</f>
        <v>2.6</v>
      </c>
      <c r="Q22" s="345">
        <v>0.5</v>
      </c>
      <c r="R22" s="345">
        <v>0.9</v>
      </c>
      <c r="S22" s="345">
        <v>0.5</v>
      </c>
      <c r="T22" s="339">
        <v>0.70000000000000018</v>
      </c>
      <c r="U22" s="348">
        <v>2.6</v>
      </c>
      <c r="V22" s="349">
        <v>0.8</v>
      </c>
      <c r="W22" s="349">
        <v>-0.8</v>
      </c>
      <c r="X22" s="316">
        <v>0</v>
      </c>
      <c r="Y22" s="316">
        <v>0</v>
      </c>
      <c r="Z22" s="353">
        <f t="shared" ref="Z22" si="46">SUM(V22:Y22)</f>
        <v>0</v>
      </c>
      <c r="AA22" s="316">
        <v>0</v>
      </c>
      <c r="AB22" s="316">
        <v>0</v>
      </c>
      <c r="AC22" s="316">
        <v>0</v>
      </c>
      <c r="AD22" s="316">
        <v>0</v>
      </c>
      <c r="AE22" s="353">
        <f t="shared" ref="AE22:AE23" si="47">SUM(AA22:AD22)</f>
        <v>0</v>
      </c>
      <c r="AF22" s="316">
        <v>0</v>
      </c>
      <c r="AG22" s="316">
        <v>0</v>
      </c>
      <c r="AH22" s="316">
        <v>0</v>
      </c>
      <c r="AI22" s="316">
        <v>0</v>
      </c>
      <c r="AJ22" s="610">
        <f t="shared" si="36"/>
        <v>0</v>
      </c>
      <c r="AK22" s="580"/>
      <c r="AL22" s="437">
        <v>0</v>
      </c>
      <c r="AM22" s="316">
        <v>0</v>
      </c>
      <c r="AN22" s="316">
        <v>0</v>
      </c>
      <c r="AO22" s="316">
        <v>0</v>
      </c>
      <c r="AP22" s="353">
        <f t="shared" si="37"/>
        <v>0</v>
      </c>
      <c r="AQ22" s="437">
        <v>0</v>
      </c>
      <c r="AR22" s="316">
        <v>0</v>
      </c>
      <c r="AS22" s="316">
        <v>0</v>
      </c>
      <c r="AT22" s="316"/>
      <c r="AU22" s="353">
        <f t="shared" si="38"/>
        <v>0</v>
      </c>
      <c r="AW22" s="437">
        <v>0</v>
      </c>
      <c r="AX22" s="316">
        <v>0</v>
      </c>
      <c r="AY22" s="316">
        <v>0</v>
      </c>
      <c r="AZ22" s="316"/>
      <c r="BA22" s="353">
        <f t="shared" si="39"/>
        <v>0</v>
      </c>
      <c r="BD22" s="620"/>
    </row>
    <row r="23" spans="1:56" ht="26.25" customHeight="1" thickBot="1">
      <c r="A23" s="332" t="s">
        <v>248</v>
      </c>
      <c r="B23" s="345"/>
      <c r="C23" s="345"/>
      <c r="D23" s="345"/>
      <c r="E23" s="345"/>
      <c r="F23" s="346"/>
      <c r="G23" s="347"/>
      <c r="H23" s="345"/>
      <c r="I23" s="345"/>
      <c r="J23" s="345"/>
      <c r="K23" s="346"/>
      <c r="L23" s="347"/>
      <c r="M23" s="345"/>
      <c r="N23" s="345"/>
      <c r="O23" s="345"/>
      <c r="P23" s="348"/>
      <c r="Q23" s="345"/>
      <c r="R23" s="345"/>
      <c r="S23" s="345"/>
      <c r="T23" s="339"/>
      <c r="U23" s="348"/>
      <c r="V23" s="349"/>
      <c r="W23" s="349"/>
      <c r="X23" s="316"/>
      <c r="Y23" s="316"/>
      <c r="Z23" s="353"/>
      <c r="AA23" s="316"/>
      <c r="AB23" s="316"/>
      <c r="AC23" s="316"/>
      <c r="AD23" s="316">
        <v>2.8</v>
      </c>
      <c r="AE23" s="353">
        <f t="shared" si="47"/>
        <v>2.8</v>
      </c>
      <c r="AF23" s="316">
        <v>5.2</v>
      </c>
      <c r="AG23" s="461">
        <v>-0.1</v>
      </c>
      <c r="AH23" s="461">
        <v>-3.5</v>
      </c>
      <c r="AI23" s="280">
        <v>-2.8</v>
      </c>
      <c r="AJ23" s="610">
        <f t="shared" ref="AJ23" si="48">SUM(AF23:AI23)</f>
        <v>-1.1999999999999993</v>
      </c>
      <c r="AK23" s="575"/>
      <c r="AL23" s="437">
        <v>5.2</v>
      </c>
      <c r="AM23" s="461">
        <v>-0.1</v>
      </c>
      <c r="AN23" s="461">
        <v>-3.5</v>
      </c>
      <c r="AO23" s="316">
        <v>-2.8</v>
      </c>
      <c r="AP23" s="353">
        <f t="shared" ref="AP23" si="49">SUM(AL23:AO23)</f>
        <v>-1.1999999999999993</v>
      </c>
      <c r="AQ23" s="437">
        <v>-1.7</v>
      </c>
      <c r="AR23" s="461">
        <v>-1.9</v>
      </c>
      <c r="AS23" s="461">
        <v>-1.3</v>
      </c>
      <c r="AT23" s="316"/>
      <c r="AU23" s="353">
        <f>SUM(AQ23:AT23)</f>
        <v>-4.8999999999999995</v>
      </c>
      <c r="AW23" s="437">
        <v>-1.7</v>
      </c>
      <c r="AX23" s="461">
        <v>-1.9</v>
      </c>
      <c r="AY23" s="461">
        <v>-1.3</v>
      </c>
      <c r="AZ23" s="316"/>
      <c r="BA23" s="353">
        <f>SUM(AW23:AZ23)</f>
        <v>-4.8999999999999995</v>
      </c>
      <c r="BD23" s="620"/>
    </row>
    <row r="24" spans="1:56" s="344" customFormat="1" ht="20.100000000000001" customHeight="1" thickBot="1">
      <c r="A24" s="327" t="s">
        <v>194</v>
      </c>
      <c r="B24" s="328">
        <f t="shared" ref="B24:AC24" si="50">B19+B20+B21+B22+B23</f>
        <v>246.30000000000004</v>
      </c>
      <c r="C24" s="328">
        <f t="shared" si="50"/>
        <v>112.89999999999996</v>
      </c>
      <c r="D24" s="328">
        <f t="shared" si="50"/>
        <v>198.20000000000005</v>
      </c>
      <c r="E24" s="328">
        <f t="shared" si="50"/>
        <v>138.20000000000019</v>
      </c>
      <c r="F24" s="351">
        <f t="shared" si="50"/>
        <v>695.59999999999911</v>
      </c>
      <c r="G24" s="330">
        <f t="shared" si="50"/>
        <v>109.27999999999996</v>
      </c>
      <c r="H24" s="328">
        <f t="shared" si="50"/>
        <v>94.09999999999998</v>
      </c>
      <c r="I24" s="328">
        <f t="shared" si="50"/>
        <v>200.79999999999998</v>
      </c>
      <c r="J24" s="328">
        <f t="shared" si="50"/>
        <v>188.69999999999993</v>
      </c>
      <c r="K24" s="351">
        <f t="shared" si="50"/>
        <v>592.88000000000034</v>
      </c>
      <c r="L24" s="330">
        <f t="shared" si="50"/>
        <v>112.59999999999977</v>
      </c>
      <c r="M24" s="328">
        <f t="shared" si="50"/>
        <v>148.7999999999999</v>
      </c>
      <c r="N24" s="328">
        <f t="shared" si="50"/>
        <v>49.299999999999685</v>
      </c>
      <c r="O24" s="328">
        <f t="shared" si="50"/>
        <v>3.5000000000007732</v>
      </c>
      <c r="P24" s="352">
        <f t="shared" si="50"/>
        <v>314.19999999999925</v>
      </c>
      <c r="Q24" s="328">
        <f t="shared" si="50"/>
        <v>196.79999999999995</v>
      </c>
      <c r="R24" s="328">
        <f t="shared" si="50"/>
        <v>350.4</v>
      </c>
      <c r="S24" s="328">
        <f t="shared" si="50"/>
        <v>613.29999999999961</v>
      </c>
      <c r="T24" s="328">
        <f t="shared" si="50"/>
        <v>171.90000000000038</v>
      </c>
      <c r="U24" s="352">
        <f t="shared" si="50"/>
        <v>1332.3999999999994</v>
      </c>
      <c r="V24" s="328">
        <f t="shared" si="50"/>
        <v>205.70000000000005</v>
      </c>
      <c r="W24" s="328">
        <f t="shared" si="50"/>
        <v>252.10000000000014</v>
      </c>
      <c r="X24" s="277">
        <f t="shared" si="50"/>
        <v>334.90000000000038</v>
      </c>
      <c r="Y24" s="277">
        <f t="shared" si="50"/>
        <v>240.69999999999996</v>
      </c>
      <c r="Z24" s="352">
        <f t="shared" si="50"/>
        <v>1033.4000000000001</v>
      </c>
      <c r="AA24" s="328">
        <f t="shared" si="50"/>
        <v>302.20000000000033</v>
      </c>
      <c r="AB24" s="328">
        <f t="shared" si="50"/>
        <v>389.2999999999999</v>
      </c>
      <c r="AC24" s="328">
        <f t="shared" si="50"/>
        <v>289.10000000000002</v>
      </c>
      <c r="AD24" s="328">
        <f>AD19+AD20+AD21+AD22+AD23</f>
        <v>354.40000000000003</v>
      </c>
      <c r="AE24" s="352">
        <f t="shared" ref="AE24:AI24" si="51">AE19+AE20+AE21+AE22+AE23</f>
        <v>1335.0000000000007</v>
      </c>
      <c r="AF24" s="328">
        <f t="shared" si="51"/>
        <v>393.49999999999972</v>
      </c>
      <c r="AG24" s="328">
        <f>AG19+AG20+AG21+AG22+AG23</f>
        <v>355.19999999999987</v>
      </c>
      <c r="AH24" s="328">
        <f>AH19+AH20+AH21+AH22+AH23</f>
        <v>304.30000000000007</v>
      </c>
      <c r="AI24" s="240">
        <f t="shared" si="51"/>
        <v>304.59999999999997</v>
      </c>
      <c r="AJ24" s="594">
        <f>AJ19+AJ20+AJ21+AJ22+AJ23</f>
        <v>1357.5999999999997</v>
      </c>
      <c r="AK24" s="579"/>
      <c r="AL24" s="330">
        <f t="shared" ref="AL24:AN24" si="52">AL19+AL20+AL21+AL22+AL23</f>
        <v>364.7</v>
      </c>
      <c r="AM24" s="328">
        <f t="shared" si="52"/>
        <v>330.69999999999982</v>
      </c>
      <c r="AN24" s="328">
        <f t="shared" si="52"/>
        <v>303.0999999999998</v>
      </c>
      <c r="AO24" s="240">
        <f>AO19+AO20+AO21+AO22+AO23</f>
        <v>307.59999999999997</v>
      </c>
      <c r="AP24" s="352">
        <f>AP19+AP20+AP21+AP22+AP23</f>
        <v>1306.1000000000029</v>
      </c>
      <c r="AQ24" s="330">
        <f>AQ19+AQ20+AQ21+AQ22+AQ23</f>
        <v>378.80000000000024</v>
      </c>
      <c r="AR24" s="328">
        <f t="shared" ref="AR24:AS24" si="53">AR19+AR20+AR21+AR22+AR23</f>
        <v>357</v>
      </c>
      <c r="AS24" s="328">
        <f t="shared" si="53"/>
        <v>318.99999999999972</v>
      </c>
      <c r="AT24" s="568"/>
      <c r="AU24" s="352">
        <f>AU19+AU20+AU21+AU22+AU23</f>
        <v>1054.7999999999979</v>
      </c>
      <c r="AW24" s="330">
        <f>AW19+AW20+AW21+AW23+AW22</f>
        <v>374.59999999999951</v>
      </c>
      <c r="AX24" s="328">
        <f t="shared" ref="AX24:AY24" si="54">AX19+AX20+AX21+AX22+AX23</f>
        <v>355.39999999999975</v>
      </c>
      <c r="AY24" s="328">
        <f t="shared" si="54"/>
        <v>305.99999999999983</v>
      </c>
      <c r="AZ24" s="568"/>
      <c r="BA24" s="352">
        <f>BA19+BA20+BA21+BA22+BA23</f>
        <v>1036</v>
      </c>
      <c r="BC24" s="7"/>
      <c r="BD24" s="620"/>
    </row>
    <row r="25" spans="1:56" ht="20.100000000000001" customHeight="1" thickBot="1">
      <c r="A25" s="332" t="s">
        <v>2</v>
      </c>
      <c r="B25" s="345">
        <v>-41.2</v>
      </c>
      <c r="C25" s="345">
        <v>-13.4</v>
      </c>
      <c r="D25" s="345">
        <v>-26.2</v>
      </c>
      <c r="E25" s="345">
        <v>-16.600000000000001</v>
      </c>
      <c r="F25" s="346">
        <f>SUM(B25:E25)</f>
        <v>-97.4</v>
      </c>
      <c r="G25" s="347">
        <v>-14.1</v>
      </c>
      <c r="H25" s="345">
        <v>-13.4</v>
      </c>
      <c r="I25" s="345">
        <v>-24.4</v>
      </c>
      <c r="J25" s="345">
        <v>-15.5</v>
      </c>
      <c r="K25" s="346">
        <f>SUM(G25:J25)</f>
        <v>-67.400000000000006</v>
      </c>
      <c r="L25" s="347">
        <v>-14.400000000000002</v>
      </c>
      <c r="M25" s="345">
        <v>-16.7</v>
      </c>
      <c r="N25" s="345">
        <v>-1.1000000000000001</v>
      </c>
      <c r="O25" s="345">
        <v>10.5</v>
      </c>
      <c r="P25" s="348">
        <f>SUM(L25:O25)</f>
        <v>-21.700000000000003</v>
      </c>
      <c r="Q25" s="345">
        <v>-26</v>
      </c>
      <c r="R25" s="345">
        <v>-45.9</v>
      </c>
      <c r="S25" s="345">
        <v>-110.8</v>
      </c>
      <c r="T25" s="349">
        <v>13.7</v>
      </c>
      <c r="U25" s="348">
        <v>-169</v>
      </c>
      <c r="V25" s="349">
        <v>-27.2</v>
      </c>
      <c r="W25" s="349">
        <v>-21.2</v>
      </c>
      <c r="X25" s="280">
        <v>-65.099999999999994</v>
      </c>
      <c r="Y25" s="349">
        <v>101.1</v>
      </c>
      <c r="Z25" s="348">
        <f t="shared" si="11"/>
        <v>-12.400000000000006</v>
      </c>
      <c r="AA25" s="349">
        <v>-30.8</v>
      </c>
      <c r="AB25" s="349">
        <v>-107.6</v>
      </c>
      <c r="AC25" s="280">
        <v>-54.2</v>
      </c>
      <c r="AD25" s="349">
        <v>-197.2</v>
      </c>
      <c r="AE25" s="348">
        <f t="shared" si="12"/>
        <v>-389.8</v>
      </c>
      <c r="AF25" s="349">
        <v>-78</v>
      </c>
      <c r="AG25" s="349">
        <v>-102.1</v>
      </c>
      <c r="AH25" s="481">
        <v>-77.3</v>
      </c>
      <c r="AI25" s="349">
        <v>-246.74845572261776</v>
      </c>
      <c r="AJ25" s="608">
        <f>SUM(AF25:AI25)</f>
        <v>-504.14845572261777</v>
      </c>
      <c r="AK25" s="575"/>
      <c r="AL25" s="622">
        <v>-72.5</v>
      </c>
      <c r="AM25" s="349">
        <v>-99.3</v>
      </c>
      <c r="AN25" s="484">
        <v>-76</v>
      </c>
      <c r="AO25" s="349">
        <v>-242.2</v>
      </c>
      <c r="AP25" s="348">
        <f>SUM(AL25:AO25)</f>
        <v>-490</v>
      </c>
      <c r="AQ25" s="622">
        <v>-78</v>
      </c>
      <c r="AR25" s="349">
        <v>-86.9</v>
      </c>
      <c r="AS25" s="349">
        <v>-72</v>
      </c>
      <c r="AT25" s="349"/>
      <c r="AU25" s="608">
        <f>SUM(AQ25:AT25)</f>
        <v>-236.9</v>
      </c>
      <c r="AW25" s="622">
        <v>-77.3</v>
      </c>
      <c r="AX25" s="349">
        <v>-86.5</v>
      </c>
      <c r="AY25" s="484">
        <v>-69.5</v>
      </c>
      <c r="AZ25" s="349"/>
      <c r="BA25" s="608">
        <f>SUM(AW25:AZ25)</f>
        <v>-233.3</v>
      </c>
      <c r="BD25" s="620"/>
    </row>
    <row r="26" spans="1:56" s="344" customFormat="1" ht="20.100000000000001" customHeight="1" thickBot="1">
      <c r="A26" s="327" t="s">
        <v>195</v>
      </c>
      <c r="B26" s="328">
        <f t="shared" ref="B26:Z26" si="55">B24+B25</f>
        <v>205.10000000000002</v>
      </c>
      <c r="C26" s="328">
        <f t="shared" si="55"/>
        <v>99.499999999999957</v>
      </c>
      <c r="D26" s="328">
        <f t="shared" si="55"/>
        <v>172.00000000000006</v>
      </c>
      <c r="E26" s="328">
        <f t="shared" si="55"/>
        <v>121.60000000000019</v>
      </c>
      <c r="F26" s="351">
        <f>F24+F25</f>
        <v>598.19999999999914</v>
      </c>
      <c r="G26" s="330">
        <f t="shared" si="55"/>
        <v>95.179999999999964</v>
      </c>
      <c r="H26" s="328">
        <f t="shared" si="55"/>
        <v>80.699999999999974</v>
      </c>
      <c r="I26" s="328">
        <f t="shared" si="55"/>
        <v>176.39999999999998</v>
      </c>
      <c r="J26" s="328">
        <f t="shared" si="55"/>
        <v>173.19999999999993</v>
      </c>
      <c r="K26" s="351">
        <f t="shared" si="55"/>
        <v>525.48000000000036</v>
      </c>
      <c r="L26" s="330">
        <f t="shared" si="55"/>
        <v>98.199999999999761</v>
      </c>
      <c r="M26" s="328">
        <f t="shared" si="55"/>
        <v>132.09999999999991</v>
      </c>
      <c r="N26" s="328">
        <f t="shared" si="55"/>
        <v>48.199999999999683</v>
      </c>
      <c r="O26" s="328">
        <f t="shared" si="55"/>
        <v>14.000000000000773</v>
      </c>
      <c r="P26" s="352">
        <f t="shared" si="55"/>
        <v>292.49999999999926</v>
      </c>
      <c r="Q26" s="328">
        <f t="shared" si="55"/>
        <v>170.79999999999995</v>
      </c>
      <c r="R26" s="328">
        <f t="shared" si="55"/>
        <v>304.5</v>
      </c>
      <c r="S26" s="328">
        <f t="shared" si="55"/>
        <v>502.4999999999996</v>
      </c>
      <c r="T26" s="328">
        <f t="shared" si="55"/>
        <v>185.60000000000036</v>
      </c>
      <c r="U26" s="352">
        <f t="shared" si="55"/>
        <v>1163.3999999999994</v>
      </c>
      <c r="V26" s="328">
        <f t="shared" si="55"/>
        <v>178.50000000000006</v>
      </c>
      <c r="W26" s="328">
        <f t="shared" si="55"/>
        <v>230.90000000000015</v>
      </c>
      <c r="X26" s="277">
        <f t="shared" si="55"/>
        <v>269.80000000000041</v>
      </c>
      <c r="Y26" s="277">
        <f t="shared" si="55"/>
        <v>341.79999999999995</v>
      </c>
      <c r="Z26" s="352">
        <f t="shared" si="55"/>
        <v>1021.0000000000001</v>
      </c>
      <c r="AA26" s="328">
        <f t="shared" ref="AA26:AJ26" si="56">AA24+AA25</f>
        <v>271.40000000000032</v>
      </c>
      <c r="AB26" s="328">
        <f t="shared" si="56"/>
        <v>281.69999999999993</v>
      </c>
      <c r="AC26" s="328">
        <f t="shared" si="56"/>
        <v>234.90000000000003</v>
      </c>
      <c r="AD26" s="328">
        <f t="shared" si="56"/>
        <v>157.20000000000005</v>
      </c>
      <c r="AE26" s="352">
        <f t="shared" si="56"/>
        <v>945.20000000000073</v>
      </c>
      <c r="AF26" s="328">
        <f t="shared" si="56"/>
        <v>315.49999999999972</v>
      </c>
      <c r="AG26" s="328">
        <f t="shared" si="56"/>
        <v>253.09999999999988</v>
      </c>
      <c r="AH26" s="328">
        <f t="shared" si="56"/>
        <v>227.00000000000006</v>
      </c>
      <c r="AI26" s="240">
        <f t="shared" si="56"/>
        <v>57.851544277382203</v>
      </c>
      <c r="AJ26" s="594">
        <f t="shared" si="56"/>
        <v>853.45154427738191</v>
      </c>
      <c r="AK26" s="579"/>
      <c r="AL26" s="330">
        <f t="shared" ref="AL26:AS26" si="57">AL24+AL25</f>
        <v>292.2</v>
      </c>
      <c r="AM26" s="328">
        <f t="shared" si="57"/>
        <v>231.39999999999981</v>
      </c>
      <c r="AN26" s="328">
        <f t="shared" si="57"/>
        <v>227.0999999999998</v>
      </c>
      <c r="AO26" s="240">
        <f t="shared" si="57"/>
        <v>65.399999999999977</v>
      </c>
      <c r="AP26" s="352">
        <f t="shared" si="57"/>
        <v>816.10000000000286</v>
      </c>
      <c r="AQ26" s="330">
        <f>AQ24+AQ25</f>
        <v>300.80000000000024</v>
      </c>
      <c r="AR26" s="328">
        <f t="shared" si="57"/>
        <v>270.10000000000002</v>
      </c>
      <c r="AS26" s="328">
        <f t="shared" si="57"/>
        <v>246.99999999999972</v>
      </c>
      <c r="AT26" s="568"/>
      <c r="AU26" s="594">
        <f t="shared" ref="AU26" si="58">AU24+AU25</f>
        <v>817.89999999999793</v>
      </c>
      <c r="AW26" s="330">
        <f t="shared" ref="AW26:AY26" si="59">AW24+AW25</f>
        <v>297.2999999999995</v>
      </c>
      <c r="AX26" s="328">
        <f t="shared" si="59"/>
        <v>268.89999999999975</v>
      </c>
      <c r="AY26" s="328">
        <f t="shared" si="59"/>
        <v>236.49999999999983</v>
      </c>
      <c r="AZ26" s="568"/>
      <c r="BA26" s="594">
        <f t="shared" ref="BA26" si="60">BA24+BA25</f>
        <v>802.7</v>
      </c>
      <c r="BC26" s="7"/>
      <c r="BD26" s="620"/>
    </row>
    <row r="27" spans="1:56" ht="25.5">
      <c r="A27" s="332" t="s">
        <v>166</v>
      </c>
      <c r="B27" s="345">
        <f>B26</f>
        <v>205.10000000000002</v>
      </c>
      <c r="C27" s="345">
        <f t="shared" ref="C27:U27" si="61">C26</f>
        <v>99.499999999999957</v>
      </c>
      <c r="D27" s="345">
        <f t="shared" si="61"/>
        <v>172.00000000000006</v>
      </c>
      <c r="E27" s="345">
        <f t="shared" si="61"/>
        <v>121.60000000000019</v>
      </c>
      <c r="F27" s="346">
        <f t="shared" si="61"/>
        <v>598.19999999999914</v>
      </c>
      <c r="G27" s="347">
        <f t="shared" si="61"/>
        <v>95.179999999999964</v>
      </c>
      <c r="H27" s="345">
        <f t="shared" si="61"/>
        <v>80.699999999999974</v>
      </c>
      <c r="I27" s="345">
        <f t="shared" si="61"/>
        <v>176.39999999999998</v>
      </c>
      <c r="J27" s="345">
        <f t="shared" si="61"/>
        <v>173.19999999999993</v>
      </c>
      <c r="K27" s="346">
        <f t="shared" si="61"/>
        <v>525.48000000000036</v>
      </c>
      <c r="L27" s="347">
        <f t="shared" si="61"/>
        <v>98.199999999999761</v>
      </c>
      <c r="M27" s="345">
        <f t="shared" si="61"/>
        <v>132.09999999999991</v>
      </c>
      <c r="N27" s="345">
        <f t="shared" si="61"/>
        <v>48.199999999999683</v>
      </c>
      <c r="O27" s="345">
        <f t="shared" si="61"/>
        <v>14.000000000000773</v>
      </c>
      <c r="P27" s="348">
        <f t="shared" si="61"/>
        <v>292.49999999999926</v>
      </c>
      <c r="Q27" s="345">
        <f t="shared" si="61"/>
        <v>170.79999999999995</v>
      </c>
      <c r="R27" s="345">
        <f t="shared" si="61"/>
        <v>304.5</v>
      </c>
      <c r="S27" s="345">
        <f t="shared" si="61"/>
        <v>502.4999999999996</v>
      </c>
      <c r="T27" s="354">
        <f t="shared" si="61"/>
        <v>185.60000000000036</v>
      </c>
      <c r="U27" s="348">
        <f t="shared" si="61"/>
        <v>1163.3999999999994</v>
      </c>
      <c r="V27" s="349">
        <v>175.5</v>
      </c>
      <c r="W27" s="349">
        <v>237.7</v>
      </c>
      <c r="X27" s="280">
        <v>278.2</v>
      </c>
      <c r="Y27" s="354">
        <v>349.9</v>
      </c>
      <c r="Z27" s="348">
        <f t="shared" si="11"/>
        <v>1041.3</v>
      </c>
      <c r="AA27" s="349">
        <v>279.39999999999998</v>
      </c>
      <c r="AB27" s="349">
        <v>291.2</v>
      </c>
      <c r="AC27" s="280">
        <v>242.9</v>
      </c>
      <c r="AD27" s="280">
        <v>167.1</v>
      </c>
      <c r="AE27" s="348">
        <f t="shared" si="12"/>
        <v>980.59999999999991</v>
      </c>
      <c r="AF27" s="345"/>
      <c r="AG27" s="349"/>
      <c r="AH27" s="481"/>
      <c r="AI27" s="280"/>
      <c r="AJ27" s="608">
        <f t="shared" ref="AJ27:AJ28" si="62">SUM(AF27:AI27)</f>
        <v>0</v>
      </c>
      <c r="AK27" s="575"/>
      <c r="AL27" s="438">
        <v>300.8</v>
      </c>
      <c r="AM27" s="349">
        <v>235.8</v>
      </c>
      <c r="AN27" s="349">
        <v>226.1</v>
      </c>
      <c r="AO27" s="280">
        <v>70.900000000000006</v>
      </c>
      <c r="AP27" s="348">
        <f t="shared" ref="AP27:AP28" si="63">SUM(AL27:AO27)</f>
        <v>833.6</v>
      </c>
      <c r="AQ27" s="438"/>
      <c r="AR27" s="349"/>
      <c r="AS27" s="349"/>
      <c r="AT27" s="280"/>
      <c r="AU27" s="608"/>
      <c r="AW27" s="438">
        <v>291.89999999999998</v>
      </c>
      <c r="AX27" s="349">
        <v>263.60000000000002</v>
      </c>
      <c r="AY27" s="349">
        <v>231.3</v>
      </c>
      <c r="AZ27" s="280"/>
      <c r="BA27" s="608">
        <f t="shared" ref="BA27:BA28" si="64">SUM(AW27:AZ27)</f>
        <v>786.8</v>
      </c>
      <c r="BD27" s="620"/>
    </row>
    <row r="28" spans="1:56" ht="25.5">
      <c r="A28" s="332" t="s">
        <v>200</v>
      </c>
      <c r="B28" s="345"/>
      <c r="C28" s="345"/>
      <c r="D28" s="345"/>
      <c r="E28" s="345"/>
      <c r="F28" s="346"/>
      <c r="G28" s="347"/>
      <c r="H28" s="345"/>
      <c r="I28" s="345"/>
      <c r="J28" s="345"/>
      <c r="K28" s="346"/>
      <c r="L28" s="347"/>
      <c r="M28" s="345"/>
      <c r="N28" s="345"/>
      <c r="O28" s="345"/>
      <c r="P28" s="348"/>
      <c r="Q28" s="345"/>
      <c r="R28" s="345"/>
      <c r="S28" s="345"/>
      <c r="T28" s="354"/>
      <c r="U28" s="348"/>
      <c r="V28" s="349">
        <v>3</v>
      </c>
      <c r="W28" s="349">
        <v>-6.8</v>
      </c>
      <c r="X28" s="280">
        <v>-8.4</v>
      </c>
      <c r="Y28" s="354">
        <v>-8.1</v>
      </c>
      <c r="Z28" s="348">
        <f t="shared" si="11"/>
        <v>-20.299999999999997</v>
      </c>
      <c r="AA28" s="349">
        <v>-8</v>
      </c>
      <c r="AB28" s="349">
        <v>-9.5</v>
      </c>
      <c r="AC28" s="280">
        <v>-8</v>
      </c>
      <c r="AD28" s="280">
        <v>-9.9</v>
      </c>
      <c r="AE28" s="348">
        <f t="shared" si="12"/>
        <v>-35.4</v>
      </c>
      <c r="AF28" s="345"/>
      <c r="AG28" s="349"/>
      <c r="AH28" s="481"/>
      <c r="AI28" s="280"/>
      <c r="AJ28" s="608">
        <f t="shared" si="62"/>
        <v>0</v>
      </c>
      <c r="AK28" s="575"/>
      <c r="AL28" s="438">
        <v>-8.6</v>
      </c>
      <c r="AM28" s="349">
        <v>-4.4000000000000004</v>
      </c>
      <c r="AN28" s="349">
        <v>1</v>
      </c>
      <c r="AO28" s="280">
        <v>-5.5</v>
      </c>
      <c r="AP28" s="348">
        <f t="shared" si="63"/>
        <v>-17.5</v>
      </c>
      <c r="AQ28" s="438"/>
      <c r="AR28" s="349"/>
      <c r="AS28" s="349"/>
      <c r="AT28" s="280"/>
      <c r="AU28" s="608"/>
      <c r="AW28" s="438">
        <v>5.4</v>
      </c>
      <c r="AX28" s="349">
        <v>5.3</v>
      </c>
      <c r="AY28" s="349">
        <v>5.2</v>
      </c>
      <c r="AZ28" s="280"/>
      <c r="BA28" s="608">
        <f t="shared" si="64"/>
        <v>15.899999999999999</v>
      </c>
      <c r="BD28" s="620"/>
    </row>
    <row r="29" spans="1:56" s="344" customFormat="1" ht="20.100000000000001" customHeight="1" thickBot="1">
      <c r="A29" s="355" t="s">
        <v>167</v>
      </c>
      <c r="B29" s="356">
        <f t="shared" ref="B29:L29" si="65">ROUND(B26/348.352836,2)</f>
        <v>0.59</v>
      </c>
      <c r="C29" s="356">
        <f t="shared" si="65"/>
        <v>0.28999999999999998</v>
      </c>
      <c r="D29" s="356">
        <f t="shared" si="65"/>
        <v>0.49</v>
      </c>
      <c r="E29" s="356">
        <f t="shared" si="65"/>
        <v>0.35</v>
      </c>
      <c r="F29" s="357">
        <f t="shared" si="65"/>
        <v>1.72</v>
      </c>
      <c r="G29" s="358">
        <f t="shared" si="65"/>
        <v>0.27</v>
      </c>
      <c r="H29" s="356">
        <f t="shared" si="65"/>
        <v>0.23</v>
      </c>
      <c r="I29" s="356">
        <f t="shared" si="65"/>
        <v>0.51</v>
      </c>
      <c r="J29" s="356">
        <f t="shared" si="65"/>
        <v>0.5</v>
      </c>
      <c r="K29" s="357">
        <f t="shared" si="65"/>
        <v>1.51</v>
      </c>
      <c r="L29" s="359">
        <f t="shared" si="65"/>
        <v>0.28000000000000003</v>
      </c>
      <c r="M29" s="356">
        <f>ROUND(M26/524.348714,2)</f>
        <v>0.25</v>
      </c>
      <c r="N29" s="356">
        <f>ROUND(N26/639.546016,2)</f>
        <v>0.08</v>
      </c>
      <c r="O29" s="356">
        <f>ROUND(O26/639.546016,2)</f>
        <v>0.02</v>
      </c>
      <c r="P29" s="360">
        <f>ROUND(P26/539.024535,2)</f>
        <v>0.54</v>
      </c>
      <c r="Q29" s="356">
        <f t="shared" ref="Q29:Z29" si="66">ROUND(Q26/639.546016,2)</f>
        <v>0.27</v>
      </c>
      <c r="R29" s="356">
        <f t="shared" si="66"/>
        <v>0.48</v>
      </c>
      <c r="S29" s="356">
        <f t="shared" si="66"/>
        <v>0.79</v>
      </c>
      <c r="T29" s="361">
        <f t="shared" si="66"/>
        <v>0.28999999999999998</v>
      </c>
      <c r="U29" s="360">
        <f t="shared" si="66"/>
        <v>1.82</v>
      </c>
      <c r="V29" s="362">
        <f t="shared" si="66"/>
        <v>0.28000000000000003</v>
      </c>
      <c r="W29" s="362">
        <f>ROUNDUP(W26/639.546016,2)</f>
        <v>0.37</v>
      </c>
      <c r="X29" s="281">
        <f t="shared" si="66"/>
        <v>0.42</v>
      </c>
      <c r="Y29" s="281">
        <f>ROUNDUP(Y26/639.546016,2)</f>
        <v>0.54</v>
      </c>
      <c r="Z29" s="360">
        <f t="shared" si="66"/>
        <v>1.6</v>
      </c>
      <c r="AA29" s="362">
        <f t="shared" ref="AA29:AJ29" si="67">ROUND(AA26/639.546016,2)</f>
        <v>0.42</v>
      </c>
      <c r="AB29" s="362">
        <f t="shared" si="67"/>
        <v>0.44</v>
      </c>
      <c r="AC29" s="362">
        <f t="shared" si="67"/>
        <v>0.37</v>
      </c>
      <c r="AD29" s="362">
        <f t="shared" si="67"/>
        <v>0.25</v>
      </c>
      <c r="AE29" s="360">
        <f t="shared" si="67"/>
        <v>1.48</v>
      </c>
      <c r="AF29" s="362">
        <f t="shared" si="67"/>
        <v>0.49</v>
      </c>
      <c r="AG29" s="362">
        <f t="shared" si="67"/>
        <v>0.4</v>
      </c>
      <c r="AH29" s="362">
        <f t="shared" si="67"/>
        <v>0.35</v>
      </c>
      <c r="AI29" s="596">
        <f t="shared" si="67"/>
        <v>0.09</v>
      </c>
      <c r="AJ29" s="611">
        <f t="shared" si="67"/>
        <v>1.33</v>
      </c>
      <c r="AK29" s="581"/>
      <c r="AL29" s="439">
        <f t="shared" ref="AL29:AP29" si="68">ROUND(AL26/639.546016,2)</f>
        <v>0.46</v>
      </c>
      <c r="AM29" s="362">
        <f t="shared" si="68"/>
        <v>0.36</v>
      </c>
      <c r="AN29" s="362">
        <v>0.35</v>
      </c>
      <c r="AO29" s="596">
        <v>0.11</v>
      </c>
      <c r="AP29" s="360">
        <f t="shared" si="68"/>
        <v>1.28</v>
      </c>
      <c r="AQ29" s="439"/>
      <c r="AR29" s="362"/>
      <c r="AS29" s="362"/>
      <c r="AT29" s="596"/>
      <c r="AU29" s="611"/>
      <c r="AW29" s="439">
        <f>ROUND(AW26/639.546016,2)</f>
        <v>0.46</v>
      </c>
      <c r="AX29" s="362">
        <v>0.43</v>
      </c>
      <c r="AY29" s="362">
        <v>0.37</v>
      </c>
      <c r="AZ29" s="596"/>
      <c r="BA29" s="611">
        <f t="shared" ref="BA29" si="69">ROUND(BA26/639.546016,2)</f>
        <v>1.26</v>
      </c>
      <c r="BC29" s="7"/>
      <c r="BD29" s="620"/>
    </row>
    <row r="30" spans="1:56" s="344" customFormat="1" ht="20.100000000000001" customHeight="1">
      <c r="A30" s="363" t="s">
        <v>0</v>
      </c>
      <c r="B30" s="363">
        <f t="shared" ref="B30:AE30" si="70">B19-B11</f>
        <v>257.40000000000003</v>
      </c>
      <c r="C30" s="364">
        <f t="shared" si="70"/>
        <v>269.7</v>
      </c>
      <c r="D30" s="364">
        <f t="shared" si="70"/>
        <v>257.8</v>
      </c>
      <c r="E30" s="364">
        <f t="shared" si="70"/>
        <v>247.20000000000016</v>
      </c>
      <c r="F30" s="365">
        <f t="shared" si="70"/>
        <v>1032.0999999999992</v>
      </c>
      <c r="G30" s="363">
        <f t="shared" si="70"/>
        <v>245.37999999999994</v>
      </c>
      <c r="H30" s="364">
        <f t="shared" si="70"/>
        <v>257.3</v>
      </c>
      <c r="I30" s="364">
        <f t="shared" si="70"/>
        <v>268.2</v>
      </c>
      <c r="J30" s="364">
        <f t="shared" si="70"/>
        <v>275.39999999999998</v>
      </c>
      <c r="K30" s="365">
        <f t="shared" si="70"/>
        <v>1046.2800000000002</v>
      </c>
      <c r="L30" s="363">
        <f t="shared" si="70"/>
        <v>281.99999999999977</v>
      </c>
      <c r="M30" s="364">
        <f t="shared" si="70"/>
        <v>708.89999999999986</v>
      </c>
      <c r="N30" s="364">
        <f t="shared" si="70"/>
        <v>910.09999999999968</v>
      </c>
      <c r="O30" s="364">
        <f t="shared" si="70"/>
        <v>837.30000000000075</v>
      </c>
      <c r="P30" s="365">
        <f t="shared" si="70"/>
        <v>2738.2999999999993</v>
      </c>
      <c r="Q30" s="363">
        <f t="shared" si="70"/>
        <v>896.59999999999991</v>
      </c>
      <c r="R30" s="364">
        <f t="shared" si="70"/>
        <v>977</v>
      </c>
      <c r="S30" s="364">
        <f t="shared" si="70"/>
        <v>930.39999999999964</v>
      </c>
      <c r="T30" s="364">
        <f t="shared" si="70"/>
        <v>881.10000000000036</v>
      </c>
      <c r="U30" s="366">
        <f t="shared" si="70"/>
        <v>3685.0999999999995</v>
      </c>
      <c r="V30" s="363">
        <f t="shared" si="70"/>
        <v>846.5</v>
      </c>
      <c r="W30" s="367">
        <f t="shared" si="70"/>
        <v>935.00000000000011</v>
      </c>
      <c r="X30" s="215">
        <f t="shared" si="70"/>
        <v>957.00000000000034</v>
      </c>
      <c r="Y30" s="215">
        <f t="shared" si="70"/>
        <v>902.3</v>
      </c>
      <c r="Z30" s="366">
        <f t="shared" si="70"/>
        <v>3640.8</v>
      </c>
      <c r="AA30" s="363">
        <f t="shared" si="70"/>
        <v>929.50000000000034</v>
      </c>
      <c r="AB30" s="367">
        <f t="shared" si="70"/>
        <v>963.69999999999982</v>
      </c>
      <c r="AC30" s="367">
        <f t="shared" si="70"/>
        <v>851.1</v>
      </c>
      <c r="AD30" s="367">
        <f t="shared" si="70"/>
        <v>872.7</v>
      </c>
      <c r="AE30" s="366">
        <f t="shared" si="70"/>
        <v>3617.0000000000009</v>
      </c>
      <c r="AF30" s="363">
        <f t="shared" ref="AF30" si="71">AF19-AF11</f>
        <v>918.79999999999973</v>
      </c>
      <c r="AG30" s="215">
        <f>AG19-AG11</f>
        <v>927.59999999999991</v>
      </c>
      <c r="AH30" s="215">
        <f>AH19-AH11</f>
        <v>848.50000000000011</v>
      </c>
      <c r="AI30" s="465">
        <f t="shared" ref="AI30:AJ30" si="72">AI19-AI11</f>
        <v>846.6</v>
      </c>
      <c r="AJ30" s="612">
        <f t="shared" si="72"/>
        <v>3541.4999999999995</v>
      </c>
      <c r="AK30" s="582"/>
      <c r="AL30" s="435">
        <f t="shared" ref="AL30:AQ30" si="73">AL19-AL11</f>
        <v>890</v>
      </c>
      <c r="AM30" s="215">
        <f t="shared" si="73"/>
        <v>946.39999999999986</v>
      </c>
      <c r="AN30" s="215">
        <f t="shared" si="73"/>
        <v>919.99999999999977</v>
      </c>
      <c r="AO30" s="465">
        <f t="shared" si="73"/>
        <v>941.3</v>
      </c>
      <c r="AP30" s="366">
        <f t="shared" si="73"/>
        <v>3697.700000000003</v>
      </c>
      <c r="AQ30" s="435">
        <f t="shared" si="73"/>
        <v>922.00000000000023</v>
      </c>
      <c r="AR30" s="215">
        <f t="shared" ref="AR30:AS30" si="74">AR19-AR11</f>
        <v>959.9</v>
      </c>
      <c r="AS30" s="215">
        <f t="shared" si="74"/>
        <v>901.1999999999997</v>
      </c>
      <c r="AT30" s="465"/>
      <c r="AU30" s="612">
        <f>AU19-AU11</f>
        <v>2783.0999999999981</v>
      </c>
      <c r="AW30" s="637">
        <f>AW19-AW11</f>
        <v>1038.2999999999995</v>
      </c>
      <c r="AX30" s="674">
        <f t="shared" ref="AX30:AY30" si="75">AX19-AX11</f>
        <v>1076.0999999999999</v>
      </c>
      <c r="AY30" s="674">
        <f t="shared" si="75"/>
        <v>1020.4999999999999</v>
      </c>
      <c r="AZ30" s="619"/>
      <c r="BA30" s="612">
        <f>BA19-BA11</f>
        <v>3134.9</v>
      </c>
      <c r="BC30" s="7"/>
      <c r="BD30" s="620"/>
    </row>
    <row r="31" spans="1:56" s="344" customFormat="1" ht="20.100000000000001" customHeight="1" thickBot="1">
      <c r="A31" s="368" t="s">
        <v>3</v>
      </c>
      <c r="B31" s="369">
        <f t="shared" ref="B31:AE31" si="76">B30/B4</f>
        <v>0.38463837417812313</v>
      </c>
      <c r="C31" s="370">
        <f t="shared" si="76"/>
        <v>0.377836929111796</v>
      </c>
      <c r="D31" s="370">
        <f t="shared" si="76"/>
        <v>0.4</v>
      </c>
      <c r="E31" s="370">
        <f t="shared" si="76"/>
        <v>0.32933653077537983</v>
      </c>
      <c r="F31" s="371">
        <f t="shared" si="76"/>
        <v>0.37151290450307745</v>
      </c>
      <c r="G31" s="369">
        <f t="shared" si="76"/>
        <v>0.35200114761153339</v>
      </c>
      <c r="H31" s="370">
        <f t="shared" si="76"/>
        <v>0.34963989672509854</v>
      </c>
      <c r="I31" s="370">
        <f t="shared" si="76"/>
        <v>0.39598405433338257</v>
      </c>
      <c r="J31" s="370">
        <f t="shared" si="76"/>
        <v>0.34403497813866329</v>
      </c>
      <c r="K31" s="372">
        <f t="shared" si="76"/>
        <v>0.35944757454995196</v>
      </c>
      <c r="L31" s="369">
        <f t="shared" si="76"/>
        <v>0.38987971795935272</v>
      </c>
      <c r="M31" s="370">
        <f t="shared" si="76"/>
        <v>0.40603700097370976</v>
      </c>
      <c r="N31" s="370">
        <f t="shared" si="76"/>
        <v>0.37613655149611497</v>
      </c>
      <c r="O31" s="370">
        <f t="shared" si="76"/>
        <v>0.33211693308476481</v>
      </c>
      <c r="P31" s="371">
        <f t="shared" si="76"/>
        <v>0.36954614772129168</v>
      </c>
      <c r="Q31" s="370">
        <f t="shared" si="76"/>
        <v>0.38497209102619145</v>
      </c>
      <c r="R31" s="370">
        <f t="shared" si="76"/>
        <v>0.39567471245747615</v>
      </c>
      <c r="S31" s="370">
        <f t="shared" si="76"/>
        <v>0.3852747525777464</v>
      </c>
      <c r="T31" s="370">
        <f t="shared" si="76"/>
        <v>0.33759914172956829</v>
      </c>
      <c r="U31" s="371">
        <f t="shared" si="76"/>
        <v>0.37515015779293487</v>
      </c>
      <c r="V31" s="370">
        <f t="shared" si="76"/>
        <v>0.35807952622673433</v>
      </c>
      <c r="W31" s="370">
        <f t="shared" si="76"/>
        <v>0.3827418232428671</v>
      </c>
      <c r="X31" s="373">
        <f t="shared" si="76"/>
        <v>0.4007873356227491</v>
      </c>
      <c r="Y31" s="373">
        <f t="shared" si="76"/>
        <v>0.35592284328034396</v>
      </c>
      <c r="Z31" s="371">
        <f t="shared" si="76"/>
        <v>0.37419063084544396</v>
      </c>
      <c r="AA31" s="370">
        <f t="shared" si="76"/>
        <v>0.38914008205643491</v>
      </c>
      <c r="AB31" s="370">
        <f t="shared" si="76"/>
        <v>0.39017773998947319</v>
      </c>
      <c r="AC31" s="370">
        <f t="shared" si="76"/>
        <v>0.35597473754653058</v>
      </c>
      <c r="AD31" s="370">
        <f t="shared" si="76"/>
        <v>0.33836073200992561</v>
      </c>
      <c r="AE31" s="371">
        <f t="shared" si="76"/>
        <v>0.36800765114054906</v>
      </c>
      <c r="AF31" s="370">
        <f t="shared" ref="AF31:AJ31" si="77">AF30/AF4</f>
        <v>0.3892065912653026</v>
      </c>
      <c r="AG31" s="370">
        <f t="shared" si="77"/>
        <v>0.37450038354394599</v>
      </c>
      <c r="AH31" s="370">
        <f t="shared" ref="AH31" si="78">AH30/AH4</f>
        <v>0.34840272645150699</v>
      </c>
      <c r="AI31" s="373">
        <f t="shared" si="77"/>
        <v>0.3156599552572707</v>
      </c>
      <c r="AJ31" s="613">
        <f t="shared" si="77"/>
        <v>0.35575087895529878</v>
      </c>
      <c r="AK31" s="583"/>
      <c r="AL31" s="369">
        <f t="shared" ref="AL31:AQ31" si="79">AL30/AL4</f>
        <v>0.37938531054179631</v>
      </c>
      <c r="AM31" s="370">
        <f t="shared" si="79"/>
        <v>0.36355255070682235</v>
      </c>
      <c r="AN31" s="370">
        <f t="shared" si="79"/>
        <v>0.33638025594149901</v>
      </c>
      <c r="AO31" s="373">
        <f t="shared" si="79"/>
        <v>0.31355762824783479</v>
      </c>
      <c r="AP31" s="371">
        <f t="shared" si="79"/>
        <v>0.3460289535003418</v>
      </c>
      <c r="AQ31" s="369">
        <f t="shared" si="79"/>
        <v>0.33136860264519846</v>
      </c>
      <c r="AR31" s="370">
        <f>AR30/AR4</f>
        <v>0.32952282869893579</v>
      </c>
      <c r="AS31" s="370">
        <f>AS30/AS4</f>
        <v>0.31266696735246147</v>
      </c>
      <c r="AT31" s="373"/>
      <c r="AU31" s="613">
        <f>AU30/AU4</f>
        <v>0.32445760518553907</v>
      </c>
      <c r="AW31" s="369">
        <f>AW30/AW4</f>
        <v>0.37193724029230529</v>
      </c>
      <c r="AX31" s="370">
        <f t="shared" ref="AX31:AY31" si="80">AX30/AX4</f>
        <v>0.36814916182004787</v>
      </c>
      <c r="AY31" s="370">
        <f t="shared" si="80"/>
        <v>0.35282118655787575</v>
      </c>
      <c r="AZ31" s="373"/>
      <c r="BA31" s="613">
        <f>BA30/BA4</f>
        <v>0.36422679214592774</v>
      </c>
      <c r="BC31" s="7"/>
      <c r="BD31" s="620"/>
    </row>
    <row r="32" spans="1:56" ht="15" customHeight="1">
      <c r="A32" s="374"/>
      <c r="B32" s="375"/>
      <c r="C32" s="375"/>
      <c r="D32" s="375"/>
      <c r="E32" s="375"/>
      <c r="F32" s="375"/>
      <c r="G32" s="375"/>
      <c r="H32" s="376"/>
      <c r="I32" s="377"/>
      <c r="J32" s="377"/>
      <c r="T32" s="10"/>
      <c r="U32" s="10"/>
      <c r="V32" s="10"/>
      <c r="W32" s="10"/>
      <c r="X32" s="282"/>
      <c r="Y32" s="10"/>
      <c r="Z32" s="10"/>
      <c r="AA32" s="10"/>
      <c r="AB32" s="10"/>
      <c r="AC32" s="282"/>
      <c r="AD32" s="10"/>
      <c r="AE32" s="10"/>
      <c r="AF32" s="10"/>
      <c r="AG32" s="10"/>
      <c r="AH32" s="282"/>
      <c r="AI32" s="10"/>
      <c r="AJ32" s="614"/>
      <c r="AK32" s="7"/>
      <c r="AL32" s="10"/>
      <c r="AM32" s="464"/>
      <c r="AN32" s="282"/>
      <c r="AO32" s="10"/>
      <c r="AP32" s="464"/>
      <c r="AQ32" s="10"/>
      <c r="AR32" s="464"/>
      <c r="AS32" s="282"/>
      <c r="AT32" s="10"/>
      <c r="AU32" s="464"/>
      <c r="AW32" s="10"/>
      <c r="AX32" s="464"/>
      <c r="AY32" s="282"/>
      <c r="AZ32" s="10"/>
      <c r="BA32" s="464"/>
    </row>
    <row r="33" spans="1:16382" ht="20.100000000000001" customHeight="1">
      <c r="A33" s="684" t="s">
        <v>223</v>
      </c>
      <c r="B33" s="684"/>
      <c r="C33" s="684"/>
      <c r="D33" s="684"/>
      <c r="E33" s="684"/>
      <c r="F33" s="684"/>
      <c r="G33" s="684"/>
      <c r="H33" s="684"/>
      <c r="I33" s="684"/>
      <c r="J33" s="684"/>
      <c r="K33" s="684"/>
      <c r="L33" s="684"/>
      <c r="M33" s="684"/>
      <c r="N33" s="684"/>
      <c r="O33" s="684"/>
      <c r="P33" s="684"/>
      <c r="Q33" s="684"/>
      <c r="R33" s="684"/>
      <c r="S33" s="684"/>
      <c r="T33" s="684"/>
      <c r="U33" s="684"/>
      <c r="V33" s="684"/>
      <c r="W33" s="684"/>
      <c r="X33" s="684"/>
      <c r="Y33" s="684"/>
      <c r="Z33" s="684"/>
      <c r="AA33" s="684"/>
      <c r="AB33" s="684"/>
      <c r="AC33" s="684"/>
      <c r="AD33" s="684"/>
      <c r="AE33" s="684"/>
      <c r="AF33" s="684"/>
      <c r="AG33" s="12"/>
      <c r="AH33" s="275"/>
      <c r="AI33" s="12"/>
      <c r="AJ33" s="615"/>
      <c r="AK33" s="7"/>
      <c r="AL33" s="12"/>
      <c r="AM33" s="12"/>
      <c r="AN33" s="275"/>
      <c r="AO33" s="12"/>
      <c r="AP33" s="12"/>
      <c r="AQ33" s="12"/>
      <c r="AR33" s="12"/>
      <c r="AS33" s="275"/>
      <c r="AT33" s="12"/>
      <c r="AU33" s="12"/>
      <c r="AV33" s="428"/>
      <c r="AW33" s="12"/>
      <c r="AX33" s="684"/>
      <c r="AY33" s="684"/>
      <c r="AZ33" s="684"/>
      <c r="BA33" s="684"/>
      <c r="BB33" s="684"/>
      <c r="BC33" s="684"/>
      <c r="BD33" s="684"/>
      <c r="BE33" s="684"/>
      <c r="BF33" s="684"/>
      <c r="BG33" s="684"/>
      <c r="BH33" s="684"/>
      <c r="BI33" s="684"/>
      <c r="BJ33" s="684"/>
      <c r="BK33" s="684"/>
      <c r="BL33" s="684"/>
      <c r="BM33" s="684"/>
      <c r="BN33" s="684"/>
      <c r="BO33" s="684"/>
      <c r="BP33" s="684"/>
      <c r="BQ33" s="684"/>
      <c r="BR33" s="684"/>
      <c r="BS33" s="684"/>
      <c r="BT33" s="684"/>
      <c r="BU33" s="684"/>
      <c r="BV33" s="684"/>
      <c r="BW33" s="684"/>
      <c r="BX33" s="684"/>
      <c r="BY33" s="684"/>
      <c r="BZ33" s="684"/>
      <c r="CA33" s="684"/>
      <c r="CB33" s="684"/>
      <c r="CC33" s="684"/>
      <c r="CD33" s="684"/>
      <c r="CE33" s="684"/>
      <c r="CF33" s="684"/>
      <c r="CG33" s="684"/>
      <c r="CH33" s="684"/>
      <c r="CI33" s="684"/>
      <c r="CJ33" s="684"/>
      <c r="CK33" s="684"/>
      <c r="CL33" s="684"/>
      <c r="CM33" s="684"/>
      <c r="CN33" s="684"/>
      <c r="CO33" s="684"/>
      <c r="CP33" s="684"/>
      <c r="CQ33" s="684"/>
      <c r="CR33" s="684"/>
      <c r="CS33" s="684"/>
      <c r="CT33" s="684"/>
      <c r="CU33" s="684"/>
      <c r="CV33" s="684"/>
      <c r="CW33" s="684"/>
      <c r="CX33" s="684"/>
      <c r="CY33" s="684"/>
      <c r="CZ33" s="684"/>
      <c r="DA33" s="684"/>
      <c r="DB33" s="684"/>
      <c r="DC33" s="684"/>
      <c r="DD33" s="684"/>
      <c r="DE33" s="684"/>
      <c r="DF33" s="684"/>
      <c r="DG33" s="684"/>
      <c r="DH33" s="684"/>
      <c r="DI33" s="684"/>
      <c r="DJ33" s="684"/>
      <c r="DK33" s="684"/>
      <c r="DL33" s="684"/>
      <c r="DM33" s="684"/>
      <c r="DN33" s="684"/>
      <c r="DO33" s="684"/>
      <c r="DP33" s="684"/>
      <c r="DQ33" s="684"/>
      <c r="DR33" s="684"/>
      <c r="DS33" s="684"/>
      <c r="DT33" s="684"/>
      <c r="DU33" s="684"/>
      <c r="DV33" s="684"/>
      <c r="DW33" s="684"/>
      <c r="DX33" s="684"/>
      <c r="DY33" s="684"/>
      <c r="DZ33" s="684"/>
      <c r="EA33" s="684"/>
      <c r="EB33" s="684"/>
      <c r="EC33" s="684"/>
      <c r="ED33" s="684"/>
      <c r="EE33" s="684"/>
      <c r="EF33" s="684"/>
      <c r="EG33" s="684"/>
      <c r="EH33" s="684"/>
      <c r="EI33" s="684"/>
      <c r="EJ33" s="684"/>
      <c r="EK33" s="684"/>
      <c r="EL33" s="684"/>
      <c r="EM33" s="684"/>
      <c r="EN33" s="684"/>
      <c r="EO33" s="684"/>
      <c r="EP33" s="684"/>
      <c r="EQ33" s="684"/>
      <c r="ER33" s="684"/>
      <c r="ES33" s="684"/>
      <c r="ET33" s="684"/>
      <c r="EU33" s="684"/>
      <c r="EV33" s="684"/>
      <c r="EW33" s="684"/>
      <c r="EX33" s="684"/>
      <c r="EY33" s="684"/>
      <c r="EZ33" s="684"/>
      <c r="FA33" s="684"/>
      <c r="FB33" s="684"/>
      <c r="FC33" s="684"/>
      <c r="FD33" s="684"/>
      <c r="FE33" s="684"/>
      <c r="FF33" s="684"/>
      <c r="FG33" s="684"/>
      <c r="FH33" s="684"/>
      <c r="FI33" s="684"/>
      <c r="FJ33" s="684"/>
      <c r="FK33" s="684"/>
      <c r="FL33" s="684"/>
      <c r="FM33" s="684"/>
      <c r="FN33" s="684"/>
      <c r="FO33" s="684"/>
      <c r="FP33" s="684"/>
      <c r="FQ33" s="684"/>
      <c r="FR33" s="684"/>
      <c r="FS33" s="684"/>
      <c r="FT33" s="684"/>
      <c r="FU33" s="684"/>
      <c r="FV33" s="684"/>
      <c r="FW33" s="684"/>
      <c r="FX33" s="684"/>
      <c r="FY33" s="684"/>
      <c r="FZ33" s="684"/>
      <c r="GA33" s="684"/>
      <c r="GB33" s="684"/>
      <c r="GC33" s="684"/>
      <c r="GD33" s="684"/>
      <c r="GE33" s="684"/>
      <c r="GF33" s="684"/>
      <c r="GG33" s="684"/>
      <c r="GH33" s="684"/>
      <c r="GI33" s="684"/>
      <c r="GJ33" s="684"/>
      <c r="GK33" s="684"/>
      <c r="GL33" s="684"/>
      <c r="GM33" s="684"/>
      <c r="GN33" s="684"/>
      <c r="GO33" s="684"/>
      <c r="GP33" s="684"/>
      <c r="GQ33" s="684"/>
      <c r="GR33" s="684"/>
      <c r="GS33" s="684"/>
      <c r="GT33" s="684"/>
      <c r="GU33" s="684"/>
      <c r="GV33" s="684"/>
      <c r="GW33" s="684"/>
      <c r="GX33" s="684"/>
      <c r="GY33" s="684"/>
      <c r="GZ33" s="684"/>
      <c r="HA33" s="684"/>
      <c r="HB33" s="684"/>
      <c r="HC33" s="684"/>
      <c r="HD33" s="684"/>
      <c r="HE33" s="684"/>
      <c r="HF33" s="684"/>
      <c r="HG33" s="684"/>
      <c r="HH33" s="684"/>
      <c r="HI33" s="684"/>
      <c r="HJ33" s="684"/>
      <c r="HK33" s="684"/>
      <c r="HL33" s="684"/>
      <c r="HM33" s="684"/>
      <c r="HN33" s="684"/>
      <c r="HO33" s="684"/>
      <c r="HP33" s="684"/>
      <c r="HQ33" s="684"/>
      <c r="HR33" s="684"/>
      <c r="HS33" s="684"/>
      <c r="HT33" s="684"/>
      <c r="HU33" s="684"/>
      <c r="HV33" s="684"/>
      <c r="HW33" s="684"/>
      <c r="HX33" s="684"/>
      <c r="HY33" s="684"/>
      <c r="HZ33" s="684"/>
      <c r="IA33" s="684"/>
      <c r="IB33" s="684"/>
      <c r="IC33" s="684"/>
      <c r="ID33" s="684"/>
      <c r="IE33" s="684"/>
      <c r="IF33" s="684"/>
      <c r="IG33" s="684"/>
      <c r="IH33" s="684"/>
      <c r="II33" s="684"/>
      <c r="IJ33" s="684"/>
      <c r="IK33" s="684"/>
      <c r="IL33" s="684"/>
      <c r="IM33" s="684"/>
      <c r="IN33" s="684"/>
      <c r="IO33" s="684"/>
      <c r="IP33" s="684"/>
      <c r="IQ33" s="684"/>
      <c r="IR33" s="684"/>
      <c r="IS33" s="684"/>
      <c r="IT33" s="684"/>
      <c r="IU33" s="684"/>
      <c r="IV33" s="684"/>
      <c r="IW33" s="684"/>
      <c r="IX33" s="684"/>
      <c r="IY33" s="684"/>
      <c r="IZ33" s="684"/>
      <c r="JA33" s="684"/>
      <c r="JB33" s="684"/>
      <c r="JC33" s="684"/>
      <c r="JD33" s="684"/>
      <c r="JE33" s="684"/>
      <c r="JF33" s="684"/>
      <c r="JG33" s="684"/>
      <c r="JH33" s="684"/>
      <c r="JI33" s="684"/>
      <c r="JJ33" s="684"/>
      <c r="JK33" s="684"/>
      <c r="JL33" s="684"/>
      <c r="JM33" s="684"/>
      <c r="JN33" s="684"/>
      <c r="JO33" s="684"/>
      <c r="JP33" s="684"/>
      <c r="JQ33" s="684"/>
      <c r="JR33" s="684"/>
      <c r="JS33" s="684"/>
      <c r="JT33" s="684"/>
      <c r="JU33" s="684"/>
      <c r="JV33" s="684"/>
      <c r="JW33" s="684"/>
      <c r="JX33" s="684"/>
      <c r="JY33" s="684"/>
      <c r="JZ33" s="684"/>
      <c r="KA33" s="684"/>
      <c r="KB33" s="684"/>
      <c r="KC33" s="684"/>
      <c r="KD33" s="684"/>
      <c r="KE33" s="684"/>
      <c r="KF33" s="684"/>
      <c r="KG33" s="684"/>
      <c r="KH33" s="684"/>
      <c r="KI33" s="684"/>
      <c r="KJ33" s="684"/>
      <c r="KK33" s="684"/>
      <c r="KL33" s="684"/>
      <c r="KM33" s="684"/>
      <c r="KN33" s="684"/>
      <c r="KO33" s="684"/>
      <c r="KP33" s="684"/>
      <c r="KQ33" s="684"/>
      <c r="KR33" s="684"/>
      <c r="KS33" s="684"/>
      <c r="KT33" s="684"/>
      <c r="KU33" s="684"/>
      <c r="KV33" s="684"/>
      <c r="KW33" s="684"/>
      <c r="KX33" s="684"/>
      <c r="KY33" s="684"/>
      <c r="KZ33" s="684"/>
      <c r="LA33" s="684"/>
      <c r="LB33" s="684"/>
      <c r="LC33" s="684"/>
      <c r="LD33" s="684"/>
      <c r="LE33" s="684"/>
      <c r="LF33" s="684"/>
      <c r="LG33" s="684"/>
      <c r="LH33" s="684"/>
      <c r="LI33" s="684"/>
      <c r="LJ33" s="684"/>
      <c r="LK33" s="684"/>
      <c r="LL33" s="684"/>
      <c r="LM33" s="684"/>
      <c r="LN33" s="684"/>
      <c r="LO33" s="684"/>
      <c r="LP33" s="684"/>
      <c r="LQ33" s="684"/>
      <c r="LR33" s="684"/>
      <c r="LS33" s="684"/>
      <c r="LT33" s="684"/>
      <c r="LU33" s="684"/>
      <c r="LV33" s="684"/>
      <c r="LW33" s="684"/>
      <c r="LX33" s="684"/>
      <c r="LY33" s="684"/>
      <c r="LZ33" s="684"/>
      <c r="MA33" s="684"/>
      <c r="MB33" s="684"/>
      <c r="MC33" s="684"/>
      <c r="MD33" s="684"/>
      <c r="ME33" s="684"/>
      <c r="MF33" s="684"/>
      <c r="MG33" s="684"/>
      <c r="MH33" s="684"/>
      <c r="MI33" s="684"/>
      <c r="MJ33" s="684"/>
      <c r="MK33" s="684"/>
      <c r="ML33" s="684"/>
      <c r="MM33" s="684"/>
      <c r="MN33" s="684"/>
      <c r="MO33" s="684"/>
      <c r="MP33" s="684"/>
      <c r="MQ33" s="684"/>
      <c r="MR33" s="684"/>
      <c r="MS33" s="684"/>
      <c r="MT33" s="684"/>
      <c r="MU33" s="684"/>
      <c r="MV33" s="684"/>
      <c r="MW33" s="684"/>
      <c r="MX33" s="684"/>
      <c r="MY33" s="684"/>
      <c r="MZ33" s="684"/>
      <c r="NA33" s="684"/>
      <c r="NB33" s="684"/>
      <c r="NC33" s="684"/>
      <c r="ND33" s="684"/>
      <c r="NE33" s="684"/>
      <c r="NF33" s="684"/>
      <c r="NG33" s="684"/>
      <c r="NH33" s="684"/>
      <c r="NI33" s="684"/>
      <c r="NJ33" s="684"/>
      <c r="NK33" s="684"/>
      <c r="NL33" s="684"/>
      <c r="NM33" s="684"/>
      <c r="NN33" s="684"/>
      <c r="NO33" s="684"/>
      <c r="NP33" s="684"/>
      <c r="NQ33" s="684"/>
      <c r="NR33" s="684"/>
      <c r="NS33" s="684"/>
      <c r="NT33" s="684"/>
      <c r="NU33" s="684"/>
      <c r="NV33" s="684"/>
      <c r="NW33" s="684"/>
      <c r="NX33" s="684"/>
      <c r="NY33" s="684"/>
      <c r="NZ33" s="684"/>
      <c r="OA33" s="684"/>
      <c r="OB33" s="684"/>
      <c r="OC33" s="684"/>
      <c r="OD33" s="684"/>
      <c r="OE33" s="684"/>
      <c r="OF33" s="684"/>
      <c r="OG33" s="684"/>
      <c r="OH33" s="684"/>
      <c r="OI33" s="684"/>
      <c r="OJ33" s="684"/>
      <c r="OK33" s="684"/>
      <c r="OL33" s="684"/>
      <c r="OM33" s="684"/>
      <c r="ON33" s="684"/>
      <c r="OO33" s="684"/>
      <c r="OP33" s="684"/>
      <c r="OQ33" s="684"/>
      <c r="OR33" s="684"/>
      <c r="OS33" s="684"/>
      <c r="OT33" s="684"/>
      <c r="OU33" s="684"/>
      <c r="OV33" s="684"/>
      <c r="OW33" s="684"/>
      <c r="OX33" s="684"/>
      <c r="OY33" s="684"/>
      <c r="OZ33" s="684"/>
      <c r="PA33" s="684"/>
      <c r="PB33" s="684"/>
      <c r="PC33" s="684"/>
      <c r="PD33" s="684"/>
      <c r="PE33" s="684"/>
      <c r="PF33" s="684"/>
      <c r="PG33" s="684"/>
      <c r="PH33" s="684"/>
      <c r="PI33" s="684"/>
      <c r="PJ33" s="684"/>
      <c r="PK33" s="684"/>
      <c r="PL33" s="684"/>
      <c r="PM33" s="684"/>
      <c r="PN33" s="684"/>
      <c r="PO33" s="684"/>
      <c r="PP33" s="684"/>
      <c r="PQ33" s="684"/>
      <c r="PR33" s="684"/>
      <c r="PS33" s="684"/>
      <c r="PT33" s="684"/>
      <c r="PU33" s="684"/>
      <c r="PV33" s="684"/>
      <c r="PW33" s="684"/>
      <c r="PX33" s="684"/>
      <c r="PY33" s="684"/>
      <c r="PZ33" s="684"/>
      <c r="QA33" s="684"/>
      <c r="QB33" s="684"/>
      <c r="QC33" s="684"/>
      <c r="QD33" s="684"/>
      <c r="QE33" s="684"/>
      <c r="QF33" s="684"/>
      <c r="QG33" s="684"/>
      <c r="QH33" s="684"/>
      <c r="QI33" s="684"/>
      <c r="QJ33" s="684"/>
      <c r="QK33" s="684"/>
      <c r="QL33" s="684"/>
      <c r="QM33" s="684"/>
      <c r="QN33" s="684"/>
      <c r="QO33" s="684"/>
      <c r="QP33" s="684"/>
      <c r="QQ33" s="684"/>
      <c r="QR33" s="684"/>
      <c r="QS33" s="684"/>
      <c r="QT33" s="684"/>
      <c r="QU33" s="684"/>
      <c r="QV33" s="684"/>
      <c r="QW33" s="684"/>
      <c r="QX33" s="684"/>
      <c r="QY33" s="684"/>
      <c r="QZ33" s="684"/>
      <c r="RA33" s="684"/>
      <c r="RB33" s="684"/>
      <c r="RC33" s="684"/>
      <c r="RD33" s="684"/>
      <c r="RE33" s="684"/>
      <c r="RF33" s="684"/>
      <c r="RG33" s="684"/>
      <c r="RH33" s="684"/>
      <c r="RI33" s="684"/>
      <c r="RJ33" s="684"/>
      <c r="RK33" s="684"/>
      <c r="RL33" s="684"/>
      <c r="RM33" s="684"/>
      <c r="RN33" s="684"/>
      <c r="RO33" s="684"/>
      <c r="RP33" s="684"/>
      <c r="RQ33" s="684"/>
      <c r="RR33" s="684"/>
      <c r="RS33" s="684"/>
      <c r="RT33" s="684"/>
      <c r="RU33" s="684"/>
      <c r="RV33" s="684"/>
      <c r="RW33" s="684"/>
      <c r="RX33" s="684"/>
      <c r="RY33" s="684"/>
      <c r="RZ33" s="684"/>
      <c r="SA33" s="684"/>
      <c r="SB33" s="684"/>
      <c r="SC33" s="684"/>
      <c r="SD33" s="684"/>
      <c r="SE33" s="684"/>
      <c r="SF33" s="684"/>
      <c r="SG33" s="684"/>
      <c r="SH33" s="684"/>
      <c r="SI33" s="684"/>
      <c r="SJ33" s="684"/>
      <c r="SK33" s="684"/>
      <c r="SL33" s="684"/>
      <c r="SM33" s="684"/>
      <c r="SN33" s="684"/>
      <c r="SO33" s="684"/>
      <c r="SP33" s="684"/>
      <c r="SQ33" s="684"/>
      <c r="SR33" s="684"/>
      <c r="SS33" s="684"/>
      <c r="ST33" s="684"/>
      <c r="SU33" s="684"/>
      <c r="SV33" s="684"/>
      <c r="SW33" s="684"/>
      <c r="SX33" s="684"/>
      <c r="SY33" s="684"/>
      <c r="SZ33" s="684"/>
      <c r="TA33" s="684"/>
      <c r="TB33" s="684"/>
      <c r="TC33" s="684"/>
      <c r="TD33" s="684"/>
      <c r="TE33" s="684"/>
      <c r="TF33" s="684"/>
      <c r="TG33" s="684"/>
      <c r="TH33" s="684"/>
      <c r="TI33" s="684"/>
      <c r="TJ33" s="684"/>
      <c r="TK33" s="684"/>
      <c r="TL33" s="684"/>
      <c r="TM33" s="684"/>
      <c r="TN33" s="684"/>
      <c r="TO33" s="684"/>
      <c r="TP33" s="684"/>
      <c r="TQ33" s="684"/>
      <c r="TR33" s="684"/>
      <c r="TS33" s="684"/>
      <c r="TT33" s="684"/>
      <c r="TU33" s="684"/>
      <c r="TV33" s="684"/>
      <c r="TW33" s="684"/>
      <c r="TX33" s="684"/>
      <c r="TY33" s="684"/>
      <c r="TZ33" s="684"/>
      <c r="UA33" s="684"/>
      <c r="UB33" s="684"/>
      <c r="UC33" s="684"/>
      <c r="UD33" s="684"/>
      <c r="UE33" s="684"/>
      <c r="UF33" s="684"/>
      <c r="UG33" s="684"/>
      <c r="UH33" s="684"/>
      <c r="UI33" s="684"/>
      <c r="UJ33" s="684"/>
      <c r="UK33" s="684"/>
      <c r="UL33" s="684"/>
      <c r="UM33" s="684"/>
      <c r="UN33" s="684"/>
      <c r="UO33" s="684"/>
      <c r="UP33" s="684"/>
      <c r="UQ33" s="684"/>
      <c r="UR33" s="684"/>
      <c r="US33" s="684"/>
      <c r="UT33" s="684"/>
      <c r="UU33" s="684"/>
      <c r="UV33" s="684"/>
      <c r="UW33" s="684"/>
      <c r="UX33" s="684"/>
      <c r="UY33" s="684"/>
      <c r="UZ33" s="684"/>
      <c r="VA33" s="684"/>
      <c r="VB33" s="684"/>
      <c r="VC33" s="684"/>
      <c r="VD33" s="684"/>
      <c r="VE33" s="684"/>
      <c r="VF33" s="684"/>
      <c r="VG33" s="684"/>
      <c r="VH33" s="684"/>
      <c r="VI33" s="684"/>
      <c r="VJ33" s="684"/>
      <c r="VK33" s="684"/>
      <c r="VL33" s="684"/>
      <c r="VM33" s="684"/>
      <c r="VN33" s="684"/>
      <c r="VO33" s="684"/>
      <c r="VP33" s="684"/>
      <c r="VQ33" s="684"/>
      <c r="VR33" s="684"/>
      <c r="VS33" s="684"/>
      <c r="VT33" s="684"/>
      <c r="VU33" s="684"/>
      <c r="VV33" s="684"/>
      <c r="VW33" s="684"/>
      <c r="VX33" s="684"/>
      <c r="VY33" s="684"/>
      <c r="VZ33" s="684"/>
      <c r="WA33" s="684"/>
      <c r="WB33" s="684"/>
      <c r="WC33" s="684"/>
      <c r="WD33" s="684"/>
      <c r="WE33" s="684"/>
      <c r="WF33" s="684"/>
      <c r="WG33" s="684"/>
      <c r="WH33" s="684"/>
      <c r="WI33" s="684"/>
      <c r="WJ33" s="684"/>
      <c r="WK33" s="684"/>
      <c r="WL33" s="684"/>
      <c r="WM33" s="684"/>
      <c r="WN33" s="684"/>
      <c r="WO33" s="684"/>
      <c r="WP33" s="684"/>
      <c r="WQ33" s="684"/>
      <c r="WR33" s="684"/>
      <c r="WS33" s="684"/>
      <c r="WT33" s="684"/>
      <c r="WU33" s="684"/>
      <c r="WV33" s="684"/>
      <c r="WW33" s="684"/>
      <c r="WX33" s="684"/>
      <c r="WY33" s="684"/>
      <c r="WZ33" s="684"/>
      <c r="XA33" s="684"/>
      <c r="XB33" s="684"/>
      <c r="XC33" s="684"/>
      <c r="XD33" s="684"/>
      <c r="XE33" s="684"/>
      <c r="XF33" s="684"/>
      <c r="XG33" s="684"/>
      <c r="XH33" s="684"/>
      <c r="XI33" s="684"/>
      <c r="XJ33" s="684"/>
      <c r="XK33" s="684"/>
      <c r="XL33" s="684"/>
      <c r="XM33" s="684"/>
      <c r="XN33" s="684"/>
      <c r="XO33" s="684"/>
      <c r="XP33" s="684"/>
      <c r="XQ33" s="684"/>
      <c r="XR33" s="684"/>
      <c r="XS33" s="684"/>
      <c r="XT33" s="684"/>
      <c r="XU33" s="684"/>
      <c r="XV33" s="684"/>
      <c r="XW33" s="684"/>
      <c r="XX33" s="684"/>
      <c r="XY33" s="684"/>
      <c r="XZ33" s="684"/>
      <c r="YA33" s="684"/>
      <c r="YB33" s="684"/>
      <c r="YC33" s="684"/>
      <c r="YD33" s="684"/>
      <c r="YE33" s="684"/>
      <c r="YF33" s="684"/>
      <c r="YG33" s="684"/>
      <c r="YH33" s="684"/>
      <c r="YI33" s="684"/>
      <c r="YJ33" s="684"/>
      <c r="YK33" s="684"/>
      <c r="YL33" s="684"/>
      <c r="YM33" s="684"/>
      <c r="YN33" s="684"/>
      <c r="YO33" s="684"/>
      <c r="YP33" s="684"/>
      <c r="YQ33" s="684"/>
      <c r="YR33" s="684"/>
      <c r="YS33" s="684"/>
      <c r="YT33" s="684"/>
      <c r="YU33" s="684"/>
      <c r="YV33" s="684"/>
      <c r="YW33" s="684"/>
      <c r="YX33" s="684"/>
      <c r="YY33" s="684"/>
      <c r="YZ33" s="684"/>
      <c r="ZA33" s="684"/>
      <c r="ZB33" s="684"/>
      <c r="ZC33" s="684"/>
      <c r="ZD33" s="684"/>
      <c r="ZE33" s="684"/>
      <c r="ZF33" s="684"/>
      <c r="ZG33" s="684"/>
      <c r="ZH33" s="684"/>
      <c r="ZI33" s="684"/>
      <c r="ZJ33" s="684"/>
      <c r="ZK33" s="684"/>
      <c r="ZL33" s="684"/>
      <c r="ZM33" s="684"/>
      <c r="ZN33" s="684"/>
      <c r="ZO33" s="684"/>
      <c r="ZP33" s="684"/>
      <c r="ZQ33" s="684"/>
      <c r="ZR33" s="684"/>
      <c r="ZS33" s="684"/>
      <c r="ZT33" s="684"/>
      <c r="ZU33" s="684"/>
      <c r="ZV33" s="684"/>
      <c r="ZW33" s="684"/>
      <c r="ZX33" s="684"/>
      <c r="ZY33" s="684"/>
      <c r="ZZ33" s="684"/>
      <c r="AAA33" s="684"/>
      <c r="AAB33" s="684"/>
      <c r="AAC33" s="684"/>
      <c r="AAD33" s="684"/>
      <c r="AAE33" s="684"/>
      <c r="AAF33" s="684"/>
      <c r="AAG33" s="684"/>
      <c r="AAH33" s="684"/>
      <c r="AAI33" s="684"/>
      <c r="AAJ33" s="684"/>
      <c r="AAK33" s="684"/>
      <c r="AAL33" s="684"/>
      <c r="AAM33" s="684"/>
      <c r="AAN33" s="684"/>
      <c r="AAO33" s="684"/>
      <c r="AAP33" s="684"/>
      <c r="AAQ33" s="684"/>
      <c r="AAR33" s="684"/>
      <c r="AAS33" s="684"/>
      <c r="AAT33" s="684"/>
      <c r="AAU33" s="684"/>
      <c r="AAV33" s="684"/>
      <c r="AAW33" s="684"/>
      <c r="AAX33" s="684"/>
      <c r="AAY33" s="684"/>
      <c r="AAZ33" s="684"/>
      <c r="ABA33" s="684"/>
      <c r="ABB33" s="684"/>
      <c r="ABC33" s="684"/>
      <c r="ABD33" s="684"/>
      <c r="ABE33" s="684"/>
      <c r="ABF33" s="684"/>
      <c r="ABG33" s="684"/>
      <c r="ABH33" s="684"/>
      <c r="ABI33" s="684"/>
      <c r="ABJ33" s="684"/>
      <c r="ABK33" s="684"/>
      <c r="ABL33" s="684"/>
      <c r="ABM33" s="684"/>
      <c r="ABN33" s="684"/>
      <c r="ABO33" s="684"/>
      <c r="ABP33" s="684"/>
      <c r="ABQ33" s="684"/>
      <c r="ABR33" s="684"/>
      <c r="ABS33" s="684"/>
      <c r="ABT33" s="684"/>
      <c r="ABU33" s="684"/>
      <c r="ABV33" s="684"/>
      <c r="ABW33" s="684"/>
      <c r="ABX33" s="684"/>
      <c r="ABY33" s="684"/>
      <c r="ABZ33" s="684"/>
      <c r="ACA33" s="684"/>
      <c r="ACB33" s="684"/>
      <c r="ACC33" s="684"/>
      <c r="ACD33" s="684"/>
      <c r="ACE33" s="684"/>
      <c r="ACF33" s="684"/>
      <c r="ACG33" s="684"/>
      <c r="ACH33" s="684"/>
      <c r="ACI33" s="684"/>
      <c r="ACJ33" s="684"/>
      <c r="ACK33" s="684"/>
      <c r="ACL33" s="684"/>
      <c r="ACM33" s="684"/>
      <c r="ACN33" s="684"/>
      <c r="ACO33" s="684"/>
      <c r="ACP33" s="684"/>
      <c r="ACQ33" s="684"/>
      <c r="ACR33" s="684"/>
      <c r="ACS33" s="684"/>
      <c r="ACT33" s="684"/>
      <c r="ACU33" s="684"/>
      <c r="ACV33" s="684"/>
      <c r="ACW33" s="684"/>
      <c r="ACX33" s="684"/>
      <c r="ACY33" s="684"/>
      <c r="ACZ33" s="684"/>
      <c r="ADA33" s="684"/>
      <c r="ADB33" s="684"/>
      <c r="ADC33" s="684"/>
      <c r="ADD33" s="684"/>
      <c r="ADE33" s="684"/>
      <c r="ADF33" s="684"/>
      <c r="ADG33" s="684"/>
      <c r="ADH33" s="684"/>
      <c r="ADI33" s="684"/>
      <c r="ADJ33" s="684"/>
      <c r="ADK33" s="684"/>
      <c r="ADL33" s="684"/>
      <c r="ADM33" s="684"/>
      <c r="ADN33" s="684"/>
      <c r="ADO33" s="684"/>
      <c r="ADP33" s="684"/>
      <c r="ADQ33" s="684"/>
      <c r="ADR33" s="684"/>
      <c r="ADS33" s="684"/>
      <c r="ADT33" s="684"/>
      <c r="ADU33" s="684"/>
      <c r="ADV33" s="684"/>
      <c r="ADW33" s="684"/>
      <c r="ADX33" s="684"/>
      <c r="ADY33" s="684"/>
      <c r="ADZ33" s="684"/>
      <c r="AEA33" s="684"/>
      <c r="AEB33" s="684"/>
      <c r="AEC33" s="684"/>
      <c r="AED33" s="684"/>
      <c r="AEE33" s="684"/>
      <c r="AEF33" s="684"/>
      <c r="AEG33" s="684"/>
      <c r="AEH33" s="684"/>
      <c r="AEI33" s="684"/>
      <c r="AEJ33" s="684"/>
      <c r="AEK33" s="684"/>
      <c r="AEL33" s="684"/>
      <c r="AEM33" s="684"/>
      <c r="AEN33" s="684"/>
      <c r="AEO33" s="684"/>
      <c r="AEP33" s="684"/>
      <c r="AEQ33" s="684"/>
      <c r="AER33" s="684"/>
      <c r="AES33" s="684"/>
      <c r="AET33" s="684"/>
      <c r="AEU33" s="684"/>
      <c r="AEV33" s="684"/>
      <c r="AEW33" s="684"/>
      <c r="AEX33" s="684"/>
      <c r="AEY33" s="684"/>
      <c r="AEZ33" s="684"/>
      <c r="AFA33" s="684"/>
      <c r="AFB33" s="684"/>
      <c r="AFC33" s="684"/>
      <c r="AFD33" s="684"/>
      <c r="AFE33" s="684"/>
      <c r="AFF33" s="684"/>
      <c r="AFG33" s="684"/>
      <c r="AFH33" s="684"/>
      <c r="AFI33" s="684"/>
      <c r="AFJ33" s="684"/>
      <c r="AFK33" s="684"/>
      <c r="AFL33" s="684"/>
      <c r="AFM33" s="684"/>
      <c r="AFN33" s="684"/>
      <c r="AFO33" s="684"/>
      <c r="AFP33" s="684"/>
      <c r="AFQ33" s="684"/>
      <c r="AFR33" s="684"/>
      <c r="AFS33" s="684"/>
      <c r="AFT33" s="684"/>
      <c r="AFU33" s="684"/>
      <c r="AFV33" s="684"/>
      <c r="AFW33" s="684"/>
      <c r="AFX33" s="684"/>
      <c r="AFY33" s="684"/>
      <c r="AFZ33" s="684"/>
      <c r="AGA33" s="684"/>
      <c r="AGB33" s="684"/>
      <c r="AGC33" s="684"/>
      <c r="AGD33" s="684"/>
      <c r="AGE33" s="684"/>
      <c r="AGF33" s="684"/>
      <c r="AGG33" s="684"/>
      <c r="AGH33" s="684"/>
      <c r="AGI33" s="684"/>
      <c r="AGJ33" s="684"/>
      <c r="AGK33" s="684"/>
      <c r="AGL33" s="684"/>
      <c r="AGM33" s="684"/>
      <c r="AGN33" s="684"/>
      <c r="AGO33" s="684"/>
      <c r="AGP33" s="684"/>
      <c r="AGQ33" s="684"/>
      <c r="AGR33" s="684"/>
      <c r="AGS33" s="684"/>
      <c r="AGT33" s="684"/>
      <c r="AGU33" s="684"/>
      <c r="AGV33" s="684"/>
      <c r="AGW33" s="684"/>
      <c r="AGX33" s="684"/>
      <c r="AGY33" s="684"/>
      <c r="AGZ33" s="684"/>
      <c r="AHA33" s="684"/>
      <c r="AHB33" s="684"/>
      <c r="AHC33" s="684"/>
      <c r="AHD33" s="684"/>
      <c r="AHE33" s="684"/>
      <c r="AHF33" s="684"/>
      <c r="AHG33" s="684"/>
      <c r="AHH33" s="684"/>
      <c r="AHI33" s="684"/>
      <c r="AHJ33" s="684"/>
      <c r="AHK33" s="684"/>
      <c r="AHL33" s="684"/>
      <c r="AHM33" s="684"/>
      <c r="AHN33" s="684"/>
      <c r="AHO33" s="684"/>
      <c r="AHP33" s="684"/>
      <c r="AHQ33" s="684"/>
      <c r="AHR33" s="684"/>
      <c r="AHS33" s="684"/>
      <c r="AHT33" s="684"/>
      <c r="AHU33" s="684"/>
      <c r="AHV33" s="684"/>
      <c r="AHW33" s="684"/>
      <c r="AHX33" s="684"/>
      <c r="AHY33" s="684"/>
      <c r="AHZ33" s="684"/>
      <c r="AIA33" s="684"/>
      <c r="AIB33" s="684"/>
      <c r="AIC33" s="684"/>
      <c r="AID33" s="684"/>
      <c r="AIE33" s="684"/>
      <c r="AIF33" s="684"/>
      <c r="AIG33" s="684"/>
      <c r="AIH33" s="684"/>
      <c r="AII33" s="684"/>
      <c r="AIJ33" s="684"/>
      <c r="AIK33" s="684"/>
      <c r="AIL33" s="684"/>
      <c r="AIM33" s="684"/>
      <c r="AIN33" s="684"/>
      <c r="AIO33" s="684"/>
      <c r="AIP33" s="684"/>
      <c r="AIQ33" s="684"/>
      <c r="AIR33" s="684"/>
      <c r="AIS33" s="684"/>
      <c r="AIT33" s="684"/>
      <c r="AIU33" s="684"/>
      <c r="AIV33" s="684"/>
      <c r="AIW33" s="684"/>
      <c r="AIX33" s="684"/>
      <c r="AIY33" s="684"/>
      <c r="AIZ33" s="684"/>
      <c r="AJA33" s="684"/>
      <c r="AJB33" s="684"/>
      <c r="AJC33" s="684"/>
      <c r="AJD33" s="684"/>
      <c r="AJE33" s="684"/>
      <c r="AJF33" s="684"/>
      <c r="AJG33" s="684"/>
      <c r="AJH33" s="684"/>
      <c r="AJI33" s="684"/>
      <c r="AJJ33" s="684"/>
      <c r="AJK33" s="684"/>
      <c r="AJL33" s="684"/>
      <c r="AJM33" s="684"/>
      <c r="AJN33" s="684"/>
      <c r="AJO33" s="684"/>
      <c r="AJP33" s="684"/>
      <c r="AJQ33" s="684"/>
      <c r="AJR33" s="684"/>
      <c r="AJS33" s="684"/>
      <c r="AJT33" s="684"/>
      <c r="AJU33" s="684"/>
      <c r="AJV33" s="684"/>
      <c r="AJW33" s="684"/>
      <c r="AJX33" s="684"/>
      <c r="AJY33" s="684"/>
      <c r="AJZ33" s="684"/>
      <c r="AKA33" s="684"/>
      <c r="AKB33" s="684"/>
      <c r="AKC33" s="684"/>
      <c r="AKD33" s="684"/>
      <c r="AKE33" s="684"/>
      <c r="AKF33" s="684"/>
      <c r="AKG33" s="684"/>
      <c r="AKH33" s="684"/>
      <c r="AKI33" s="684"/>
      <c r="AKJ33" s="684"/>
      <c r="AKK33" s="684"/>
      <c r="AKL33" s="684"/>
      <c r="AKM33" s="684"/>
      <c r="AKN33" s="684"/>
      <c r="AKO33" s="684"/>
      <c r="AKP33" s="684"/>
      <c r="AKQ33" s="684"/>
      <c r="AKR33" s="684"/>
      <c r="AKS33" s="684"/>
      <c r="AKT33" s="684"/>
      <c r="AKU33" s="684"/>
      <c r="AKV33" s="684"/>
      <c r="AKW33" s="684"/>
      <c r="AKX33" s="684"/>
      <c r="AKY33" s="684"/>
      <c r="AKZ33" s="684"/>
      <c r="ALA33" s="684"/>
      <c r="ALB33" s="684"/>
      <c r="ALC33" s="684"/>
      <c r="ALD33" s="684"/>
      <c r="ALE33" s="684"/>
      <c r="ALF33" s="684"/>
      <c r="ALG33" s="684"/>
      <c r="ALH33" s="684"/>
      <c r="ALI33" s="684"/>
      <c r="ALJ33" s="684"/>
      <c r="ALK33" s="684"/>
      <c r="ALL33" s="684"/>
      <c r="ALM33" s="684"/>
      <c r="ALN33" s="684"/>
      <c r="ALO33" s="684"/>
      <c r="ALP33" s="684"/>
      <c r="ALQ33" s="684"/>
      <c r="ALR33" s="684"/>
      <c r="ALS33" s="684"/>
      <c r="ALT33" s="684"/>
      <c r="ALU33" s="684"/>
      <c r="ALV33" s="684"/>
      <c r="ALW33" s="684"/>
      <c r="ALX33" s="684"/>
      <c r="ALY33" s="684"/>
      <c r="ALZ33" s="684"/>
      <c r="AMA33" s="684"/>
      <c r="AMB33" s="684"/>
      <c r="AMC33" s="684"/>
      <c r="AMD33" s="684"/>
      <c r="AME33" s="684"/>
      <c r="AMF33" s="684"/>
      <c r="AMG33" s="684"/>
      <c r="AMH33" s="684"/>
      <c r="AMI33" s="684"/>
      <c r="AMJ33" s="684"/>
      <c r="AMK33" s="684"/>
      <c r="AML33" s="684"/>
      <c r="AMM33" s="684"/>
      <c r="AMN33" s="684"/>
      <c r="AMO33" s="684"/>
      <c r="AMP33" s="684"/>
      <c r="AMQ33" s="684"/>
      <c r="AMR33" s="684"/>
      <c r="AMS33" s="684"/>
      <c r="AMT33" s="684"/>
      <c r="AMU33" s="684"/>
      <c r="AMV33" s="684"/>
      <c r="AMW33" s="684"/>
      <c r="AMX33" s="684"/>
      <c r="AMY33" s="684"/>
      <c r="AMZ33" s="684"/>
      <c r="ANA33" s="684"/>
      <c r="ANB33" s="684"/>
      <c r="ANC33" s="684"/>
      <c r="AND33" s="684"/>
      <c r="ANE33" s="684"/>
      <c r="ANF33" s="684"/>
      <c r="ANG33" s="684"/>
      <c r="ANH33" s="684"/>
      <c r="ANI33" s="684"/>
      <c r="ANJ33" s="684"/>
      <c r="ANK33" s="684"/>
      <c r="ANL33" s="684"/>
      <c r="ANM33" s="684"/>
      <c r="ANN33" s="684"/>
      <c r="ANO33" s="684"/>
      <c r="ANP33" s="684"/>
      <c r="ANQ33" s="684"/>
      <c r="ANR33" s="684"/>
      <c r="ANS33" s="684"/>
      <c r="ANT33" s="684"/>
      <c r="ANU33" s="684"/>
      <c r="ANV33" s="684"/>
      <c r="ANW33" s="684"/>
      <c r="ANX33" s="684"/>
      <c r="ANY33" s="684"/>
      <c r="ANZ33" s="684"/>
      <c r="AOA33" s="684"/>
      <c r="AOB33" s="684"/>
      <c r="AOC33" s="684"/>
      <c r="AOD33" s="684"/>
      <c r="AOE33" s="684"/>
      <c r="AOF33" s="684"/>
      <c r="AOG33" s="684"/>
      <c r="AOH33" s="684"/>
      <c r="AOI33" s="684"/>
      <c r="AOJ33" s="684"/>
      <c r="AOK33" s="684"/>
      <c r="AOL33" s="684"/>
      <c r="AOM33" s="684"/>
      <c r="AON33" s="684"/>
      <c r="AOO33" s="684"/>
      <c r="AOP33" s="684"/>
      <c r="AOQ33" s="684"/>
      <c r="AOR33" s="684"/>
      <c r="AOS33" s="684"/>
      <c r="AOT33" s="684"/>
      <c r="AOU33" s="684"/>
      <c r="AOV33" s="684"/>
      <c r="AOW33" s="684"/>
      <c r="AOX33" s="684"/>
      <c r="AOY33" s="684"/>
      <c r="AOZ33" s="684"/>
      <c r="APA33" s="684"/>
      <c r="APB33" s="684"/>
      <c r="APC33" s="684"/>
      <c r="APD33" s="684"/>
      <c r="APE33" s="684"/>
      <c r="APF33" s="684"/>
      <c r="APG33" s="684"/>
      <c r="APH33" s="684"/>
      <c r="API33" s="684"/>
      <c r="APJ33" s="684"/>
      <c r="APK33" s="684"/>
      <c r="APL33" s="684"/>
      <c r="APM33" s="684"/>
      <c r="APN33" s="684"/>
      <c r="APO33" s="684"/>
      <c r="APP33" s="684"/>
      <c r="APQ33" s="684"/>
      <c r="APR33" s="684"/>
      <c r="APS33" s="684"/>
      <c r="APT33" s="684"/>
      <c r="APU33" s="684"/>
      <c r="APV33" s="684"/>
      <c r="APW33" s="684"/>
      <c r="APX33" s="684"/>
      <c r="APY33" s="684"/>
      <c r="APZ33" s="684"/>
      <c r="AQA33" s="684"/>
      <c r="AQB33" s="684"/>
      <c r="AQC33" s="684"/>
      <c r="AQD33" s="684"/>
      <c r="AQE33" s="684"/>
      <c r="AQF33" s="684"/>
      <c r="AQG33" s="684"/>
      <c r="AQH33" s="684"/>
      <c r="AQI33" s="684"/>
      <c r="AQJ33" s="684"/>
      <c r="AQK33" s="684"/>
      <c r="AQL33" s="684"/>
      <c r="AQM33" s="684"/>
      <c r="AQN33" s="684"/>
      <c r="AQO33" s="684"/>
      <c r="AQP33" s="684"/>
      <c r="AQQ33" s="684"/>
      <c r="AQR33" s="684"/>
      <c r="AQS33" s="684"/>
      <c r="AQT33" s="684"/>
      <c r="AQU33" s="684"/>
      <c r="AQV33" s="684"/>
      <c r="AQW33" s="684"/>
      <c r="AQX33" s="684"/>
      <c r="AQY33" s="684"/>
      <c r="AQZ33" s="684"/>
      <c r="ARA33" s="684"/>
      <c r="ARB33" s="684"/>
      <c r="ARC33" s="684"/>
      <c r="ARD33" s="684"/>
      <c r="ARE33" s="684"/>
      <c r="ARF33" s="684"/>
      <c r="ARG33" s="684"/>
      <c r="ARH33" s="684"/>
      <c r="ARI33" s="684"/>
      <c r="ARJ33" s="684"/>
      <c r="ARK33" s="684"/>
      <c r="ARL33" s="684"/>
      <c r="ARM33" s="684"/>
      <c r="ARN33" s="684"/>
      <c r="ARO33" s="684"/>
      <c r="ARP33" s="684"/>
      <c r="ARQ33" s="684"/>
      <c r="ARR33" s="684"/>
      <c r="ARS33" s="684"/>
      <c r="ART33" s="684"/>
      <c r="ARU33" s="684"/>
      <c r="ARV33" s="684"/>
      <c r="ARW33" s="684"/>
      <c r="ARX33" s="684"/>
      <c r="ARY33" s="684"/>
      <c r="ARZ33" s="684"/>
      <c r="ASA33" s="684"/>
      <c r="ASB33" s="684"/>
      <c r="ASC33" s="684"/>
      <c r="ASD33" s="684"/>
      <c r="ASE33" s="684"/>
      <c r="ASF33" s="684"/>
      <c r="ASG33" s="684"/>
      <c r="ASH33" s="684"/>
      <c r="ASI33" s="684"/>
      <c r="ASJ33" s="684"/>
      <c r="ASK33" s="684"/>
      <c r="ASL33" s="684"/>
      <c r="ASM33" s="684"/>
      <c r="ASN33" s="684"/>
      <c r="ASO33" s="684"/>
      <c r="ASP33" s="684"/>
      <c r="ASQ33" s="684"/>
      <c r="ASR33" s="684"/>
      <c r="ASS33" s="684"/>
      <c r="AST33" s="684"/>
      <c r="ASU33" s="684"/>
      <c r="ASV33" s="684"/>
      <c r="ASW33" s="684"/>
      <c r="ASX33" s="684"/>
      <c r="ASY33" s="684"/>
      <c r="ASZ33" s="684"/>
      <c r="ATA33" s="684"/>
      <c r="ATB33" s="684"/>
      <c r="ATC33" s="684"/>
      <c r="ATD33" s="684"/>
      <c r="ATE33" s="684"/>
      <c r="ATF33" s="684"/>
      <c r="ATG33" s="684"/>
      <c r="ATH33" s="684"/>
      <c r="ATI33" s="684"/>
      <c r="ATJ33" s="684"/>
      <c r="ATK33" s="684"/>
      <c r="ATL33" s="684"/>
      <c r="ATM33" s="684"/>
      <c r="ATN33" s="684"/>
      <c r="ATO33" s="684"/>
      <c r="ATP33" s="684"/>
      <c r="ATQ33" s="684"/>
      <c r="ATR33" s="684"/>
      <c r="ATS33" s="684"/>
      <c r="ATT33" s="684"/>
      <c r="ATU33" s="684"/>
      <c r="ATV33" s="684"/>
      <c r="ATW33" s="684"/>
      <c r="ATX33" s="684"/>
      <c r="ATY33" s="684"/>
      <c r="ATZ33" s="684"/>
      <c r="AUA33" s="684"/>
      <c r="AUB33" s="684"/>
      <c r="AUC33" s="684"/>
      <c r="AUD33" s="684"/>
      <c r="AUE33" s="684"/>
      <c r="AUF33" s="684"/>
      <c r="AUG33" s="684"/>
      <c r="AUH33" s="684"/>
      <c r="AUI33" s="684"/>
      <c r="AUJ33" s="684"/>
      <c r="AUK33" s="684"/>
      <c r="AUL33" s="684"/>
      <c r="AUM33" s="684"/>
      <c r="AUN33" s="684"/>
      <c r="AUO33" s="684"/>
      <c r="AUP33" s="684"/>
      <c r="AUQ33" s="684"/>
      <c r="AUR33" s="684"/>
      <c r="AUS33" s="684"/>
      <c r="AUT33" s="684"/>
      <c r="AUU33" s="684"/>
      <c r="AUV33" s="684"/>
      <c r="AUW33" s="684"/>
      <c r="AUX33" s="684"/>
      <c r="AUY33" s="684"/>
      <c r="AUZ33" s="684"/>
      <c r="AVA33" s="684"/>
      <c r="AVB33" s="684"/>
      <c r="AVC33" s="684"/>
      <c r="AVD33" s="684"/>
      <c r="AVE33" s="684"/>
      <c r="AVF33" s="684"/>
      <c r="AVG33" s="684"/>
      <c r="AVH33" s="684"/>
      <c r="AVI33" s="684"/>
      <c r="AVJ33" s="684"/>
      <c r="AVK33" s="684"/>
      <c r="AVL33" s="684"/>
      <c r="AVM33" s="684"/>
      <c r="AVN33" s="684"/>
      <c r="AVO33" s="684"/>
      <c r="AVP33" s="684"/>
      <c r="AVQ33" s="684"/>
      <c r="AVR33" s="684"/>
      <c r="AVS33" s="684"/>
      <c r="AVT33" s="684"/>
      <c r="AVU33" s="684"/>
      <c r="AVV33" s="684"/>
      <c r="AVW33" s="684"/>
      <c r="AVX33" s="684"/>
      <c r="AVY33" s="684"/>
      <c r="AVZ33" s="684"/>
      <c r="AWA33" s="684"/>
      <c r="AWB33" s="684"/>
      <c r="AWC33" s="684"/>
      <c r="AWD33" s="684"/>
      <c r="AWE33" s="684"/>
      <c r="AWF33" s="684"/>
      <c r="AWG33" s="684"/>
      <c r="AWH33" s="684"/>
      <c r="AWI33" s="684"/>
      <c r="AWJ33" s="684"/>
      <c r="AWK33" s="684"/>
      <c r="AWL33" s="684"/>
      <c r="AWM33" s="684"/>
      <c r="AWN33" s="684"/>
      <c r="AWO33" s="684"/>
      <c r="AWP33" s="684"/>
      <c r="AWQ33" s="684"/>
      <c r="AWR33" s="684"/>
      <c r="AWS33" s="684"/>
      <c r="AWT33" s="684"/>
      <c r="AWU33" s="684"/>
      <c r="AWV33" s="684"/>
      <c r="AWW33" s="684"/>
      <c r="AWX33" s="684"/>
      <c r="AWY33" s="684"/>
      <c r="AWZ33" s="684"/>
      <c r="AXA33" s="684"/>
      <c r="AXB33" s="684"/>
      <c r="AXC33" s="684"/>
      <c r="AXD33" s="684"/>
      <c r="AXE33" s="684"/>
      <c r="AXF33" s="684"/>
      <c r="AXG33" s="684"/>
      <c r="AXH33" s="684"/>
      <c r="AXI33" s="684"/>
      <c r="AXJ33" s="684"/>
      <c r="AXK33" s="684"/>
      <c r="AXL33" s="684"/>
      <c r="AXM33" s="684"/>
      <c r="AXN33" s="684"/>
      <c r="AXO33" s="684"/>
      <c r="AXP33" s="684"/>
      <c r="AXQ33" s="684"/>
      <c r="AXR33" s="684"/>
      <c r="AXS33" s="684"/>
      <c r="AXT33" s="684"/>
      <c r="AXU33" s="684"/>
      <c r="AXV33" s="684"/>
      <c r="AXW33" s="684"/>
      <c r="AXX33" s="684"/>
      <c r="AXY33" s="684"/>
      <c r="AXZ33" s="684"/>
      <c r="AYA33" s="684"/>
      <c r="AYB33" s="684"/>
      <c r="AYC33" s="684"/>
      <c r="AYD33" s="684"/>
      <c r="AYE33" s="684"/>
      <c r="AYF33" s="684"/>
      <c r="AYG33" s="684"/>
      <c r="AYH33" s="684"/>
      <c r="AYI33" s="684"/>
      <c r="AYJ33" s="684"/>
      <c r="AYK33" s="684"/>
      <c r="AYL33" s="684"/>
      <c r="AYM33" s="684"/>
      <c r="AYN33" s="684"/>
      <c r="AYO33" s="684"/>
      <c r="AYP33" s="684"/>
      <c r="AYQ33" s="684"/>
      <c r="AYR33" s="684"/>
      <c r="AYS33" s="684"/>
      <c r="AYT33" s="684"/>
      <c r="AYU33" s="684"/>
      <c r="AYV33" s="684"/>
      <c r="AYW33" s="684"/>
      <c r="AYX33" s="684"/>
      <c r="AYY33" s="684"/>
      <c r="AYZ33" s="684"/>
      <c r="AZA33" s="684"/>
      <c r="AZB33" s="684"/>
      <c r="AZC33" s="684"/>
      <c r="AZD33" s="684"/>
      <c r="AZE33" s="684"/>
      <c r="AZF33" s="684"/>
      <c r="AZG33" s="684"/>
      <c r="AZH33" s="684"/>
      <c r="AZI33" s="684"/>
      <c r="AZJ33" s="684"/>
      <c r="AZK33" s="684"/>
      <c r="AZL33" s="684"/>
      <c r="AZM33" s="684"/>
      <c r="AZN33" s="684"/>
      <c r="AZO33" s="684"/>
      <c r="AZP33" s="684"/>
      <c r="AZQ33" s="684"/>
      <c r="AZR33" s="684"/>
      <c r="AZS33" s="684"/>
      <c r="AZT33" s="684"/>
      <c r="AZU33" s="684"/>
      <c r="AZV33" s="684"/>
      <c r="AZW33" s="684"/>
      <c r="AZX33" s="684"/>
      <c r="AZY33" s="684"/>
      <c r="AZZ33" s="684"/>
      <c r="BAA33" s="684"/>
      <c r="BAB33" s="684"/>
      <c r="BAC33" s="684"/>
      <c r="BAD33" s="684"/>
      <c r="BAE33" s="684"/>
      <c r="BAF33" s="684"/>
      <c r="BAG33" s="684"/>
      <c r="BAH33" s="684"/>
      <c r="BAI33" s="684"/>
      <c r="BAJ33" s="684"/>
      <c r="BAK33" s="684"/>
      <c r="BAL33" s="684"/>
      <c r="BAM33" s="684"/>
      <c r="BAN33" s="684"/>
      <c r="BAO33" s="684"/>
      <c r="BAP33" s="684"/>
      <c r="BAQ33" s="684"/>
      <c r="BAR33" s="684"/>
      <c r="BAS33" s="684"/>
      <c r="BAT33" s="684"/>
      <c r="BAU33" s="684"/>
      <c r="BAV33" s="684"/>
      <c r="BAW33" s="684"/>
      <c r="BAX33" s="684"/>
      <c r="BAY33" s="684"/>
      <c r="BAZ33" s="684"/>
      <c r="BBA33" s="684"/>
      <c r="BBB33" s="684"/>
      <c r="BBC33" s="684"/>
      <c r="BBD33" s="684"/>
      <c r="BBE33" s="684"/>
      <c r="BBF33" s="684"/>
      <c r="BBG33" s="684"/>
      <c r="BBH33" s="684"/>
      <c r="BBI33" s="684"/>
      <c r="BBJ33" s="684"/>
      <c r="BBK33" s="684"/>
      <c r="BBL33" s="684"/>
      <c r="BBM33" s="684"/>
      <c r="BBN33" s="684"/>
      <c r="BBO33" s="684"/>
      <c r="BBP33" s="684"/>
      <c r="BBQ33" s="684"/>
      <c r="BBR33" s="684"/>
      <c r="BBS33" s="684"/>
      <c r="BBT33" s="684"/>
      <c r="BBU33" s="684"/>
      <c r="BBV33" s="684"/>
      <c r="BBW33" s="684"/>
      <c r="BBX33" s="684"/>
      <c r="BBY33" s="684"/>
      <c r="BBZ33" s="684"/>
      <c r="BCA33" s="684"/>
      <c r="BCB33" s="684"/>
      <c r="BCC33" s="684"/>
      <c r="BCD33" s="684"/>
      <c r="BCE33" s="684"/>
      <c r="BCF33" s="684"/>
      <c r="BCG33" s="684"/>
      <c r="BCH33" s="684"/>
      <c r="BCI33" s="684"/>
      <c r="BCJ33" s="684"/>
      <c r="BCK33" s="684"/>
      <c r="BCL33" s="684"/>
      <c r="BCM33" s="684"/>
      <c r="BCN33" s="684"/>
      <c r="BCO33" s="684"/>
      <c r="BCP33" s="684"/>
      <c r="BCQ33" s="684"/>
      <c r="BCR33" s="684"/>
      <c r="BCS33" s="684"/>
      <c r="BCT33" s="684"/>
      <c r="BCU33" s="684"/>
      <c r="BCV33" s="684"/>
      <c r="BCW33" s="684"/>
      <c r="BCX33" s="684"/>
      <c r="BCY33" s="684"/>
      <c r="BCZ33" s="684"/>
      <c r="BDA33" s="684"/>
      <c r="BDB33" s="684"/>
      <c r="BDC33" s="684"/>
      <c r="BDD33" s="684"/>
      <c r="BDE33" s="684"/>
      <c r="BDF33" s="684"/>
      <c r="BDG33" s="684"/>
      <c r="BDH33" s="684"/>
      <c r="BDI33" s="684"/>
      <c r="BDJ33" s="684"/>
      <c r="BDK33" s="684"/>
      <c r="BDL33" s="684"/>
      <c r="BDM33" s="684"/>
      <c r="BDN33" s="684"/>
      <c r="BDO33" s="684"/>
      <c r="BDP33" s="684"/>
      <c r="BDQ33" s="684"/>
      <c r="BDR33" s="684"/>
      <c r="BDS33" s="684"/>
      <c r="BDT33" s="684"/>
      <c r="BDU33" s="684"/>
      <c r="BDV33" s="684"/>
      <c r="BDW33" s="684"/>
      <c r="BDX33" s="684"/>
      <c r="BDY33" s="684"/>
      <c r="BDZ33" s="684"/>
      <c r="BEA33" s="684"/>
      <c r="BEB33" s="684"/>
      <c r="BEC33" s="684"/>
      <c r="BED33" s="684"/>
      <c r="BEE33" s="684"/>
      <c r="BEF33" s="684"/>
      <c r="BEG33" s="684"/>
      <c r="BEH33" s="684"/>
      <c r="BEI33" s="684"/>
      <c r="BEJ33" s="684"/>
      <c r="BEK33" s="684"/>
      <c r="BEL33" s="684"/>
      <c r="BEM33" s="684"/>
      <c r="BEN33" s="684"/>
      <c r="BEO33" s="684"/>
      <c r="BEP33" s="684"/>
      <c r="BEQ33" s="684"/>
      <c r="BER33" s="684"/>
      <c r="BES33" s="684"/>
      <c r="BET33" s="684"/>
      <c r="BEU33" s="684"/>
      <c r="BEV33" s="684"/>
      <c r="BEW33" s="684"/>
      <c r="BEX33" s="684"/>
      <c r="BEY33" s="684"/>
      <c r="BEZ33" s="684"/>
      <c r="BFA33" s="684"/>
      <c r="BFB33" s="684"/>
      <c r="BFC33" s="684"/>
      <c r="BFD33" s="684"/>
      <c r="BFE33" s="684"/>
      <c r="BFF33" s="684"/>
      <c r="BFG33" s="684"/>
      <c r="BFH33" s="684"/>
      <c r="BFI33" s="684"/>
      <c r="BFJ33" s="684"/>
      <c r="BFK33" s="684"/>
      <c r="BFL33" s="684"/>
      <c r="BFM33" s="684"/>
      <c r="BFN33" s="684"/>
      <c r="BFO33" s="684"/>
      <c r="BFP33" s="684"/>
      <c r="BFQ33" s="684"/>
      <c r="BFR33" s="684"/>
      <c r="BFS33" s="684"/>
      <c r="BFT33" s="684"/>
      <c r="BFU33" s="684"/>
      <c r="BFV33" s="684"/>
      <c r="BFW33" s="684"/>
      <c r="BFX33" s="684"/>
      <c r="BFY33" s="684"/>
      <c r="BFZ33" s="684"/>
      <c r="BGA33" s="684"/>
      <c r="BGB33" s="684"/>
      <c r="BGC33" s="684"/>
      <c r="BGD33" s="684"/>
      <c r="BGE33" s="684"/>
      <c r="BGF33" s="684"/>
      <c r="BGG33" s="684"/>
      <c r="BGH33" s="684"/>
      <c r="BGI33" s="684"/>
      <c r="BGJ33" s="684"/>
      <c r="BGK33" s="684"/>
      <c r="BGL33" s="684"/>
      <c r="BGM33" s="684"/>
      <c r="BGN33" s="684"/>
      <c r="BGO33" s="684"/>
      <c r="BGP33" s="684"/>
      <c r="BGQ33" s="684"/>
      <c r="BGR33" s="684"/>
      <c r="BGS33" s="684"/>
      <c r="BGT33" s="684"/>
      <c r="BGU33" s="684"/>
      <c r="BGV33" s="684"/>
      <c r="BGW33" s="684"/>
      <c r="BGX33" s="684"/>
      <c r="BGY33" s="684"/>
      <c r="BGZ33" s="684"/>
      <c r="BHA33" s="684"/>
      <c r="BHB33" s="684"/>
      <c r="BHC33" s="684"/>
      <c r="BHD33" s="684"/>
      <c r="BHE33" s="684"/>
      <c r="BHF33" s="684"/>
      <c r="BHG33" s="684"/>
      <c r="BHH33" s="684"/>
      <c r="BHI33" s="684"/>
      <c r="BHJ33" s="684"/>
      <c r="BHK33" s="684"/>
      <c r="BHL33" s="684"/>
      <c r="BHM33" s="684"/>
      <c r="BHN33" s="684"/>
      <c r="BHO33" s="684"/>
      <c r="BHP33" s="684"/>
      <c r="BHQ33" s="684"/>
      <c r="BHR33" s="684"/>
      <c r="BHS33" s="684"/>
      <c r="BHT33" s="684"/>
      <c r="BHU33" s="684"/>
      <c r="BHV33" s="684"/>
      <c r="BHW33" s="684"/>
      <c r="BHX33" s="684"/>
      <c r="BHY33" s="684"/>
      <c r="BHZ33" s="684"/>
      <c r="BIA33" s="684"/>
      <c r="BIB33" s="684"/>
      <c r="BIC33" s="684"/>
      <c r="BID33" s="684"/>
      <c r="BIE33" s="684"/>
      <c r="BIF33" s="684"/>
      <c r="BIG33" s="684"/>
      <c r="BIH33" s="684"/>
      <c r="BII33" s="684"/>
      <c r="BIJ33" s="684"/>
      <c r="BIK33" s="684"/>
      <c r="BIL33" s="684"/>
      <c r="BIM33" s="684"/>
      <c r="BIN33" s="684"/>
      <c r="BIO33" s="684"/>
      <c r="BIP33" s="684"/>
      <c r="BIQ33" s="684"/>
      <c r="BIR33" s="684"/>
      <c r="BIS33" s="684"/>
      <c r="BIT33" s="684"/>
      <c r="BIU33" s="684"/>
      <c r="BIV33" s="684"/>
      <c r="BIW33" s="684"/>
      <c r="BIX33" s="684"/>
      <c r="BIY33" s="684"/>
      <c r="BIZ33" s="684"/>
      <c r="BJA33" s="684"/>
      <c r="BJB33" s="684"/>
      <c r="BJC33" s="684"/>
      <c r="BJD33" s="684"/>
      <c r="BJE33" s="684"/>
      <c r="BJF33" s="684"/>
      <c r="BJG33" s="684"/>
      <c r="BJH33" s="684"/>
      <c r="BJI33" s="684"/>
      <c r="BJJ33" s="684"/>
      <c r="BJK33" s="684"/>
      <c r="BJL33" s="684"/>
      <c r="BJM33" s="684"/>
      <c r="BJN33" s="684"/>
      <c r="BJO33" s="684"/>
      <c r="BJP33" s="684"/>
      <c r="BJQ33" s="684"/>
      <c r="BJR33" s="684"/>
      <c r="BJS33" s="684"/>
      <c r="BJT33" s="684"/>
      <c r="BJU33" s="684"/>
      <c r="BJV33" s="684"/>
      <c r="BJW33" s="684"/>
      <c r="BJX33" s="684"/>
      <c r="BJY33" s="684"/>
      <c r="BJZ33" s="684"/>
      <c r="BKA33" s="684"/>
      <c r="BKB33" s="684"/>
      <c r="BKC33" s="684"/>
      <c r="BKD33" s="684"/>
      <c r="BKE33" s="684"/>
      <c r="BKF33" s="684"/>
      <c r="BKG33" s="684"/>
      <c r="BKH33" s="684"/>
      <c r="BKI33" s="684"/>
      <c r="BKJ33" s="684"/>
      <c r="BKK33" s="684"/>
      <c r="BKL33" s="684"/>
      <c r="BKM33" s="684"/>
      <c r="BKN33" s="684"/>
      <c r="BKO33" s="684"/>
      <c r="BKP33" s="684"/>
      <c r="BKQ33" s="684"/>
      <c r="BKR33" s="684"/>
      <c r="BKS33" s="684"/>
      <c r="BKT33" s="684"/>
      <c r="BKU33" s="684"/>
      <c r="BKV33" s="684"/>
      <c r="BKW33" s="684"/>
      <c r="BKX33" s="684"/>
      <c r="BKY33" s="684"/>
      <c r="BKZ33" s="684"/>
      <c r="BLA33" s="684"/>
      <c r="BLB33" s="684"/>
      <c r="BLC33" s="684"/>
      <c r="BLD33" s="684"/>
      <c r="BLE33" s="684"/>
      <c r="BLF33" s="684"/>
      <c r="BLG33" s="684"/>
      <c r="BLH33" s="684"/>
      <c r="BLI33" s="684"/>
      <c r="BLJ33" s="684"/>
      <c r="BLK33" s="684"/>
      <c r="BLL33" s="684"/>
      <c r="BLM33" s="684"/>
      <c r="BLN33" s="684"/>
      <c r="BLO33" s="684"/>
      <c r="BLP33" s="684"/>
      <c r="BLQ33" s="684"/>
      <c r="BLR33" s="684"/>
      <c r="BLS33" s="684"/>
      <c r="BLT33" s="684"/>
      <c r="BLU33" s="684"/>
      <c r="BLV33" s="684"/>
      <c r="BLW33" s="684"/>
      <c r="BLX33" s="684"/>
      <c r="BLY33" s="684"/>
      <c r="BLZ33" s="684"/>
      <c r="BMA33" s="684"/>
      <c r="BMB33" s="684"/>
      <c r="BMC33" s="684"/>
      <c r="BMD33" s="684"/>
      <c r="BME33" s="684"/>
      <c r="BMF33" s="684"/>
      <c r="BMG33" s="684"/>
      <c r="BMH33" s="684"/>
      <c r="BMI33" s="684"/>
      <c r="BMJ33" s="684"/>
      <c r="BMK33" s="684"/>
      <c r="BML33" s="684"/>
      <c r="BMM33" s="684"/>
      <c r="BMN33" s="684"/>
      <c r="BMO33" s="684"/>
      <c r="BMP33" s="684"/>
      <c r="BMQ33" s="684"/>
      <c r="BMR33" s="684"/>
      <c r="BMS33" s="684"/>
      <c r="BMT33" s="684"/>
      <c r="BMU33" s="684"/>
      <c r="BMV33" s="684"/>
      <c r="BMW33" s="684"/>
      <c r="BMX33" s="684"/>
      <c r="BMY33" s="684"/>
      <c r="BMZ33" s="684"/>
      <c r="BNA33" s="684"/>
      <c r="BNB33" s="684"/>
      <c r="BNC33" s="684"/>
      <c r="BND33" s="684"/>
      <c r="BNE33" s="684"/>
      <c r="BNF33" s="684"/>
      <c r="BNG33" s="684"/>
      <c r="BNH33" s="684"/>
      <c r="BNI33" s="684"/>
      <c r="BNJ33" s="684"/>
      <c r="BNK33" s="684"/>
      <c r="BNL33" s="684"/>
      <c r="BNM33" s="684"/>
      <c r="BNN33" s="684"/>
      <c r="BNO33" s="684"/>
      <c r="BNP33" s="684"/>
      <c r="BNQ33" s="684"/>
      <c r="BNR33" s="684"/>
      <c r="BNS33" s="684"/>
      <c r="BNT33" s="684"/>
      <c r="BNU33" s="684"/>
      <c r="BNV33" s="684"/>
      <c r="BNW33" s="684"/>
      <c r="BNX33" s="684"/>
      <c r="BNY33" s="684"/>
      <c r="BNZ33" s="684"/>
      <c r="BOA33" s="684"/>
      <c r="BOB33" s="684"/>
      <c r="BOC33" s="684"/>
      <c r="BOD33" s="684"/>
      <c r="BOE33" s="684"/>
      <c r="BOF33" s="684"/>
      <c r="BOG33" s="684"/>
      <c r="BOH33" s="684"/>
      <c r="BOI33" s="684"/>
      <c r="BOJ33" s="684"/>
      <c r="BOK33" s="684"/>
      <c r="BOL33" s="684"/>
      <c r="BOM33" s="684"/>
      <c r="BON33" s="684"/>
      <c r="BOO33" s="684"/>
      <c r="BOP33" s="684"/>
      <c r="BOQ33" s="684"/>
      <c r="BOR33" s="684"/>
      <c r="BOS33" s="684"/>
      <c r="BOT33" s="684"/>
      <c r="BOU33" s="684"/>
      <c r="BOV33" s="684"/>
      <c r="BOW33" s="684"/>
      <c r="BOX33" s="684"/>
      <c r="BOY33" s="684"/>
      <c r="BOZ33" s="684"/>
      <c r="BPA33" s="684"/>
      <c r="BPB33" s="684"/>
      <c r="BPC33" s="684"/>
      <c r="BPD33" s="684"/>
      <c r="BPE33" s="684"/>
      <c r="BPF33" s="684"/>
      <c r="BPG33" s="684"/>
      <c r="BPH33" s="684"/>
      <c r="BPI33" s="684"/>
      <c r="BPJ33" s="684"/>
      <c r="BPK33" s="684"/>
      <c r="BPL33" s="684"/>
      <c r="BPM33" s="684"/>
      <c r="BPN33" s="684"/>
      <c r="BPO33" s="684"/>
      <c r="BPP33" s="684"/>
      <c r="BPQ33" s="684"/>
      <c r="BPR33" s="684"/>
      <c r="BPS33" s="684"/>
      <c r="BPT33" s="684"/>
      <c r="BPU33" s="684"/>
      <c r="BPV33" s="684"/>
      <c r="BPW33" s="684"/>
      <c r="BPX33" s="684"/>
      <c r="BPY33" s="684"/>
      <c r="BPZ33" s="684"/>
      <c r="BQA33" s="684"/>
      <c r="BQB33" s="684"/>
      <c r="BQC33" s="684"/>
      <c r="BQD33" s="684"/>
      <c r="BQE33" s="684"/>
      <c r="BQF33" s="684"/>
      <c r="BQG33" s="684"/>
      <c r="BQH33" s="684"/>
      <c r="BQI33" s="684"/>
      <c r="BQJ33" s="684"/>
      <c r="BQK33" s="684"/>
      <c r="BQL33" s="684"/>
      <c r="BQM33" s="684"/>
      <c r="BQN33" s="684"/>
      <c r="BQO33" s="684"/>
      <c r="BQP33" s="684"/>
      <c r="BQQ33" s="684"/>
      <c r="BQR33" s="684"/>
      <c r="BQS33" s="684"/>
      <c r="BQT33" s="684"/>
      <c r="BQU33" s="684"/>
      <c r="BQV33" s="684"/>
      <c r="BQW33" s="684"/>
      <c r="BQX33" s="684"/>
      <c r="BQY33" s="684"/>
      <c r="BQZ33" s="684"/>
      <c r="BRA33" s="684"/>
      <c r="BRB33" s="684"/>
      <c r="BRC33" s="684"/>
      <c r="BRD33" s="684"/>
      <c r="BRE33" s="684"/>
      <c r="BRF33" s="684"/>
      <c r="BRG33" s="684"/>
      <c r="BRH33" s="684"/>
      <c r="BRI33" s="684"/>
      <c r="BRJ33" s="684"/>
      <c r="BRK33" s="684"/>
      <c r="BRL33" s="684"/>
      <c r="BRM33" s="684"/>
      <c r="BRN33" s="684"/>
      <c r="BRO33" s="684"/>
      <c r="BRP33" s="684"/>
      <c r="BRQ33" s="684"/>
      <c r="BRR33" s="684"/>
      <c r="BRS33" s="684"/>
      <c r="BRT33" s="684"/>
      <c r="BRU33" s="684"/>
      <c r="BRV33" s="684"/>
      <c r="BRW33" s="684"/>
      <c r="BRX33" s="684"/>
      <c r="BRY33" s="684"/>
      <c r="BRZ33" s="684"/>
      <c r="BSA33" s="684"/>
      <c r="BSB33" s="684"/>
      <c r="BSC33" s="684"/>
      <c r="BSD33" s="684"/>
      <c r="BSE33" s="684"/>
      <c r="BSF33" s="684"/>
      <c r="BSG33" s="684"/>
      <c r="BSH33" s="684"/>
      <c r="BSI33" s="684"/>
      <c r="BSJ33" s="684"/>
      <c r="BSK33" s="684"/>
      <c r="BSL33" s="684"/>
      <c r="BSM33" s="684"/>
      <c r="BSN33" s="684"/>
      <c r="BSO33" s="684"/>
      <c r="BSP33" s="684"/>
      <c r="BSQ33" s="684"/>
      <c r="BSR33" s="684"/>
      <c r="BSS33" s="684"/>
      <c r="BST33" s="684"/>
      <c r="BSU33" s="684"/>
      <c r="BSV33" s="684"/>
      <c r="BSW33" s="684"/>
      <c r="BSX33" s="684"/>
      <c r="BSY33" s="684"/>
      <c r="BSZ33" s="684"/>
      <c r="BTA33" s="684"/>
      <c r="BTB33" s="684"/>
      <c r="BTC33" s="684"/>
      <c r="BTD33" s="684"/>
      <c r="BTE33" s="684"/>
      <c r="BTF33" s="684"/>
      <c r="BTG33" s="684"/>
      <c r="BTH33" s="684"/>
      <c r="BTI33" s="684"/>
      <c r="BTJ33" s="684"/>
      <c r="BTK33" s="684"/>
      <c r="BTL33" s="684"/>
      <c r="BTM33" s="684"/>
      <c r="BTN33" s="684"/>
      <c r="BTO33" s="684"/>
      <c r="BTP33" s="684"/>
      <c r="BTQ33" s="684"/>
      <c r="BTR33" s="684"/>
      <c r="BTS33" s="684"/>
      <c r="BTT33" s="684"/>
      <c r="BTU33" s="684"/>
      <c r="BTV33" s="684"/>
      <c r="BTW33" s="684"/>
      <c r="BTX33" s="684"/>
      <c r="BTY33" s="684"/>
      <c r="BTZ33" s="684"/>
      <c r="BUA33" s="684"/>
      <c r="BUB33" s="684"/>
      <c r="BUC33" s="684"/>
      <c r="BUD33" s="684"/>
      <c r="BUE33" s="684"/>
      <c r="BUF33" s="684"/>
      <c r="BUG33" s="684"/>
      <c r="BUH33" s="684"/>
      <c r="BUI33" s="684"/>
      <c r="BUJ33" s="684"/>
      <c r="BUK33" s="684"/>
      <c r="BUL33" s="684"/>
      <c r="BUM33" s="684"/>
      <c r="BUN33" s="684"/>
      <c r="BUO33" s="684"/>
      <c r="BUP33" s="684"/>
      <c r="BUQ33" s="684"/>
      <c r="BUR33" s="684"/>
      <c r="BUS33" s="684"/>
      <c r="BUT33" s="684"/>
      <c r="BUU33" s="684"/>
      <c r="BUV33" s="684"/>
      <c r="BUW33" s="684"/>
      <c r="BUX33" s="684"/>
      <c r="BUY33" s="684"/>
      <c r="BUZ33" s="684"/>
      <c r="BVA33" s="684"/>
      <c r="BVB33" s="684"/>
      <c r="BVC33" s="684"/>
      <c r="BVD33" s="684"/>
      <c r="BVE33" s="684"/>
      <c r="BVF33" s="684"/>
      <c r="BVG33" s="684"/>
      <c r="BVH33" s="684"/>
      <c r="BVI33" s="684"/>
      <c r="BVJ33" s="684"/>
      <c r="BVK33" s="684"/>
      <c r="BVL33" s="684"/>
      <c r="BVM33" s="684"/>
      <c r="BVN33" s="684"/>
      <c r="BVO33" s="684"/>
      <c r="BVP33" s="684"/>
      <c r="BVQ33" s="684"/>
      <c r="BVR33" s="684"/>
      <c r="BVS33" s="684"/>
      <c r="BVT33" s="684"/>
      <c r="BVU33" s="684"/>
      <c r="BVV33" s="684"/>
      <c r="BVW33" s="684"/>
      <c r="BVX33" s="684"/>
      <c r="BVY33" s="684"/>
      <c r="BVZ33" s="684"/>
      <c r="BWA33" s="684"/>
      <c r="BWB33" s="684"/>
      <c r="BWC33" s="684"/>
      <c r="BWD33" s="684"/>
      <c r="BWE33" s="684"/>
      <c r="BWF33" s="684"/>
      <c r="BWG33" s="684"/>
      <c r="BWH33" s="684"/>
      <c r="BWI33" s="684"/>
      <c r="BWJ33" s="684"/>
      <c r="BWK33" s="684"/>
      <c r="BWL33" s="684"/>
      <c r="BWM33" s="684"/>
      <c r="BWN33" s="684"/>
      <c r="BWO33" s="684"/>
      <c r="BWP33" s="684"/>
      <c r="BWQ33" s="684"/>
      <c r="BWR33" s="684"/>
      <c r="BWS33" s="684"/>
      <c r="BWT33" s="684"/>
      <c r="BWU33" s="684"/>
      <c r="BWV33" s="684"/>
      <c r="BWW33" s="684"/>
      <c r="BWX33" s="684"/>
      <c r="BWY33" s="684"/>
      <c r="BWZ33" s="684"/>
      <c r="BXA33" s="684"/>
      <c r="BXB33" s="684"/>
      <c r="BXC33" s="684"/>
      <c r="BXD33" s="684"/>
      <c r="BXE33" s="684"/>
      <c r="BXF33" s="684"/>
      <c r="BXG33" s="684"/>
      <c r="BXH33" s="684"/>
      <c r="BXI33" s="684"/>
      <c r="BXJ33" s="684"/>
      <c r="BXK33" s="684"/>
      <c r="BXL33" s="684"/>
      <c r="BXM33" s="684"/>
      <c r="BXN33" s="684"/>
      <c r="BXO33" s="684"/>
      <c r="BXP33" s="684"/>
      <c r="BXQ33" s="684"/>
      <c r="BXR33" s="684"/>
      <c r="BXS33" s="684"/>
      <c r="BXT33" s="684"/>
      <c r="BXU33" s="684"/>
      <c r="BXV33" s="684"/>
      <c r="BXW33" s="684"/>
      <c r="BXX33" s="684"/>
      <c r="BXY33" s="684"/>
      <c r="BXZ33" s="684"/>
      <c r="BYA33" s="684"/>
      <c r="BYB33" s="684"/>
      <c r="BYC33" s="684"/>
      <c r="BYD33" s="684"/>
      <c r="BYE33" s="684"/>
      <c r="BYF33" s="684"/>
      <c r="BYG33" s="684"/>
      <c r="BYH33" s="684"/>
      <c r="BYI33" s="684"/>
      <c r="BYJ33" s="684"/>
      <c r="BYK33" s="684"/>
      <c r="BYL33" s="684"/>
      <c r="BYM33" s="684"/>
      <c r="BYN33" s="684"/>
      <c r="BYO33" s="684"/>
      <c r="BYP33" s="684"/>
      <c r="BYQ33" s="684"/>
      <c r="BYR33" s="684"/>
      <c r="BYS33" s="684"/>
      <c r="BYT33" s="684"/>
      <c r="BYU33" s="684"/>
      <c r="BYV33" s="684"/>
      <c r="BYW33" s="684"/>
      <c r="BYX33" s="684"/>
      <c r="BYY33" s="684"/>
      <c r="BYZ33" s="684"/>
      <c r="BZA33" s="684"/>
      <c r="BZB33" s="684"/>
      <c r="BZC33" s="684"/>
      <c r="BZD33" s="684"/>
      <c r="BZE33" s="684"/>
      <c r="BZF33" s="684"/>
      <c r="BZG33" s="684"/>
      <c r="BZH33" s="684"/>
      <c r="BZI33" s="684"/>
      <c r="BZJ33" s="684"/>
      <c r="BZK33" s="684"/>
      <c r="BZL33" s="684"/>
      <c r="BZM33" s="684"/>
      <c r="BZN33" s="684"/>
      <c r="BZO33" s="684"/>
      <c r="BZP33" s="684"/>
      <c r="BZQ33" s="684"/>
      <c r="BZR33" s="684"/>
      <c r="BZS33" s="684"/>
      <c r="BZT33" s="684"/>
      <c r="BZU33" s="684"/>
      <c r="BZV33" s="684"/>
      <c r="BZW33" s="684"/>
      <c r="BZX33" s="684"/>
      <c r="BZY33" s="684"/>
      <c r="BZZ33" s="684"/>
      <c r="CAA33" s="684"/>
      <c r="CAB33" s="684"/>
      <c r="CAC33" s="684"/>
      <c r="CAD33" s="684"/>
      <c r="CAE33" s="684"/>
      <c r="CAF33" s="684"/>
      <c r="CAG33" s="684"/>
      <c r="CAH33" s="684"/>
      <c r="CAI33" s="684"/>
      <c r="CAJ33" s="684"/>
      <c r="CAK33" s="684"/>
      <c r="CAL33" s="684"/>
      <c r="CAM33" s="684"/>
      <c r="CAN33" s="684"/>
      <c r="CAO33" s="684"/>
      <c r="CAP33" s="684"/>
      <c r="CAQ33" s="684"/>
      <c r="CAR33" s="684"/>
      <c r="CAS33" s="684"/>
      <c r="CAT33" s="684"/>
      <c r="CAU33" s="684"/>
      <c r="CAV33" s="684"/>
      <c r="CAW33" s="684"/>
      <c r="CAX33" s="684"/>
      <c r="CAY33" s="684"/>
      <c r="CAZ33" s="684"/>
      <c r="CBA33" s="684"/>
      <c r="CBB33" s="684"/>
      <c r="CBC33" s="684"/>
      <c r="CBD33" s="684"/>
      <c r="CBE33" s="684"/>
      <c r="CBF33" s="684"/>
      <c r="CBG33" s="684"/>
      <c r="CBH33" s="684"/>
      <c r="CBI33" s="684"/>
      <c r="CBJ33" s="684"/>
      <c r="CBK33" s="684"/>
      <c r="CBL33" s="684"/>
      <c r="CBM33" s="684"/>
      <c r="CBN33" s="684"/>
      <c r="CBO33" s="684"/>
      <c r="CBP33" s="684"/>
      <c r="CBQ33" s="684"/>
      <c r="CBR33" s="684"/>
      <c r="CBS33" s="684"/>
      <c r="CBT33" s="684"/>
      <c r="CBU33" s="684"/>
      <c r="CBV33" s="684"/>
      <c r="CBW33" s="684"/>
      <c r="CBX33" s="684"/>
      <c r="CBY33" s="684"/>
      <c r="CBZ33" s="684"/>
      <c r="CCA33" s="684"/>
      <c r="CCB33" s="684"/>
      <c r="CCC33" s="684"/>
      <c r="CCD33" s="684"/>
      <c r="CCE33" s="684"/>
      <c r="CCF33" s="684"/>
      <c r="CCG33" s="684"/>
      <c r="CCH33" s="684"/>
      <c r="CCI33" s="684"/>
      <c r="CCJ33" s="684"/>
      <c r="CCK33" s="684"/>
      <c r="CCL33" s="684"/>
      <c r="CCM33" s="684"/>
      <c r="CCN33" s="684"/>
      <c r="CCO33" s="684"/>
      <c r="CCP33" s="684"/>
      <c r="CCQ33" s="684"/>
      <c r="CCR33" s="684"/>
      <c r="CCS33" s="684"/>
      <c r="CCT33" s="684"/>
      <c r="CCU33" s="684"/>
      <c r="CCV33" s="684"/>
      <c r="CCW33" s="684"/>
      <c r="CCX33" s="684"/>
      <c r="CCY33" s="684"/>
      <c r="CCZ33" s="684"/>
      <c r="CDA33" s="684"/>
      <c r="CDB33" s="684"/>
      <c r="CDC33" s="684"/>
      <c r="CDD33" s="684"/>
      <c r="CDE33" s="684"/>
      <c r="CDF33" s="684"/>
      <c r="CDG33" s="684"/>
      <c r="CDH33" s="684"/>
      <c r="CDI33" s="684"/>
      <c r="CDJ33" s="684"/>
      <c r="CDK33" s="684"/>
      <c r="CDL33" s="684"/>
      <c r="CDM33" s="684"/>
      <c r="CDN33" s="684"/>
      <c r="CDO33" s="684"/>
      <c r="CDP33" s="684"/>
      <c r="CDQ33" s="684"/>
      <c r="CDR33" s="684"/>
      <c r="CDS33" s="684"/>
      <c r="CDT33" s="684"/>
      <c r="CDU33" s="684"/>
      <c r="CDV33" s="684"/>
      <c r="CDW33" s="684"/>
      <c r="CDX33" s="684"/>
      <c r="CDY33" s="684"/>
      <c r="CDZ33" s="684"/>
      <c r="CEA33" s="684"/>
      <c r="CEB33" s="684"/>
      <c r="CEC33" s="684"/>
      <c r="CED33" s="684"/>
      <c r="CEE33" s="684"/>
      <c r="CEF33" s="684"/>
      <c r="CEG33" s="684"/>
      <c r="CEH33" s="684"/>
      <c r="CEI33" s="684"/>
      <c r="CEJ33" s="684"/>
      <c r="CEK33" s="684"/>
      <c r="CEL33" s="684"/>
      <c r="CEM33" s="684"/>
      <c r="CEN33" s="684"/>
      <c r="CEO33" s="684"/>
      <c r="CEP33" s="684"/>
      <c r="CEQ33" s="684"/>
      <c r="CER33" s="684"/>
      <c r="CES33" s="684"/>
      <c r="CET33" s="684"/>
      <c r="CEU33" s="684"/>
      <c r="CEV33" s="684"/>
      <c r="CEW33" s="684"/>
      <c r="CEX33" s="684"/>
      <c r="CEY33" s="684"/>
      <c r="CEZ33" s="684"/>
      <c r="CFA33" s="684"/>
      <c r="CFB33" s="684"/>
      <c r="CFC33" s="684"/>
      <c r="CFD33" s="684"/>
      <c r="CFE33" s="684"/>
      <c r="CFF33" s="684"/>
      <c r="CFG33" s="684"/>
      <c r="CFH33" s="684"/>
      <c r="CFI33" s="684"/>
      <c r="CFJ33" s="684"/>
      <c r="CFK33" s="684"/>
      <c r="CFL33" s="684"/>
      <c r="CFM33" s="684"/>
      <c r="CFN33" s="684"/>
      <c r="CFO33" s="684"/>
      <c r="CFP33" s="684"/>
      <c r="CFQ33" s="684"/>
      <c r="CFR33" s="684"/>
      <c r="CFS33" s="684"/>
      <c r="CFT33" s="684"/>
      <c r="CFU33" s="684"/>
      <c r="CFV33" s="684"/>
      <c r="CFW33" s="684"/>
      <c r="CFX33" s="684"/>
      <c r="CFY33" s="684"/>
      <c r="CFZ33" s="684"/>
      <c r="CGA33" s="684"/>
      <c r="CGB33" s="684"/>
      <c r="CGC33" s="684"/>
      <c r="CGD33" s="684"/>
      <c r="CGE33" s="684"/>
      <c r="CGF33" s="684"/>
      <c r="CGG33" s="684"/>
      <c r="CGH33" s="684"/>
      <c r="CGI33" s="684"/>
      <c r="CGJ33" s="684"/>
      <c r="CGK33" s="684"/>
      <c r="CGL33" s="684"/>
      <c r="CGM33" s="684"/>
      <c r="CGN33" s="684"/>
      <c r="CGO33" s="684"/>
      <c r="CGP33" s="684"/>
      <c r="CGQ33" s="684"/>
      <c r="CGR33" s="684"/>
      <c r="CGS33" s="684"/>
      <c r="CGT33" s="684"/>
      <c r="CGU33" s="684"/>
      <c r="CGV33" s="684"/>
      <c r="CGW33" s="684"/>
      <c r="CGX33" s="684"/>
      <c r="CGY33" s="684"/>
      <c r="CGZ33" s="684"/>
      <c r="CHA33" s="684"/>
      <c r="CHB33" s="684"/>
      <c r="CHC33" s="684"/>
      <c r="CHD33" s="684"/>
      <c r="CHE33" s="684"/>
      <c r="CHF33" s="684"/>
      <c r="CHG33" s="684"/>
      <c r="CHH33" s="684"/>
      <c r="CHI33" s="684"/>
      <c r="CHJ33" s="684"/>
      <c r="CHK33" s="684"/>
      <c r="CHL33" s="684"/>
      <c r="CHM33" s="684"/>
      <c r="CHN33" s="684"/>
      <c r="CHO33" s="684"/>
      <c r="CHP33" s="684"/>
      <c r="CHQ33" s="684"/>
      <c r="CHR33" s="684"/>
      <c r="CHS33" s="684"/>
      <c r="CHT33" s="684"/>
      <c r="CHU33" s="684"/>
      <c r="CHV33" s="684"/>
      <c r="CHW33" s="684"/>
      <c r="CHX33" s="684"/>
      <c r="CHY33" s="684"/>
      <c r="CHZ33" s="684"/>
      <c r="CIA33" s="684"/>
      <c r="CIB33" s="684"/>
      <c r="CIC33" s="684"/>
      <c r="CID33" s="684"/>
      <c r="CIE33" s="684"/>
      <c r="CIF33" s="684"/>
      <c r="CIG33" s="684"/>
      <c r="CIH33" s="684"/>
      <c r="CII33" s="684"/>
      <c r="CIJ33" s="684"/>
      <c r="CIK33" s="684"/>
      <c r="CIL33" s="684"/>
      <c r="CIM33" s="684"/>
      <c r="CIN33" s="684"/>
      <c r="CIO33" s="684"/>
      <c r="CIP33" s="684"/>
      <c r="CIQ33" s="684"/>
      <c r="CIR33" s="684"/>
      <c r="CIS33" s="684"/>
      <c r="CIT33" s="684"/>
      <c r="CIU33" s="684"/>
      <c r="CIV33" s="684"/>
      <c r="CIW33" s="684"/>
      <c r="CIX33" s="684"/>
      <c r="CIY33" s="684"/>
      <c r="CIZ33" s="684"/>
      <c r="CJA33" s="684"/>
      <c r="CJB33" s="684"/>
      <c r="CJC33" s="684"/>
      <c r="CJD33" s="684"/>
      <c r="CJE33" s="684"/>
      <c r="CJF33" s="684"/>
      <c r="CJG33" s="684"/>
      <c r="CJH33" s="684"/>
      <c r="CJI33" s="684"/>
      <c r="CJJ33" s="684"/>
      <c r="CJK33" s="684"/>
      <c r="CJL33" s="684"/>
      <c r="CJM33" s="684"/>
      <c r="CJN33" s="684"/>
      <c r="CJO33" s="684"/>
      <c r="CJP33" s="684"/>
      <c r="CJQ33" s="684"/>
      <c r="CJR33" s="684"/>
      <c r="CJS33" s="684"/>
      <c r="CJT33" s="684"/>
      <c r="CJU33" s="684"/>
      <c r="CJV33" s="684"/>
      <c r="CJW33" s="684"/>
      <c r="CJX33" s="684"/>
      <c r="CJY33" s="684"/>
      <c r="CJZ33" s="684"/>
      <c r="CKA33" s="684"/>
      <c r="CKB33" s="684"/>
      <c r="CKC33" s="684"/>
      <c r="CKD33" s="684"/>
      <c r="CKE33" s="684"/>
      <c r="CKF33" s="684"/>
      <c r="CKG33" s="684"/>
      <c r="CKH33" s="684"/>
      <c r="CKI33" s="684"/>
      <c r="CKJ33" s="684"/>
      <c r="CKK33" s="684"/>
      <c r="CKL33" s="684"/>
      <c r="CKM33" s="684"/>
      <c r="CKN33" s="684"/>
      <c r="CKO33" s="684"/>
      <c r="CKP33" s="684"/>
      <c r="CKQ33" s="684"/>
      <c r="CKR33" s="684"/>
      <c r="CKS33" s="684"/>
      <c r="CKT33" s="684"/>
      <c r="CKU33" s="684"/>
      <c r="CKV33" s="684"/>
      <c r="CKW33" s="684"/>
      <c r="CKX33" s="684"/>
      <c r="CKY33" s="684"/>
      <c r="CKZ33" s="684"/>
      <c r="CLA33" s="684"/>
      <c r="CLB33" s="684"/>
      <c r="CLC33" s="684"/>
      <c r="CLD33" s="684"/>
      <c r="CLE33" s="684"/>
      <c r="CLF33" s="684"/>
      <c r="CLG33" s="684"/>
      <c r="CLH33" s="684"/>
      <c r="CLI33" s="684"/>
      <c r="CLJ33" s="684"/>
      <c r="CLK33" s="684"/>
      <c r="CLL33" s="684"/>
      <c r="CLM33" s="684"/>
      <c r="CLN33" s="684"/>
      <c r="CLO33" s="684"/>
      <c r="CLP33" s="684"/>
      <c r="CLQ33" s="684"/>
      <c r="CLR33" s="684"/>
      <c r="CLS33" s="684"/>
      <c r="CLT33" s="684"/>
      <c r="CLU33" s="684"/>
      <c r="CLV33" s="684"/>
      <c r="CLW33" s="684"/>
      <c r="CLX33" s="684"/>
      <c r="CLY33" s="684"/>
      <c r="CLZ33" s="684"/>
      <c r="CMA33" s="684"/>
      <c r="CMB33" s="684"/>
      <c r="CMC33" s="684"/>
      <c r="CMD33" s="684"/>
      <c r="CME33" s="684"/>
      <c r="CMF33" s="684"/>
      <c r="CMG33" s="684"/>
      <c r="CMH33" s="684"/>
      <c r="CMI33" s="684"/>
      <c r="CMJ33" s="684"/>
      <c r="CMK33" s="684"/>
      <c r="CML33" s="684"/>
      <c r="CMM33" s="684"/>
      <c r="CMN33" s="684"/>
      <c r="CMO33" s="684"/>
      <c r="CMP33" s="684"/>
      <c r="CMQ33" s="684"/>
      <c r="CMR33" s="684"/>
      <c r="CMS33" s="684"/>
      <c r="CMT33" s="684"/>
      <c r="CMU33" s="684"/>
      <c r="CMV33" s="684"/>
      <c r="CMW33" s="684"/>
      <c r="CMX33" s="684"/>
      <c r="CMY33" s="684"/>
      <c r="CMZ33" s="684"/>
      <c r="CNA33" s="684"/>
      <c r="CNB33" s="684"/>
      <c r="CNC33" s="684"/>
      <c r="CND33" s="684"/>
      <c r="CNE33" s="684"/>
      <c r="CNF33" s="684"/>
      <c r="CNG33" s="684"/>
      <c r="CNH33" s="684"/>
      <c r="CNI33" s="684"/>
      <c r="CNJ33" s="684"/>
      <c r="CNK33" s="684"/>
      <c r="CNL33" s="684"/>
      <c r="CNM33" s="684"/>
      <c r="CNN33" s="684"/>
      <c r="CNO33" s="684"/>
      <c r="CNP33" s="684"/>
      <c r="CNQ33" s="684"/>
      <c r="CNR33" s="684"/>
      <c r="CNS33" s="684"/>
      <c r="CNT33" s="684"/>
      <c r="CNU33" s="684"/>
      <c r="CNV33" s="684"/>
      <c r="CNW33" s="684"/>
      <c r="CNX33" s="684"/>
      <c r="CNY33" s="684"/>
      <c r="CNZ33" s="684"/>
      <c r="COA33" s="684"/>
      <c r="COB33" s="684"/>
      <c r="COC33" s="684"/>
      <c r="COD33" s="684"/>
      <c r="COE33" s="684"/>
      <c r="COF33" s="684"/>
      <c r="COG33" s="684"/>
      <c r="COH33" s="684"/>
      <c r="COI33" s="684"/>
      <c r="COJ33" s="684"/>
      <c r="COK33" s="684"/>
      <c r="COL33" s="684"/>
      <c r="COM33" s="684"/>
      <c r="CON33" s="684"/>
      <c r="COO33" s="684"/>
      <c r="COP33" s="684"/>
      <c r="COQ33" s="684"/>
      <c r="COR33" s="684"/>
      <c r="COS33" s="684"/>
      <c r="COT33" s="684"/>
      <c r="COU33" s="684"/>
      <c r="COV33" s="684"/>
      <c r="COW33" s="684"/>
      <c r="COX33" s="684"/>
      <c r="COY33" s="684"/>
      <c r="COZ33" s="684"/>
      <c r="CPA33" s="684"/>
      <c r="CPB33" s="684"/>
      <c r="CPC33" s="684"/>
      <c r="CPD33" s="684"/>
      <c r="CPE33" s="684"/>
      <c r="CPF33" s="684"/>
      <c r="CPG33" s="684"/>
      <c r="CPH33" s="684"/>
      <c r="CPI33" s="684"/>
      <c r="CPJ33" s="684"/>
      <c r="CPK33" s="684"/>
      <c r="CPL33" s="684"/>
      <c r="CPM33" s="684"/>
      <c r="CPN33" s="684"/>
      <c r="CPO33" s="684"/>
      <c r="CPP33" s="684"/>
      <c r="CPQ33" s="684"/>
      <c r="CPR33" s="684"/>
      <c r="CPS33" s="684"/>
      <c r="CPT33" s="684"/>
      <c r="CPU33" s="684"/>
      <c r="CPV33" s="684"/>
      <c r="CPW33" s="684"/>
      <c r="CPX33" s="684"/>
      <c r="CPY33" s="684"/>
      <c r="CPZ33" s="684"/>
      <c r="CQA33" s="684"/>
      <c r="CQB33" s="684"/>
      <c r="CQC33" s="684"/>
      <c r="CQD33" s="684"/>
      <c r="CQE33" s="684"/>
      <c r="CQF33" s="684"/>
      <c r="CQG33" s="684"/>
      <c r="CQH33" s="684"/>
      <c r="CQI33" s="684"/>
      <c r="CQJ33" s="684"/>
      <c r="CQK33" s="684"/>
      <c r="CQL33" s="684"/>
      <c r="CQM33" s="684"/>
      <c r="CQN33" s="684"/>
      <c r="CQO33" s="684"/>
      <c r="CQP33" s="684"/>
      <c r="CQQ33" s="684"/>
      <c r="CQR33" s="684"/>
      <c r="CQS33" s="684"/>
      <c r="CQT33" s="684"/>
      <c r="CQU33" s="684"/>
      <c r="CQV33" s="684"/>
      <c r="CQW33" s="684"/>
      <c r="CQX33" s="684"/>
      <c r="CQY33" s="684"/>
      <c r="CQZ33" s="684"/>
      <c r="CRA33" s="684"/>
      <c r="CRB33" s="684"/>
      <c r="CRC33" s="684"/>
      <c r="CRD33" s="684"/>
      <c r="CRE33" s="684"/>
      <c r="CRF33" s="684"/>
      <c r="CRG33" s="684"/>
      <c r="CRH33" s="684"/>
      <c r="CRI33" s="684"/>
      <c r="CRJ33" s="684"/>
      <c r="CRK33" s="684"/>
      <c r="CRL33" s="684"/>
      <c r="CRM33" s="684"/>
      <c r="CRN33" s="684"/>
      <c r="CRO33" s="684"/>
      <c r="CRP33" s="684"/>
      <c r="CRQ33" s="684"/>
      <c r="CRR33" s="684"/>
      <c r="CRS33" s="684"/>
      <c r="CRT33" s="684"/>
      <c r="CRU33" s="684"/>
      <c r="CRV33" s="684"/>
      <c r="CRW33" s="684"/>
      <c r="CRX33" s="684"/>
      <c r="CRY33" s="684"/>
      <c r="CRZ33" s="684"/>
      <c r="CSA33" s="684"/>
      <c r="CSB33" s="684"/>
      <c r="CSC33" s="684"/>
      <c r="CSD33" s="684"/>
      <c r="CSE33" s="684"/>
      <c r="CSF33" s="684"/>
      <c r="CSG33" s="684"/>
      <c r="CSH33" s="684"/>
      <c r="CSI33" s="684"/>
      <c r="CSJ33" s="684"/>
      <c r="CSK33" s="684"/>
      <c r="CSL33" s="684"/>
      <c r="CSM33" s="684"/>
      <c r="CSN33" s="684"/>
      <c r="CSO33" s="684"/>
      <c r="CSP33" s="684"/>
      <c r="CSQ33" s="684"/>
      <c r="CSR33" s="684"/>
      <c r="CSS33" s="684"/>
      <c r="CST33" s="684"/>
      <c r="CSU33" s="684"/>
      <c r="CSV33" s="684"/>
      <c r="CSW33" s="684"/>
      <c r="CSX33" s="684"/>
      <c r="CSY33" s="684"/>
      <c r="CSZ33" s="684"/>
      <c r="CTA33" s="684"/>
      <c r="CTB33" s="684"/>
      <c r="CTC33" s="684"/>
      <c r="CTD33" s="684"/>
      <c r="CTE33" s="684"/>
      <c r="CTF33" s="684"/>
      <c r="CTG33" s="684"/>
      <c r="CTH33" s="684"/>
      <c r="CTI33" s="684"/>
      <c r="CTJ33" s="684"/>
      <c r="CTK33" s="684"/>
      <c r="CTL33" s="684"/>
      <c r="CTM33" s="684"/>
      <c r="CTN33" s="684"/>
      <c r="CTO33" s="684"/>
      <c r="CTP33" s="684"/>
      <c r="CTQ33" s="684"/>
      <c r="CTR33" s="684"/>
      <c r="CTS33" s="684"/>
      <c r="CTT33" s="684"/>
      <c r="CTU33" s="684"/>
      <c r="CTV33" s="684"/>
      <c r="CTW33" s="684"/>
      <c r="CTX33" s="684"/>
      <c r="CTY33" s="684"/>
      <c r="CTZ33" s="684"/>
      <c r="CUA33" s="684"/>
      <c r="CUB33" s="684"/>
      <c r="CUC33" s="684"/>
      <c r="CUD33" s="684"/>
      <c r="CUE33" s="684"/>
      <c r="CUF33" s="684"/>
      <c r="CUG33" s="684"/>
      <c r="CUH33" s="684"/>
      <c r="CUI33" s="684"/>
      <c r="CUJ33" s="684"/>
      <c r="CUK33" s="684"/>
      <c r="CUL33" s="684"/>
      <c r="CUM33" s="684"/>
      <c r="CUN33" s="684"/>
      <c r="CUO33" s="684"/>
      <c r="CUP33" s="684"/>
      <c r="CUQ33" s="684"/>
      <c r="CUR33" s="684"/>
      <c r="CUS33" s="684"/>
      <c r="CUT33" s="684"/>
      <c r="CUU33" s="684"/>
      <c r="CUV33" s="684"/>
      <c r="CUW33" s="684"/>
      <c r="CUX33" s="684"/>
      <c r="CUY33" s="684"/>
      <c r="CUZ33" s="684"/>
      <c r="CVA33" s="684"/>
      <c r="CVB33" s="684"/>
      <c r="CVC33" s="684"/>
      <c r="CVD33" s="684"/>
      <c r="CVE33" s="684"/>
      <c r="CVF33" s="684"/>
      <c r="CVG33" s="684"/>
      <c r="CVH33" s="684"/>
      <c r="CVI33" s="684"/>
      <c r="CVJ33" s="684"/>
      <c r="CVK33" s="684"/>
      <c r="CVL33" s="684"/>
      <c r="CVM33" s="684"/>
      <c r="CVN33" s="684"/>
      <c r="CVO33" s="684"/>
      <c r="CVP33" s="684"/>
      <c r="CVQ33" s="684"/>
      <c r="CVR33" s="684"/>
      <c r="CVS33" s="684"/>
      <c r="CVT33" s="684"/>
      <c r="CVU33" s="684"/>
      <c r="CVV33" s="684"/>
      <c r="CVW33" s="684"/>
      <c r="CVX33" s="684"/>
      <c r="CVY33" s="684"/>
      <c r="CVZ33" s="684"/>
      <c r="CWA33" s="684"/>
      <c r="CWB33" s="684"/>
      <c r="CWC33" s="684"/>
      <c r="CWD33" s="684"/>
      <c r="CWE33" s="684"/>
      <c r="CWF33" s="684"/>
      <c r="CWG33" s="684"/>
      <c r="CWH33" s="684"/>
      <c r="CWI33" s="684"/>
      <c r="CWJ33" s="684"/>
      <c r="CWK33" s="684"/>
      <c r="CWL33" s="684"/>
      <c r="CWM33" s="684"/>
      <c r="CWN33" s="684"/>
      <c r="CWO33" s="684"/>
      <c r="CWP33" s="684"/>
      <c r="CWQ33" s="684"/>
      <c r="CWR33" s="684"/>
      <c r="CWS33" s="684"/>
      <c r="CWT33" s="684"/>
      <c r="CWU33" s="684"/>
      <c r="CWV33" s="684"/>
      <c r="CWW33" s="684"/>
      <c r="CWX33" s="684"/>
      <c r="CWY33" s="684"/>
      <c r="CWZ33" s="684"/>
      <c r="CXA33" s="684"/>
      <c r="CXB33" s="684"/>
      <c r="CXC33" s="684"/>
      <c r="CXD33" s="684"/>
      <c r="CXE33" s="684"/>
      <c r="CXF33" s="684"/>
      <c r="CXG33" s="684"/>
      <c r="CXH33" s="684"/>
      <c r="CXI33" s="684"/>
      <c r="CXJ33" s="684"/>
      <c r="CXK33" s="684"/>
      <c r="CXL33" s="684"/>
      <c r="CXM33" s="684"/>
      <c r="CXN33" s="684"/>
      <c r="CXO33" s="684"/>
      <c r="CXP33" s="684"/>
      <c r="CXQ33" s="684"/>
      <c r="CXR33" s="684"/>
      <c r="CXS33" s="684"/>
      <c r="CXT33" s="684"/>
      <c r="CXU33" s="684"/>
      <c r="CXV33" s="684"/>
      <c r="CXW33" s="684"/>
      <c r="CXX33" s="684"/>
      <c r="CXY33" s="684"/>
      <c r="CXZ33" s="684"/>
      <c r="CYA33" s="684"/>
      <c r="CYB33" s="684"/>
      <c r="CYC33" s="684"/>
      <c r="CYD33" s="684"/>
      <c r="CYE33" s="684"/>
      <c r="CYF33" s="684"/>
      <c r="CYG33" s="684"/>
      <c r="CYH33" s="684"/>
      <c r="CYI33" s="684"/>
      <c r="CYJ33" s="684"/>
      <c r="CYK33" s="684"/>
      <c r="CYL33" s="684"/>
      <c r="CYM33" s="684"/>
      <c r="CYN33" s="684"/>
      <c r="CYO33" s="684"/>
      <c r="CYP33" s="684"/>
      <c r="CYQ33" s="684"/>
      <c r="CYR33" s="684"/>
      <c r="CYS33" s="684"/>
      <c r="CYT33" s="684"/>
      <c r="CYU33" s="684"/>
      <c r="CYV33" s="684"/>
      <c r="CYW33" s="684"/>
      <c r="CYX33" s="684"/>
      <c r="CYY33" s="684"/>
      <c r="CYZ33" s="684"/>
      <c r="CZA33" s="684"/>
      <c r="CZB33" s="684"/>
      <c r="CZC33" s="684"/>
      <c r="CZD33" s="684"/>
      <c r="CZE33" s="684"/>
      <c r="CZF33" s="684"/>
      <c r="CZG33" s="684"/>
      <c r="CZH33" s="684"/>
      <c r="CZI33" s="684"/>
      <c r="CZJ33" s="684"/>
      <c r="CZK33" s="684"/>
      <c r="CZL33" s="684"/>
      <c r="CZM33" s="684"/>
      <c r="CZN33" s="684"/>
      <c r="CZO33" s="684"/>
      <c r="CZP33" s="684"/>
      <c r="CZQ33" s="684"/>
      <c r="CZR33" s="684"/>
      <c r="CZS33" s="684"/>
      <c r="CZT33" s="684"/>
      <c r="CZU33" s="684"/>
      <c r="CZV33" s="684"/>
      <c r="CZW33" s="684"/>
      <c r="CZX33" s="684"/>
      <c r="CZY33" s="684"/>
      <c r="CZZ33" s="684"/>
      <c r="DAA33" s="684"/>
      <c r="DAB33" s="684"/>
      <c r="DAC33" s="684"/>
      <c r="DAD33" s="684"/>
      <c r="DAE33" s="684"/>
      <c r="DAF33" s="684"/>
      <c r="DAG33" s="684"/>
      <c r="DAH33" s="684"/>
      <c r="DAI33" s="684"/>
      <c r="DAJ33" s="684"/>
      <c r="DAK33" s="684"/>
      <c r="DAL33" s="684"/>
      <c r="DAM33" s="684"/>
      <c r="DAN33" s="684"/>
      <c r="DAO33" s="684"/>
      <c r="DAP33" s="684"/>
      <c r="DAQ33" s="684"/>
      <c r="DAR33" s="684"/>
      <c r="DAS33" s="684"/>
      <c r="DAT33" s="684"/>
      <c r="DAU33" s="684"/>
      <c r="DAV33" s="684"/>
      <c r="DAW33" s="684"/>
      <c r="DAX33" s="684"/>
      <c r="DAY33" s="684"/>
      <c r="DAZ33" s="684"/>
      <c r="DBA33" s="684"/>
      <c r="DBB33" s="684"/>
      <c r="DBC33" s="684"/>
      <c r="DBD33" s="684"/>
      <c r="DBE33" s="684"/>
      <c r="DBF33" s="684"/>
      <c r="DBG33" s="684"/>
      <c r="DBH33" s="684"/>
      <c r="DBI33" s="684"/>
      <c r="DBJ33" s="684"/>
      <c r="DBK33" s="684"/>
      <c r="DBL33" s="684"/>
      <c r="DBM33" s="684"/>
      <c r="DBN33" s="684"/>
      <c r="DBO33" s="684"/>
      <c r="DBP33" s="684"/>
      <c r="DBQ33" s="684"/>
      <c r="DBR33" s="684"/>
      <c r="DBS33" s="684"/>
      <c r="DBT33" s="684"/>
      <c r="DBU33" s="684"/>
      <c r="DBV33" s="684"/>
      <c r="DBW33" s="684"/>
      <c r="DBX33" s="684"/>
      <c r="DBY33" s="684"/>
      <c r="DBZ33" s="684"/>
      <c r="DCA33" s="684"/>
      <c r="DCB33" s="684"/>
      <c r="DCC33" s="684"/>
      <c r="DCD33" s="684"/>
      <c r="DCE33" s="684"/>
      <c r="DCF33" s="684"/>
      <c r="DCG33" s="684"/>
      <c r="DCH33" s="684"/>
      <c r="DCI33" s="684"/>
      <c r="DCJ33" s="684"/>
      <c r="DCK33" s="684"/>
      <c r="DCL33" s="684"/>
      <c r="DCM33" s="684"/>
      <c r="DCN33" s="684"/>
      <c r="DCO33" s="684"/>
      <c r="DCP33" s="684"/>
      <c r="DCQ33" s="684"/>
      <c r="DCR33" s="684"/>
      <c r="DCS33" s="684"/>
      <c r="DCT33" s="684"/>
      <c r="DCU33" s="684"/>
      <c r="DCV33" s="684"/>
      <c r="DCW33" s="684"/>
      <c r="DCX33" s="684"/>
      <c r="DCY33" s="684"/>
      <c r="DCZ33" s="684"/>
      <c r="DDA33" s="684"/>
      <c r="DDB33" s="684"/>
      <c r="DDC33" s="684"/>
      <c r="DDD33" s="684"/>
      <c r="DDE33" s="684"/>
      <c r="DDF33" s="684"/>
      <c r="DDG33" s="684"/>
      <c r="DDH33" s="684"/>
      <c r="DDI33" s="684"/>
      <c r="DDJ33" s="684"/>
      <c r="DDK33" s="684"/>
      <c r="DDL33" s="684"/>
      <c r="DDM33" s="684"/>
      <c r="DDN33" s="684"/>
      <c r="DDO33" s="684"/>
      <c r="DDP33" s="684"/>
      <c r="DDQ33" s="684"/>
      <c r="DDR33" s="684"/>
      <c r="DDS33" s="684"/>
      <c r="DDT33" s="684"/>
      <c r="DDU33" s="684"/>
      <c r="DDV33" s="684"/>
      <c r="DDW33" s="684"/>
      <c r="DDX33" s="684"/>
      <c r="DDY33" s="684"/>
      <c r="DDZ33" s="684"/>
      <c r="DEA33" s="684"/>
      <c r="DEB33" s="684"/>
      <c r="DEC33" s="684"/>
      <c r="DED33" s="684"/>
      <c r="DEE33" s="684"/>
      <c r="DEF33" s="684"/>
      <c r="DEG33" s="684"/>
      <c r="DEH33" s="684"/>
      <c r="DEI33" s="684"/>
      <c r="DEJ33" s="684"/>
      <c r="DEK33" s="684"/>
      <c r="DEL33" s="684"/>
      <c r="DEM33" s="684"/>
      <c r="DEN33" s="684"/>
      <c r="DEO33" s="684"/>
      <c r="DEP33" s="684"/>
      <c r="DEQ33" s="684"/>
      <c r="DER33" s="684"/>
      <c r="DES33" s="684"/>
      <c r="DET33" s="684"/>
      <c r="DEU33" s="684"/>
      <c r="DEV33" s="684"/>
      <c r="DEW33" s="684"/>
      <c r="DEX33" s="684"/>
      <c r="DEY33" s="684"/>
      <c r="DEZ33" s="684"/>
      <c r="DFA33" s="684"/>
      <c r="DFB33" s="684"/>
      <c r="DFC33" s="684"/>
      <c r="DFD33" s="684"/>
      <c r="DFE33" s="684"/>
      <c r="DFF33" s="684"/>
      <c r="DFG33" s="684"/>
      <c r="DFH33" s="684"/>
      <c r="DFI33" s="684"/>
      <c r="DFJ33" s="684"/>
      <c r="DFK33" s="684"/>
      <c r="DFL33" s="684"/>
      <c r="DFM33" s="684"/>
      <c r="DFN33" s="684"/>
      <c r="DFO33" s="684"/>
      <c r="DFP33" s="684"/>
      <c r="DFQ33" s="684"/>
      <c r="DFR33" s="684"/>
      <c r="DFS33" s="684"/>
      <c r="DFT33" s="684"/>
      <c r="DFU33" s="684"/>
      <c r="DFV33" s="684"/>
      <c r="DFW33" s="684"/>
      <c r="DFX33" s="684"/>
      <c r="DFY33" s="684"/>
      <c r="DFZ33" s="684"/>
      <c r="DGA33" s="684"/>
      <c r="DGB33" s="684"/>
      <c r="DGC33" s="684"/>
      <c r="DGD33" s="684"/>
      <c r="DGE33" s="684"/>
      <c r="DGF33" s="684"/>
      <c r="DGG33" s="684"/>
      <c r="DGH33" s="684"/>
      <c r="DGI33" s="684"/>
      <c r="DGJ33" s="684"/>
      <c r="DGK33" s="684"/>
      <c r="DGL33" s="684"/>
      <c r="DGM33" s="684"/>
      <c r="DGN33" s="684"/>
      <c r="DGO33" s="684"/>
      <c r="DGP33" s="684"/>
      <c r="DGQ33" s="684"/>
      <c r="DGR33" s="684"/>
      <c r="DGS33" s="684"/>
      <c r="DGT33" s="684"/>
      <c r="DGU33" s="684"/>
      <c r="DGV33" s="684"/>
      <c r="DGW33" s="684"/>
      <c r="DGX33" s="684"/>
      <c r="DGY33" s="684"/>
      <c r="DGZ33" s="684"/>
      <c r="DHA33" s="684"/>
      <c r="DHB33" s="684"/>
      <c r="DHC33" s="684"/>
      <c r="DHD33" s="684"/>
      <c r="DHE33" s="684"/>
      <c r="DHF33" s="684"/>
      <c r="DHG33" s="684"/>
      <c r="DHH33" s="684"/>
      <c r="DHI33" s="684"/>
      <c r="DHJ33" s="684"/>
      <c r="DHK33" s="684"/>
      <c r="DHL33" s="684"/>
      <c r="DHM33" s="684"/>
      <c r="DHN33" s="684"/>
      <c r="DHO33" s="684"/>
      <c r="DHP33" s="684"/>
      <c r="DHQ33" s="684"/>
      <c r="DHR33" s="684"/>
      <c r="DHS33" s="684"/>
      <c r="DHT33" s="684"/>
      <c r="DHU33" s="684"/>
      <c r="DHV33" s="684"/>
      <c r="DHW33" s="684"/>
      <c r="DHX33" s="684"/>
      <c r="DHY33" s="684"/>
      <c r="DHZ33" s="684"/>
      <c r="DIA33" s="684"/>
      <c r="DIB33" s="684"/>
      <c r="DIC33" s="684"/>
      <c r="DID33" s="684"/>
      <c r="DIE33" s="684"/>
      <c r="DIF33" s="684"/>
      <c r="DIG33" s="684"/>
      <c r="DIH33" s="684"/>
      <c r="DII33" s="684"/>
      <c r="DIJ33" s="684"/>
      <c r="DIK33" s="684"/>
      <c r="DIL33" s="684"/>
      <c r="DIM33" s="684"/>
      <c r="DIN33" s="684"/>
      <c r="DIO33" s="684"/>
      <c r="DIP33" s="684"/>
      <c r="DIQ33" s="684"/>
      <c r="DIR33" s="684"/>
      <c r="DIS33" s="684"/>
      <c r="DIT33" s="684"/>
      <c r="DIU33" s="684"/>
      <c r="DIV33" s="684"/>
      <c r="DIW33" s="684"/>
      <c r="DIX33" s="684"/>
      <c r="DIY33" s="684"/>
      <c r="DIZ33" s="684"/>
      <c r="DJA33" s="684"/>
      <c r="DJB33" s="684"/>
      <c r="DJC33" s="684"/>
      <c r="DJD33" s="684"/>
      <c r="DJE33" s="684"/>
      <c r="DJF33" s="684"/>
      <c r="DJG33" s="684"/>
      <c r="DJH33" s="684"/>
      <c r="DJI33" s="684"/>
      <c r="DJJ33" s="684"/>
      <c r="DJK33" s="684"/>
      <c r="DJL33" s="684"/>
      <c r="DJM33" s="684"/>
      <c r="DJN33" s="684"/>
      <c r="DJO33" s="684"/>
      <c r="DJP33" s="684"/>
      <c r="DJQ33" s="684"/>
      <c r="DJR33" s="684"/>
      <c r="DJS33" s="684"/>
      <c r="DJT33" s="684"/>
      <c r="DJU33" s="684"/>
      <c r="DJV33" s="684"/>
      <c r="DJW33" s="684"/>
      <c r="DJX33" s="684"/>
      <c r="DJY33" s="684"/>
      <c r="DJZ33" s="684"/>
      <c r="DKA33" s="684"/>
      <c r="DKB33" s="684"/>
      <c r="DKC33" s="684"/>
      <c r="DKD33" s="684"/>
      <c r="DKE33" s="684"/>
      <c r="DKF33" s="684"/>
      <c r="DKG33" s="684"/>
      <c r="DKH33" s="684"/>
      <c r="DKI33" s="684"/>
      <c r="DKJ33" s="684"/>
      <c r="DKK33" s="684"/>
      <c r="DKL33" s="684"/>
      <c r="DKM33" s="684"/>
      <c r="DKN33" s="684"/>
      <c r="DKO33" s="684"/>
      <c r="DKP33" s="684"/>
      <c r="DKQ33" s="684"/>
      <c r="DKR33" s="684"/>
      <c r="DKS33" s="684"/>
      <c r="DKT33" s="684"/>
      <c r="DKU33" s="684"/>
      <c r="DKV33" s="684"/>
      <c r="DKW33" s="684"/>
      <c r="DKX33" s="684"/>
      <c r="DKY33" s="684"/>
      <c r="DKZ33" s="684"/>
      <c r="DLA33" s="684"/>
      <c r="DLB33" s="684"/>
      <c r="DLC33" s="684"/>
      <c r="DLD33" s="684"/>
      <c r="DLE33" s="684"/>
      <c r="DLF33" s="684"/>
      <c r="DLG33" s="684"/>
      <c r="DLH33" s="684"/>
      <c r="DLI33" s="684"/>
      <c r="DLJ33" s="684"/>
      <c r="DLK33" s="684"/>
      <c r="DLL33" s="684"/>
      <c r="DLM33" s="684"/>
      <c r="DLN33" s="684"/>
      <c r="DLO33" s="684"/>
      <c r="DLP33" s="684"/>
      <c r="DLQ33" s="684"/>
      <c r="DLR33" s="684"/>
      <c r="DLS33" s="684"/>
      <c r="DLT33" s="684"/>
      <c r="DLU33" s="684"/>
      <c r="DLV33" s="684"/>
      <c r="DLW33" s="684"/>
      <c r="DLX33" s="684"/>
      <c r="DLY33" s="684"/>
      <c r="DLZ33" s="684"/>
      <c r="DMA33" s="684"/>
      <c r="DMB33" s="684"/>
      <c r="DMC33" s="684"/>
      <c r="DMD33" s="684"/>
      <c r="DME33" s="684"/>
      <c r="DMF33" s="684"/>
      <c r="DMG33" s="684"/>
      <c r="DMH33" s="684"/>
      <c r="DMI33" s="684"/>
      <c r="DMJ33" s="684"/>
      <c r="DMK33" s="684"/>
      <c r="DML33" s="684"/>
      <c r="DMM33" s="684"/>
      <c r="DMN33" s="684"/>
      <c r="DMO33" s="684"/>
      <c r="DMP33" s="684"/>
      <c r="DMQ33" s="684"/>
      <c r="DMR33" s="684"/>
      <c r="DMS33" s="684"/>
      <c r="DMT33" s="684"/>
      <c r="DMU33" s="684"/>
      <c r="DMV33" s="684"/>
      <c r="DMW33" s="684"/>
      <c r="DMX33" s="684"/>
      <c r="DMY33" s="684"/>
      <c r="DMZ33" s="684"/>
      <c r="DNA33" s="684"/>
      <c r="DNB33" s="684"/>
      <c r="DNC33" s="684"/>
      <c r="DND33" s="684"/>
      <c r="DNE33" s="684"/>
      <c r="DNF33" s="684"/>
      <c r="DNG33" s="684"/>
      <c r="DNH33" s="684"/>
      <c r="DNI33" s="684"/>
      <c r="DNJ33" s="684"/>
      <c r="DNK33" s="684"/>
      <c r="DNL33" s="684"/>
      <c r="DNM33" s="684"/>
      <c r="DNN33" s="684"/>
      <c r="DNO33" s="684"/>
      <c r="DNP33" s="684"/>
      <c r="DNQ33" s="684"/>
      <c r="DNR33" s="684"/>
      <c r="DNS33" s="684"/>
      <c r="DNT33" s="684"/>
      <c r="DNU33" s="684"/>
      <c r="DNV33" s="684"/>
      <c r="DNW33" s="684"/>
      <c r="DNX33" s="684"/>
      <c r="DNY33" s="684"/>
      <c r="DNZ33" s="684"/>
      <c r="DOA33" s="684"/>
      <c r="DOB33" s="684"/>
      <c r="DOC33" s="684"/>
      <c r="DOD33" s="684"/>
      <c r="DOE33" s="684"/>
      <c r="DOF33" s="684"/>
      <c r="DOG33" s="684"/>
      <c r="DOH33" s="684"/>
      <c r="DOI33" s="684"/>
      <c r="DOJ33" s="684"/>
      <c r="DOK33" s="684"/>
      <c r="DOL33" s="684"/>
      <c r="DOM33" s="684"/>
      <c r="DON33" s="684"/>
      <c r="DOO33" s="684"/>
      <c r="DOP33" s="684"/>
      <c r="DOQ33" s="684"/>
      <c r="DOR33" s="684"/>
      <c r="DOS33" s="684"/>
      <c r="DOT33" s="684"/>
      <c r="DOU33" s="684"/>
      <c r="DOV33" s="684"/>
      <c r="DOW33" s="684"/>
      <c r="DOX33" s="684"/>
      <c r="DOY33" s="684"/>
      <c r="DOZ33" s="684"/>
      <c r="DPA33" s="684"/>
      <c r="DPB33" s="684"/>
      <c r="DPC33" s="684"/>
      <c r="DPD33" s="684"/>
      <c r="DPE33" s="684"/>
      <c r="DPF33" s="684"/>
      <c r="DPG33" s="684"/>
      <c r="DPH33" s="684"/>
      <c r="DPI33" s="684"/>
      <c r="DPJ33" s="684"/>
      <c r="DPK33" s="684"/>
      <c r="DPL33" s="684"/>
      <c r="DPM33" s="684"/>
      <c r="DPN33" s="684"/>
      <c r="DPO33" s="684"/>
      <c r="DPP33" s="684"/>
      <c r="DPQ33" s="684"/>
      <c r="DPR33" s="684"/>
      <c r="DPS33" s="684"/>
      <c r="DPT33" s="684"/>
      <c r="DPU33" s="684"/>
      <c r="DPV33" s="684"/>
      <c r="DPW33" s="684"/>
      <c r="DPX33" s="684"/>
      <c r="DPY33" s="684"/>
      <c r="DPZ33" s="684"/>
      <c r="DQA33" s="684"/>
      <c r="DQB33" s="684"/>
      <c r="DQC33" s="684"/>
      <c r="DQD33" s="684"/>
      <c r="DQE33" s="684"/>
      <c r="DQF33" s="684"/>
      <c r="DQG33" s="684"/>
      <c r="DQH33" s="684"/>
      <c r="DQI33" s="684"/>
      <c r="DQJ33" s="684"/>
      <c r="DQK33" s="684"/>
      <c r="DQL33" s="684"/>
      <c r="DQM33" s="684"/>
      <c r="DQN33" s="684"/>
      <c r="DQO33" s="684"/>
      <c r="DQP33" s="684"/>
      <c r="DQQ33" s="684"/>
      <c r="DQR33" s="684"/>
      <c r="DQS33" s="684"/>
      <c r="DQT33" s="684"/>
      <c r="DQU33" s="684"/>
      <c r="DQV33" s="684"/>
      <c r="DQW33" s="684"/>
      <c r="DQX33" s="684"/>
      <c r="DQY33" s="684"/>
      <c r="DQZ33" s="684"/>
      <c r="DRA33" s="684"/>
      <c r="DRB33" s="684"/>
      <c r="DRC33" s="684"/>
      <c r="DRD33" s="684"/>
      <c r="DRE33" s="684"/>
      <c r="DRF33" s="684"/>
      <c r="DRG33" s="684"/>
      <c r="DRH33" s="684"/>
      <c r="DRI33" s="684"/>
      <c r="DRJ33" s="684"/>
      <c r="DRK33" s="684"/>
      <c r="DRL33" s="684"/>
      <c r="DRM33" s="684"/>
      <c r="DRN33" s="684"/>
      <c r="DRO33" s="684"/>
      <c r="DRP33" s="684"/>
      <c r="DRQ33" s="684"/>
      <c r="DRR33" s="684"/>
      <c r="DRS33" s="684"/>
      <c r="DRT33" s="684"/>
      <c r="DRU33" s="684"/>
      <c r="DRV33" s="684"/>
      <c r="DRW33" s="684"/>
      <c r="DRX33" s="684"/>
      <c r="DRY33" s="684"/>
      <c r="DRZ33" s="684"/>
      <c r="DSA33" s="684"/>
      <c r="DSB33" s="684"/>
      <c r="DSC33" s="684"/>
      <c r="DSD33" s="684"/>
      <c r="DSE33" s="684"/>
      <c r="DSF33" s="684"/>
      <c r="DSG33" s="684"/>
      <c r="DSH33" s="684"/>
      <c r="DSI33" s="684"/>
      <c r="DSJ33" s="684"/>
      <c r="DSK33" s="684"/>
      <c r="DSL33" s="684"/>
      <c r="DSM33" s="684"/>
      <c r="DSN33" s="684"/>
      <c r="DSO33" s="684"/>
      <c r="DSP33" s="684"/>
      <c r="DSQ33" s="684"/>
      <c r="DSR33" s="684"/>
      <c r="DSS33" s="684"/>
      <c r="DST33" s="684"/>
      <c r="DSU33" s="684"/>
      <c r="DSV33" s="684"/>
      <c r="DSW33" s="684"/>
      <c r="DSX33" s="684"/>
      <c r="DSY33" s="684"/>
      <c r="DSZ33" s="684"/>
      <c r="DTA33" s="684"/>
      <c r="DTB33" s="684"/>
      <c r="DTC33" s="684"/>
      <c r="DTD33" s="684"/>
      <c r="DTE33" s="684"/>
      <c r="DTF33" s="684"/>
      <c r="DTG33" s="684"/>
      <c r="DTH33" s="684"/>
      <c r="DTI33" s="684"/>
      <c r="DTJ33" s="684"/>
      <c r="DTK33" s="684"/>
      <c r="DTL33" s="684"/>
      <c r="DTM33" s="684"/>
      <c r="DTN33" s="684"/>
      <c r="DTO33" s="684"/>
      <c r="DTP33" s="684"/>
      <c r="DTQ33" s="684"/>
      <c r="DTR33" s="684"/>
      <c r="DTS33" s="684"/>
      <c r="DTT33" s="684"/>
      <c r="DTU33" s="684"/>
      <c r="DTV33" s="684"/>
      <c r="DTW33" s="684"/>
      <c r="DTX33" s="684"/>
      <c r="DTY33" s="684"/>
      <c r="DTZ33" s="684"/>
      <c r="DUA33" s="684"/>
      <c r="DUB33" s="684"/>
      <c r="DUC33" s="684"/>
      <c r="DUD33" s="684"/>
      <c r="DUE33" s="684"/>
      <c r="DUF33" s="684"/>
      <c r="DUG33" s="684"/>
      <c r="DUH33" s="684"/>
      <c r="DUI33" s="684"/>
      <c r="DUJ33" s="684"/>
      <c r="DUK33" s="684"/>
      <c r="DUL33" s="684"/>
      <c r="DUM33" s="684"/>
      <c r="DUN33" s="684"/>
      <c r="DUO33" s="684"/>
      <c r="DUP33" s="684"/>
      <c r="DUQ33" s="684"/>
      <c r="DUR33" s="684"/>
      <c r="DUS33" s="684"/>
      <c r="DUT33" s="684"/>
      <c r="DUU33" s="684"/>
      <c r="DUV33" s="684"/>
      <c r="DUW33" s="684"/>
      <c r="DUX33" s="684"/>
      <c r="DUY33" s="684"/>
      <c r="DUZ33" s="684"/>
      <c r="DVA33" s="684"/>
      <c r="DVB33" s="684"/>
      <c r="DVC33" s="684"/>
      <c r="DVD33" s="684"/>
      <c r="DVE33" s="684"/>
      <c r="DVF33" s="684"/>
      <c r="DVG33" s="684"/>
      <c r="DVH33" s="684"/>
      <c r="DVI33" s="684"/>
      <c r="DVJ33" s="684"/>
      <c r="DVK33" s="684"/>
      <c r="DVL33" s="684"/>
      <c r="DVM33" s="684"/>
      <c r="DVN33" s="684"/>
      <c r="DVO33" s="684"/>
      <c r="DVP33" s="684"/>
      <c r="DVQ33" s="684"/>
      <c r="DVR33" s="684"/>
      <c r="DVS33" s="684"/>
      <c r="DVT33" s="684"/>
      <c r="DVU33" s="684"/>
      <c r="DVV33" s="684"/>
      <c r="DVW33" s="684"/>
      <c r="DVX33" s="684"/>
      <c r="DVY33" s="684"/>
      <c r="DVZ33" s="684"/>
      <c r="DWA33" s="684"/>
      <c r="DWB33" s="684"/>
      <c r="DWC33" s="684"/>
      <c r="DWD33" s="684"/>
      <c r="DWE33" s="684"/>
      <c r="DWF33" s="684"/>
      <c r="DWG33" s="684"/>
      <c r="DWH33" s="684"/>
      <c r="DWI33" s="684"/>
      <c r="DWJ33" s="684"/>
      <c r="DWK33" s="684"/>
      <c r="DWL33" s="684"/>
      <c r="DWM33" s="684"/>
      <c r="DWN33" s="684"/>
      <c r="DWO33" s="684"/>
      <c r="DWP33" s="684"/>
      <c r="DWQ33" s="684"/>
      <c r="DWR33" s="684"/>
      <c r="DWS33" s="684"/>
      <c r="DWT33" s="684"/>
      <c r="DWU33" s="684"/>
      <c r="DWV33" s="684"/>
      <c r="DWW33" s="684"/>
      <c r="DWX33" s="684"/>
      <c r="DWY33" s="684"/>
      <c r="DWZ33" s="684"/>
      <c r="DXA33" s="684"/>
      <c r="DXB33" s="684"/>
      <c r="DXC33" s="684"/>
      <c r="DXD33" s="684"/>
      <c r="DXE33" s="684"/>
      <c r="DXF33" s="684"/>
      <c r="DXG33" s="684"/>
      <c r="DXH33" s="684"/>
      <c r="DXI33" s="684"/>
      <c r="DXJ33" s="684"/>
      <c r="DXK33" s="684"/>
      <c r="DXL33" s="684"/>
      <c r="DXM33" s="684"/>
      <c r="DXN33" s="684"/>
      <c r="DXO33" s="684"/>
      <c r="DXP33" s="684"/>
      <c r="DXQ33" s="684"/>
      <c r="DXR33" s="684"/>
      <c r="DXS33" s="684"/>
      <c r="DXT33" s="684"/>
      <c r="DXU33" s="684"/>
      <c r="DXV33" s="684"/>
      <c r="DXW33" s="684"/>
      <c r="DXX33" s="684"/>
      <c r="DXY33" s="684"/>
      <c r="DXZ33" s="684"/>
      <c r="DYA33" s="684"/>
      <c r="DYB33" s="684"/>
      <c r="DYC33" s="684"/>
      <c r="DYD33" s="684"/>
      <c r="DYE33" s="684"/>
      <c r="DYF33" s="684"/>
      <c r="DYG33" s="684"/>
      <c r="DYH33" s="684"/>
      <c r="DYI33" s="684"/>
      <c r="DYJ33" s="684"/>
      <c r="DYK33" s="684"/>
      <c r="DYL33" s="684"/>
      <c r="DYM33" s="684"/>
      <c r="DYN33" s="684"/>
      <c r="DYO33" s="684"/>
      <c r="DYP33" s="684"/>
      <c r="DYQ33" s="684"/>
      <c r="DYR33" s="684"/>
      <c r="DYS33" s="684"/>
      <c r="DYT33" s="684"/>
      <c r="DYU33" s="684"/>
      <c r="DYV33" s="684"/>
      <c r="DYW33" s="684"/>
      <c r="DYX33" s="684"/>
      <c r="DYY33" s="684"/>
      <c r="DYZ33" s="684"/>
      <c r="DZA33" s="684"/>
      <c r="DZB33" s="684"/>
      <c r="DZC33" s="684"/>
      <c r="DZD33" s="684"/>
      <c r="DZE33" s="684"/>
      <c r="DZF33" s="684"/>
      <c r="DZG33" s="684"/>
      <c r="DZH33" s="684"/>
      <c r="DZI33" s="684"/>
      <c r="DZJ33" s="684"/>
      <c r="DZK33" s="684"/>
      <c r="DZL33" s="684"/>
      <c r="DZM33" s="684"/>
      <c r="DZN33" s="684"/>
      <c r="DZO33" s="684"/>
      <c r="DZP33" s="684"/>
      <c r="DZQ33" s="684"/>
      <c r="DZR33" s="684"/>
      <c r="DZS33" s="684"/>
      <c r="DZT33" s="684"/>
      <c r="DZU33" s="684"/>
      <c r="DZV33" s="684"/>
      <c r="DZW33" s="684"/>
      <c r="DZX33" s="684"/>
      <c r="DZY33" s="684"/>
      <c r="DZZ33" s="684"/>
      <c r="EAA33" s="684"/>
      <c r="EAB33" s="684"/>
      <c r="EAC33" s="684"/>
      <c r="EAD33" s="684"/>
      <c r="EAE33" s="684"/>
      <c r="EAF33" s="684"/>
      <c r="EAG33" s="684"/>
      <c r="EAH33" s="684"/>
      <c r="EAI33" s="684"/>
      <c r="EAJ33" s="684"/>
      <c r="EAK33" s="684"/>
      <c r="EAL33" s="684"/>
      <c r="EAM33" s="684"/>
      <c r="EAN33" s="684"/>
      <c r="EAO33" s="684"/>
      <c r="EAP33" s="684"/>
      <c r="EAQ33" s="684"/>
      <c r="EAR33" s="684"/>
      <c r="EAS33" s="684"/>
      <c r="EAT33" s="684"/>
      <c r="EAU33" s="684"/>
      <c r="EAV33" s="684"/>
      <c r="EAW33" s="684"/>
      <c r="EAX33" s="684"/>
      <c r="EAY33" s="684"/>
      <c r="EAZ33" s="684"/>
      <c r="EBA33" s="684"/>
      <c r="EBB33" s="684"/>
      <c r="EBC33" s="684"/>
      <c r="EBD33" s="684"/>
      <c r="EBE33" s="684"/>
      <c r="EBF33" s="684"/>
      <c r="EBG33" s="684"/>
      <c r="EBH33" s="684"/>
      <c r="EBI33" s="684"/>
      <c r="EBJ33" s="684"/>
      <c r="EBK33" s="684"/>
      <c r="EBL33" s="684"/>
      <c r="EBM33" s="684"/>
      <c r="EBN33" s="684"/>
      <c r="EBO33" s="684"/>
      <c r="EBP33" s="684"/>
      <c r="EBQ33" s="684"/>
      <c r="EBR33" s="684"/>
      <c r="EBS33" s="684"/>
      <c r="EBT33" s="684"/>
      <c r="EBU33" s="684"/>
      <c r="EBV33" s="684"/>
      <c r="EBW33" s="684"/>
      <c r="EBX33" s="684"/>
      <c r="EBY33" s="684"/>
      <c r="EBZ33" s="684"/>
      <c r="ECA33" s="684"/>
      <c r="ECB33" s="684"/>
      <c r="ECC33" s="684"/>
      <c r="ECD33" s="684"/>
      <c r="ECE33" s="684"/>
      <c r="ECF33" s="684"/>
      <c r="ECG33" s="684"/>
      <c r="ECH33" s="684"/>
      <c r="ECI33" s="684"/>
      <c r="ECJ33" s="684"/>
      <c r="ECK33" s="684"/>
      <c r="ECL33" s="684"/>
      <c r="ECM33" s="684"/>
      <c r="ECN33" s="684"/>
      <c r="ECO33" s="684"/>
      <c r="ECP33" s="684"/>
      <c r="ECQ33" s="684"/>
      <c r="ECR33" s="684"/>
      <c r="ECS33" s="684"/>
      <c r="ECT33" s="684"/>
      <c r="ECU33" s="684"/>
      <c r="ECV33" s="684"/>
      <c r="ECW33" s="684"/>
      <c r="ECX33" s="684"/>
      <c r="ECY33" s="684"/>
      <c r="ECZ33" s="684"/>
      <c r="EDA33" s="684"/>
      <c r="EDB33" s="684"/>
      <c r="EDC33" s="684"/>
      <c r="EDD33" s="684"/>
      <c r="EDE33" s="684"/>
      <c r="EDF33" s="684"/>
      <c r="EDG33" s="684"/>
      <c r="EDH33" s="684"/>
      <c r="EDI33" s="684"/>
      <c r="EDJ33" s="684"/>
      <c r="EDK33" s="684"/>
      <c r="EDL33" s="684"/>
      <c r="EDM33" s="684"/>
      <c r="EDN33" s="684"/>
      <c r="EDO33" s="684"/>
      <c r="EDP33" s="684"/>
      <c r="EDQ33" s="684"/>
      <c r="EDR33" s="684"/>
      <c r="EDS33" s="684"/>
      <c r="EDT33" s="684"/>
      <c r="EDU33" s="684"/>
      <c r="EDV33" s="684"/>
      <c r="EDW33" s="684"/>
      <c r="EDX33" s="684"/>
      <c r="EDY33" s="684"/>
      <c r="EDZ33" s="684"/>
      <c r="EEA33" s="684"/>
      <c r="EEB33" s="684"/>
      <c r="EEC33" s="684"/>
      <c r="EED33" s="684"/>
      <c r="EEE33" s="684"/>
      <c r="EEF33" s="684"/>
      <c r="EEG33" s="684"/>
      <c r="EEH33" s="684"/>
      <c r="EEI33" s="684"/>
      <c r="EEJ33" s="684"/>
      <c r="EEK33" s="684"/>
      <c r="EEL33" s="684"/>
      <c r="EEM33" s="684"/>
      <c r="EEN33" s="684"/>
      <c r="EEO33" s="684"/>
      <c r="EEP33" s="684"/>
      <c r="EEQ33" s="684"/>
      <c r="EER33" s="684"/>
      <c r="EES33" s="684"/>
      <c r="EET33" s="684"/>
      <c r="EEU33" s="684"/>
      <c r="EEV33" s="684"/>
      <c r="EEW33" s="684"/>
      <c r="EEX33" s="684"/>
      <c r="EEY33" s="684"/>
      <c r="EEZ33" s="684"/>
      <c r="EFA33" s="684"/>
      <c r="EFB33" s="684"/>
      <c r="EFC33" s="684"/>
      <c r="EFD33" s="684"/>
      <c r="EFE33" s="684"/>
      <c r="EFF33" s="684"/>
      <c r="EFG33" s="684"/>
      <c r="EFH33" s="684"/>
      <c r="EFI33" s="684"/>
      <c r="EFJ33" s="684"/>
      <c r="EFK33" s="684"/>
      <c r="EFL33" s="684"/>
      <c r="EFM33" s="684"/>
      <c r="EFN33" s="684"/>
      <c r="EFO33" s="684"/>
      <c r="EFP33" s="684"/>
      <c r="EFQ33" s="684"/>
      <c r="EFR33" s="684"/>
      <c r="EFS33" s="684"/>
      <c r="EFT33" s="684"/>
      <c r="EFU33" s="684"/>
      <c r="EFV33" s="684"/>
      <c r="EFW33" s="684"/>
      <c r="EFX33" s="684"/>
      <c r="EFY33" s="684"/>
      <c r="EFZ33" s="684"/>
      <c r="EGA33" s="684"/>
      <c r="EGB33" s="684"/>
      <c r="EGC33" s="684"/>
      <c r="EGD33" s="684"/>
      <c r="EGE33" s="684"/>
      <c r="EGF33" s="684"/>
      <c r="EGG33" s="684"/>
      <c r="EGH33" s="684"/>
      <c r="EGI33" s="684"/>
      <c r="EGJ33" s="684"/>
      <c r="EGK33" s="684"/>
      <c r="EGL33" s="684"/>
      <c r="EGM33" s="684"/>
      <c r="EGN33" s="684"/>
      <c r="EGO33" s="684"/>
      <c r="EGP33" s="684"/>
      <c r="EGQ33" s="684"/>
      <c r="EGR33" s="684"/>
      <c r="EGS33" s="684"/>
      <c r="EGT33" s="684"/>
      <c r="EGU33" s="684"/>
      <c r="EGV33" s="684"/>
      <c r="EGW33" s="684"/>
      <c r="EGX33" s="684"/>
      <c r="EGY33" s="684"/>
      <c r="EGZ33" s="684"/>
      <c r="EHA33" s="684"/>
      <c r="EHB33" s="684"/>
      <c r="EHC33" s="684"/>
      <c r="EHD33" s="684"/>
      <c r="EHE33" s="684"/>
      <c r="EHF33" s="684"/>
      <c r="EHG33" s="684"/>
      <c r="EHH33" s="684"/>
      <c r="EHI33" s="684"/>
      <c r="EHJ33" s="684"/>
      <c r="EHK33" s="684"/>
      <c r="EHL33" s="684"/>
      <c r="EHM33" s="684"/>
      <c r="EHN33" s="684"/>
      <c r="EHO33" s="684"/>
      <c r="EHP33" s="684"/>
      <c r="EHQ33" s="684"/>
      <c r="EHR33" s="684"/>
      <c r="EHS33" s="684"/>
      <c r="EHT33" s="684"/>
      <c r="EHU33" s="684"/>
      <c r="EHV33" s="684"/>
      <c r="EHW33" s="684"/>
      <c r="EHX33" s="684"/>
      <c r="EHY33" s="684"/>
      <c r="EHZ33" s="684"/>
      <c r="EIA33" s="684"/>
      <c r="EIB33" s="684"/>
      <c r="EIC33" s="684"/>
      <c r="EID33" s="684"/>
      <c r="EIE33" s="684"/>
      <c r="EIF33" s="684"/>
      <c r="EIG33" s="684"/>
      <c r="EIH33" s="684"/>
      <c r="EII33" s="684"/>
      <c r="EIJ33" s="684"/>
      <c r="EIK33" s="684"/>
      <c r="EIL33" s="684"/>
      <c r="EIM33" s="684"/>
      <c r="EIN33" s="684"/>
      <c r="EIO33" s="684"/>
      <c r="EIP33" s="684"/>
      <c r="EIQ33" s="684"/>
      <c r="EIR33" s="684"/>
      <c r="EIS33" s="684"/>
      <c r="EIT33" s="684"/>
      <c r="EIU33" s="684"/>
      <c r="EIV33" s="684"/>
      <c r="EIW33" s="684"/>
      <c r="EIX33" s="684"/>
      <c r="EIY33" s="684"/>
      <c r="EIZ33" s="684"/>
      <c r="EJA33" s="684"/>
      <c r="EJB33" s="684"/>
      <c r="EJC33" s="684"/>
      <c r="EJD33" s="684"/>
      <c r="EJE33" s="684"/>
      <c r="EJF33" s="684"/>
      <c r="EJG33" s="684"/>
      <c r="EJH33" s="684"/>
      <c r="EJI33" s="684"/>
      <c r="EJJ33" s="684"/>
      <c r="EJK33" s="684"/>
      <c r="EJL33" s="684"/>
      <c r="EJM33" s="684"/>
      <c r="EJN33" s="684"/>
      <c r="EJO33" s="684"/>
      <c r="EJP33" s="684"/>
      <c r="EJQ33" s="684"/>
      <c r="EJR33" s="684"/>
      <c r="EJS33" s="684"/>
      <c r="EJT33" s="684"/>
      <c r="EJU33" s="684"/>
      <c r="EJV33" s="684"/>
      <c r="EJW33" s="684"/>
      <c r="EJX33" s="684"/>
      <c r="EJY33" s="684"/>
      <c r="EJZ33" s="684"/>
      <c r="EKA33" s="684"/>
      <c r="EKB33" s="684"/>
      <c r="EKC33" s="684"/>
      <c r="EKD33" s="684"/>
      <c r="EKE33" s="684"/>
      <c r="EKF33" s="684"/>
      <c r="EKG33" s="684"/>
      <c r="EKH33" s="684"/>
      <c r="EKI33" s="684"/>
      <c r="EKJ33" s="684"/>
      <c r="EKK33" s="684"/>
      <c r="EKL33" s="684"/>
      <c r="EKM33" s="684"/>
      <c r="EKN33" s="684"/>
      <c r="EKO33" s="684"/>
      <c r="EKP33" s="684"/>
      <c r="EKQ33" s="684"/>
      <c r="EKR33" s="684"/>
      <c r="EKS33" s="684"/>
      <c r="EKT33" s="684"/>
      <c r="EKU33" s="684"/>
      <c r="EKV33" s="684"/>
      <c r="EKW33" s="684"/>
      <c r="EKX33" s="684"/>
      <c r="EKY33" s="684"/>
      <c r="EKZ33" s="684"/>
      <c r="ELA33" s="684"/>
      <c r="ELB33" s="684"/>
      <c r="ELC33" s="684"/>
      <c r="ELD33" s="684"/>
      <c r="ELE33" s="684"/>
      <c r="ELF33" s="684"/>
      <c r="ELG33" s="684"/>
      <c r="ELH33" s="684"/>
      <c r="ELI33" s="684"/>
      <c r="ELJ33" s="684"/>
      <c r="ELK33" s="684"/>
      <c r="ELL33" s="684"/>
      <c r="ELM33" s="684"/>
      <c r="ELN33" s="684"/>
      <c r="ELO33" s="684"/>
      <c r="ELP33" s="684"/>
      <c r="ELQ33" s="684"/>
      <c r="ELR33" s="684"/>
      <c r="ELS33" s="684"/>
      <c r="ELT33" s="684"/>
      <c r="ELU33" s="684"/>
      <c r="ELV33" s="684"/>
      <c r="ELW33" s="684"/>
      <c r="ELX33" s="684"/>
      <c r="ELY33" s="684"/>
      <c r="ELZ33" s="684"/>
      <c r="EMA33" s="684"/>
      <c r="EMB33" s="684"/>
      <c r="EMC33" s="684"/>
      <c r="EMD33" s="684"/>
      <c r="EME33" s="684"/>
      <c r="EMF33" s="684"/>
      <c r="EMG33" s="684"/>
      <c r="EMH33" s="684"/>
      <c r="EMI33" s="684"/>
      <c r="EMJ33" s="684"/>
      <c r="EMK33" s="684"/>
      <c r="EML33" s="684"/>
      <c r="EMM33" s="684"/>
      <c r="EMN33" s="684"/>
      <c r="EMO33" s="684"/>
      <c r="EMP33" s="684"/>
      <c r="EMQ33" s="684"/>
      <c r="EMR33" s="684"/>
      <c r="EMS33" s="684"/>
      <c r="EMT33" s="684"/>
      <c r="EMU33" s="684"/>
      <c r="EMV33" s="684"/>
      <c r="EMW33" s="684"/>
      <c r="EMX33" s="684"/>
      <c r="EMY33" s="684"/>
      <c r="EMZ33" s="684"/>
      <c r="ENA33" s="684"/>
      <c r="ENB33" s="684"/>
      <c r="ENC33" s="684"/>
      <c r="END33" s="684"/>
      <c r="ENE33" s="684"/>
      <c r="ENF33" s="684"/>
      <c r="ENG33" s="684"/>
      <c r="ENH33" s="684"/>
      <c r="ENI33" s="684"/>
      <c r="ENJ33" s="684"/>
      <c r="ENK33" s="684"/>
      <c r="ENL33" s="684"/>
      <c r="ENM33" s="684"/>
      <c r="ENN33" s="684"/>
      <c r="ENO33" s="684"/>
      <c r="ENP33" s="684"/>
      <c r="ENQ33" s="684"/>
      <c r="ENR33" s="684"/>
      <c r="ENS33" s="684"/>
      <c r="ENT33" s="684"/>
      <c r="ENU33" s="684"/>
      <c r="ENV33" s="684"/>
      <c r="ENW33" s="684"/>
      <c r="ENX33" s="684"/>
      <c r="ENY33" s="684"/>
      <c r="ENZ33" s="684"/>
      <c r="EOA33" s="684"/>
      <c r="EOB33" s="684"/>
      <c r="EOC33" s="684"/>
      <c r="EOD33" s="684"/>
      <c r="EOE33" s="684"/>
      <c r="EOF33" s="684"/>
      <c r="EOG33" s="684"/>
      <c r="EOH33" s="684"/>
      <c r="EOI33" s="684"/>
      <c r="EOJ33" s="684"/>
      <c r="EOK33" s="684"/>
      <c r="EOL33" s="684"/>
      <c r="EOM33" s="684"/>
      <c r="EON33" s="684"/>
      <c r="EOO33" s="684"/>
      <c r="EOP33" s="684"/>
      <c r="EOQ33" s="684"/>
      <c r="EOR33" s="684"/>
      <c r="EOS33" s="684"/>
      <c r="EOT33" s="684"/>
      <c r="EOU33" s="684"/>
      <c r="EOV33" s="684"/>
      <c r="EOW33" s="684"/>
      <c r="EOX33" s="684"/>
      <c r="EOY33" s="684"/>
      <c r="EOZ33" s="684"/>
      <c r="EPA33" s="684"/>
      <c r="EPB33" s="684"/>
      <c r="EPC33" s="684"/>
      <c r="EPD33" s="684"/>
      <c r="EPE33" s="684"/>
      <c r="EPF33" s="684"/>
      <c r="EPG33" s="684"/>
      <c r="EPH33" s="684"/>
      <c r="EPI33" s="684"/>
      <c r="EPJ33" s="684"/>
      <c r="EPK33" s="684"/>
      <c r="EPL33" s="684"/>
      <c r="EPM33" s="684"/>
      <c r="EPN33" s="684"/>
      <c r="EPO33" s="684"/>
      <c r="EPP33" s="684"/>
      <c r="EPQ33" s="684"/>
      <c r="EPR33" s="684"/>
      <c r="EPS33" s="684"/>
      <c r="EPT33" s="684"/>
      <c r="EPU33" s="684"/>
      <c r="EPV33" s="684"/>
      <c r="EPW33" s="684"/>
      <c r="EPX33" s="684"/>
      <c r="EPY33" s="684"/>
      <c r="EPZ33" s="684"/>
      <c r="EQA33" s="684"/>
      <c r="EQB33" s="684"/>
      <c r="EQC33" s="684"/>
      <c r="EQD33" s="684"/>
      <c r="EQE33" s="684"/>
      <c r="EQF33" s="684"/>
      <c r="EQG33" s="684"/>
      <c r="EQH33" s="684"/>
      <c r="EQI33" s="684"/>
      <c r="EQJ33" s="684"/>
      <c r="EQK33" s="684"/>
      <c r="EQL33" s="684"/>
      <c r="EQM33" s="684"/>
      <c r="EQN33" s="684"/>
      <c r="EQO33" s="684"/>
      <c r="EQP33" s="684"/>
      <c r="EQQ33" s="684"/>
      <c r="EQR33" s="684"/>
      <c r="EQS33" s="684"/>
      <c r="EQT33" s="684"/>
      <c r="EQU33" s="684"/>
      <c r="EQV33" s="684"/>
      <c r="EQW33" s="684"/>
      <c r="EQX33" s="684"/>
      <c r="EQY33" s="684"/>
      <c r="EQZ33" s="684"/>
      <c r="ERA33" s="684"/>
      <c r="ERB33" s="684"/>
      <c r="ERC33" s="684"/>
      <c r="ERD33" s="684"/>
      <c r="ERE33" s="684"/>
      <c r="ERF33" s="684"/>
      <c r="ERG33" s="684"/>
      <c r="ERH33" s="684"/>
      <c r="ERI33" s="684"/>
      <c r="ERJ33" s="684"/>
      <c r="ERK33" s="684"/>
      <c r="ERL33" s="684"/>
      <c r="ERM33" s="684"/>
      <c r="ERN33" s="684"/>
      <c r="ERO33" s="684"/>
      <c r="ERP33" s="684"/>
      <c r="ERQ33" s="684"/>
      <c r="ERR33" s="684"/>
      <c r="ERS33" s="684"/>
      <c r="ERT33" s="684"/>
      <c r="ERU33" s="684"/>
      <c r="ERV33" s="684"/>
      <c r="ERW33" s="684"/>
      <c r="ERX33" s="684"/>
      <c r="ERY33" s="684"/>
      <c r="ERZ33" s="684"/>
      <c r="ESA33" s="684"/>
      <c r="ESB33" s="684"/>
      <c r="ESC33" s="684"/>
      <c r="ESD33" s="684"/>
      <c r="ESE33" s="684"/>
      <c r="ESF33" s="684"/>
      <c r="ESG33" s="684"/>
      <c r="ESH33" s="684"/>
      <c r="ESI33" s="684"/>
      <c r="ESJ33" s="684"/>
      <c r="ESK33" s="684"/>
      <c r="ESL33" s="684"/>
      <c r="ESM33" s="684"/>
      <c r="ESN33" s="684"/>
      <c r="ESO33" s="684"/>
      <c r="ESP33" s="684"/>
      <c r="ESQ33" s="684"/>
      <c r="ESR33" s="684"/>
      <c r="ESS33" s="684"/>
      <c r="EST33" s="684"/>
      <c r="ESU33" s="684"/>
      <c r="ESV33" s="684"/>
      <c r="ESW33" s="684"/>
      <c r="ESX33" s="684"/>
      <c r="ESY33" s="684"/>
      <c r="ESZ33" s="684"/>
      <c r="ETA33" s="684"/>
      <c r="ETB33" s="684"/>
      <c r="ETC33" s="684"/>
      <c r="ETD33" s="684"/>
      <c r="ETE33" s="684"/>
      <c r="ETF33" s="684"/>
      <c r="ETG33" s="684"/>
      <c r="ETH33" s="684"/>
      <c r="ETI33" s="684"/>
      <c r="ETJ33" s="684"/>
      <c r="ETK33" s="684"/>
      <c r="ETL33" s="684"/>
      <c r="ETM33" s="684"/>
      <c r="ETN33" s="684"/>
      <c r="ETO33" s="684"/>
      <c r="ETP33" s="684"/>
      <c r="ETQ33" s="684"/>
      <c r="ETR33" s="684"/>
      <c r="ETS33" s="684"/>
      <c r="ETT33" s="684"/>
      <c r="ETU33" s="684"/>
      <c r="ETV33" s="684"/>
      <c r="ETW33" s="684"/>
      <c r="ETX33" s="684"/>
      <c r="ETY33" s="684"/>
      <c r="ETZ33" s="684"/>
      <c r="EUA33" s="684"/>
      <c r="EUB33" s="684"/>
      <c r="EUC33" s="684"/>
      <c r="EUD33" s="684"/>
      <c r="EUE33" s="684"/>
      <c r="EUF33" s="684"/>
      <c r="EUG33" s="684"/>
      <c r="EUH33" s="684"/>
      <c r="EUI33" s="684"/>
      <c r="EUJ33" s="684"/>
      <c r="EUK33" s="684"/>
      <c r="EUL33" s="684"/>
      <c r="EUM33" s="684"/>
      <c r="EUN33" s="684"/>
      <c r="EUO33" s="684"/>
      <c r="EUP33" s="684"/>
      <c r="EUQ33" s="684"/>
      <c r="EUR33" s="684"/>
      <c r="EUS33" s="684"/>
      <c r="EUT33" s="684"/>
      <c r="EUU33" s="684"/>
      <c r="EUV33" s="684"/>
      <c r="EUW33" s="684"/>
      <c r="EUX33" s="684"/>
      <c r="EUY33" s="684"/>
      <c r="EUZ33" s="684"/>
      <c r="EVA33" s="684"/>
      <c r="EVB33" s="684"/>
      <c r="EVC33" s="684"/>
      <c r="EVD33" s="684"/>
      <c r="EVE33" s="684"/>
      <c r="EVF33" s="684"/>
      <c r="EVG33" s="684"/>
      <c r="EVH33" s="684"/>
      <c r="EVI33" s="684"/>
      <c r="EVJ33" s="684"/>
      <c r="EVK33" s="684"/>
      <c r="EVL33" s="684"/>
      <c r="EVM33" s="684"/>
      <c r="EVN33" s="684"/>
      <c r="EVO33" s="684"/>
      <c r="EVP33" s="684"/>
      <c r="EVQ33" s="684"/>
      <c r="EVR33" s="684"/>
      <c r="EVS33" s="684"/>
      <c r="EVT33" s="684"/>
      <c r="EVU33" s="684"/>
      <c r="EVV33" s="684"/>
      <c r="EVW33" s="684"/>
      <c r="EVX33" s="684"/>
      <c r="EVY33" s="684"/>
      <c r="EVZ33" s="684"/>
      <c r="EWA33" s="684"/>
      <c r="EWB33" s="684"/>
      <c r="EWC33" s="684"/>
      <c r="EWD33" s="684"/>
      <c r="EWE33" s="684"/>
      <c r="EWF33" s="684"/>
      <c r="EWG33" s="684"/>
      <c r="EWH33" s="684"/>
      <c r="EWI33" s="684"/>
      <c r="EWJ33" s="684"/>
      <c r="EWK33" s="684"/>
      <c r="EWL33" s="684"/>
      <c r="EWM33" s="684"/>
      <c r="EWN33" s="684"/>
      <c r="EWO33" s="684"/>
      <c r="EWP33" s="684"/>
      <c r="EWQ33" s="684"/>
      <c r="EWR33" s="684"/>
      <c r="EWS33" s="684"/>
      <c r="EWT33" s="684"/>
      <c r="EWU33" s="684"/>
      <c r="EWV33" s="684"/>
      <c r="EWW33" s="684"/>
      <c r="EWX33" s="684"/>
      <c r="EWY33" s="684"/>
      <c r="EWZ33" s="684"/>
      <c r="EXA33" s="684"/>
      <c r="EXB33" s="684"/>
      <c r="EXC33" s="684"/>
      <c r="EXD33" s="684"/>
      <c r="EXE33" s="684"/>
      <c r="EXF33" s="684"/>
      <c r="EXG33" s="684"/>
      <c r="EXH33" s="684"/>
      <c r="EXI33" s="684"/>
      <c r="EXJ33" s="684"/>
      <c r="EXK33" s="684"/>
      <c r="EXL33" s="684"/>
      <c r="EXM33" s="684"/>
      <c r="EXN33" s="684"/>
      <c r="EXO33" s="684"/>
      <c r="EXP33" s="684"/>
      <c r="EXQ33" s="684"/>
      <c r="EXR33" s="684"/>
      <c r="EXS33" s="684"/>
      <c r="EXT33" s="684"/>
      <c r="EXU33" s="684"/>
      <c r="EXV33" s="684"/>
      <c r="EXW33" s="684"/>
      <c r="EXX33" s="684"/>
      <c r="EXY33" s="684"/>
      <c r="EXZ33" s="684"/>
      <c r="EYA33" s="684"/>
      <c r="EYB33" s="684"/>
      <c r="EYC33" s="684"/>
      <c r="EYD33" s="684"/>
      <c r="EYE33" s="684"/>
      <c r="EYF33" s="684"/>
      <c r="EYG33" s="684"/>
      <c r="EYH33" s="684"/>
      <c r="EYI33" s="684"/>
      <c r="EYJ33" s="684"/>
      <c r="EYK33" s="684"/>
      <c r="EYL33" s="684"/>
      <c r="EYM33" s="684"/>
      <c r="EYN33" s="684"/>
      <c r="EYO33" s="684"/>
      <c r="EYP33" s="684"/>
      <c r="EYQ33" s="684"/>
      <c r="EYR33" s="684"/>
      <c r="EYS33" s="684"/>
      <c r="EYT33" s="684"/>
      <c r="EYU33" s="684"/>
      <c r="EYV33" s="684"/>
      <c r="EYW33" s="684"/>
      <c r="EYX33" s="684"/>
      <c r="EYY33" s="684"/>
      <c r="EYZ33" s="684"/>
      <c r="EZA33" s="684"/>
      <c r="EZB33" s="684"/>
      <c r="EZC33" s="684"/>
      <c r="EZD33" s="684"/>
      <c r="EZE33" s="684"/>
      <c r="EZF33" s="684"/>
      <c r="EZG33" s="684"/>
      <c r="EZH33" s="684"/>
      <c r="EZI33" s="684"/>
      <c r="EZJ33" s="684"/>
      <c r="EZK33" s="684"/>
      <c r="EZL33" s="684"/>
      <c r="EZM33" s="684"/>
      <c r="EZN33" s="684"/>
      <c r="EZO33" s="684"/>
      <c r="EZP33" s="684"/>
      <c r="EZQ33" s="684"/>
      <c r="EZR33" s="684"/>
      <c r="EZS33" s="684"/>
      <c r="EZT33" s="684"/>
      <c r="EZU33" s="684"/>
      <c r="EZV33" s="684"/>
      <c r="EZW33" s="684"/>
      <c r="EZX33" s="684"/>
      <c r="EZY33" s="684"/>
      <c r="EZZ33" s="684"/>
      <c r="FAA33" s="684"/>
      <c r="FAB33" s="684"/>
      <c r="FAC33" s="684"/>
      <c r="FAD33" s="684"/>
      <c r="FAE33" s="684"/>
      <c r="FAF33" s="684"/>
      <c r="FAG33" s="684"/>
      <c r="FAH33" s="684"/>
      <c r="FAI33" s="684"/>
      <c r="FAJ33" s="684"/>
      <c r="FAK33" s="684"/>
      <c r="FAL33" s="684"/>
      <c r="FAM33" s="684"/>
      <c r="FAN33" s="684"/>
      <c r="FAO33" s="684"/>
      <c r="FAP33" s="684"/>
      <c r="FAQ33" s="684"/>
      <c r="FAR33" s="684"/>
      <c r="FAS33" s="684"/>
      <c r="FAT33" s="684"/>
      <c r="FAU33" s="684"/>
      <c r="FAV33" s="684"/>
      <c r="FAW33" s="684"/>
      <c r="FAX33" s="684"/>
      <c r="FAY33" s="684"/>
      <c r="FAZ33" s="684"/>
      <c r="FBA33" s="684"/>
      <c r="FBB33" s="684"/>
      <c r="FBC33" s="684"/>
      <c r="FBD33" s="684"/>
      <c r="FBE33" s="684"/>
      <c r="FBF33" s="684"/>
      <c r="FBG33" s="684"/>
      <c r="FBH33" s="684"/>
      <c r="FBI33" s="684"/>
      <c r="FBJ33" s="684"/>
      <c r="FBK33" s="684"/>
      <c r="FBL33" s="684"/>
      <c r="FBM33" s="684"/>
      <c r="FBN33" s="684"/>
      <c r="FBO33" s="684"/>
      <c r="FBP33" s="684"/>
      <c r="FBQ33" s="684"/>
      <c r="FBR33" s="684"/>
      <c r="FBS33" s="684"/>
      <c r="FBT33" s="684"/>
      <c r="FBU33" s="684"/>
      <c r="FBV33" s="684"/>
      <c r="FBW33" s="684"/>
      <c r="FBX33" s="684"/>
      <c r="FBY33" s="684"/>
      <c r="FBZ33" s="684"/>
      <c r="FCA33" s="684"/>
      <c r="FCB33" s="684"/>
      <c r="FCC33" s="684"/>
      <c r="FCD33" s="684"/>
      <c r="FCE33" s="684"/>
      <c r="FCF33" s="684"/>
      <c r="FCG33" s="684"/>
      <c r="FCH33" s="684"/>
      <c r="FCI33" s="684"/>
      <c r="FCJ33" s="684"/>
      <c r="FCK33" s="684"/>
      <c r="FCL33" s="684"/>
      <c r="FCM33" s="684"/>
      <c r="FCN33" s="684"/>
      <c r="FCO33" s="684"/>
      <c r="FCP33" s="684"/>
      <c r="FCQ33" s="684"/>
      <c r="FCR33" s="684"/>
      <c r="FCS33" s="684"/>
      <c r="FCT33" s="684"/>
      <c r="FCU33" s="684"/>
      <c r="FCV33" s="684"/>
      <c r="FCW33" s="684"/>
      <c r="FCX33" s="684"/>
      <c r="FCY33" s="684"/>
      <c r="FCZ33" s="684"/>
      <c r="FDA33" s="684"/>
      <c r="FDB33" s="684"/>
      <c r="FDC33" s="684"/>
      <c r="FDD33" s="684"/>
      <c r="FDE33" s="684"/>
      <c r="FDF33" s="684"/>
      <c r="FDG33" s="684"/>
      <c r="FDH33" s="684"/>
      <c r="FDI33" s="684"/>
      <c r="FDJ33" s="684"/>
      <c r="FDK33" s="684"/>
      <c r="FDL33" s="684"/>
      <c r="FDM33" s="684"/>
      <c r="FDN33" s="684"/>
      <c r="FDO33" s="684"/>
      <c r="FDP33" s="684"/>
      <c r="FDQ33" s="684"/>
      <c r="FDR33" s="684"/>
      <c r="FDS33" s="684"/>
      <c r="FDT33" s="684"/>
      <c r="FDU33" s="684"/>
      <c r="FDV33" s="684"/>
      <c r="FDW33" s="684"/>
      <c r="FDX33" s="684"/>
      <c r="FDY33" s="684"/>
      <c r="FDZ33" s="684"/>
      <c r="FEA33" s="684"/>
      <c r="FEB33" s="684"/>
      <c r="FEC33" s="684"/>
      <c r="FED33" s="684"/>
      <c r="FEE33" s="684"/>
      <c r="FEF33" s="684"/>
      <c r="FEG33" s="684"/>
      <c r="FEH33" s="684"/>
      <c r="FEI33" s="684"/>
      <c r="FEJ33" s="684"/>
      <c r="FEK33" s="684"/>
      <c r="FEL33" s="684"/>
      <c r="FEM33" s="684"/>
      <c r="FEN33" s="684"/>
      <c r="FEO33" s="684"/>
      <c r="FEP33" s="684"/>
      <c r="FEQ33" s="684"/>
      <c r="FER33" s="684"/>
      <c r="FES33" s="684"/>
      <c r="FET33" s="684"/>
      <c r="FEU33" s="684"/>
      <c r="FEV33" s="684"/>
      <c r="FEW33" s="684"/>
      <c r="FEX33" s="684"/>
      <c r="FEY33" s="684"/>
      <c r="FEZ33" s="684"/>
      <c r="FFA33" s="684"/>
      <c r="FFB33" s="684"/>
      <c r="FFC33" s="684"/>
      <c r="FFD33" s="684"/>
      <c r="FFE33" s="684"/>
      <c r="FFF33" s="684"/>
      <c r="FFG33" s="684"/>
      <c r="FFH33" s="684"/>
      <c r="FFI33" s="684"/>
      <c r="FFJ33" s="684"/>
      <c r="FFK33" s="684"/>
      <c r="FFL33" s="684"/>
      <c r="FFM33" s="684"/>
      <c r="FFN33" s="684"/>
      <c r="FFO33" s="684"/>
      <c r="FFP33" s="684"/>
      <c r="FFQ33" s="684"/>
      <c r="FFR33" s="684"/>
      <c r="FFS33" s="684"/>
      <c r="FFT33" s="684"/>
      <c r="FFU33" s="684"/>
      <c r="FFV33" s="684"/>
      <c r="FFW33" s="684"/>
      <c r="FFX33" s="684"/>
      <c r="FFY33" s="684"/>
      <c r="FFZ33" s="684"/>
      <c r="FGA33" s="684"/>
      <c r="FGB33" s="684"/>
      <c r="FGC33" s="684"/>
      <c r="FGD33" s="684"/>
      <c r="FGE33" s="684"/>
      <c r="FGF33" s="684"/>
      <c r="FGG33" s="684"/>
      <c r="FGH33" s="684"/>
      <c r="FGI33" s="684"/>
      <c r="FGJ33" s="684"/>
      <c r="FGK33" s="684"/>
      <c r="FGL33" s="684"/>
      <c r="FGM33" s="684"/>
      <c r="FGN33" s="684"/>
      <c r="FGO33" s="684"/>
      <c r="FGP33" s="684"/>
      <c r="FGQ33" s="684"/>
      <c r="FGR33" s="684"/>
      <c r="FGS33" s="684"/>
      <c r="FGT33" s="684"/>
      <c r="FGU33" s="684"/>
      <c r="FGV33" s="684"/>
      <c r="FGW33" s="684"/>
      <c r="FGX33" s="684"/>
      <c r="FGY33" s="684"/>
      <c r="FGZ33" s="684"/>
      <c r="FHA33" s="684"/>
      <c r="FHB33" s="684"/>
      <c r="FHC33" s="684"/>
      <c r="FHD33" s="684"/>
      <c r="FHE33" s="684"/>
      <c r="FHF33" s="684"/>
      <c r="FHG33" s="684"/>
      <c r="FHH33" s="684"/>
      <c r="FHI33" s="684"/>
      <c r="FHJ33" s="684"/>
      <c r="FHK33" s="684"/>
      <c r="FHL33" s="684"/>
      <c r="FHM33" s="684"/>
      <c r="FHN33" s="684"/>
      <c r="FHO33" s="684"/>
      <c r="FHP33" s="684"/>
      <c r="FHQ33" s="684"/>
      <c r="FHR33" s="684"/>
      <c r="FHS33" s="684"/>
      <c r="FHT33" s="684"/>
      <c r="FHU33" s="684"/>
      <c r="FHV33" s="684"/>
      <c r="FHW33" s="684"/>
      <c r="FHX33" s="684"/>
      <c r="FHY33" s="684"/>
      <c r="FHZ33" s="684"/>
      <c r="FIA33" s="684"/>
      <c r="FIB33" s="684"/>
      <c r="FIC33" s="684"/>
      <c r="FID33" s="684"/>
      <c r="FIE33" s="684"/>
      <c r="FIF33" s="684"/>
      <c r="FIG33" s="684"/>
      <c r="FIH33" s="684"/>
      <c r="FII33" s="684"/>
      <c r="FIJ33" s="684"/>
      <c r="FIK33" s="684"/>
      <c r="FIL33" s="684"/>
      <c r="FIM33" s="684"/>
      <c r="FIN33" s="684"/>
      <c r="FIO33" s="684"/>
      <c r="FIP33" s="684"/>
      <c r="FIQ33" s="684"/>
      <c r="FIR33" s="684"/>
      <c r="FIS33" s="684"/>
      <c r="FIT33" s="684"/>
      <c r="FIU33" s="684"/>
      <c r="FIV33" s="684"/>
      <c r="FIW33" s="684"/>
      <c r="FIX33" s="684"/>
      <c r="FIY33" s="684"/>
      <c r="FIZ33" s="684"/>
      <c r="FJA33" s="684"/>
      <c r="FJB33" s="684"/>
      <c r="FJC33" s="684"/>
      <c r="FJD33" s="684"/>
      <c r="FJE33" s="684"/>
      <c r="FJF33" s="684"/>
      <c r="FJG33" s="684"/>
      <c r="FJH33" s="684"/>
      <c r="FJI33" s="684"/>
      <c r="FJJ33" s="684"/>
      <c r="FJK33" s="684"/>
      <c r="FJL33" s="684"/>
      <c r="FJM33" s="684"/>
      <c r="FJN33" s="684"/>
      <c r="FJO33" s="684"/>
      <c r="FJP33" s="684"/>
      <c r="FJQ33" s="684"/>
      <c r="FJR33" s="684"/>
      <c r="FJS33" s="684"/>
      <c r="FJT33" s="684"/>
      <c r="FJU33" s="684"/>
      <c r="FJV33" s="684"/>
      <c r="FJW33" s="684"/>
      <c r="FJX33" s="684"/>
      <c r="FJY33" s="684"/>
      <c r="FJZ33" s="684"/>
      <c r="FKA33" s="684"/>
      <c r="FKB33" s="684"/>
      <c r="FKC33" s="684"/>
      <c r="FKD33" s="684"/>
      <c r="FKE33" s="684"/>
      <c r="FKF33" s="684"/>
      <c r="FKG33" s="684"/>
      <c r="FKH33" s="684"/>
      <c r="FKI33" s="684"/>
      <c r="FKJ33" s="684"/>
      <c r="FKK33" s="684"/>
      <c r="FKL33" s="684"/>
      <c r="FKM33" s="684"/>
      <c r="FKN33" s="684"/>
      <c r="FKO33" s="684"/>
      <c r="FKP33" s="684"/>
      <c r="FKQ33" s="684"/>
      <c r="FKR33" s="684"/>
      <c r="FKS33" s="684"/>
      <c r="FKT33" s="684"/>
      <c r="FKU33" s="684"/>
      <c r="FKV33" s="684"/>
      <c r="FKW33" s="684"/>
      <c r="FKX33" s="684"/>
      <c r="FKY33" s="684"/>
      <c r="FKZ33" s="684"/>
      <c r="FLA33" s="684"/>
      <c r="FLB33" s="684"/>
      <c r="FLC33" s="684"/>
      <c r="FLD33" s="684"/>
      <c r="FLE33" s="684"/>
      <c r="FLF33" s="684"/>
      <c r="FLG33" s="684"/>
      <c r="FLH33" s="684"/>
      <c r="FLI33" s="684"/>
      <c r="FLJ33" s="684"/>
      <c r="FLK33" s="684"/>
      <c r="FLL33" s="684"/>
      <c r="FLM33" s="684"/>
      <c r="FLN33" s="684"/>
      <c r="FLO33" s="684"/>
      <c r="FLP33" s="684"/>
      <c r="FLQ33" s="684"/>
      <c r="FLR33" s="684"/>
      <c r="FLS33" s="684"/>
      <c r="FLT33" s="684"/>
      <c r="FLU33" s="684"/>
      <c r="FLV33" s="684"/>
      <c r="FLW33" s="684"/>
      <c r="FLX33" s="684"/>
      <c r="FLY33" s="684"/>
      <c r="FLZ33" s="684"/>
      <c r="FMA33" s="684"/>
      <c r="FMB33" s="684"/>
      <c r="FMC33" s="684"/>
      <c r="FMD33" s="684"/>
      <c r="FME33" s="684"/>
      <c r="FMF33" s="684"/>
      <c r="FMG33" s="684"/>
      <c r="FMH33" s="684"/>
      <c r="FMI33" s="684"/>
      <c r="FMJ33" s="684"/>
      <c r="FMK33" s="684"/>
      <c r="FML33" s="684"/>
      <c r="FMM33" s="684"/>
      <c r="FMN33" s="684"/>
      <c r="FMO33" s="684"/>
      <c r="FMP33" s="684"/>
      <c r="FMQ33" s="684"/>
      <c r="FMR33" s="684"/>
      <c r="FMS33" s="684"/>
      <c r="FMT33" s="684"/>
      <c r="FMU33" s="684"/>
      <c r="FMV33" s="684"/>
      <c r="FMW33" s="684"/>
      <c r="FMX33" s="684"/>
      <c r="FMY33" s="684"/>
      <c r="FMZ33" s="684"/>
      <c r="FNA33" s="684"/>
      <c r="FNB33" s="684"/>
      <c r="FNC33" s="684"/>
      <c r="FND33" s="684"/>
      <c r="FNE33" s="684"/>
      <c r="FNF33" s="684"/>
      <c r="FNG33" s="684"/>
      <c r="FNH33" s="684"/>
      <c r="FNI33" s="684"/>
      <c r="FNJ33" s="684"/>
      <c r="FNK33" s="684"/>
      <c r="FNL33" s="684"/>
      <c r="FNM33" s="684"/>
      <c r="FNN33" s="684"/>
      <c r="FNO33" s="684"/>
      <c r="FNP33" s="684"/>
      <c r="FNQ33" s="684"/>
      <c r="FNR33" s="684"/>
      <c r="FNS33" s="684"/>
      <c r="FNT33" s="684"/>
      <c r="FNU33" s="684"/>
      <c r="FNV33" s="684"/>
      <c r="FNW33" s="684"/>
      <c r="FNX33" s="684"/>
      <c r="FNY33" s="684"/>
      <c r="FNZ33" s="684"/>
      <c r="FOA33" s="684"/>
      <c r="FOB33" s="684"/>
      <c r="FOC33" s="684"/>
      <c r="FOD33" s="684"/>
      <c r="FOE33" s="684"/>
      <c r="FOF33" s="684"/>
      <c r="FOG33" s="684"/>
      <c r="FOH33" s="684"/>
      <c r="FOI33" s="684"/>
      <c r="FOJ33" s="684"/>
      <c r="FOK33" s="684"/>
      <c r="FOL33" s="684"/>
      <c r="FOM33" s="684"/>
      <c r="FON33" s="684"/>
      <c r="FOO33" s="684"/>
      <c r="FOP33" s="684"/>
      <c r="FOQ33" s="684"/>
      <c r="FOR33" s="684"/>
      <c r="FOS33" s="684"/>
      <c r="FOT33" s="684"/>
      <c r="FOU33" s="684"/>
      <c r="FOV33" s="684"/>
      <c r="FOW33" s="684"/>
      <c r="FOX33" s="684"/>
      <c r="FOY33" s="684"/>
      <c r="FOZ33" s="684"/>
      <c r="FPA33" s="684"/>
      <c r="FPB33" s="684"/>
      <c r="FPC33" s="684"/>
      <c r="FPD33" s="684"/>
      <c r="FPE33" s="684"/>
      <c r="FPF33" s="684"/>
      <c r="FPG33" s="684"/>
      <c r="FPH33" s="684"/>
      <c r="FPI33" s="684"/>
      <c r="FPJ33" s="684"/>
      <c r="FPK33" s="684"/>
      <c r="FPL33" s="684"/>
      <c r="FPM33" s="684"/>
      <c r="FPN33" s="684"/>
      <c r="FPO33" s="684"/>
      <c r="FPP33" s="684"/>
      <c r="FPQ33" s="684"/>
      <c r="FPR33" s="684"/>
      <c r="FPS33" s="684"/>
      <c r="FPT33" s="684"/>
      <c r="FPU33" s="684"/>
      <c r="FPV33" s="684"/>
      <c r="FPW33" s="684"/>
      <c r="FPX33" s="684"/>
      <c r="FPY33" s="684"/>
      <c r="FPZ33" s="684"/>
      <c r="FQA33" s="684"/>
      <c r="FQB33" s="684"/>
      <c r="FQC33" s="684"/>
      <c r="FQD33" s="684"/>
      <c r="FQE33" s="684"/>
      <c r="FQF33" s="684"/>
      <c r="FQG33" s="684"/>
      <c r="FQH33" s="684"/>
      <c r="FQI33" s="684"/>
      <c r="FQJ33" s="684"/>
      <c r="FQK33" s="684"/>
      <c r="FQL33" s="684"/>
      <c r="FQM33" s="684"/>
      <c r="FQN33" s="684"/>
      <c r="FQO33" s="684"/>
      <c r="FQP33" s="684"/>
      <c r="FQQ33" s="684"/>
      <c r="FQR33" s="684"/>
      <c r="FQS33" s="684"/>
      <c r="FQT33" s="684"/>
      <c r="FQU33" s="684"/>
      <c r="FQV33" s="684"/>
      <c r="FQW33" s="684"/>
      <c r="FQX33" s="684"/>
      <c r="FQY33" s="684"/>
      <c r="FQZ33" s="684"/>
      <c r="FRA33" s="684"/>
      <c r="FRB33" s="684"/>
      <c r="FRC33" s="684"/>
      <c r="FRD33" s="684"/>
      <c r="FRE33" s="684"/>
      <c r="FRF33" s="684"/>
      <c r="FRG33" s="684"/>
      <c r="FRH33" s="684"/>
      <c r="FRI33" s="684"/>
      <c r="FRJ33" s="684"/>
      <c r="FRK33" s="684"/>
      <c r="FRL33" s="684"/>
      <c r="FRM33" s="684"/>
      <c r="FRN33" s="684"/>
      <c r="FRO33" s="684"/>
      <c r="FRP33" s="684"/>
      <c r="FRQ33" s="684"/>
      <c r="FRR33" s="684"/>
      <c r="FRS33" s="684"/>
      <c r="FRT33" s="684"/>
      <c r="FRU33" s="684"/>
      <c r="FRV33" s="684"/>
      <c r="FRW33" s="684"/>
      <c r="FRX33" s="684"/>
      <c r="FRY33" s="684"/>
      <c r="FRZ33" s="684"/>
      <c r="FSA33" s="684"/>
      <c r="FSB33" s="684"/>
      <c r="FSC33" s="684"/>
      <c r="FSD33" s="684"/>
      <c r="FSE33" s="684"/>
      <c r="FSF33" s="684"/>
      <c r="FSG33" s="684"/>
      <c r="FSH33" s="684"/>
      <c r="FSI33" s="684"/>
      <c r="FSJ33" s="684"/>
      <c r="FSK33" s="684"/>
      <c r="FSL33" s="684"/>
      <c r="FSM33" s="684"/>
      <c r="FSN33" s="684"/>
      <c r="FSO33" s="684"/>
      <c r="FSP33" s="684"/>
      <c r="FSQ33" s="684"/>
      <c r="FSR33" s="684"/>
      <c r="FSS33" s="684"/>
      <c r="FST33" s="684"/>
      <c r="FSU33" s="684"/>
      <c r="FSV33" s="684"/>
      <c r="FSW33" s="684"/>
      <c r="FSX33" s="684"/>
      <c r="FSY33" s="684"/>
      <c r="FSZ33" s="684"/>
      <c r="FTA33" s="684"/>
      <c r="FTB33" s="684"/>
      <c r="FTC33" s="684"/>
      <c r="FTD33" s="684"/>
      <c r="FTE33" s="684"/>
      <c r="FTF33" s="684"/>
      <c r="FTG33" s="684"/>
      <c r="FTH33" s="684"/>
      <c r="FTI33" s="684"/>
      <c r="FTJ33" s="684"/>
      <c r="FTK33" s="684"/>
      <c r="FTL33" s="684"/>
      <c r="FTM33" s="684"/>
      <c r="FTN33" s="684"/>
      <c r="FTO33" s="684"/>
      <c r="FTP33" s="684"/>
      <c r="FTQ33" s="684"/>
      <c r="FTR33" s="684"/>
      <c r="FTS33" s="684"/>
      <c r="FTT33" s="684"/>
      <c r="FTU33" s="684"/>
      <c r="FTV33" s="684"/>
      <c r="FTW33" s="684"/>
      <c r="FTX33" s="684"/>
      <c r="FTY33" s="684"/>
      <c r="FTZ33" s="684"/>
      <c r="FUA33" s="684"/>
      <c r="FUB33" s="684"/>
      <c r="FUC33" s="684"/>
      <c r="FUD33" s="684"/>
      <c r="FUE33" s="684"/>
      <c r="FUF33" s="684"/>
      <c r="FUG33" s="684"/>
      <c r="FUH33" s="684"/>
      <c r="FUI33" s="684"/>
      <c r="FUJ33" s="684"/>
      <c r="FUK33" s="684"/>
      <c r="FUL33" s="684"/>
      <c r="FUM33" s="684"/>
      <c r="FUN33" s="684"/>
      <c r="FUO33" s="684"/>
      <c r="FUP33" s="684"/>
      <c r="FUQ33" s="684"/>
      <c r="FUR33" s="684"/>
      <c r="FUS33" s="684"/>
      <c r="FUT33" s="684"/>
      <c r="FUU33" s="684"/>
      <c r="FUV33" s="684"/>
      <c r="FUW33" s="684"/>
      <c r="FUX33" s="684"/>
      <c r="FUY33" s="684"/>
      <c r="FUZ33" s="684"/>
      <c r="FVA33" s="684"/>
      <c r="FVB33" s="684"/>
      <c r="FVC33" s="684"/>
      <c r="FVD33" s="684"/>
      <c r="FVE33" s="684"/>
      <c r="FVF33" s="684"/>
      <c r="FVG33" s="684"/>
      <c r="FVH33" s="684"/>
      <c r="FVI33" s="684"/>
      <c r="FVJ33" s="684"/>
      <c r="FVK33" s="684"/>
      <c r="FVL33" s="684"/>
      <c r="FVM33" s="684"/>
      <c r="FVN33" s="684"/>
      <c r="FVO33" s="684"/>
      <c r="FVP33" s="684"/>
      <c r="FVQ33" s="684"/>
      <c r="FVR33" s="684"/>
      <c r="FVS33" s="684"/>
      <c r="FVT33" s="684"/>
      <c r="FVU33" s="684"/>
      <c r="FVV33" s="684"/>
      <c r="FVW33" s="684"/>
      <c r="FVX33" s="684"/>
      <c r="FVY33" s="684"/>
      <c r="FVZ33" s="684"/>
      <c r="FWA33" s="684"/>
      <c r="FWB33" s="684"/>
      <c r="FWC33" s="684"/>
      <c r="FWD33" s="684"/>
      <c r="FWE33" s="684"/>
      <c r="FWF33" s="684"/>
      <c r="FWG33" s="684"/>
      <c r="FWH33" s="684"/>
      <c r="FWI33" s="684"/>
      <c r="FWJ33" s="684"/>
      <c r="FWK33" s="684"/>
      <c r="FWL33" s="684"/>
      <c r="FWM33" s="684"/>
      <c r="FWN33" s="684"/>
      <c r="FWO33" s="684"/>
      <c r="FWP33" s="684"/>
      <c r="FWQ33" s="684"/>
      <c r="FWR33" s="684"/>
      <c r="FWS33" s="684"/>
      <c r="FWT33" s="684"/>
      <c r="FWU33" s="684"/>
      <c r="FWV33" s="684"/>
      <c r="FWW33" s="684"/>
      <c r="FWX33" s="684"/>
      <c r="FWY33" s="684"/>
      <c r="FWZ33" s="684"/>
      <c r="FXA33" s="684"/>
      <c r="FXB33" s="684"/>
      <c r="FXC33" s="684"/>
      <c r="FXD33" s="684"/>
      <c r="FXE33" s="684"/>
      <c r="FXF33" s="684"/>
      <c r="FXG33" s="684"/>
      <c r="FXH33" s="684"/>
      <c r="FXI33" s="684"/>
      <c r="FXJ33" s="684"/>
      <c r="FXK33" s="684"/>
      <c r="FXL33" s="684"/>
      <c r="FXM33" s="684"/>
      <c r="FXN33" s="684"/>
      <c r="FXO33" s="684"/>
      <c r="FXP33" s="684"/>
      <c r="FXQ33" s="684"/>
      <c r="FXR33" s="684"/>
      <c r="FXS33" s="684"/>
      <c r="FXT33" s="684"/>
      <c r="FXU33" s="684"/>
      <c r="FXV33" s="684"/>
      <c r="FXW33" s="684"/>
      <c r="FXX33" s="684"/>
      <c r="FXY33" s="684"/>
      <c r="FXZ33" s="684"/>
      <c r="FYA33" s="684"/>
      <c r="FYB33" s="684"/>
      <c r="FYC33" s="684"/>
      <c r="FYD33" s="684"/>
      <c r="FYE33" s="684"/>
      <c r="FYF33" s="684"/>
      <c r="FYG33" s="684"/>
      <c r="FYH33" s="684"/>
      <c r="FYI33" s="684"/>
      <c r="FYJ33" s="684"/>
      <c r="FYK33" s="684"/>
      <c r="FYL33" s="684"/>
      <c r="FYM33" s="684"/>
      <c r="FYN33" s="684"/>
      <c r="FYO33" s="684"/>
      <c r="FYP33" s="684"/>
      <c r="FYQ33" s="684"/>
      <c r="FYR33" s="684"/>
      <c r="FYS33" s="684"/>
      <c r="FYT33" s="684"/>
      <c r="FYU33" s="684"/>
      <c r="FYV33" s="684"/>
      <c r="FYW33" s="684"/>
      <c r="FYX33" s="684"/>
      <c r="FYY33" s="684"/>
      <c r="FYZ33" s="684"/>
      <c r="FZA33" s="684"/>
      <c r="FZB33" s="684"/>
      <c r="FZC33" s="684"/>
      <c r="FZD33" s="684"/>
      <c r="FZE33" s="684"/>
      <c r="FZF33" s="684"/>
      <c r="FZG33" s="684"/>
      <c r="FZH33" s="684"/>
      <c r="FZI33" s="684"/>
      <c r="FZJ33" s="684"/>
      <c r="FZK33" s="684"/>
      <c r="FZL33" s="684"/>
      <c r="FZM33" s="684"/>
      <c r="FZN33" s="684"/>
      <c r="FZO33" s="684"/>
      <c r="FZP33" s="684"/>
      <c r="FZQ33" s="684"/>
      <c r="FZR33" s="684"/>
      <c r="FZS33" s="684"/>
      <c r="FZT33" s="684"/>
      <c r="FZU33" s="684"/>
      <c r="FZV33" s="684"/>
      <c r="FZW33" s="684"/>
      <c r="FZX33" s="684"/>
      <c r="FZY33" s="684"/>
      <c r="FZZ33" s="684"/>
      <c r="GAA33" s="684"/>
      <c r="GAB33" s="684"/>
      <c r="GAC33" s="684"/>
      <c r="GAD33" s="684"/>
      <c r="GAE33" s="684"/>
      <c r="GAF33" s="684"/>
      <c r="GAG33" s="684"/>
      <c r="GAH33" s="684"/>
      <c r="GAI33" s="684"/>
      <c r="GAJ33" s="684"/>
      <c r="GAK33" s="684"/>
      <c r="GAL33" s="684"/>
      <c r="GAM33" s="684"/>
      <c r="GAN33" s="684"/>
      <c r="GAO33" s="684"/>
      <c r="GAP33" s="684"/>
      <c r="GAQ33" s="684"/>
      <c r="GAR33" s="684"/>
      <c r="GAS33" s="684"/>
      <c r="GAT33" s="684"/>
      <c r="GAU33" s="684"/>
      <c r="GAV33" s="684"/>
      <c r="GAW33" s="684"/>
      <c r="GAX33" s="684"/>
      <c r="GAY33" s="684"/>
      <c r="GAZ33" s="684"/>
      <c r="GBA33" s="684"/>
      <c r="GBB33" s="684"/>
      <c r="GBC33" s="684"/>
      <c r="GBD33" s="684"/>
      <c r="GBE33" s="684"/>
      <c r="GBF33" s="684"/>
      <c r="GBG33" s="684"/>
      <c r="GBH33" s="684"/>
      <c r="GBI33" s="684"/>
      <c r="GBJ33" s="684"/>
      <c r="GBK33" s="684"/>
      <c r="GBL33" s="684"/>
      <c r="GBM33" s="684"/>
      <c r="GBN33" s="684"/>
      <c r="GBO33" s="684"/>
      <c r="GBP33" s="684"/>
      <c r="GBQ33" s="684"/>
      <c r="GBR33" s="684"/>
      <c r="GBS33" s="684"/>
      <c r="GBT33" s="684"/>
      <c r="GBU33" s="684"/>
      <c r="GBV33" s="684"/>
      <c r="GBW33" s="684"/>
      <c r="GBX33" s="684"/>
      <c r="GBY33" s="684"/>
      <c r="GBZ33" s="684"/>
      <c r="GCA33" s="684"/>
      <c r="GCB33" s="684"/>
      <c r="GCC33" s="684"/>
      <c r="GCD33" s="684"/>
      <c r="GCE33" s="684"/>
      <c r="GCF33" s="684"/>
      <c r="GCG33" s="684"/>
      <c r="GCH33" s="684"/>
      <c r="GCI33" s="684"/>
      <c r="GCJ33" s="684"/>
      <c r="GCK33" s="684"/>
      <c r="GCL33" s="684"/>
      <c r="GCM33" s="684"/>
      <c r="GCN33" s="684"/>
      <c r="GCO33" s="684"/>
      <c r="GCP33" s="684"/>
      <c r="GCQ33" s="684"/>
      <c r="GCR33" s="684"/>
      <c r="GCS33" s="684"/>
      <c r="GCT33" s="684"/>
      <c r="GCU33" s="684"/>
      <c r="GCV33" s="684"/>
      <c r="GCW33" s="684"/>
      <c r="GCX33" s="684"/>
      <c r="GCY33" s="684"/>
      <c r="GCZ33" s="684"/>
      <c r="GDA33" s="684"/>
      <c r="GDB33" s="684"/>
      <c r="GDC33" s="684"/>
      <c r="GDD33" s="684"/>
      <c r="GDE33" s="684"/>
      <c r="GDF33" s="684"/>
      <c r="GDG33" s="684"/>
      <c r="GDH33" s="684"/>
      <c r="GDI33" s="684"/>
      <c r="GDJ33" s="684"/>
      <c r="GDK33" s="684"/>
      <c r="GDL33" s="684"/>
      <c r="GDM33" s="684"/>
      <c r="GDN33" s="684"/>
      <c r="GDO33" s="684"/>
      <c r="GDP33" s="684"/>
      <c r="GDQ33" s="684"/>
      <c r="GDR33" s="684"/>
      <c r="GDS33" s="684"/>
      <c r="GDT33" s="684"/>
      <c r="GDU33" s="684"/>
      <c r="GDV33" s="684"/>
      <c r="GDW33" s="684"/>
      <c r="GDX33" s="684"/>
      <c r="GDY33" s="684"/>
      <c r="GDZ33" s="684"/>
      <c r="GEA33" s="684"/>
      <c r="GEB33" s="684"/>
      <c r="GEC33" s="684"/>
      <c r="GED33" s="684"/>
      <c r="GEE33" s="684"/>
      <c r="GEF33" s="684"/>
      <c r="GEG33" s="684"/>
      <c r="GEH33" s="684"/>
      <c r="GEI33" s="684"/>
      <c r="GEJ33" s="684"/>
      <c r="GEK33" s="684"/>
      <c r="GEL33" s="684"/>
      <c r="GEM33" s="684"/>
      <c r="GEN33" s="684"/>
      <c r="GEO33" s="684"/>
      <c r="GEP33" s="684"/>
      <c r="GEQ33" s="684"/>
      <c r="GER33" s="684"/>
      <c r="GES33" s="684"/>
      <c r="GET33" s="684"/>
      <c r="GEU33" s="684"/>
      <c r="GEV33" s="684"/>
      <c r="GEW33" s="684"/>
      <c r="GEX33" s="684"/>
      <c r="GEY33" s="684"/>
      <c r="GEZ33" s="684"/>
      <c r="GFA33" s="684"/>
      <c r="GFB33" s="684"/>
      <c r="GFC33" s="684"/>
      <c r="GFD33" s="684"/>
      <c r="GFE33" s="684"/>
      <c r="GFF33" s="684"/>
      <c r="GFG33" s="684"/>
      <c r="GFH33" s="684"/>
      <c r="GFI33" s="684"/>
      <c r="GFJ33" s="684"/>
      <c r="GFK33" s="684"/>
      <c r="GFL33" s="684"/>
      <c r="GFM33" s="684"/>
      <c r="GFN33" s="684"/>
      <c r="GFO33" s="684"/>
      <c r="GFP33" s="684"/>
      <c r="GFQ33" s="684"/>
      <c r="GFR33" s="684"/>
      <c r="GFS33" s="684"/>
      <c r="GFT33" s="684"/>
      <c r="GFU33" s="684"/>
      <c r="GFV33" s="684"/>
      <c r="GFW33" s="684"/>
      <c r="GFX33" s="684"/>
      <c r="GFY33" s="684"/>
      <c r="GFZ33" s="684"/>
      <c r="GGA33" s="684"/>
      <c r="GGB33" s="684"/>
      <c r="GGC33" s="684"/>
      <c r="GGD33" s="684"/>
      <c r="GGE33" s="684"/>
      <c r="GGF33" s="684"/>
      <c r="GGG33" s="684"/>
      <c r="GGH33" s="684"/>
      <c r="GGI33" s="684"/>
      <c r="GGJ33" s="684"/>
      <c r="GGK33" s="684"/>
      <c r="GGL33" s="684"/>
      <c r="GGM33" s="684"/>
      <c r="GGN33" s="684"/>
      <c r="GGO33" s="684"/>
      <c r="GGP33" s="684"/>
      <c r="GGQ33" s="684"/>
      <c r="GGR33" s="684"/>
      <c r="GGS33" s="684"/>
      <c r="GGT33" s="684"/>
      <c r="GGU33" s="684"/>
      <c r="GGV33" s="684"/>
      <c r="GGW33" s="684"/>
      <c r="GGX33" s="684"/>
      <c r="GGY33" s="684"/>
      <c r="GGZ33" s="684"/>
      <c r="GHA33" s="684"/>
      <c r="GHB33" s="684"/>
      <c r="GHC33" s="684"/>
      <c r="GHD33" s="684"/>
      <c r="GHE33" s="684"/>
      <c r="GHF33" s="684"/>
      <c r="GHG33" s="684"/>
      <c r="GHH33" s="684"/>
      <c r="GHI33" s="684"/>
      <c r="GHJ33" s="684"/>
      <c r="GHK33" s="684"/>
      <c r="GHL33" s="684"/>
      <c r="GHM33" s="684"/>
      <c r="GHN33" s="684"/>
      <c r="GHO33" s="684"/>
      <c r="GHP33" s="684"/>
      <c r="GHQ33" s="684"/>
      <c r="GHR33" s="684"/>
      <c r="GHS33" s="684"/>
      <c r="GHT33" s="684"/>
      <c r="GHU33" s="684"/>
      <c r="GHV33" s="684"/>
      <c r="GHW33" s="684"/>
      <c r="GHX33" s="684"/>
      <c r="GHY33" s="684"/>
      <c r="GHZ33" s="684"/>
      <c r="GIA33" s="684"/>
      <c r="GIB33" s="684"/>
      <c r="GIC33" s="684"/>
      <c r="GID33" s="684"/>
      <c r="GIE33" s="684"/>
      <c r="GIF33" s="684"/>
      <c r="GIG33" s="684"/>
      <c r="GIH33" s="684"/>
      <c r="GII33" s="684"/>
      <c r="GIJ33" s="684"/>
      <c r="GIK33" s="684"/>
      <c r="GIL33" s="684"/>
      <c r="GIM33" s="684"/>
      <c r="GIN33" s="684"/>
      <c r="GIO33" s="684"/>
      <c r="GIP33" s="684"/>
      <c r="GIQ33" s="684"/>
      <c r="GIR33" s="684"/>
      <c r="GIS33" s="684"/>
      <c r="GIT33" s="684"/>
      <c r="GIU33" s="684"/>
      <c r="GIV33" s="684"/>
      <c r="GIW33" s="684"/>
      <c r="GIX33" s="684"/>
      <c r="GIY33" s="684"/>
      <c r="GIZ33" s="684"/>
      <c r="GJA33" s="684"/>
      <c r="GJB33" s="684"/>
      <c r="GJC33" s="684"/>
      <c r="GJD33" s="684"/>
      <c r="GJE33" s="684"/>
      <c r="GJF33" s="684"/>
      <c r="GJG33" s="684"/>
      <c r="GJH33" s="684"/>
      <c r="GJI33" s="684"/>
      <c r="GJJ33" s="684"/>
      <c r="GJK33" s="684"/>
      <c r="GJL33" s="684"/>
      <c r="GJM33" s="684"/>
      <c r="GJN33" s="684"/>
      <c r="GJO33" s="684"/>
      <c r="GJP33" s="684"/>
      <c r="GJQ33" s="684"/>
      <c r="GJR33" s="684"/>
      <c r="GJS33" s="684"/>
      <c r="GJT33" s="684"/>
      <c r="GJU33" s="684"/>
      <c r="GJV33" s="684"/>
      <c r="GJW33" s="684"/>
      <c r="GJX33" s="684"/>
      <c r="GJY33" s="684"/>
      <c r="GJZ33" s="684"/>
      <c r="GKA33" s="684"/>
      <c r="GKB33" s="684"/>
      <c r="GKC33" s="684"/>
      <c r="GKD33" s="684"/>
      <c r="GKE33" s="684"/>
      <c r="GKF33" s="684"/>
      <c r="GKG33" s="684"/>
      <c r="GKH33" s="684"/>
      <c r="GKI33" s="684"/>
      <c r="GKJ33" s="684"/>
      <c r="GKK33" s="684"/>
      <c r="GKL33" s="684"/>
      <c r="GKM33" s="684"/>
      <c r="GKN33" s="684"/>
      <c r="GKO33" s="684"/>
      <c r="GKP33" s="684"/>
      <c r="GKQ33" s="684"/>
      <c r="GKR33" s="684"/>
      <c r="GKS33" s="684"/>
      <c r="GKT33" s="684"/>
      <c r="GKU33" s="684"/>
      <c r="GKV33" s="684"/>
      <c r="GKW33" s="684"/>
      <c r="GKX33" s="684"/>
      <c r="GKY33" s="684"/>
      <c r="GKZ33" s="684"/>
      <c r="GLA33" s="684"/>
      <c r="GLB33" s="684"/>
      <c r="GLC33" s="684"/>
      <c r="GLD33" s="684"/>
      <c r="GLE33" s="684"/>
      <c r="GLF33" s="684"/>
      <c r="GLG33" s="684"/>
      <c r="GLH33" s="684"/>
      <c r="GLI33" s="684"/>
      <c r="GLJ33" s="684"/>
      <c r="GLK33" s="684"/>
      <c r="GLL33" s="684"/>
      <c r="GLM33" s="684"/>
      <c r="GLN33" s="684"/>
      <c r="GLO33" s="684"/>
      <c r="GLP33" s="684"/>
      <c r="GLQ33" s="684"/>
      <c r="GLR33" s="684"/>
      <c r="GLS33" s="684"/>
      <c r="GLT33" s="684"/>
      <c r="GLU33" s="684"/>
      <c r="GLV33" s="684"/>
      <c r="GLW33" s="684"/>
      <c r="GLX33" s="684"/>
      <c r="GLY33" s="684"/>
      <c r="GLZ33" s="684"/>
      <c r="GMA33" s="684"/>
      <c r="GMB33" s="684"/>
      <c r="GMC33" s="684"/>
      <c r="GMD33" s="684"/>
      <c r="GME33" s="684"/>
      <c r="GMF33" s="684"/>
      <c r="GMG33" s="684"/>
      <c r="GMH33" s="684"/>
      <c r="GMI33" s="684"/>
      <c r="GMJ33" s="684"/>
      <c r="GMK33" s="684"/>
      <c r="GML33" s="684"/>
      <c r="GMM33" s="684"/>
      <c r="GMN33" s="684"/>
      <c r="GMO33" s="684"/>
      <c r="GMP33" s="684"/>
      <c r="GMQ33" s="684"/>
      <c r="GMR33" s="684"/>
      <c r="GMS33" s="684"/>
      <c r="GMT33" s="684"/>
      <c r="GMU33" s="684"/>
      <c r="GMV33" s="684"/>
      <c r="GMW33" s="684"/>
      <c r="GMX33" s="684"/>
      <c r="GMY33" s="684"/>
      <c r="GMZ33" s="684"/>
      <c r="GNA33" s="684"/>
      <c r="GNB33" s="684"/>
      <c r="GNC33" s="684"/>
      <c r="GND33" s="684"/>
      <c r="GNE33" s="684"/>
      <c r="GNF33" s="684"/>
      <c r="GNG33" s="684"/>
      <c r="GNH33" s="684"/>
      <c r="GNI33" s="684"/>
      <c r="GNJ33" s="684"/>
      <c r="GNK33" s="684"/>
      <c r="GNL33" s="684"/>
      <c r="GNM33" s="684"/>
      <c r="GNN33" s="684"/>
      <c r="GNO33" s="684"/>
      <c r="GNP33" s="684"/>
      <c r="GNQ33" s="684"/>
      <c r="GNR33" s="684"/>
      <c r="GNS33" s="684"/>
      <c r="GNT33" s="684"/>
      <c r="GNU33" s="684"/>
      <c r="GNV33" s="684"/>
      <c r="GNW33" s="684"/>
      <c r="GNX33" s="684"/>
      <c r="GNY33" s="684"/>
      <c r="GNZ33" s="684"/>
      <c r="GOA33" s="684"/>
      <c r="GOB33" s="684"/>
      <c r="GOC33" s="684"/>
      <c r="GOD33" s="684"/>
      <c r="GOE33" s="684"/>
      <c r="GOF33" s="684"/>
      <c r="GOG33" s="684"/>
      <c r="GOH33" s="684"/>
      <c r="GOI33" s="684"/>
      <c r="GOJ33" s="684"/>
      <c r="GOK33" s="684"/>
      <c r="GOL33" s="684"/>
      <c r="GOM33" s="684"/>
      <c r="GON33" s="684"/>
      <c r="GOO33" s="684"/>
      <c r="GOP33" s="684"/>
      <c r="GOQ33" s="684"/>
      <c r="GOR33" s="684"/>
      <c r="GOS33" s="684"/>
      <c r="GOT33" s="684"/>
      <c r="GOU33" s="684"/>
      <c r="GOV33" s="684"/>
      <c r="GOW33" s="684"/>
      <c r="GOX33" s="684"/>
      <c r="GOY33" s="684"/>
      <c r="GOZ33" s="684"/>
      <c r="GPA33" s="684"/>
      <c r="GPB33" s="684"/>
      <c r="GPC33" s="684"/>
      <c r="GPD33" s="684"/>
      <c r="GPE33" s="684"/>
      <c r="GPF33" s="684"/>
      <c r="GPG33" s="684"/>
      <c r="GPH33" s="684"/>
      <c r="GPI33" s="684"/>
      <c r="GPJ33" s="684"/>
      <c r="GPK33" s="684"/>
      <c r="GPL33" s="684"/>
      <c r="GPM33" s="684"/>
      <c r="GPN33" s="684"/>
      <c r="GPO33" s="684"/>
      <c r="GPP33" s="684"/>
      <c r="GPQ33" s="684"/>
      <c r="GPR33" s="684"/>
      <c r="GPS33" s="684"/>
      <c r="GPT33" s="684"/>
      <c r="GPU33" s="684"/>
      <c r="GPV33" s="684"/>
      <c r="GPW33" s="684"/>
      <c r="GPX33" s="684"/>
      <c r="GPY33" s="684"/>
      <c r="GPZ33" s="684"/>
      <c r="GQA33" s="684"/>
      <c r="GQB33" s="684"/>
      <c r="GQC33" s="684"/>
      <c r="GQD33" s="684"/>
      <c r="GQE33" s="684"/>
      <c r="GQF33" s="684"/>
      <c r="GQG33" s="684"/>
      <c r="GQH33" s="684"/>
      <c r="GQI33" s="684"/>
      <c r="GQJ33" s="684"/>
      <c r="GQK33" s="684"/>
      <c r="GQL33" s="684"/>
      <c r="GQM33" s="684"/>
      <c r="GQN33" s="684"/>
      <c r="GQO33" s="684"/>
      <c r="GQP33" s="684"/>
      <c r="GQQ33" s="684"/>
      <c r="GQR33" s="684"/>
      <c r="GQS33" s="684"/>
      <c r="GQT33" s="684"/>
      <c r="GQU33" s="684"/>
      <c r="GQV33" s="684"/>
      <c r="GQW33" s="684"/>
      <c r="GQX33" s="684"/>
      <c r="GQY33" s="684"/>
      <c r="GQZ33" s="684"/>
      <c r="GRA33" s="684"/>
      <c r="GRB33" s="684"/>
      <c r="GRC33" s="684"/>
      <c r="GRD33" s="684"/>
      <c r="GRE33" s="684"/>
      <c r="GRF33" s="684"/>
      <c r="GRG33" s="684"/>
      <c r="GRH33" s="684"/>
      <c r="GRI33" s="684"/>
      <c r="GRJ33" s="684"/>
      <c r="GRK33" s="684"/>
      <c r="GRL33" s="684"/>
      <c r="GRM33" s="684"/>
      <c r="GRN33" s="684"/>
      <c r="GRO33" s="684"/>
      <c r="GRP33" s="684"/>
      <c r="GRQ33" s="684"/>
      <c r="GRR33" s="684"/>
      <c r="GRS33" s="684"/>
      <c r="GRT33" s="684"/>
      <c r="GRU33" s="684"/>
      <c r="GRV33" s="684"/>
      <c r="GRW33" s="684"/>
      <c r="GRX33" s="684"/>
      <c r="GRY33" s="684"/>
      <c r="GRZ33" s="684"/>
      <c r="GSA33" s="684"/>
      <c r="GSB33" s="684"/>
      <c r="GSC33" s="684"/>
      <c r="GSD33" s="684"/>
      <c r="GSE33" s="684"/>
      <c r="GSF33" s="684"/>
      <c r="GSG33" s="684"/>
      <c r="GSH33" s="684"/>
      <c r="GSI33" s="684"/>
      <c r="GSJ33" s="684"/>
      <c r="GSK33" s="684"/>
      <c r="GSL33" s="684"/>
      <c r="GSM33" s="684"/>
      <c r="GSN33" s="684"/>
      <c r="GSO33" s="684"/>
      <c r="GSP33" s="684"/>
      <c r="GSQ33" s="684"/>
      <c r="GSR33" s="684"/>
      <c r="GSS33" s="684"/>
      <c r="GST33" s="684"/>
      <c r="GSU33" s="684"/>
      <c r="GSV33" s="684"/>
      <c r="GSW33" s="684"/>
      <c r="GSX33" s="684"/>
      <c r="GSY33" s="684"/>
      <c r="GSZ33" s="684"/>
      <c r="GTA33" s="684"/>
      <c r="GTB33" s="684"/>
      <c r="GTC33" s="684"/>
      <c r="GTD33" s="684"/>
      <c r="GTE33" s="684"/>
      <c r="GTF33" s="684"/>
      <c r="GTG33" s="684"/>
      <c r="GTH33" s="684"/>
      <c r="GTI33" s="684"/>
      <c r="GTJ33" s="684"/>
      <c r="GTK33" s="684"/>
      <c r="GTL33" s="684"/>
      <c r="GTM33" s="684"/>
      <c r="GTN33" s="684"/>
      <c r="GTO33" s="684"/>
      <c r="GTP33" s="684"/>
      <c r="GTQ33" s="684"/>
      <c r="GTR33" s="684"/>
      <c r="GTS33" s="684"/>
      <c r="GTT33" s="684"/>
      <c r="GTU33" s="684"/>
      <c r="GTV33" s="684"/>
      <c r="GTW33" s="684"/>
      <c r="GTX33" s="684"/>
      <c r="GTY33" s="684"/>
      <c r="GTZ33" s="684"/>
      <c r="GUA33" s="684"/>
      <c r="GUB33" s="684"/>
      <c r="GUC33" s="684"/>
      <c r="GUD33" s="684"/>
      <c r="GUE33" s="684"/>
      <c r="GUF33" s="684"/>
      <c r="GUG33" s="684"/>
      <c r="GUH33" s="684"/>
      <c r="GUI33" s="684"/>
      <c r="GUJ33" s="684"/>
      <c r="GUK33" s="684"/>
      <c r="GUL33" s="684"/>
      <c r="GUM33" s="684"/>
      <c r="GUN33" s="684"/>
      <c r="GUO33" s="684"/>
      <c r="GUP33" s="684"/>
      <c r="GUQ33" s="684"/>
      <c r="GUR33" s="684"/>
      <c r="GUS33" s="684"/>
      <c r="GUT33" s="684"/>
      <c r="GUU33" s="684"/>
      <c r="GUV33" s="684"/>
      <c r="GUW33" s="684"/>
      <c r="GUX33" s="684"/>
      <c r="GUY33" s="684"/>
      <c r="GUZ33" s="684"/>
      <c r="GVA33" s="684"/>
      <c r="GVB33" s="684"/>
      <c r="GVC33" s="684"/>
      <c r="GVD33" s="684"/>
      <c r="GVE33" s="684"/>
      <c r="GVF33" s="684"/>
      <c r="GVG33" s="684"/>
      <c r="GVH33" s="684"/>
      <c r="GVI33" s="684"/>
      <c r="GVJ33" s="684"/>
      <c r="GVK33" s="684"/>
      <c r="GVL33" s="684"/>
      <c r="GVM33" s="684"/>
      <c r="GVN33" s="684"/>
      <c r="GVO33" s="684"/>
      <c r="GVP33" s="684"/>
      <c r="GVQ33" s="684"/>
      <c r="GVR33" s="684"/>
      <c r="GVS33" s="684"/>
      <c r="GVT33" s="684"/>
      <c r="GVU33" s="684"/>
      <c r="GVV33" s="684"/>
      <c r="GVW33" s="684"/>
      <c r="GVX33" s="684"/>
      <c r="GVY33" s="684"/>
      <c r="GVZ33" s="684"/>
      <c r="GWA33" s="684"/>
      <c r="GWB33" s="684"/>
      <c r="GWC33" s="684"/>
      <c r="GWD33" s="684"/>
      <c r="GWE33" s="684"/>
      <c r="GWF33" s="684"/>
      <c r="GWG33" s="684"/>
      <c r="GWH33" s="684"/>
      <c r="GWI33" s="684"/>
      <c r="GWJ33" s="684"/>
      <c r="GWK33" s="684"/>
      <c r="GWL33" s="684"/>
      <c r="GWM33" s="684"/>
      <c r="GWN33" s="684"/>
      <c r="GWO33" s="684"/>
      <c r="GWP33" s="684"/>
      <c r="GWQ33" s="684"/>
      <c r="GWR33" s="684"/>
      <c r="GWS33" s="684"/>
      <c r="GWT33" s="684"/>
      <c r="GWU33" s="684"/>
      <c r="GWV33" s="684"/>
      <c r="GWW33" s="684"/>
      <c r="GWX33" s="684"/>
      <c r="GWY33" s="684"/>
      <c r="GWZ33" s="684"/>
      <c r="GXA33" s="684"/>
      <c r="GXB33" s="684"/>
      <c r="GXC33" s="684"/>
      <c r="GXD33" s="684"/>
      <c r="GXE33" s="684"/>
      <c r="GXF33" s="684"/>
      <c r="GXG33" s="684"/>
      <c r="GXH33" s="684"/>
      <c r="GXI33" s="684"/>
      <c r="GXJ33" s="684"/>
      <c r="GXK33" s="684"/>
      <c r="GXL33" s="684"/>
      <c r="GXM33" s="684"/>
      <c r="GXN33" s="684"/>
      <c r="GXO33" s="684"/>
      <c r="GXP33" s="684"/>
      <c r="GXQ33" s="684"/>
      <c r="GXR33" s="684"/>
      <c r="GXS33" s="684"/>
      <c r="GXT33" s="684"/>
      <c r="GXU33" s="684"/>
      <c r="GXV33" s="684"/>
      <c r="GXW33" s="684"/>
      <c r="GXX33" s="684"/>
      <c r="GXY33" s="684"/>
      <c r="GXZ33" s="684"/>
      <c r="GYA33" s="684"/>
      <c r="GYB33" s="684"/>
      <c r="GYC33" s="684"/>
      <c r="GYD33" s="684"/>
      <c r="GYE33" s="684"/>
      <c r="GYF33" s="684"/>
      <c r="GYG33" s="684"/>
      <c r="GYH33" s="684"/>
      <c r="GYI33" s="684"/>
      <c r="GYJ33" s="684"/>
      <c r="GYK33" s="684"/>
      <c r="GYL33" s="684"/>
      <c r="GYM33" s="684"/>
      <c r="GYN33" s="684"/>
      <c r="GYO33" s="684"/>
      <c r="GYP33" s="684"/>
      <c r="GYQ33" s="684"/>
      <c r="GYR33" s="684"/>
      <c r="GYS33" s="684"/>
      <c r="GYT33" s="684"/>
      <c r="GYU33" s="684"/>
      <c r="GYV33" s="684"/>
      <c r="GYW33" s="684"/>
      <c r="GYX33" s="684"/>
      <c r="GYY33" s="684"/>
      <c r="GYZ33" s="684"/>
      <c r="GZA33" s="684"/>
      <c r="GZB33" s="684"/>
      <c r="GZC33" s="684"/>
      <c r="GZD33" s="684"/>
      <c r="GZE33" s="684"/>
      <c r="GZF33" s="684"/>
      <c r="GZG33" s="684"/>
      <c r="GZH33" s="684"/>
      <c r="GZI33" s="684"/>
      <c r="GZJ33" s="684"/>
      <c r="GZK33" s="684"/>
      <c r="GZL33" s="684"/>
      <c r="GZM33" s="684"/>
      <c r="GZN33" s="684"/>
      <c r="GZO33" s="684"/>
      <c r="GZP33" s="684"/>
      <c r="GZQ33" s="684"/>
      <c r="GZR33" s="684"/>
      <c r="GZS33" s="684"/>
      <c r="GZT33" s="684"/>
      <c r="GZU33" s="684"/>
      <c r="GZV33" s="684"/>
      <c r="GZW33" s="684"/>
      <c r="GZX33" s="684"/>
      <c r="GZY33" s="684"/>
      <c r="GZZ33" s="684"/>
      <c r="HAA33" s="684"/>
      <c r="HAB33" s="684"/>
      <c r="HAC33" s="684"/>
      <c r="HAD33" s="684"/>
      <c r="HAE33" s="684"/>
      <c r="HAF33" s="684"/>
      <c r="HAG33" s="684"/>
      <c r="HAH33" s="684"/>
      <c r="HAI33" s="684"/>
      <c r="HAJ33" s="684"/>
      <c r="HAK33" s="684"/>
      <c r="HAL33" s="684"/>
      <c r="HAM33" s="684"/>
      <c r="HAN33" s="684"/>
      <c r="HAO33" s="684"/>
      <c r="HAP33" s="684"/>
      <c r="HAQ33" s="684"/>
      <c r="HAR33" s="684"/>
      <c r="HAS33" s="684"/>
      <c r="HAT33" s="684"/>
      <c r="HAU33" s="684"/>
      <c r="HAV33" s="684"/>
      <c r="HAW33" s="684"/>
      <c r="HAX33" s="684"/>
      <c r="HAY33" s="684"/>
      <c r="HAZ33" s="684"/>
      <c r="HBA33" s="684"/>
      <c r="HBB33" s="684"/>
      <c r="HBC33" s="684"/>
      <c r="HBD33" s="684"/>
      <c r="HBE33" s="684"/>
      <c r="HBF33" s="684"/>
      <c r="HBG33" s="684"/>
      <c r="HBH33" s="684"/>
      <c r="HBI33" s="684"/>
      <c r="HBJ33" s="684"/>
      <c r="HBK33" s="684"/>
      <c r="HBL33" s="684"/>
      <c r="HBM33" s="684"/>
      <c r="HBN33" s="684"/>
      <c r="HBO33" s="684"/>
      <c r="HBP33" s="684"/>
      <c r="HBQ33" s="684"/>
      <c r="HBR33" s="684"/>
      <c r="HBS33" s="684"/>
      <c r="HBT33" s="684"/>
      <c r="HBU33" s="684"/>
      <c r="HBV33" s="684"/>
      <c r="HBW33" s="684"/>
      <c r="HBX33" s="684"/>
      <c r="HBY33" s="684"/>
      <c r="HBZ33" s="684"/>
      <c r="HCA33" s="684"/>
      <c r="HCB33" s="684"/>
      <c r="HCC33" s="684"/>
      <c r="HCD33" s="684"/>
      <c r="HCE33" s="684"/>
      <c r="HCF33" s="684"/>
      <c r="HCG33" s="684"/>
      <c r="HCH33" s="684"/>
      <c r="HCI33" s="684"/>
      <c r="HCJ33" s="684"/>
      <c r="HCK33" s="684"/>
      <c r="HCL33" s="684"/>
      <c r="HCM33" s="684"/>
      <c r="HCN33" s="684"/>
      <c r="HCO33" s="684"/>
      <c r="HCP33" s="684"/>
      <c r="HCQ33" s="684"/>
      <c r="HCR33" s="684"/>
      <c r="HCS33" s="684"/>
      <c r="HCT33" s="684"/>
      <c r="HCU33" s="684"/>
      <c r="HCV33" s="684"/>
      <c r="HCW33" s="684"/>
      <c r="HCX33" s="684"/>
      <c r="HCY33" s="684"/>
      <c r="HCZ33" s="684"/>
      <c r="HDA33" s="684"/>
      <c r="HDB33" s="684"/>
      <c r="HDC33" s="684"/>
      <c r="HDD33" s="684"/>
      <c r="HDE33" s="684"/>
      <c r="HDF33" s="684"/>
      <c r="HDG33" s="684"/>
      <c r="HDH33" s="684"/>
      <c r="HDI33" s="684"/>
      <c r="HDJ33" s="684"/>
      <c r="HDK33" s="684"/>
      <c r="HDL33" s="684"/>
      <c r="HDM33" s="684"/>
      <c r="HDN33" s="684"/>
      <c r="HDO33" s="684"/>
      <c r="HDP33" s="684"/>
      <c r="HDQ33" s="684"/>
      <c r="HDR33" s="684"/>
      <c r="HDS33" s="684"/>
      <c r="HDT33" s="684"/>
      <c r="HDU33" s="684"/>
      <c r="HDV33" s="684"/>
      <c r="HDW33" s="684"/>
      <c r="HDX33" s="684"/>
      <c r="HDY33" s="684"/>
      <c r="HDZ33" s="684"/>
      <c r="HEA33" s="684"/>
      <c r="HEB33" s="684"/>
      <c r="HEC33" s="684"/>
      <c r="HED33" s="684"/>
      <c r="HEE33" s="684"/>
      <c r="HEF33" s="684"/>
      <c r="HEG33" s="684"/>
      <c r="HEH33" s="684"/>
      <c r="HEI33" s="684"/>
      <c r="HEJ33" s="684"/>
      <c r="HEK33" s="684"/>
      <c r="HEL33" s="684"/>
      <c r="HEM33" s="684"/>
      <c r="HEN33" s="684"/>
      <c r="HEO33" s="684"/>
      <c r="HEP33" s="684"/>
      <c r="HEQ33" s="684"/>
      <c r="HER33" s="684"/>
      <c r="HES33" s="684"/>
      <c r="HET33" s="684"/>
      <c r="HEU33" s="684"/>
      <c r="HEV33" s="684"/>
      <c r="HEW33" s="684"/>
      <c r="HEX33" s="684"/>
      <c r="HEY33" s="684"/>
      <c r="HEZ33" s="684"/>
      <c r="HFA33" s="684"/>
      <c r="HFB33" s="684"/>
      <c r="HFC33" s="684"/>
      <c r="HFD33" s="684"/>
      <c r="HFE33" s="684"/>
      <c r="HFF33" s="684"/>
      <c r="HFG33" s="684"/>
      <c r="HFH33" s="684"/>
      <c r="HFI33" s="684"/>
      <c r="HFJ33" s="684"/>
      <c r="HFK33" s="684"/>
      <c r="HFL33" s="684"/>
      <c r="HFM33" s="684"/>
      <c r="HFN33" s="684"/>
      <c r="HFO33" s="684"/>
      <c r="HFP33" s="684"/>
      <c r="HFQ33" s="684"/>
      <c r="HFR33" s="684"/>
      <c r="HFS33" s="684"/>
      <c r="HFT33" s="684"/>
      <c r="HFU33" s="684"/>
      <c r="HFV33" s="684"/>
      <c r="HFW33" s="684"/>
      <c r="HFX33" s="684"/>
      <c r="HFY33" s="684"/>
      <c r="HFZ33" s="684"/>
      <c r="HGA33" s="684"/>
      <c r="HGB33" s="684"/>
      <c r="HGC33" s="684"/>
      <c r="HGD33" s="684"/>
      <c r="HGE33" s="684"/>
      <c r="HGF33" s="684"/>
      <c r="HGG33" s="684"/>
      <c r="HGH33" s="684"/>
      <c r="HGI33" s="684"/>
      <c r="HGJ33" s="684"/>
      <c r="HGK33" s="684"/>
      <c r="HGL33" s="684"/>
      <c r="HGM33" s="684"/>
      <c r="HGN33" s="684"/>
      <c r="HGO33" s="684"/>
      <c r="HGP33" s="684"/>
      <c r="HGQ33" s="684"/>
      <c r="HGR33" s="684"/>
      <c r="HGS33" s="684"/>
      <c r="HGT33" s="684"/>
      <c r="HGU33" s="684"/>
      <c r="HGV33" s="684"/>
      <c r="HGW33" s="684"/>
      <c r="HGX33" s="684"/>
      <c r="HGY33" s="684"/>
      <c r="HGZ33" s="684"/>
      <c r="HHA33" s="684"/>
      <c r="HHB33" s="684"/>
      <c r="HHC33" s="684"/>
      <c r="HHD33" s="684"/>
      <c r="HHE33" s="684"/>
      <c r="HHF33" s="684"/>
      <c r="HHG33" s="684"/>
      <c r="HHH33" s="684"/>
      <c r="HHI33" s="684"/>
      <c r="HHJ33" s="684"/>
      <c r="HHK33" s="684"/>
      <c r="HHL33" s="684"/>
      <c r="HHM33" s="684"/>
      <c r="HHN33" s="684"/>
      <c r="HHO33" s="684"/>
      <c r="HHP33" s="684"/>
      <c r="HHQ33" s="684"/>
      <c r="HHR33" s="684"/>
      <c r="HHS33" s="684"/>
      <c r="HHT33" s="684"/>
      <c r="HHU33" s="684"/>
      <c r="HHV33" s="684"/>
      <c r="HHW33" s="684"/>
      <c r="HHX33" s="684"/>
      <c r="HHY33" s="684"/>
      <c r="HHZ33" s="684"/>
      <c r="HIA33" s="684"/>
      <c r="HIB33" s="684"/>
      <c r="HIC33" s="684"/>
      <c r="HID33" s="684"/>
      <c r="HIE33" s="684"/>
      <c r="HIF33" s="684"/>
      <c r="HIG33" s="684"/>
      <c r="HIH33" s="684"/>
      <c r="HII33" s="684"/>
      <c r="HIJ33" s="684"/>
      <c r="HIK33" s="684"/>
      <c r="HIL33" s="684"/>
      <c r="HIM33" s="684"/>
      <c r="HIN33" s="684"/>
      <c r="HIO33" s="684"/>
      <c r="HIP33" s="684"/>
      <c r="HIQ33" s="684"/>
      <c r="HIR33" s="684"/>
      <c r="HIS33" s="684"/>
      <c r="HIT33" s="684"/>
      <c r="HIU33" s="684"/>
      <c r="HIV33" s="684"/>
      <c r="HIW33" s="684"/>
      <c r="HIX33" s="684"/>
      <c r="HIY33" s="684"/>
      <c r="HIZ33" s="684"/>
      <c r="HJA33" s="684"/>
      <c r="HJB33" s="684"/>
      <c r="HJC33" s="684"/>
      <c r="HJD33" s="684"/>
      <c r="HJE33" s="684"/>
      <c r="HJF33" s="684"/>
      <c r="HJG33" s="684"/>
      <c r="HJH33" s="684"/>
      <c r="HJI33" s="684"/>
      <c r="HJJ33" s="684"/>
      <c r="HJK33" s="684"/>
      <c r="HJL33" s="684"/>
      <c r="HJM33" s="684"/>
      <c r="HJN33" s="684"/>
      <c r="HJO33" s="684"/>
      <c r="HJP33" s="684"/>
      <c r="HJQ33" s="684"/>
      <c r="HJR33" s="684"/>
      <c r="HJS33" s="684"/>
      <c r="HJT33" s="684"/>
      <c r="HJU33" s="684"/>
      <c r="HJV33" s="684"/>
      <c r="HJW33" s="684"/>
      <c r="HJX33" s="684"/>
      <c r="HJY33" s="684"/>
      <c r="HJZ33" s="684"/>
      <c r="HKA33" s="684"/>
      <c r="HKB33" s="684"/>
      <c r="HKC33" s="684"/>
      <c r="HKD33" s="684"/>
      <c r="HKE33" s="684"/>
      <c r="HKF33" s="684"/>
      <c r="HKG33" s="684"/>
      <c r="HKH33" s="684"/>
      <c r="HKI33" s="684"/>
      <c r="HKJ33" s="684"/>
      <c r="HKK33" s="684"/>
      <c r="HKL33" s="684"/>
      <c r="HKM33" s="684"/>
      <c r="HKN33" s="684"/>
      <c r="HKO33" s="684"/>
      <c r="HKP33" s="684"/>
      <c r="HKQ33" s="684"/>
      <c r="HKR33" s="684"/>
      <c r="HKS33" s="684"/>
      <c r="HKT33" s="684"/>
      <c r="HKU33" s="684"/>
      <c r="HKV33" s="684"/>
      <c r="HKW33" s="684"/>
      <c r="HKX33" s="684"/>
      <c r="HKY33" s="684"/>
      <c r="HKZ33" s="684"/>
      <c r="HLA33" s="684"/>
      <c r="HLB33" s="684"/>
      <c r="HLC33" s="684"/>
      <c r="HLD33" s="684"/>
      <c r="HLE33" s="684"/>
      <c r="HLF33" s="684"/>
      <c r="HLG33" s="684"/>
      <c r="HLH33" s="684"/>
      <c r="HLI33" s="684"/>
      <c r="HLJ33" s="684"/>
      <c r="HLK33" s="684"/>
      <c r="HLL33" s="684"/>
      <c r="HLM33" s="684"/>
      <c r="HLN33" s="684"/>
      <c r="HLO33" s="684"/>
      <c r="HLP33" s="684"/>
      <c r="HLQ33" s="684"/>
      <c r="HLR33" s="684"/>
      <c r="HLS33" s="684"/>
      <c r="HLT33" s="684"/>
      <c r="HLU33" s="684"/>
      <c r="HLV33" s="684"/>
      <c r="HLW33" s="684"/>
      <c r="HLX33" s="684"/>
      <c r="HLY33" s="684"/>
      <c r="HLZ33" s="684"/>
      <c r="HMA33" s="684"/>
      <c r="HMB33" s="684"/>
      <c r="HMC33" s="684"/>
      <c r="HMD33" s="684"/>
      <c r="HME33" s="684"/>
      <c r="HMF33" s="684"/>
      <c r="HMG33" s="684"/>
      <c r="HMH33" s="684"/>
      <c r="HMI33" s="684"/>
      <c r="HMJ33" s="684"/>
      <c r="HMK33" s="684"/>
      <c r="HML33" s="684"/>
      <c r="HMM33" s="684"/>
      <c r="HMN33" s="684"/>
      <c r="HMO33" s="684"/>
      <c r="HMP33" s="684"/>
      <c r="HMQ33" s="684"/>
      <c r="HMR33" s="684"/>
      <c r="HMS33" s="684"/>
      <c r="HMT33" s="684"/>
      <c r="HMU33" s="684"/>
      <c r="HMV33" s="684"/>
      <c r="HMW33" s="684"/>
      <c r="HMX33" s="684"/>
      <c r="HMY33" s="684"/>
      <c r="HMZ33" s="684"/>
      <c r="HNA33" s="684"/>
      <c r="HNB33" s="684"/>
      <c r="HNC33" s="684"/>
      <c r="HND33" s="684"/>
      <c r="HNE33" s="684"/>
      <c r="HNF33" s="684"/>
      <c r="HNG33" s="684"/>
      <c r="HNH33" s="684"/>
      <c r="HNI33" s="684"/>
      <c r="HNJ33" s="684"/>
      <c r="HNK33" s="684"/>
      <c r="HNL33" s="684"/>
      <c r="HNM33" s="684"/>
      <c r="HNN33" s="684"/>
      <c r="HNO33" s="684"/>
      <c r="HNP33" s="684"/>
      <c r="HNQ33" s="684"/>
      <c r="HNR33" s="684"/>
      <c r="HNS33" s="684"/>
      <c r="HNT33" s="684"/>
      <c r="HNU33" s="684"/>
      <c r="HNV33" s="684"/>
      <c r="HNW33" s="684"/>
      <c r="HNX33" s="684"/>
      <c r="HNY33" s="684"/>
      <c r="HNZ33" s="684"/>
      <c r="HOA33" s="684"/>
      <c r="HOB33" s="684"/>
      <c r="HOC33" s="684"/>
      <c r="HOD33" s="684"/>
      <c r="HOE33" s="684"/>
      <c r="HOF33" s="684"/>
      <c r="HOG33" s="684"/>
      <c r="HOH33" s="684"/>
      <c r="HOI33" s="684"/>
      <c r="HOJ33" s="684"/>
      <c r="HOK33" s="684"/>
      <c r="HOL33" s="684"/>
      <c r="HOM33" s="684"/>
      <c r="HON33" s="684"/>
      <c r="HOO33" s="684"/>
      <c r="HOP33" s="684"/>
      <c r="HOQ33" s="684"/>
      <c r="HOR33" s="684"/>
      <c r="HOS33" s="684"/>
      <c r="HOT33" s="684"/>
      <c r="HOU33" s="684"/>
      <c r="HOV33" s="684"/>
      <c r="HOW33" s="684"/>
      <c r="HOX33" s="684"/>
      <c r="HOY33" s="684"/>
      <c r="HOZ33" s="684"/>
      <c r="HPA33" s="684"/>
      <c r="HPB33" s="684"/>
      <c r="HPC33" s="684"/>
      <c r="HPD33" s="684"/>
      <c r="HPE33" s="684"/>
      <c r="HPF33" s="684"/>
      <c r="HPG33" s="684"/>
      <c r="HPH33" s="684"/>
      <c r="HPI33" s="684"/>
      <c r="HPJ33" s="684"/>
      <c r="HPK33" s="684"/>
      <c r="HPL33" s="684"/>
      <c r="HPM33" s="684"/>
      <c r="HPN33" s="684"/>
      <c r="HPO33" s="684"/>
      <c r="HPP33" s="684"/>
      <c r="HPQ33" s="684"/>
      <c r="HPR33" s="684"/>
      <c r="HPS33" s="684"/>
      <c r="HPT33" s="684"/>
      <c r="HPU33" s="684"/>
      <c r="HPV33" s="684"/>
      <c r="HPW33" s="684"/>
      <c r="HPX33" s="684"/>
      <c r="HPY33" s="684"/>
      <c r="HPZ33" s="684"/>
      <c r="HQA33" s="684"/>
      <c r="HQB33" s="684"/>
      <c r="HQC33" s="684"/>
      <c r="HQD33" s="684"/>
      <c r="HQE33" s="684"/>
      <c r="HQF33" s="684"/>
      <c r="HQG33" s="684"/>
      <c r="HQH33" s="684"/>
      <c r="HQI33" s="684"/>
      <c r="HQJ33" s="684"/>
      <c r="HQK33" s="684"/>
      <c r="HQL33" s="684"/>
      <c r="HQM33" s="684"/>
      <c r="HQN33" s="684"/>
      <c r="HQO33" s="684"/>
      <c r="HQP33" s="684"/>
      <c r="HQQ33" s="684"/>
      <c r="HQR33" s="684"/>
      <c r="HQS33" s="684"/>
      <c r="HQT33" s="684"/>
      <c r="HQU33" s="684"/>
      <c r="HQV33" s="684"/>
      <c r="HQW33" s="684"/>
      <c r="HQX33" s="684"/>
      <c r="HQY33" s="684"/>
      <c r="HQZ33" s="684"/>
      <c r="HRA33" s="684"/>
      <c r="HRB33" s="684"/>
      <c r="HRC33" s="684"/>
      <c r="HRD33" s="684"/>
      <c r="HRE33" s="684"/>
      <c r="HRF33" s="684"/>
      <c r="HRG33" s="684"/>
      <c r="HRH33" s="684"/>
      <c r="HRI33" s="684"/>
      <c r="HRJ33" s="684"/>
      <c r="HRK33" s="684"/>
      <c r="HRL33" s="684"/>
      <c r="HRM33" s="684"/>
      <c r="HRN33" s="684"/>
      <c r="HRO33" s="684"/>
      <c r="HRP33" s="684"/>
      <c r="HRQ33" s="684"/>
      <c r="HRR33" s="684"/>
      <c r="HRS33" s="684"/>
      <c r="HRT33" s="684"/>
      <c r="HRU33" s="684"/>
      <c r="HRV33" s="684"/>
      <c r="HRW33" s="684"/>
      <c r="HRX33" s="684"/>
      <c r="HRY33" s="684"/>
      <c r="HRZ33" s="684"/>
      <c r="HSA33" s="684"/>
      <c r="HSB33" s="684"/>
      <c r="HSC33" s="684"/>
      <c r="HSD33" s="684"/>
      <c r="HSE33" s="684"/>
      <c r="HSF33" s="684"/>
      <c r="HSG33" s="684"/>
      <c r="HSH33" s="684"/>
      <c r="HSI33" s="684"/>
      <c r="HSJ33" s="684"/>
      <c r="HSK33" s="684"/>
      <c r="HSL33" s="684"/>
      <c r="HSM33" s="684"/>
      <c r="HSN33" s="684"/>
      <c r="HSO33" s="684"/>
      <c r="HSP33" s="684"/>
      <c r="HSQ33" s="684"/>
      <c r="HSR33" s="684"/>
      <c r="HSS33" s="684"/>
      <c r="HST33" s="684"/>
      <c r="HSU33" s="684"/>
      <c r="HSV33" s="684"/>
      <c r="HSW33" s="684"/>
      <c r="HSX33" s="684"/>
      <c r="HSY33" s="684"/>
      <c r="HSZ33" s="684"/>
      <c r="HTA33" s="684"/>
      <c r="HTB33" s="684"/>
      <c r="HTC33" s="684"/>
      <c r="HTD33" s="684"/>
      <c r="HTE33" s="684"/>
      <c r="HTF33" s="684"/>
      <c r="HTG33" s="684"/>
      <c r="HTH33" s="684"/>
      <c r="HTI33" s="684"/>
      <c r="HTJ33" s="684"/>
      <c r="HTK33" s="684"/>
      <c r="HTL33" s="684"/>
      <c r="HTM33" s="684"/>
      <c r="HTN33" s="684"/>
      <c r="HTO33" s="684"/>
      <c r="HTP33" s="684"/>
      <c r="HTQ33" s="684"/>
      <c r="HTR33" s="684"/>
      <c r="HTS33" s="684"/>
      <c r="HTT33" s="684"/>
      <c r="HTU33" s="684"/>
      <c r="HTV33" s="684"/>
      <c r="HTW33" s="684"/>
      <c r="HTX33" s="684"/>
      <c r="HTY33" s="684"/>
      <c r="HTZ33" s="684"/>
      <c r="HUA33" s="684"/>
      <c r="HUB33" s="684"/>
      <c r="HUC33" s="684"/>
      <c r="HUD33" s="684"/>
      <c r="HUE33" s="684"/>
      <c r="HUF33" s="684"/>
      <c r="HUG33" s="684"/>
      <c r="HUH33" s="684"/>
      <c r="HUI33" s="684"/>
      <c r="HUJ33" s="684"/>
      <c r="HUK33" s="684"/>
      <c r="HUL33" s="684"/>
      <c r="HUM33" s="684"/>
      <c r="HUN33" s="684"/>
      <c r="HUO33" s="684"/>
      <c r="HUP33" s="684"/>
      <c r="HUQ33" s="684"/>
      <c r="HUR33" s="684"/>
      <c r="HUS33" s="684"/>
      <c r="HUT33" s="684"/>
      <c r="HUU33" s="684"/>
      <c r="HUV33" s="684"/>
      <c r="HUW33" s="684"/>
      <c r="HUX33" s="684"/>
      <c r="HUY33" s="684"/>
      <c r="HUZ33" s="684"/>
      <c r="HVA33" s="684"/>
      <c r="HVB33" s="684"/>
      <c r="HVC33" s="684"/>
      <c r="HVD33" s="684"/>
      <c r="HVE33" s="684"/>
      <c r="HVF33" s="684"/>
      <c r="HVG33" s="684"/>
      <c r="HVH33" s="684"/>
      <c r="HVI33" s="684"/>
      <c r="HVJ33" s="684"/>
      <c r="HVK33" s="684"/>
      <c r="HVL33" s="684"/>
      <c r="HVM33" s="684"/>
      <c r="HVN33" s="684"/>
      <c r="HVO33" s="684"/>
      <c r="HVP33" s="684"/>
      <c r="HVQ33" s="684"/>
      <c r="HVR33" s="684"/>
      <c r="HVS33" s="684"/>
      <c r="HVT33" s="684"/>
      <c r="HVU33" s="684"/>
      <c r="HVV33" s="684"/>
      <c r="HVW33" s="684"/>
      <c r="HVX33" s="684"/>
      <c r="HVY33" s="684"/>
      <c r="HVZ33" s="684"/>
      <c r="HWA33" s="684"/>
      <c r="HWB33" s="684"/>
      <c r="HWC33" s="684"/>
      <c r="HWD33" s="684"/>
      <c r="HWE33" s="684"/>
      <c r="HWF33" s="684"/>
      <c r="HWG33" s="684"/>
      <c r="HWH33" s="684"/>
      <c r="HWI33" s="684"/>
      <c r="HWJ33" s="684"/>
      <c r="HWK33" s="684"/>
      <c r="HWL33" s="684"/>
      <c r="HWM33" s="684"/>
      <c r="HWN33" s="684"/>
      <c r="HWO33" s="684"/>
      <c r="HWP33" s="684"/>
      <c r="HWQ33" s="684"/>
      <c r="HWR33" s="684"/>
      <c r="HWS33" s="684"/>
      <c r="HWT33" s="684"/>
      <c r="HWU33" s="684"/>
      <c r="HWV33" s="684"/>
      <c r="HWW33" s="684"/>
      <c r="HWX33" s="684"/>
      <c r="HWY33" s="684"/>
      <c r="HWZ33" s="684"/>
      <c r="HXA33" s="684"/>
      <c r="HXB33" s="684"/>
      <c r="HXC33" s="684"/>
      <c r="HXD33" s="684"/>
      <c r="HXE33" s="684"/>
      <c r="HXF33" s="684"/>
      <c r="HXG33" s="684"/>
      <c r="HXH33" s="684"/>
      <c r="HXI33" s="684"/>
      <c r="HXJ33" s="684"/>
      <c r="HXK33" s="684"/>
      <c r="HXL33" s="684"/>
      <c r="HXM33" s="684"/>
      <c r="HXN33" s="684"/>
      <c r="HXO33" s="684"/>
      <c r="HXP33" s="684"/>
      <c r="HXQ33" s="684"/>
      <c r="HXR33" s="684"/>
      <c r="HXS33" s="684"/>
      <c r="HXT33" s="684"/>
      <c r="HXU33" s="684"/>
      <c r="HXV33" s="684"/>
      <c r="HXW33" s="684"/>
      <c r="HXX33" s="684"/>
      <c r="HXY33" s="684"/>
      <c r="HXZ33" s="684"/>
      <c r="HYA33" s="684"/>
      <c r="HYB33" s="684"/>
      <c r="HYC33" s="684"/>
      <c r="HYD33" s="684"/>
      <c r="HYE33" s="684"/>
      <c r="HYF33" s="684"/>
      <c r="HYG33" s="684"/>
      <c r="HYH33" s="684"/>
      <c r="HYI33" s="684"/>
      <c r="HYJ33" s="684"/>
      <c r="HYK33" s="684"/>
      <c r="HYL33" s="684"/>
      <c r="HYM33" s="684"/>
      <c r="HYN33" s="684"/>
      <c r="HYO33" s="684"/>
      <c r="HYP33" s="684"/>
      <c r="HYQ33" s="684"/>
      <c r="HYR33" s="684"/>
      <c r="HYS33" s="684"/>
      <c r="HYT33" s="684"/>
      <c r="HYU33" s="684"/>
      <c r="HYV33" s="684"/>
      <c r="HYW33" s="684"/>
      <c r="HYX33" s="684"/>
      <c r="HYY33" s="684"/>
      <c r="HYZ33" s="684"/>
      <c r="HZA33" s="684"/>
      <c r="HZB33" s="684"/>
      <c r="HZC33" s="684"/>
      <c r="HZD33" s="684"/>
      <c r="HZE33" s="684"/>
      <c r="HZF33" s="684"/>
      <c r="HZG33" s="684"/>
      <c r="HZH33" s="684"/>
      <c r="HZI33" s="684"/>
      <c r="HZJ33" s="684"/>
      <c r="HZK33" s="684"/>
      <c r="HZL33" s="684"/>
      <c r="HZM33" s="684"/>
      <c r="HZN33" s="684"/>
      <c r="HZO33" s="684"/>
      <c r="HZP33" s="684"/>
      <c r="HZQ33" s="684"/>
      <c r="HZR33" s="684"/>
      <c r="HZS33" s="684"/>
      <c r="HZT33" s="684"/>
      <c r="HZU33" s="684"/>
      <c r="HZV33" s="684"/>
      <c r="HZW33" s="684"/>
      <c r="HZX33" s="684"/>
      <c r="HZY33" s="684"/>
      <c r="HZZ33" s="684"/>
      <c r="IAA33" s="684"/>
      <c r="IAB33" s="684"/>
      <c r="IAC33" s="684"/>
      <c r="IAD33" s="684"/>
      <c r="IAE33" s="684"/>
      <c r="IAF33" s="684"/>
      <c r="IAG33" s="684"/>
      <c r="IAH33" s="684"/>
      <c r="IAI33" s="684"/>
      <c r="IAJ33" s="684"/>
      <c r="IAK33" s="684"/>
      <c r="IAL33" s="684"/>
      <c r="IAM33" s="684"/>
      <c r="IAN33" s="684"/>
      <c r="IAO33" s="684"/>
      <c r="IAP33" s="684"/>
      <c r="IAQ33" s="684"/>
      <c r="IAR33" s="684"/>
      <c r="IAS33" s="684"/>
      <c r="IAT33" s="684"/>
      <c r="IAU33" s="684"/>
      <c r="IAV33" s="684"/>
      <c r="IAW33" s="684"/>
      <c r="IAX33" s="684"/>
      <c r="IAY33" s="684"/>
      <c r="IAZ33" s="684"/>
      <c r="IBA33" s="684"/>
      <c r="IBB33" s="684"/>
      <c r="IBC33" s="684"/>
      <c r="IBD33" s="684"/>
      <c r="IBE33" s="684"/>
      <c r="IBF33" s="684"/>
      <c r="IBG33" s="684"/>
      <c r="IBH33" s="684"/>
      <c r="IBI33" s="684"/>
      <c r="IBJ33" s="684"/>
      <c r="IBK33" s="684"/>
      <c r="IBL33" s="684"/>
      <c r="IBM33" s="684"/>
      <c r="IBN33" s="684"/>
      <c r="IBO33" s="684"/>
      <c r="IBP33" s="684"/>
      <c r="IBQ33" s="684"/>
      <c r="IBR33" s="684"/>
      <c r="IBS33" s="684"/>
      <c r="IBT33" s="684"/>
      <c r="IBU33" s="684"/>
      <c r="IBV33" s="684"/>
      <c r="IBW33" s="684"/>
      <c r="IBX33" s="684"/>
      <c r="IBY33" s="684"/>
      <c r="IBZ33" s="684"/>
      <c r="ICA33" s="684"/>
      <c r="ICB33" s="684"/>
      <c r="ICC33" s="684"/>
      <c r="ICD33" s="684"/>
      <c r="ICE33" s="684"/>
      <c r="ICF33" s="684"/>
      <c r="ICG33" s="684"/>
      <c r="ICH33" s="684"/>
      <c r="ICI33" s="684"/>
      <c r="ICJ33" s="684"/>
      <c r="ICK33" s="684"/>
      <c r="ICL33" s="684"/>
      <c r="ICM33" s="684"/>
      <c r="ICN33" s="684"/>
      <c r="ICO33" s="684"/>
      <c r="ICP33" s="684"/>
      <c r="ICQ33" s="684"/>
      <c r="ICR33" s="684"/>
      <c r="ICS33" s="684"/>
      <c r="ICT33" s="684"/>
      <c r="ICU33" s="684"/>
      <c r="ICV33" s="684"/>
      <c r="ICW33" s="684"/>
      <c r="ICX33" s="684"/>
      <c r="ICY33" s="684"/>
      <c r="ICZ33" s="684"/>
      <c r="IDA33" s="684"/>
      <c r="IDB33" s="684"/>
      <c r="IDC33" s="684"/>
      <c r="IDD33" s="684"/>
      <c r="IDE33" s="684"/>
      <c r="IDF33" s="684"/>
      <c r="IDG33" s="684"/>
      <c r="IDH33" s="684"/>
      <c r="IDI33" s="684"/>
      <c r="IDJ33" s="684"/>
      <c r="IDK33" s="684"/>
      <c r="IDL33" s="684"/>
      <c r="IDM33" s="684"/>
      <c r="IDN33" s="684"/>
      <c r="IDO33" s="684"/>
      <c r="IDP33" s="684"/>
      <c r="IDQ33" s="684"/>
      <c r="IDR33" s="684"/>
      <c r="IDS33" s="684"/>
      <c r="IDT33" s="684"/>
      <c r="IDU33" s="684"/>
      <c r="IDV33" s="684"/>
      <c r="IDW33" s="684"/>
      <c r="IDX33" s="684"/>
      <c r="IDY33" s="684"/>
      <c r="IDZ33" s="684"/>
      <c r="IEA33" s="684"/>
      <c r="IEB33" s="684"/>
      <c r="IEC33" s="684"/>
      <c r="IED33" s="684"/>
      <c r="IEE33" s="684"/>
      <c r="IEF33" s="684"/>
      <c r="IEG33" s="684"/>
      <c r="IEH33" s="684"/>
      <c r="IEI33" s="684"/>
      <c r="IEJ33" s="684"/>
      <c r="IEK33" s="684"/>
      <c r="IEL33" s="684"/>
      <c r="IEM33" s="684"/>
      <c r="IEN33" s="684"/>
      <c r="IEO33" s="684"/>
      <c r="IEP33" s="684"/>
      <c r="IEQ33" s="684"/>
      <c r="IER33" s="684"/>
      <c r="IES33" s="684"/>
      <c r="IET33" s="684"/>
      <c r="IEU33" s="684"/>
      <c r="IEV33" s="684"/>
      <c r="IEW33" s="684"/>
      <c r="IEX33" s="684"/>
      <c r="IEY33" s="684"/>
      <c r="IEZ33" s="684"/>
      <c r="IFA33" s="684"/>
      <c r="IFB33" s="684"/>
      <c r="IFC33" s="684"/>
      <c r="IFD33" s="684"/>
      <c r="IFE33" s="684"/>
      <c r="IFF33" s="684"/>
      <c r="IFG33" s="684"/>
      <c r="IFH33" s="684"/>
      <c r="IFI33" s="684"/>
      <c r="IFJ33" s="684"/>
      <c r="IFK33" s="684"/>
      <c r="IFL33" s="684"/>
      <c r="IFM33" s="684"/>
      <c r="IFN33" s="684"/>
      <c r="IFO33" s="684"/>
      <c r="IFP33" s="684"/>
      <c r="IFQ33" s="684"/>
      <c r="IFR33" s="684"/>
      <c r="IFS33" s="684"/>
      <c r="IFT33" s="684"/>
      <c r="IFU33" s="684"/>
      <c r="IFV33" s="684"/>
      <c r="IFW33" s="684"/>
      <c r="IFX33" s="684"/>
      <c r="IFY33" s="684"/>
      <c r="IFZ33" s="684"/>
      <c r="IGA33" s="684"/>
      <c r="IGB33" s="684"/>
      <c r="IGC33" s="684"/>
      <c r="IGD33" s="684"/>
      <c r="IGE33" s="684"/>
      <c r="IGF33" s="684"/>
      <c r="IGG33" s="684"/>
      <c r="IGH33" s="684"/>
      <c r="IGI33" s="684"/>
      <c r="IGJ33" s="684"/>
      <c r="IGK33" s="684"/>
      <c r="IGL33" s="684"/>
      <c r="IGM33" s="684"/>
      <c r="IGN33" s="684"/>
      <c r="IGO33" s="684"/>
      <c r="IGP33" s="684"/>
      <c r="IGQ33" s="684"/>
      <c r="IGR33" s="684"/>
      <c r="IGS33" s="684"/>
      <c r="IGT33" s="684"/>
      <c r="IGU33" s="684"/>
      <c r="IGV33" s="684"/>
      <c r="IGW33" s="684"/>
      <c r="IGX33" s="684"/>
      <c r="IGY33" s="684"/>
      <c r="IGZ33" s="684"/>
      <c r="IHA33" s="684"/>
      <c r="IHB33" s="684"/>
      <c r="IHC33" s="684"/>
      <c r="IHD33" s="684"/>
      <c r="IHE33" s="684"/>
      <c r="IHF33" s="684"/>
      <c r="IHG33" s="684"/>
      <c r="IHH33" s="684"/>
      <c r="IHI33" s="684"/>
      <c r="IHJ33" s="684"/>
      <c r="IHK33" s="684"/>
      <c r="IHL33" s="684"/>
      <c r="IHM33" s="684"/>
      <c r="IHN33" s="684"/>
      <c r="IHO33" s="684"/>
      <c r="IHP33" s="684"/>
      <c r="IHQ33" s="684"/>
      <c r="IHR33" s="684"/>
      <c r="IHS33" s="684"/>
      <c r="IHT33" s="684"/>
      <c r="IHU33" s="684"/>
      <c r="IHV33" s="684"/>
      <c r="IHW33" s="684"/>
      <c r="IHX33" s="684"/>
      <c r="IHY33" s="684"/>
      <c r="IHZ33" s="684"/>
      <c r="IIA33" s="684"/>
      <c r="IIB33" s="684"/>
      <c r="IIC33" s="684"/>
      <c r="IID33" s="684"/>
      <c r="IIE33" s="684"/>
      <c r="IIF33" s="684"/>
      <c r="IIG33" s="684"/>
      <c r="IIH33" s="684"/>
      <c r="III33" s="684"/>
      <c r="IIJ33" s="684"/>
      <c r="IIK33" s="684"/>
      <c r="IIL33" s="684"/>
      <c r="IIM33" s="684"/>
      <c r="IIN33" s="684"/>
      <c r="IIO33" s="684"/>
      <c r="IIP33" s="684"/>
      <c r="IIQ33" s="684"/>
      <c r="IIR33" s="684"/>
      <c r="IIS33" s="684"/>
      <c r="IIT33" s="684"/>
      <c r="IIU33" s="684"/>
      <c r="IIV33" s="684"/>
      <c r="IIW33" s="684"/>
      <c r="IIX33" s="684"/>
      <c r="IIY33" s="684"/>
      <c r="IIZ33" s="684"/>
      <c r="IJA33" s="684"/>
      <c r="IJB33" s="684"/>
      <c r="IJC33" s="684"/>
      <c r="IJD33" s="684"/>
      <c r="IJE33" s="684"/>
      <c r="IJF33" s="684"/>
      <c r="IJG33" s="684"/>
      <c r="IJH33" s="684"/>
      <c r="IJI33" s="684"/>
      <c r="IJJ33" s="684"/>
      <c r="IJK33" s="684"/>
      <c r="IJL33" s="684"/>
      <c r="IJM33" s="684"/>
      <c r="IJN33" s="684"/>
      <c r="IJO33" s="684"/>
      <c r="IJP33" s="684"/>
      <c r="IJQ33" s="684"/>
      <c r="IJR33" s="684"/>
      <c r="IJS33" s="684"/>
      <c r="IJT33" s="684"/>
      <c r="IJU33" s="684"/>
      <c r="IJV33" s="684"/>
      <c r="IJW33" s="684"/>
      <c r="IJX33" s="684"/>
      <c r="IJY33" s="684"/>
      <c r="IJZ33" s="684"/>
      <c r="IKA33" s="684"/>
      <c r="IKB33" s="684"/>
      <c r="IKC33" s="684"/>
      <c r="IKD33" s="684"/>
      <c r="IKE33" s="684"/>
      <c r="IKF33" s="684"/>
      <c r="IKG33" s="684"/>
      <c r="IKH33" s="684"/>
      <c r="IKI33" s="684"/>
      <c r="IKJ33" s="684"/>
      <c r="IKK33" s="684"/>
      <c r="IKL33" s="684"/>
      <c r="IKM33" s="684"/>
      <c r="IKN33" s="684"/>
      <c r="IKO33" s="684"/>
      <c r="IKP33" s="684"/>
      <c r="IKQ33" s="684"/>
      <c r="IKR33" s="684"/>
      <c r="IKS33" s="684"/>
      <c r="IKT33" s="684"/>
      <c r="IKU33" s="684"/>
      <c r="IKV33" s="684"/>
      <c r="IKW33" s="684"/>
      <c r="IKX33" s="684"/>
      <c r="IKY33" s="684"/>
      <c r="IKZ33" s="684"/>
      <c r="ILA33" s="684"/>
      <c r="ILB33" s="684"/>
      <c r="ILC33" s="684"/>
      <c r="ILD33" s="684"/>
      <c r="ILE33" s="684"/>
      <c r="ILF33" s="684"/>
      <c r="ILG33" s="684"/>
      <c r="ILH33" s="684"/>
      <c r="ILI33" s="684"/>
      <c r="ILJ33" s="684"/>
      <c r="ILK33" s="684"/>
      <c r="ILL33" s="684"/>
      <c r="ILM33" s="684"/>
      <c r="ILN33" s="684"/>
      <c r="ILO33" s="684"/>
      <c r="ILP33" s="684"/>
      <c r="ILQ33" s="684"/>
      <c r="ILR33" s="684"/>
      <c r="ILS33" s="684"/>
      <c r="ILT33" s="684"/>
      <c r="ILU33" s="684"/>
      <c r="ILV33" s="684"/>
      <c r="ILW33" s="684"/>
      <c r="ILX33" s="684"/>
      <c r="ILY33" s="684"/>
      <c r="ILZ33" s="684"/>
      <c r="IMA33" s="684"/>
      <c r="IMB33" s="684"/>
      <c r="IMC33" s="684"/>
      <c r="IMD33" s="684"/>
      <c r="IME33" s="684"/>
      <c r="IMF33" s="684"/>
      <c r="IMG33" s="684"/>
      <c r="IMH33" s="684"/>
      <c r="IMI33" s="684"/>
      <c r="IMJ33" s="684"/>
      <c r="IMK33" s="684"/>
      <c r="IML33" s="684"/>
      <c r="IMM33" s="684"/>
      <c r="IMN33" s="684"/>
      <c r="IMO33" s="684"/>
      <c r="IMP33" s="684"/>
      <c r="IMQ33" s="684"/>
      <c r="IMR33" s="684"/>
      <c r="IMS33" s="684"/>
      <c r="IMT33" s="684"/>
      <c r="IMU33" s="684"/>
      <c r="IMV33" s="684"/>
      <c r="IMW33" s="684"/>
      <c r="IMX33" s="684"/>
      <c r="IMY33" s="684"/>
      <c r="IMZ33" s="684"/>
      <c r="INA33" s="684"/>
      <c r="INB33" s="684"/>
      <c r="INC33" s="684"/>
      <c r="IND33" s="684"/>
      <c r="INE33" s="684"/>
      <c r="INF33" s="684"/>
      <c r="ING33" s="684"/>
      <c r="INH33" s="684"/>
      <c r="INI33" s="684"/>
      <c r="INJ33" s="684"/>
      <c r="INK33" s="684"/>
      <c r="INL33" s="684"/>
      <c r="INM33" s="684"/>
      <c r="INN33" s="684"/>
      <c r="INO33" s="684"/>
      <c r="INP33" s="684"/>
      <c r="INQ33" s="684"/>
      <c r="INR33" s="684"/>
      <c r="INS33" s="684"/>
      <c r="INT33" s="684"/>
      <c r="INU33" s="684"/>
      <c r="INV33" s="684"/>
      <c r="INW33" s="684"/>
      <c r="INX33" s="684"/>
      <c r="INY33" s="684"/>
      <c r="INZ33" s="684"/>
      <c r="IOA33" s="684"/>
      <c r="IOB33" s="684"/>
      <c r="IOC33" s="684"/>
      <c r="IOD33" s="684"/>
      <c r="IOE33" s="684"/>
      <c r="IOF33" s="684"/>
      <c r="IOG33" s="684"/>
      <c r="IOH33" s="684"/>
      <c r="IOI33" s="684"/>
      <c r="IOJ33" s="684"/>
      <c r="IOK33" s="684"/>
      <c r="IOL33" s="684"/>
      <c r="IOM33" s="684"/>
      <c r="ION33" s="684"/>
      <c r="IOO33" s="684"/>
      <c r="IOP33" s="684"/>
      <c r="IOQ33" s="684"/>
      <c r="IOR33" s="684"/>
      <c r="IOS33" s="684"/>
      <c r="IOT33" s="684"/>
      <c r="IOU33" s="684"/>
      <c r="IOV33" s="684"/>
      <c r="IOW33" s="684"/>
      <c r="IOX33" s="684"/>
      <c r="IOY33" s="684"/>
      <c r="IOZ33" s="684"/>
      <c r="IPA33" s="684"/>
      <c r="IPB33" s="684"/>
      <c r="IPC33" s="684"/>
      <c r="IPD33" s="684"/>
      <c r="IPE33" s="684"/>
      <c r="IPF33" s="684"/>
      <c r="IPG33" s="684"/>
      <c r="IPH33" s="684"/>
      <c r="IPI33" s="684"/>
      <c r="IPJ33" s="684"/>
      <c r="IPK33" s="684"/>
      <c r="IPL33" s="684"/>
      <c r="IPM33" s="684"/>
      <c r="IPN33" s="684"/>
      <c r="IPO33" s="684"/>
      <c r="IPP33" s="684"/>
      <c r="IPQ33" s="684"/>
      <c r="IPR33" s="684"/>
      <c r="IPS33" s="684"/>
      <c r="IPT33" s="684"/>
      <c r="IPU33" s="684"/>
      <c r="IPV33" s="684"/>
      <c r="IPW33" s="684"/>
      <c r="IPX33" s="684"/>
      <c r="IPY33" s="684"/>
      <c r="IPZ33" s="684"/>
      <c r="IQA33" s="684"/>
      <c r="IQB33" s="684"/>
      <c r="IQC33" s="684"/>
      <c r="IQD33" s="684"/>
      <c r="IQE33" s="684"/>
      <c r="IQF33" s="684"/>
      <c r="IQG33" s="684"/>
      <c r="IQH33" s="684"/>
      <c r="IQI33" s="684"/>
      <c r="IQJ33" s="684"/>
      <c r="IQK33" s="684"/>
      <c r="IQL33" s="684"/>
      <c r="IQM33" s="684"/>
      <c r="IQN33" s="684"/>
      <c r="IQO33" s="684"/>
      <c r="IQP33" s="684"/>
      <c r="IQQ33" s="684"/>
      <c r="IQR33" s="684"/>
      <c r="IQS33" s="684"/>
      <c r="IQT33" s="684"/>
      <c r="IQU33" s="684"/>
      <c r="IQV33" s="684"/>
      <c r="IQW33" s="684"/>
      <c r="IQX33" s="684"/>
      <c r="IQY33" s="684"/>
      <c r="IQZ33" s="684"/>
      <c r="IRA33" s="684"/>
      <c r="IRB33" s="684"/>
      <c r="IRC33" s="684"/>
      <c r="IRD33" s="684"/>
      <c r="IRE33" s="684"/>
      <c r="IRF33" s="684"/>
      <c r="IRG33" s="684"/>
      <c r="IRH33" s="684"/>
      <c r="IRI33" s="684"/>
      <c r="IRJ33" s="684"/>
      <c r="IRK33" s="684"/>
      <c r="IRL33" s="684"/>
      <c r="IRM33" s="684"/>
      <c r="IRN33" s="684"/>
      <c r="IRO33" s="684"/>
      <c r="IRP33" s="684"/>
      <c r="IRQ33" s="684"/>
      <c r="IRR33" s="684"/>
      <c r="IRS33" s="684"/>
      <c r="IRT33" s="684"/>
      <c r="IRU33" s="684"/>
      <c r="IRV33" s="684"/>
      <c r="IRW33" s="684"/>
      <c r="IRX33" s="684"/>
      <c r="IRY33" s="684"/>
      <c r="IRZ33" s="684"/>
      <c r="ISA33" s="684"/>
      <c r="ISB33" s="684"/>
      <c r="ISC33" s="684"/>
      <c r="ISD33" s="684"/>
      <c r="ISE33" s="684"/>
      <c r="ISF33" s="684"/>
      <c r="ISG33" s="684"/>
      <c r="ISH33" s="684"/>
      <c r="ISI33" s="684"/>
      <c r="ISJ33" s="684"/>
      <c r="ISK33" s="684"/>
      <c r="ISL33" s="684"/>
      <c r="ISM33" s="684"/>
      <c r="ISN33" s="684"/>
      <c r="ISO33" s="684"/>
      <c r="ISP33" s="684"/>
      <c r="ISQ33" s="684"/>
      <c r="ISR33" s="684"/>
      <c r="ISS33" s="684"/>
      <c r="IST33" s="684"/>
      <c r="ISU33" s="684"/>
      <c r="ISV33" s="684"/>
      <c r="ISW33" s="684"/>
      <c r="ISX33" s="684"/>
      <c r="ISY33" s="684"/>
      <c r="ISZ33" s="684"/>
      <c r="ITA33" s="684"/>
      <c r="ITB33" s="684"/>
      <c r="ITC33" s="684"/>
      <c r="ITD33" s="684"/>
      <c r="ITE33" s="684"/>
      <c r="ITF33" s="684"/>
      <c r="ITG33" s="684"/>
      <c r="ITH33" s="684"/>
      <c r="ITI33" s="684"/>
      <c r="ITJ33" s="684"/>
      <c r="ITK33" s="684"/>
      <c r="ITL33" s="684"/>
      <c r="ITM33" s="684"/>
      <c r="ITN33" s="684"/>
      <c r="ITO33" s="684"/>
      <c r="ITP33" s="684"/>
      <c r="ITQ33" s="684"/>
      <c r="ITR33" s="684"/>
      <c r="ITS33" s="684"/>
      <c r="ITT33" s="684"/>
      <c r="ITU33" s="684"/>
      <c r="ITV33" s="684"/>
      <c r="ITW33" s="684"/>
      <c r="ITX33" s="684"/>
      <c r="ITY33" s="684"/>
      <c r="ITZ33" s="684"/>
      <c r="IUA33" s="684"/>
      <c r="IUB33" s="684"/>
      <c r="IUC33" s="684"/>
      <c r="IUD33" s="684"/>
      <c r="IUE33" s="684"/>
      <c r="IUF33" s="684"/>
      <c r="IUG33" s="684"/>
      <c r="IUH33" s="684"/>
      <c r="IUI33" s="684"/>
      <c r="IUJ33" s="684"/>
      <c r="IUK33" s="684"/>
      <c r="IUL33" s="684"/>
      <c r="IUM33" s="684"/>
      <c r="IUN33" s="684"/>
      <c r="IUO33" s="684"/>
      <c r="IUP33" s="684"/>
      <c r="IUQ33" s="684"/>
      <c r="IUR33" s="684"/>
      <c r="IUS33" s="684"/>
      <c r="IUT33" s="684"/>
      <c r="IUU33" s="684"/>
      <c r="IUV33" s="684"/>
      <c r="IUW33" s="684"/>
      <c r="IUX33" s="684"/>
      <c r="IUY33" s="684"/>
      <c r="IUZ33" s="684"/>
      <c r="IVA33" s="684"/>
      <c r="IVB33" s="684"/>
      <c r="IVC33" s="684"/>
      <c r="IVD33" s="684"/>
      <c r="IVE33" s="684"/>
      <c r="IVF33" s="684"/>
      <c r="IVG33" s="684"/>
      <c r="IVH33" s="684"/>
      <c r="IVI33" s="684"/>
      <c r="IVJ33" s="684"/>
      <c r="IVK33" s="684"/>
      <c r="IVL33" s="684"/>
      <c r="IVM33" s="684"/>
      <c r="IVN33" s="684"/>
      <c r="IVO33" s="684"/>
      <c r="IVP33" s="684"/>
      <c r="IVQ33" s="684"/>
      <c r="IVR33" s="684"/>
      <c r="IVS33" s="684"/>
      <c r="IVT33" s="684"/>
      <c r="IVU33" s="684"/>
      <c r="IVV33" s="684"/>
      <c r="IVW33" s="684"/>
      <c r="IVX33" s="684"/>
      <c r="IVY33" s="684"/>
      <c r="IVZ33" s="684"/>
      <c r="IWA33" s="684"/>
      <c r="IWB33" s="684"/>
      <c r="IWC33" s="684"/>
      <c r="IWD33" s="684"/>
      <c r="IWE33" s="684"/>
      <c r="IWF33" s="684"/>
      <c r="IWG33" s="684"/>
      <c r="IWH33" s="684"/>
      <c r="IWI33" s="684"/>
      <c r="IWJ33" s="684"/>
      <c r="IWK33" s="684"/>
      <c r="IWL33" s="684"/>
      <c r="IWM33" s="684"/>
      <c r="IWN33" s="684"/>
      <c r="IWO33" s="684"/>
      <c r="IWP33" s="684"/>
      <c r="IWQ33" s="684"/>
      <c r="IWR33" s="684"/>
      <c r="IWS33" s="684"/>
      <c r="IWT33" s="684"/>
      <c r="IWU33" s="684"/>
      <c r="IWV33" s="684"/>
      <c r="IWW33" s="684"/>
      <c r="IWX33" s="684"/>
      <c r="IWY33" s="684"/>
      <c r="IWZ33" s="684"/>
      <c r="IXA33" s="684"/>
      <c r="IXB33" s="684"/>
      <c r="IXC33" s="684"/>
      <c r="IXD33" s="684"/>
      <c r="IXE33" s="684"/>
      <c r="IXF33" s="684"/>
      <c r="IXG33" s="684"/>
      <c r="IXH33" s="684"/>
      <c r="IXI33" s="684"/>
      <c r="IXJ33" s="684"/>
      <c r="IXK33" s="684"/>
      <c r="IXL33" s="684"/>
      <c r="IXM33" s="684"/>
      <c r="IXN33" s="684"/>
      <c r="IXO33" s="684"/>
      <c r="IXP33" s="684"/>
      <c r="IXQ33" s="684"/>
      <c r="IXR33" s="684"/>
      <c r="IXS33" s="684"/>
      <c r="IXT33" s="684"/>
      <c r="IXU33" s="684"/>
      <c r="IXV33" s="684"/>
      <c r="IXW33" s="684"/>
      <c r="IXX33" s="684"/>
      <c r="IXY33" s="684"/>
      <c r="IXZ33" s="684"/>
      <c r="IYA33" s="684"/>
      <c r="IYB33" s="684"/>
      <c r="IYC33" s="684"/>
      <c r="IYD33" s="684"/>
      <c r="IYE33" s="684"/>
      <c r="IYF33" s="684"/>
      <c r="IYG33" s="684"/>
      <c r="IYH33" s="684"/>
      <c r="IYI33" s="684"/>
      <c r="IYJ33" s="684"/>
      <c r="IYK33" s="684"/>
      <c r="IYL33" s="684"/>
      <c r="IYM33" s="684"/>
      <c r="IYN33" s="684"/>
      <c r="IYO33" s="684"/>
      <c r="IYP33" s="684"/>
      <c r="IYQ33" s="684"/>
      <c r="IYR33" s="684"/>
      <c r="IYS33" s="684"/>
      <c r="IYT33" s="684"/>
      <c r="IYU33" s="684"/>
      <c r="IYV33" s="684"/>
      <c r="IYW33" s="684"/>
      <c r="IYX33" s="684"/>
      <c r="IYY33" s="684"/>
      <c r="IYZ33" s="684"/>
      <c r="IZA33" s="684"/>
      <c r="IZB33" s="684"/>
      <c r="IZC33" s="684"/>
      <c r="IZD33" s="684"/>
      <c r="IZE33" s="684"/>
      <c r="IZF33" s="684"/>
      <c r="IZG33" s="684"/>
      <c r="IZH33" s="684"/>
      <c r="IZI33" s="684"/>
      <c r="IZJ33" s="684"/>
      <c r="IZK33" s="684"/>
      <c r="IZL33" s="684"/>
      <c r="IZM33" s="684"/>
      <c r="IZN33" s="684"/>
      <c r="IZO33" s="684"/>
      <c r="IZP33" s="684"/>
      <c r="IZQ33" s="684"/>
      <c r="IZR33" s="684"/>
      <c r="IZS33" s="684"/>
      <c r="IZT33" s="684"/>
      <c r="IZU33" s="684"/>
      <c r="IZV33" s="684"/>
      <c r="IZW33" s="684"/>
      <c r="IZX33" s="684"/>
      <c r="IZY33" s="684"/>
      <c r="IZZ33" s="684"/>
      <c r="JAA33" s="684"/>
      <c r="JAB33" s="684"/>
      <c r="JAC33" s="684"/>
      <c r="JAD33" s="684"/>
      <c r="JAE33" s="684"/>
      <c r="JAF33" s="684"/>
      <c r="JAG33" s="684"/>
      <c r="JAH33" s="684"/>
      <c r="JAI33" s="684"/>
      <c r="JAJ33" s="684"/>
      <c r="JAK33" s="684"/>
      <c r="JAL33" s="684"/>
      <c r="JAM33" s="684"/>
      <c r="JAN33" s="684"/>
      <c r="JAO33" s="684"/>
      <c r="JAP33" s="684"/>
      <c r="JAQ33" s="684"/>
      <c r="JAR33" s="684"/>
      <c r="JAS33" s="684"/>
      <c r="JAT33" s="684"/>
      <c r="JAU33" s="684"/>
      <c r="JAV33" s="684"/>
      <c r="JAW33" s="684"/>
      <c r="JAX33" s="684"/>
      <c r="JAY33" s="684"/>
      <c r="JAZ33" s="684"/>
      <c r="JBA33" s="684"/>
      <c r="JBB33" s="684"/>
      <c r="JBC33" s="684"/>
      <c r="JBD33" s="684"/>
      <c r="JBE33" s="684"/>
      <c r="JBF33" s="684"/>
      <c r="JBG33" s="684"/>
      <c r="JBH33" s="684"/>
      <c r="JBI33" s="684"/>
      <c r="JBJ33" s="684"/>
      <c r="JBK33" s="684"/>
      <c r="JBL33" s="684"/>
      <c r="JBM33" s="684"/>
      <c r="JBN33" s="684"/>
      <c r="JBO33" s="684"/>
      <c r="JBP33" s="684"/>
      <c r="JBQ33" s="684"/>
      <c r="JBR33" s="684"/>
      <c r="JBS33" s="684"/>
      <c r="JBT33" s="684"/>
      <c r="JBU33" s="684"/>
      <c r="JBV33" s="684"/>
      <c r="JBW33" s="684"/>
      <c r="JBX33" s="684"/>
      <c r="JBY33" s="684"/>
      <c r="JBZ33" s="684"/>
      <c r="JCA33" s="684"/>
      <c r="JCB33" s="684"/>
      <c r="JCC33" s="684"/>
      <c r="JCD33" s="684"/>
      <c r="JCE33" s="684"/>
      <c r="JCF33" s="684"/>
      <c r="JCG33" s="684"/>
      <c r="JCH33" s="684"/>
      <c r="JCI33" s="684"/>
      <c r="JCJ33" s="684"/>
      <c r="JCK33" s="684"/>
      <c r="JCL33" s="684"/>
      <c r="JCM33" s="684"/>
      <c r="JCN33" s="684"/>
      <c r="JCO33" s="684"/>
      <c r="JCP33" s="684"/>
      <c r="JCQ33" s="684"/>
      <c r="JCR33" s="684"/>
      <c r="JCS33" s="684"/>
      <c r="JCT33" s="684"/>
      <c r="JCU33" s="684"/>
      <c r="JCV33" s="684"/>
      <c r="JCW33" s="684"/>
      <c r="JCX33" s="684"/>
      <c r="JCY33" s="684"/>
      <c r="JCZ33" s="684"/>
      <c r="JDA33" s="684"/>
      <c r="JDB33" s="684"/>
      <c r="JDC33" s="684"/>
      <c r="JDD33" s="684"/>
      <c r="JDE33" s="684"/>
      <c r="JDF33" s="684"/>
      <c r="JDG33" s="684"/>
      <c r="JDH33" s="684"/>
      <c r="JDI33" s="684"/>
      <c r="JDJ33" s="684"/>
      <c r="JDK33" s="684"/>
      <c r="JDL33" s="684"/>
      <c r="JDM33" s="684"/>
      <c r="JDN33" s="684"/>
      <c r="JDO33" s="684"/>
      <c r="JDP33" s="684"/>
      <c r="JDQ33" s="684"/>
      <c r="JDR33" s="684"/>
      <c r="JDS33" s="684"/>
      <c r="JDT33" s="684"/>
      <c r="JDU33" s="684"/>
      <c r="JDV33" s="684"/>
      <c r="JDW33" s="684"/>
      <c r="JDX33" s="684"/>
      <c r="JDY33" s="684"/>
      <c r="JDZ33" s="684"/>
      <c r="JEA33" s="684"/>
      <c r="JEB33" s="684"/>
      <c r="JEC33" s="684"/>
      <c r="JED33" s="684"/>
      <c r="JEE33" s="684"/>
      <c r="JEF33" s="684"/>
      <c r="JEG33" s="684"/>
      <c r="JEH33" s="684"/>
      <c r="JEI33" s="684"/>
      <c r="JEJ33" s="684"/>
      <c r="JEK33" s="684"/>
      <c r="JEL33" s="684"/>
      <c r="JEM33" s="684"/>
      <c r="JEN33" s="684"/>
      <c r="JEO33" s="684"/>
      <c r="JEP33" s="684"/>
      <c r="JEQ33" s="684"/>
      <c r="JER33" s="684"/>
      <c r="JES33" s="684"/>
      <c r="JET33" s="684"/>
      <c r="JEU33" s="684"/>
      <c r="JEV33" s="684"/>
      <c r="JEW33" s="684"/>
      <c r="JEX33" s="684"/>
      <c r="JEY33" s="684"/>
      <c r="JEZ33" s="684"/>
      <c r="JFA33" s="684"/>
      <c r="JFB33" s="684"/>
      <c r="JFC33" s="684"/>
      <c r="JFD33" s="684"/>
      <c r="JFE33" s="684"/>
      <c r="JFF33" s="684"/>
      <c r="JFG33" s="684"/>
      <c r="JFH33" s="684"/>
      <c r="JFI33" s="684"/>
      <c r="JFJ33" s="684"/>
      <c r="JFK33" s="684"/>
      <c r="JFL33" s="684"/>
      <c r="JFM33" s="684"/>
      <c r="JFN33" s="684"/>
      <c r="JFO33" s="684"/>
      <c r="JFP33" s="684"/>
      <c r="JFQ33" s="684"/>
      <c r="JFR33" s="684"/>
      <c r="JFS33" s="684"/>
      <c r="JFT33" s="684"/>
      <c r="JFU33" s="684"/>
      <c r="JFV33" s="684"/>
      <c r="JFW33" s="684"/>
      <c r="JFX33" s="684"/>
      <c r="JFY33" s="684"/>
      <c r="JFZ33" s="684"/>
      <c r="JGA33" s="684"/>
      <c r="JGB33" s="684"/>
      <c r="JGC33" s="684"/>
      <c r="JGD33" s="684"/>
      <c r="JGE33" s="684"/>
      <c r="JGF33" s="684"/>
      <c r="JGG33" s="684"/>
      <c r="JGH33" s="684"/>
      <c r="JGI33" s="684"/>
      <c r="JGJ33" s="684"/>
      <c r="JGK33" s="684"/>
      <c r="JGL33" s="684"/>
      <c r="JGM33" s="684"/>
      <c r="JGN33" s="684"/>
      <c r="JGO33" s="684"/>
      <c r="JGP33" s="684"/>
      <c r="JGQ33" s="684"/>
      <c r="JGR33" s="684"/>
      <c r="JGS33" s="684"/>
      <c r="JGT33" s="684"/>
      <c r="JGU33" s="684"/>
      <c r="JGV33" s="684"/>
      <c r="JGW33" s="684"/>
      <c r="JGX33" s="684"/>
      <c r="JGY33" s="684"/>
      <c r="JGZ33" s="684"/>
      <c r="JHA33" s="684"/>
      <c r="JHB33" s="684"/>
      <c r="JHC33" s="684"/>
      <c r="JHD33" s="684"/>
      <c r="JHE33" s="684"/>
      <c r="JHF33" s="684"/>
      <c r="JHG33" s="684"/>
      <c r="JHH33" s="684"/>
      <c r="JHI33" s="684"/>
      <c r="JHJ33" s="684"/>
      <c r="JHK33" s="684"/>
      <c r="JHL33" s="684"/>
      <c r="JHM33" s="684"/>
      <c r="JHN33" s="684"/>
      <c r="JHO33" s="684"/>
      <c r="JHP33" s="684"/>
      <c r="JHQ33" s="684"/>
      <c r="JHR33" s="684"/>
      <c r="JHS33" s="684"/>
      <c r="JHT33" s="684"/>
      <c r="JHU33" s="684"/>
      <c r="JHV33" s="684"/>
      <c r="JHW33" s="684"/>
      <c r="JHX33" s="684"/>
      <c r="JHY33" s="684"/>
      <c r="JHZ33" s="684"/>
      <c r="JIA33" s="684"/>
      <c r="JIB33" s="684"/>
      <c r="JIC33" s="684"/>
      <c r="JID33" s="684"/>
      <c r="JIE33" s="684"/>
      <c r="JIF33" s="684"/>
      <c r="JIG33" s="684"/>
      <c r="JIH33" s="684"/>
      <c r="JII33" s="684"/>
      <c r="JIJ33" s="684"/>
      <c r="JIK33" s="684"/>
      <c r="JIL33" s="684"/>
      <c r="JIM33" s="684"/>
      <c r="JIN33" s="684"/>
      <c r="JIO33" s="684"/>
      <c r="JIP33" s="684"/>
      <c r="JIQ33" s="684"/>
      <c r="JIR33" s="684"/>
      <c r="JIS33" s="684"/>
      <c r="JIT33" s="684"/>
      <c r="JIU33" s="684"/>
      <c r="JIV33" s="684"/>
      <c r="JIW33" s="684"/>
      <c r="JIX33" s="684"/>
      <c r="JIY33" s="684"/>
      <c r="JIZ33" s="684"/>
      <c r="JJA33" s="684"/>
      <c r="JJB33" s="684"/>
      <c r="JJC33" s="684"/>
      <c r="JJD33" s="684"/>
      <c r="JJE33" s="684"/>
      <c r="JJF33" s="684"/>
      <c r="JJG33" s="684"/>
      <c r="JJH33" s="684"/>
      <c r="JJI33" s="684"/>
      <c r="JJJ33" s="684"/>
      <c r="JJK33" s="684"/>
      <c r="JJL33" s="684"/>
      <c r="JJM33" s="684"/>
      <c r="JJN33" s="684"/>
      <c r="JJO33" s="684"/>
      <c r="JJP33" s="684"/>
      <c r="JJQ33" s="684"/>
      <c r="JJR33" s="684"/>
      <c r="JJS33" s="684"/>
      <c r="JJT33" s="684"/>
      <c r="JJU33" s="684"/>
      <c r="JJV33" s="684"/>
      <c r="JJW33" s="684"/>
      <c r="JJX33" s="684"/>
      <c r="JJY33" s="684"/>
      <c r="JJZ33" s="684"/>
      <c r="JKA33" s="684"/>
      <c r="JKB33" s="684"/>
      <c r="JKC33" s="684"/>
      <c r="JKD33" s="684"/>
      <c r="JKE33" s="684"/>
      <c r="JKF33" s="684"/>
      <c r="JKG33" s="684"/>
      <c r="JKH33" s="684"/>
      <c r="JKI33" s="684"/>
      <c r="JKJ33" s="684"/>
      <c r="JKK33" s="684"/>
      <c r="JKL33" s="684"/>
      <c r="JKM33" s="684"/>
      <c r="JKN33" s="684"/>
      <c r="JKO33" s="684"/>
      <c r="JKP33" s="684"/>
      <c r="JKQ33" s="684"/>
      <c r="JKR33" s="684"/>
      <c r="JKS33" s="684"/>
      <c r="JKT33" s="684"/>
      <c r="JKU33" s="684"/>
      <c r="JKV33" s="684"/>
      <c r="JKW33" s="684"/>
      <c r="JKX33" s="684"/>
      <c r="JKY33" s="684"/>
      <c r="JKZ33" s="684"/>
      <c r="JLA33" s="684"/>
      <c r="JLB33" s="684"/>
      <c r="JLC33" s="684"/>
      <c r="JLD33" s="684"/>
      <c r="JLE33" s="684"/>
      <c r="JLF33" s="684"/>
      <c r="JLG33" s="684"/>
      <c r="JLH33" s="684"/>
      <c r="JLI33" s="684"/>
      <c r="JLJ33" s="684"/>
      <c r="JLK33" s="684"/>
      <c r="JLL33" s="684"/>
      <c r="JLM33" s="684"/>
      <c r="JLN33" s="684"/>
      <c r="JLO33" s="684"/>
      <c r="JLP33" s="684"/>
      <c r="JLQ33" s="684"/>
      <c r="JLR33" s="684"/>
      <c r="JLS33" s="684"/>
      <c r="JLT33" s="684"/>
      <c r="JLU33" s="684"/>
      <c r="JLV33" s="684"/>
      <c r="JLW33" s="684"/>
      <c r="JLX33" s="684"/>
      <c r="JLY33" s="684"/>
      <c r="JLZ33" s="684"/>
      <c r="JMA33" s="684"/>
      <c r="JMB33" s="684"/>
      <c r="JMC33" s="684"/>
      <c r="JMD33" s="684"/>
      <c r="JME33" s="684"/>
      <c r="JMF33" s="684"/>
      <c r="JMG33" s="684"/>
      <c r="JMH33" s="684"/>
      <c r="JMI33" s="684"/>
      <c r="JMJ33" s="684"/>
      <c r="JMK33" s="684"/>
      <c r="JML33" s="684"/>
      <c r="JMM33" s="684"/>
      <c r="JMN33" s="684"/>
      <c r="JMO33" s="684"/>
      <c r="JMP33" s="684"/>
      <c r="JMQ33" s="684"/>
      <c r="JMR33" s="684"/>
      <c r="JMS33" s="684"/>
      <c r="JMT33" s="684"/>
      <c r="JMU33" s="684"/>
      <c r="JMV33" s="684"/>
      <c r="JMW33" s="684"/>
      <c r="JMX33" s="684"/>
      <c r="JMY33" s="684"/>
      <c r="JMZ33" s="684"/>
      <c r="JNA33" s="684"/>
      <c r="JNB33" s="684"/>
      <c r="JNC33" s="684"/>
      <c r="JND33" s="684"/>
      <c r="JNE33" s="684"/>
      <c r="JNF33" s="684"/>
      <c r="JNG33" s="684"/>
      <c r="JNH33" s="684"/>
      <c r="JNI33" s="684"/>
      <c r="JNJ33" s="684"/>
      <c r="JNK33" s="684"/>
      <c r="JNL33" s="684"/>
      <c r="JNM33" s="684"/>
      <c r="JNN33" s="684"/>
      <c r="JNO33" s="684"/>
      <c r="JNP33" s="684"/>
      <c r="JNQ33" s="684"/>
      <c r="JNR33" s="684"/>
      <c r="JNS33" s="684"/>
      <c r="JNT33" s="684"/>
      <c r="JNU33" s="684"/>
      <c r="JNV33" s="684"/>
      <c r="JNW33" s="684"/>
      <c r="JNX33" s="684"/>
      <c r="JNY33" s="684"/>
      <c r="JNZ33" s="684"/>
      <c r="JOA33" s="684"/>
      <c r="JOB33" s="684"/>
      <c r="JOC33" s="684"/>
      <c r="JOD33" s="684"/>
      <c r="JOE33" s="684"/>
      <c r="JOF33" s="684"/>
      <c r="JOG33" s="684"/>
      <c r="JOH33" s="684"/>
      <c r="JOI33" s="684"/>
      <c r="JOJ33" s="684"/>
      <c r="JOK33" s="684"/>
      <c r="JOL33" s="684"/>
      <c r="JOM33" s="684"/>
      <c r="JON33" s="684"/>
      <c r="JOO33" s="684"/>
      <c r="JOP33" s="684"/>
      <c r="JOQ33" s="684"/>
      <c r="JOR33" s="684"/>
      <c r="JOS33" s="684"/>
      <c r="JOT33" s="684"/>
      <c r="JOU33" s="684"/>
      <c r="JOV33" s="684"/>
      <c r="JOW33" s="684"/>
      <c r="JOX33" s="684"/>
      <c r="JOY33" s="684"/>
      <c r="JOZ33" s="684"/>
      <c r="JPA33" s="684"/>
      <c r="JPB33" s="684"/>
      <c r="JPC33" s="684"/>
      <c r="JPD33" s="684"/>
      <c r="JPE33" s="684"/>
      <c r="JPF33" s="684"/>
      <c r="JPG33" s="684"/>
      <c r="JPH33" s="684"/>
      <c r="JPI33" s="684"/>
      <c r="JPJ33" s="684"/>
      <c r="JPK33" s="684"/>
      <c r="JPL33" s="684"/>
      <c r="JPM33" s="684"/>
      <c r="JPN33" s="684"/>
      <c r="JPO33" s="684"/>
      <c r="JPP33" s="684"/>
      <c r="JPQ33" s="684"/>
      <c r="JPR33" s="684"/>
      <c r="JPS33" s="684"/>
      <c r="JPT33" s="684"/>
      <c r="JPU33" s="684"/>
      <c r="JPV33" s="684"/>
      <c r="JPW33" s="684"/>
      <c r="JPX33" s="684"/>
      <c r="JPY33" s="684"/>
      <c r="JPZ33" s="684"/>
      <c r="JQA33" s="684"/>
      <c r="JQB33" s="684"/>
      <c r="JQC33" s="684"/>
      <c r="JQD33" s="684"/>
      <c r="JQE33" s="684"/>
      <c r="JQF33" s="684"/>
      <c r="JQG33" s="684"/>
      <c r="JQH33" s="684"/>
      <c r="JQI33" s="684"/>
      <c r="JQJ33" s="684"/>
      <c r="JQK33" s="684"/>
      <c r="JQL33" s="684"/>
      <c r="JQM33" s="684"/>
      <c r="JQN33" s="684"/>
      <c r="JQO33" s="684"/>
      <c r="JQP33" s="684"/>
      <c r="JQQ33" s="684"/>
      <c r="JQR33" s="684"/>
      <c r="JQS33" s="684"/>
      <c r="JQT33" s="684"/>
      <c r="JQU33" s="684"/>
      <c r="JQV33" s="684"/>
      <c r="JQW33" s="684"/>
      <c r="JQX33" s="684"/>
      <c r="JQY33" s="684"/>
      <c r="JQZ33" s="684"/>
      <c r="JRA33" s="684"/>
      <c r="JRB33" s="684"/>
      <c r="JRC33" s="684"/>
      <c r="JRD33" s="684"/>
      <c r="JRE33" s="684"/>
      <c r="JRF33" s="684"/>
      <c r="JRG33" s="684"/>
      <c r="JRH33" s="684"/>
      <c r="JRI33" s="684"/>
      <c r="JRJ33" s="684"/>
      <c r="JRK33" s="684"/>
      <c r="JRL33" s="684"/>
      <c r="JRM33" s="684"/>
      <c r="JRN33" s="684"/>
      <c r="JRO33" s="684"/>
      <c r="JRP33" s="684"/>
      <c r="JRQ33" s="684"/>
      <c r="JRR33" s="684"/>
      <c r="JRS33" s="684"/>
      <c r="JRT33" s="684"/>
      <c r="JRU33" s="684"/>
      <c r="JRV33" s="684"/>
      <c r="JRW33" s="684"/>
      <c r="JRX33" s="684"/>
      <c r="JRY33" s="684"/>
      <c r="JRZ33" s="684"/>
      <c r="JSA33" s="684"/>
      <c r="JSB33" s="684"/>
      <c r="JSC33" s="684"/>
      <c r="JSD33" s="684"/>
      <c r="JSE33" s="684"/>
      <c r="JSF33" s="684"/>
      <c r="JSG33" s="684"/>
      <c r="JSH33" s="684"/>
      <c r="JSI33" s="684"/>
      <c r="JSJ33" s="684"/>
      <c r="JSK33" s="684"/>
      <c r="JSL33" s="684"/>
      <c r="JSM33" s="684"/>
      <c r="JSN33" s="684"/>
      <c r="JSO33" s="684"/>
      <c r="JSP33" s="684"/>
      <c r="JSQ33" s="684"/>
      <c r="JSR33" s="684"/>
      <c r="JSS33" s="684"/>
      <c r="JST33" s="684"/>
      <c r="JSU33" s="684"/>
      <c r="JSV33" s="684"/>
      <c r="JSW33" s="684"/>
      <c r="JSX33" s="684"/>
      <c r="JSY33" s="684"/>
      <c r="JSZ33" s="684"/>
      <c r="JTA33" s="684"/>
      <c r="JTB33" s="684"/>
      <c r="JTC33" s="684"/>
      <c r="JTD33" s="684"/>
      <c r="JTE33" s="684"/>
      <c r="JTF33" s="684"/>
      <c r="JTG33" s="684"/>
      <c r="JTH33" s="684"/>
      <c r="JTI33" s="684"/>
      <c r="JTJ33" s="684"/>
      <c r="JTK33" s="684"/>
      <c r="JTL33" s="684"/>
      <c r="JTM33" s="684"/>
      <c r="JTN33" s="684"/>
      <c r="JTO33" s="684"/>
      <c r="JTP33" s="684"/>
      <c r="JTQ33" s="684"/>
      <c r="JTR33" s="684"/>
      <c r="JTS33" s="684"/>
      <c r="JTT33" s="684"/>
      <c r="JTU33" s="684"/>
      <c r="JTV33" s="684"/>
      <c r="JTW33" s="684"/>
      <c r="JTX33" s="684"/>
      <c r="JTY33" s="684"/>
      <c r="JTZ33" s="684"/>
      <c r="JUA33" s="684"/>
      <c r="JUB33" s="684"/>
      <c r="JUC33" s="684"/>
      <c r="JUD33" s="684"/>
      <c r="JUE33" s="684"/>
      <c r="JUF33" s="684"/>
      <c r="JUG33" s="684"/>
      <c r="JUH33" s="684"/>
      <c r="JUI33" s="684"/>
      <c r="JUJ33" s="684"/>
      <c r="JUK33" s="684"/>
      <c r="JUL33" s="684"/>
      <c r="JUM33" s="684"/>
      <c r="JUN33" s="684"/>
      <c r="JUO33" s="684"/>
      <c r="JUP33" s="684"/>
      <c r="JUQ33" s="684"/>
      <c r="JUR33" s="684"/>
      <c r="JUS33" s="684"/>
      <c r="JUT33" s="684"/>
      <c r="JUU33" s="684"/>
      <c r="JUV33" s="684"/>
      <c r="JUW33" s="684"/>
      <c r="JUX33" s="684"/>
      <c r="JUY33" s="684"/>
      <c r="JUZ33" s="684"/>
      <c r="JVA33" s="684"/>
      <c r="JVB33" s="684"/>
      <c r="JVC33" s="684"/>
      <c r="JVD33" s="684"/>
      <c r="JVE33" s="684"/>
      <c r="JVF33" s="684"/>
      <c r="JVG33" s="684"/>
      <c r="JVH33" s="684"/>
      <c r="JVI33" s="684"/>
      <c r="JVJ33" s="684"/>
      <c r="JVK33" s="684"/>
      <c r="JVL33" s="684"/>
      <c r="JVM33" s="684"/>
      <c r="JVN33" s="684"/>
      <c r="JVO33" s="684"/>
      <c r="JVP33" s="684"/>
      <c r="JVQ33" s="684"/>
      <c r="JVR33" s="684"/>
      <c r="JVS33" s="684"/>
      <c r="JVT33" s="684"/>
      <c r="JVU33" s="684"/>
      <c r="JVV33" s="684"/>
      <c r="JVW33" s="684"/>
      <c r="JVX33" s="684"/>
      <c r="JVY33" s="684"/>
      <c r="JVZ33" s="684"/>
      <c r="JWA33" s="684"/>
      <c r="JWB33" s="684"/>
      <c r="JWC33" s="684"/>
      <c r="JWD33" s="684"/>
      <c r="JWE33" s="684"/>
      <c r="JWF33" s="684"/>
      <c r="JWG33" s="684"/>
      <c r="JWH33" s="684"/>
      <c r="JWI33" s="684"/>
      <c r="JWJ33" s="684"/>
      <c r="JWK33" s="684"/>
      <c r="JWL33" s="684"/>
      <c r="JWM33" s="684"/>
      <c r="JWN33" s="684"/>
      <c r="JWO33" s="684"/>
      <c r="JWP33" s="684"/>
      <c r="JWQ33" s="684"/>
      <c r="JWR33" s="684"/>
      <c r="JWS33" s="684"/>
      <c r="JWT33" s="684"/>
      <c r="JWU33" s="684"/>
      <c r="JWV33" s="684"/>
      <c r="JWW33" s="684"/>
      <c r="JWX33" s="684"/>
      <c r="JWY33" s="684"/>
      <c r="JWZ33" s="684"/>
      <c r="JXA33" s="684"/>
      <c r="JXB33" s="684"/>
      <c r="JXC33" s="684"/>
      <c r="JXD33" s="684"/>
      <c r="JXE33" s="684"/>
      <c r="JXF33" s="684"/>
      <c r="JXG33" s="684"/>
      <c r="JXH33" s="684"/>
      <c r="JXI33" s="684"/>
      <c r="JXJ33" s="684"/>
      <c r="JXK33" s="684"/>
      <c r="JXL33" s="684"/>
      <c r="JXM33" s="684"/>
      <c r="JXN33" s="684"/>
      <c r="JXO33" s="684"/>
      <c r="JXP33" s="684"/>
      <c r="JXQ33" s="684"/>
      <c r="JXR33" s="684"/>
      <c r="JXS33" s="684"/>
      <c r="JXT33" s="684"/>
      <c r="JXU33" s="684"/>
      <c r="JXV33" s="684"/>
      <c r="JXW33" s="684"/>
      <c r="JXX33" s="684"/>
      <c r="JXY33" s="684"/>
      <c r="JXZ33" s="684"/>
      <c r="JYA33" s="684"/>
      <c r="JYB33" s="684"/>
      <c r="JYC33" s="684"/>
      <c r="JYD33" s="684"/>
      <c r="JYE33" s="684"/>
      <c r="JYF33" s="684"/>
      <c r="JYG33" s="684"/>
      <c r="JYH33" s="684"/>
      <c r="JYI33" s="684"/>
      <c r="JYJ33" s="684"/>
      <c r="JYK33" s="684"/>
      <c r="JYL33" s="684"/>
      <c r="JYM33" s="684"/>
      <c r="JYN33" s="684"/>
      <c r="JYO33" s="684"/>
      <c r="JYP33" s="684"/>
      <c r="JYQ33" s="684"/>
      <c r="JYR33" s="684"/>
      <c r="JYS33" s="684"/>
      <c r="JYT33" s="684"/>
      <c r="JYU33" s="684"/>
      <c r="JYV33" s="684"/>
      <c r="JYW33" s="684"/>
      <c r="JYX33" s="684"/>
      <c r="JYY33" s="684"/>
      <c r="JYZ33" s="684"/>
      <c r="JZA33" s="684"/>
      <c r="JZB33" s="684"/>
      <c r="JZC33" s="684"/>
      <c r="JZD33" s="684"/>
      <c r="JZE33" s="684"/>
      <c r="JZF33" s="684"/>
      <c r="JZG33" s="684"/>
      <c r="JZH33" s="684"/>
      <c r="JZI33" s="684"/>
      <c r="JZJ33" s="684"/>
      <c r="JZK33" s="684"/>
      <c r="JZL33" s="684"/>
      <c r="JZM33" s="684"/>
      <c r="JZN33" s="684"/>
      <c r="JZO33" s="684"/>
      <c r="JZP33" s="684"/>
      <c r="JZQ33" s="684"/>
      <c r="JZR33" s="684"/>
      <c r="JZS33" s="684"/>
      <c r="JZT33" s="684"/>
      <c r="JZU33" s="684"/>
      <c r="JZV33" s="684"/>
      <c r="JZW33" s="684"/>
      <c r="JZX33" s="684"/>
      <c r="JZY33" s="684"/>
      <c r="JZZ33" s="684"/>
      <c r="KAA33" s="684"/>
      <c r="KAB33" s="684"/>
      <c r="KAC33" s="684"/>
      <c r="KAD33" s="684"/>
      <c r="KAE33" s="684"/>
      <c r="KAF33" s="684"/>
      <c r="KAG33" s="684"/>
      <c r="KAH33" s="684"/>
      <c r="KAI33" s="684"/>
      <c r="KAJ33" s="684"/>
      <c r="KAK33" s="684"/>
      <c r="KAL33" s="684"/>
      <c r="KAM33" s="684"/>
      <c r="KAN33" s="684"/>
      <c r="KAO33" s="684"/>
      <c r="KAP33" s="684"/>
      <c r="KAQ33" s="684"/>
      <c r="KAR33" s="684"/>
      <c r="KAS33" s="684"/>
      <c r="KAT33" s="684"/>
      <c r="KAU33" s="684"/>
      <c r="KAV33" s="684"/>
      <c r="KAW33" s="684"/>
      <c r="KAX33" s="684"/>
      <c r="KAY33" s="684"/>
      <c r="KAZ33" s="684"/>
      <c r="KBA33" s="684"/>
      <c r="KBB33" s="684"/>
      <c r="KBC33" s="684"/>
      <c r="KBD33" s="684"/>
      <c r="KBE33" s="684"/>
      <c r="KBF33" s="684"/>
      <c r="KBG33" s="684"/>
      <c r="KBH33" s="684"/>
      <c r="KBI33" s="684"/>
      <c r="KBJ33" s="684"/>
      <c r="KBK33" s="684"/>
      <c r="KBL33" s="684"/>
      <c r="KBM33" s="684"/>
      <c r="KBN33" s="684"/>
      <c r="KBO33" s="684"/>
      <c r="KBP33" s="684"/>
      <c r="KBQ33" s="684"/>
      <c r="KBR33" s="684"/>
      <c r="KBS33" s="684"/>
      <c r="KBT33" s="684"/>
      <c r="KBU33" s="684"/>
      <c r="KBV33" s="684"/>
      <c r="KBW33" s="684"/>
      <c r="KBX33" s="684"/>
      <c r="KBY33" s="684"/>
      <c r="KBZ33" s="684"/>
      <c r="KCA33" s="684"/>
      <c r="KCB33" s="684"/>
      <c r="KCC33" s="684"/>
      <c r="KCD33" s="684"/>
      <c r="KCE33" s="684"/>
      <c r="KCF33" s="684"/>
      <c r="KCG33" s="684"/>
      <c r="KCH33" s="684"/>
      <c r="KCI33" s="684"/>
      <c r="KCJ33" s="684"/>
      <c r="KCK33" s="684"/>
      <c r="KCL33" s="684"/>
      <c r="KCM33" s="684"/>
      <c r="KCN33" s="684"/>
      <c r="KCO33" s="684"/>
      <c r="KCP33" s="684"/>
      <c r="KCQ33" s="684"/>
      <c r="KCR33" s="684"/>
      <c r="KCS33" s="684"/>
      <c r="KCT33" s="684"/>
      <c r="KCU33" s="684"/>
      <c r="KCV33" s="684"/>
      <c r="KCW33" s="684"/>
      <c r="KCX33" s="684"/>
      <c r="KCY33" s="684"/>
      <c r="KCZ33" s="684"/>
      <c r="KDA33" s="684"/>
      <c r="KDB33" s="684"/>
      <c r="KDC33" s="684"/>
      <c r="KDD33" s="684"/>
      <c r="KDE33" s="684"/>
      <c r="KDF33" s="684"/>
      <c r="KDG33" s="684"/>
      <c r="KDH33" s="684"/>
      <c r="KDI33" s="684"/>
      <c r="KDJ33" s="684"/>
      <c r="KDK33" s="684"/>
      <c r="KDL33" s="684"/>
      <c r="KDM33" s="684"/>
      <c r="KDN33" s="684"/>
      <c r="KDO33" s="684"/>
      <c r="KDP33" s="684"/>
      <c r="KDQ33" s="684"/>
      <c r="KDR33" s="684"/>
      <c r="KDS33" s="684"/>
      <c r="KDT33" s="684"/>
      <c r="KDU33" s="684"/>
      <c r="KDV33" s="684"/>
      <c r="KDW33" s="684"/>
      <c r="KDX33" s="684"/>
      <c r="KDY33" s="684"/>
      <c r="KDZ33" s="684"/>
      <c r="KEA33" s="684"/>
      <c r="KEB33" s="684"/>
      <c r="KEC33" s="684"/>
      <c r="KED33" s="684"/>
      <c r="KEE33" s="684"/>
      <c r="KEF33" s="684"/>
      <c r="KEG33" s="684"/>
      <c r="KEH33" s="684"/>
      <c r="KEI33" s="684"/>
      <c r="KEJ33" s="684"/>
      <c r="KEK33" s="684"/>
      <c r="KEL33" s="684"/>
      <c r="KEM33" s="684"/>
      <c r="KEN33" s="684"/>
      <c r="KEO33" s="684"/>
      <c r="KEP33" s="684"/>
      <c r="KEQ33" s="684"/>
      <c r="KER33" s="684"/>
      <c r="KES33" s="684"/>
      <c r="KET33" s="684"/>
      <c r="KEU33" s="684"/>
      <c r="KEV33" s="684"/>
      <c r="KEW33" s="684"/>
      <c r="KEX33" s="684"/>
      <c r="KEY33" s="684"/>
      <c r="KEZ33" s="684"/>
      <c r="KFA33" s="684"/>
      <c r="KFB33" s="684"/>
      <c r="KFC33" s="684"/>
      <c r="KFD33" s="684"/>
      <c r="KFE33" s="684"/>
      <c r="KFF33" s="684"/>
      <c r="KFG33" s="684"/>
      <c r="KFH33" s="684"/>
      <c r="KFI33" s="684"/>
      <c r="KFJ33" s="684"/>
      <c r="KFK33" s="684"/>
      <c r="KFL33" s="684"/>
      <c r="KFM33" s="684"/>
      <c r="KFN33" s="684"/>
      <c r="KFO33" s="684"/>
      <c r="KFP33" s="684"/>
      <c r="KFQ33" s="684"/>
      <c r="KFR33" s="684"/>
      <c r="KFS33" s="684"/>
      <c r="KFT33" s="684"/>
      <c r="KFU33" s="684"/>
      <c r="KFV33" s="684"/>
      <c r="KFW33" s="684"/>
      <c r="KFX33" s="684"/>
      <c r="KFY33" s="684"/>
      <c r="KFZ33" s="684"/>
      <c r="KGA33" s="684"/>
      <c r="KGB33" s="684"/>
      <c r="KGC33" s="684"/>
      <c r="KGD33" s="684"/>
      <c r="KGE33" s="684"/>
      <c r="KGF33" s="684"/>
      <c r="KGG33" s="684"/>
      <c r="KGH33" s="684"/>
      <c r="KGI33" s="684"/>
      <c r="KGJ33" s="684"/>
      <c r="KGK33" s="684"/>
      <c r="KGL33" s="684"/>
      <c r="KGM33" s="684"/>
      <c r="KGN33" s="684"/>
      <c r="KGO33" s="684"/>
      <c r="KGP33" s="684"/>
      <c r="KGQ33" s="684"/>
      <c r="KGR33" s="684"/>
      <c r="KGS33" s="684"/>
      <c r="KGT33" s="684"/>
      <c r="KGU33" s="684"/>
      <c r="KGV33" s="684"/>
      <c r="KGW33" s="684"/>
      <c r="KGX33" s="684"/>
      <c r="KGY33" s="684"/>
      <c r="KGZ33" s="684"/>
      <c r="KHA33" s="684"/>
      <c r="KHB33" s="684"/>
      <c r="KHC33" s="684"/>
      <c r="KHD33" s="684"/>
      <c r="KHE33" s="684"/>
      <c r="KHF33" s="684"/>
      <c r="KHG33" s="684"/>
      <c r="KHH33" s="684"/>
      <c r="KHI33" s="684"/>
      <c r="KHJ33" s="684"/>
      <c r="KHK33" s="684"/>
      <c r="KHL33" s="684"/>
      <c r="KHM33" s="684"/>
      <c r="KHN33" s="684"/>
      <c r="KHO33" s="684"/>
      <c r="KHP33" s="684"/>
      <c r="KHQ33" s="684"/>
      <c r="KHR33" s="684"/>
      <c r="KHS33" s="684"/>
      <c r="KHT33" s="684"/>
      <c r="KHU33" s="684"/>
      <c r="KHV33" s="684"/>
      <c r="KHW33" s="684"/>
      <c r="KHX33" s="684"/>
      <c r="KHY33" s="684"/>
      <c r="KHZ33" s="684"/>
      <c r="KIA33" s="684"/>
      <c r="KIB33" s="684"/>
      <c r="KIC33" s="684"/>
      <c r="KID33" s="684"/>
      <c r="KIE33" s="684"/>
      <c r="KIF33" s="684"/>
      <c r="KIG33" s="684"/>
      <c r="KIH33" s="684"/>
      <c r="KII33" s="684"/>
      <c r="KIJ33" s="684"/>
      <c r="KIK33" s="684"/>
      <c r="KIL33" s="684"/>
      <c r="KIM33" s="684"/>
      <c r="KIN33" s="684"/>
      <c r="KIO33" s="684"/>
      <c r="KIP33" s="684"/>
      <c r="KIQ33" s="684"/>
      <c r="KIR33" s="684"/>
      <c r="KIS33" s="684"/>
      <c r="KIT33" s="684"/>
      <c r="KIU33" s="684"/>
      <c r="KIV33" s="684"/>
      <c r="KIW33" s="684"/>
      <c r="KIX33" s="684"/>
      <c r="KIY33" s="684"/>
      <c r="KIZ33" s="684"/>
      <c r="KJA33" s="684"/>
      <c r="KJB33" s="684"/>
      <c r="KJC33" s="684"/>
      <c r="KJD33" s="684"/>
      <c r="KJE33" s="684"/>
      <c r="KJF33" s="684"/>
      <c r="KJG33" s="684"/>
      <c r="KJH33" s="684"/>
      <c r="KJI33" s="684"/>
      <c r="KJJ33" s="684"/>
      <c r="KJK33" s="684"/>
      <c r="KJL33" s="684"/>
      <c r="KJM33" s="684"/>
      <c r="KJN33" s="684"/>
      <c r="KJO33" s="684"/>
      <c r="KJP33" s="684"/>
      <c r="KJQ33" s="684"/>
      <c r="KJR33" s="684"/>
      <c r="KJS33" s="684"/>
      <c r="KJT33" s="684"/>
      <c r="KJU33" s="684"/>
      <c r="KJV33" s="684"/>
      <c r="KJW33" s="684"/>
      <c r="KJX33" s="684"/>
      <c r="KJY33" s="684"/>
      <c r="KJZ33" s="684"/>
      <c r="KKA33" s="684"/>
      <c r="KKB33" s="684"/>
      <c r="KKC33" s="684"/>
      <c r="KKD33" s="684"/>
      <c r="KKE33" s="684"/>
      <c r="KKF33" s="684"/>
      <c r="KKG33" s="684"/>
      <c r="KKH33" s="684"/>
      <c r="KKI33" s="684"/>
      <c r="KKJ33" s="684"/>
      <c r="KKK33" s="684"/>
      <c r="KKL33" s="684"/>
      <c r="KKM33" s="684"/>
      <c r="KKN33" s="684"/>
      <c r="KKO33" s="684"/>
      <c r="KKP33" s="684"/>
      <c r="KKQ33" s="684"/>
      <c r="KKR33" s="684"/>
      <c r="KKS33" s="684"/>
      <c r="KKT33" s="684"/>
      <c r="KKU33" s="684"/>
      <c r="KKV33" s="684"/>
      <c r="KKW33" s="684"/>
      <c r="KKX33" s="684"/>
      <c r="KKY33" s="684"/>
      <c r="KKZ33" s="684"/>
      <c r="KLA33" s="684"/>
      <c r="KLB33" s="684"/>
      <c r="KLC33" s="684"/>
      <c r="KLD33" s="684"/>
      <c r="KLE33" s="684"/>
      <c r="KLF33" s="684"/>
      <c r="KLG33" s="684"/>
      <c r="KLH33" s="684"/>
      <c r="KLI33" s="684"/>
      <c r="KLJ33" s="684"/>
      <c r="KLK33" s="684"/>
      <c r="KLL33" s="684"/>
      <c r="KLM33" s="684"/>
      <c r="KLN33" s="684"/>
      <c r="KLO33" s="684"/>
      <c r="KLP33" s="684"/>
      <c r="KLQ33" s="684"/>
      <c r="KLR33" s="684"/>
      <c r="KLS33" s="684"/>
      <c r="KLT33" s="684"/>
      <c r="KLU33" s="684"/>
      <c r="KLV33" s="684"/>
      <c r="KLW33" s="684"/>
      <c r="KLX33" s="684"/>
      <c r="KLY33" s="684"/>
      <c r="KLZ33" s="684"/>
      <c r="KMA33" s="684"/>
      <c r="KMB33" s="684"/>
      <c r="KMC33" s="684"/>
      <c r="KMD33" s="684"/>
      <c r="KME33" s="684"/>
      <c r="KMF33" s="684"/>
      <c r="KMG33" s="684"/>
      <c r="KMH33" s="684"/>
      <c r="KMI33" s="684"/>
      <c r="KMJ33" s="684"/>
      <c r="KMK33" s="684"/>
      <c r="KML33" s="684"/>
      <c r="KMM33" s="684"/>
      <c r="KMN33" s="684"/>
      <c r="KMO33" s="684"/>
      <c r="KMP33" s="684"/>
      <c r="KMQ33" s="684"/>
      <c r="KMR33" s="684"/>
      <c r="KMS33" s="684"/>
      <c r="KMT33" s="684"/>
      <c r="KMU33" s="684"/>
      <c r="KMV33" s="684"/>
      <c r="KMW33" s="684"/>
      <c r="KMX33" s="684"/>
      <c r="KMY33" s="684"/>
      <c r="KMZ33" s="684"/>
      <c r="KNA33" s="684"/>
      <c r="KNB33" s="684"/>
      <c r="KNC33" s="684"/>
      <c r="KND33" s="684"/>
      <c r="KNE33" s="684"/>
      <c r="KNF33" s="684"/>
      <c r="KNG33" s="684"/>
      <c r="KNH33" s="684"/>
      <c r="KNI33" s="684"/>
      <c r="KNJ33" s="684"/>
      <c r="KNK33" s="684"/>
      <c r="KNL33" s="684"/>
      <c r="KNM33" s="684"/>
      <c r="KNN33" s="684"/>
      <c r="KNO33" s="684"/>
      <c r="KNP33" s="684"/>
      <c r="KNQ33" s="684"/>
      <c r="KNR33" s="684"/>
      <c r="KNS33" s="684"/>
      <c r="KNT33" s="684"/>
      <c r="KNU33" s="684"/>
      <c r="KNV33" s="684"/>
      <c r="KNW33" s="684"/>
      <c r="KNX33" s="684"/>
      <c r="KNY33" s="684"/>
      <c r="KNZ33" s="684"/>
      <c r="KOA33" s="684"/>
      <c r="KOB33" s="684"/>
      <c r="KOC33" s="684"/>
      <c r="KOD33" s="684"/>
      <c r="KOE33" s="684"/>
      <c r="KOF33" s="684"/>
      <c r="KOG33" s="684"/>
      <c r="KOH33" s="684"/>
      <c r="KOI33" s="684"/>
      <c r="KOJ33" s="684"/>
      <c r="KOK33" s="684"/>
      <c r="KOL33" s="684"/>
      <c r="KOM33" s="684"/>
      <c r="KON33" s="684"/>
      <c r="KOO33" s="684"/>
      <c r="KOP33" s="684"/>
      <c r="KOQ33" s="684"/>
      <c r="KOR33" s="684"/>
      <c r="KOS33" s="684"/>
      <c r="KOT33" s="684"/>
      <c r="KOU33" s="684"/>
      <c r="KOV33" s="684"/>
      <c r="KOW33" s="684"/>
      <c r="KOX33" s="684"/>
      <c r="KOY33" s="684"/>
      <c r="KOZ33" s="684"/>
      <c r="KPA33" s="684"/>
      <c r="KPB33" s="684"/>
      <c r="KPC33" s="684"/>
      <c r="KPD33" s="684"/>
      <c r="KPE33" s="684"/>
      <c r="KPF33" s="684"/>
      <c r="KPG33" s="684"/>
      <c r="KPH33" s="684"/>
      <c r="KPI33" s="684"/>
      <c r="KPJ33" s="684"/>
      <c r="KPK33" s="684"/>
      <c r="KPL33" s="684"/>
      <c r="KPM33" s="684"/>
      <c r="KPN33" s="684"/>
      <c r="KPO33" s="684"/>
      <c r="KPP33" s="684"/>
      <c r="KPQ33" s="684"/>
      <c r="KPR33" s="684"/>
      <c r="KPS33" s="684"/>
      <c r="KPT33" s="684"/>
      <c r="KPU33" s="684"/>
      <c r="KPV33" s="684"/>
      <c r="KPW33" s="684"/>
      <c r="KPX33" s="684"/>
      <c r="KPY33" s="684"/>
      <c r="KPZ33" s="684"/>
      <c r="KQA33" s="684"/>
      <c r="KQB33" s="684"/>
      <c r="KQC33" s="684"/>
      <c r="KQD33" s="684"/>
      <c r="KQE33" s="684"/>
      <c r="KQF33" s="684"/>
      <c r="KQG33" s="684"/>
      <c r="KQH33" s="684"/>
      <c r="KQI33" s="684"/>
      <c r="KQJ33" s="684"/>
      <c r="KQK33" s="684"/>
      <c r="KQL33" s="684"/>
      <c r="KQM33" s="684"/>
      <c r="KQN33" s="684"/>
      <c r="KQO33" s="684"/>
      <c r="KQP33" s="684"/>
      <c r="KQQ33" s="684"/>
      <c r="KQR33" s="684"/>
      <c r="KQS33" s="684"/>
      <c r="KQT33" s="684"/>
      <c r="KQU33" s="684"/>
      <c r="KQV33" s="684"/>
      <c r="KQW33" s="684"/>
      <c r="KQX33" s="684"/>
      <c r="KQY33" s="684"/>
      <c r="KQZ33" s="684"/>
      <c r="KRA33" s="684"/>
      <c r="KRB33" s="684"/>
      <c r="KRC33" s="684"/>
      <c r="KRD33" s="684"/>
      <c r="KRE33" s="684"/>
      <c r="KRF33" s="684"/>
      <c r="KRG33" s="684"/>
      <c r="KRH33" s="684"/>
      <c r="KRI33" s="684"/>
      <c r="KRJ33" s="684"/>
      <c r="KRK33" s="684"/>
      <c r="KRL33" s="684"/>
      <c r="KRM33" s="684"/>
      <c r="KRN33" s="684"/>
      <c r="KRO33" s="684"/>
      <c r="KRP33" s="684"/>
      <c r="KRQ33" s="684"/>
      <c r="KRR33" s="684"/>
      <c r="KRS33" s="684"/>
      <c r="KRT33" s="684"/>
      <c r="KRU33" s="684"/>
      <c r="KRV33" s="684"/>
      <c r="KRW33" s="684"/>
      <c r="KRX33" s="684"/>
      <c r="KRY33" s="684"/>
      <c r="KRZ33" s="684"/>
      <c r="KSA33" s="684"/>
      <c r="KSB33" s="684"/>
      <c r="KSC33" s="684"/>
      <c r="KSD33" s="684"/>
      <c r="KSE33" s="684"/>
      <c r="KSF33" s="684"/>
      <c r="KSG33" s="684"/>
      <c r="KSH33" s="684"/>
      <c r="KSI33" s="684"/>
      <c r="KSJ33" s="684"/>
      <c r="KSK33" s="684"/>
      <c r="KSL33" s="684"/>
      <c r="KSM33" s="684"/>
      <c r="KSN33" s="684"/>
      <c r="KSO33" s="684"/>
      <c r="KSP33" s="684"/>
      <c r="KSQ33" s="684"/>
      <c r="KSR33" s="684"/>
      <c r="KSS33" s="684"/>
      <c r="KST33" s="684"/>
      <c r="KSU33" s="684"/>
      <c r="KSV33" s="684"/>
      <c r="KSW33" s="684"/>
      <c r="KSX33" s="684"/>
      <c r="KSY33" s="684"/>
      <c r="KSZ33" s="684"/>
      <c r="KTA33" s="684"/>
      <c r="KTB33" s="684"/>
      <c r="KTC33" s="684"/>
      <c r="KTD33" s="684"/>
      <c r="KTE33" s="684"/>
      <c r="KTF33" s="684"/>
      <c r="KTG33" s="684"/>
      <c r="KTH33" s="684"/>
      <c r="KTI33" s="684"/>
      <c r="KTJ33" s="684"/>
      <c r="KTK33" s="684"/>
      <c r="KTL33" s="684"/>
      <c r="KTM33" s="684"/>
      <c r="KTN33" s="684"/>
      <c r="KTO33" s="684"/>
      <c r="KTP33" s="684"/>
      <c r="KTQ33" s="684"/>
      <c r="KTR33" s="684"/>
      <c r="KTS33" s="684"/>
      <c r="KTT33" s="684"/>
      <c r="KTU33" s="684"/>
      <c r="KTV33" s="684"/>
      <c r="KTW33" s="684"/>
      <c r="KTX33" s="684"/>
      <c r="KTY33" s="684"/>
      <c r="KTZ33" s="684"/>
      <c r="KUA33" s="684"/>
      <c r="KUB33" s="684"/>
      <c r="KUC33" s="684"/>
      <c r="KUD33" s="684"/>
      <c r="KUE33" s="684"/>
      <c r="KUF33" s="684"/>
      <c r="KUG33" s="684"/>
      <c r="KUH33" s="684"/>
      <c r="KUI33" s="684"/>
      <c r="KUJ33" s="684"/>
      <c r="KUK33" s="684"/>
      <c r="KUL33" s="684"/>
      <c r="KUM33" s="684"/>
      <c r="KUN33" s="684"/>
      <c r="KUO33" s="684"/>
      <c r="KUP33" s="684"/>
      <c r="KUQ33" s="684"/>
      <c r="KUR33" s="684"/>
      <c r="KUS33" s="684"/>
      <c r="KUT33" s="684"/>
      <c r="KUU33" s="684"/>
      <c r="KUV33" s="684"/>
      <c r="KUW33" s="684"/>
      <c r="KUX33" s="684"/>
      <c r="KUY33" s="684"/>
      <c r="KUZ33" s="684"/>
      <c r="KVA33" s="684"/>
      <c r="KVB33" s="684"/>
      <c r="KVC33" s="684"/>
      <c r="KVD33" s="684"/>
      <c r="KVE33" s="684"/>
      <c r="KVF33" s="684"/>
      <c r="KVG33" s="684"/>
      <c r="KVH33" s="684"/>
      <c r="KVI33" s="684"/>
      <c r="KVJ33" s="684"/>
      <c r="KVK33" s="684"/>
      <c r="KVL33" s="684"/>
      <c r="KVM33" s="684"/>
      <c r="KVN33" s="684"/>
      <c r="KVO33" s="684"/>
      <c r="KVP33" s="684"/>
      <c r="KVQ33" s="684"/>
      <c r="KVR33" s="684"/>
      <c r="KVS33" s="684"/>
      <c r="KVT33" s="684"/>
      <c r="KVU33" s="684"/>
      <c r="KVV33" s="684"/>
      <c r="KVW33" s="684"/>
      <c r="KVX33" s="684"/>
      <c r="KVY33" s="684"/>
      <c r="KVZ33" s="684"/>
      <c r="KWA33" s="684"/>
      <c r="KWB33" s="684"/>
      <c r="KWC33" s="684"/>
      <c r="KWD33" s="684"/>
      <c r="KWE33" s="684"/>
      <c r="KWF33" s="684"/>
      <c r="KWG33" s="684"/>
      <c r="KWH33" s="684"/>
      <c r="KWI33" s="684"/>
      <c r="KWJ33" s="684"/>
      <c r="KWK33" s="684"/>
      <c r="KWL33" s="684"/>
      <c r="KWM33" s="684"/>
      <c r="KWN33" s="684"/>
      <c r="KWO33" s="684"/>
      <c r="KWP33" s="684"/>
      <c r="KWQ33" s="684"/>
      <c r="KWR33" s="684"/>
      <c r="KWS33" s="684"/>
      <c r="KWT33" s="684"/>
      <c r="KWU33" s="684"/>
      <c r="KWV33" s="684"/>
      <c r="KWW33" s="684"/>
      <c r="KWX33" s="684"/>
      <c r="KWY33" s="684"/>
      <c r="KWZ33" s="684"/>
      <c r="KXA33" s="684"/>
      <c r="KXB33" s="684"/>
      <c r="KXC33" s="684"/>
      <c r="KXD33" s="684"/>
      <c r="KXE33" s="684"/>
      <c r="KXF33" s="684"/>
      <c r="KXG33" s="684"/>
      <c r="KXH33" s="684"/>
      <c r="KXI33" s="684"/>
      <c r="KXJ33" s="684"/>
      <c r="KXK33" s="684"/>
      <c r="KXL33" s="684"/>
      <c r="KXM33" s="684"/>
      <c r="KXN33" s="684"/>
      <c r="KXO33" s="684"/>
      <c r="KXP33" s="684"/>
      <c r="KXQ33" s="684"/>
      <c r="KXR33" s="684"/>
      <c r="KXS33" s="684"/>
      <c r="KXT33" s="684"/>
      <c r="KXU33" s="684"/>
      <c r="KXV33" s="684"/>
      <c r="KXW33" s="684"/>
      <c r="KXX33" s="684"/>
      <c r="KXY33" s="684"/>
      <c r="KXZ33" s="684"/>
      <c r="KYA33" s="684"/>
      <c r="KYB33" s="684"/>
      <c r="KYC33" s="684"/>
      <c r="KYD33" s="684"/>
      <c r="KYE33" s="684"/>
      <c r="KYF33" s="684"/>
      <c r="KYG33" s="684"/>
      <c r="KYH33" s="684"/>
      <c r="KYI33" s="684"/>
      <c r="KYJ33" s="684"/>
      <c r="KYK33" s="684"/>
      <c r="KYL33" s="684"/>
      <c r="KYM33" s="684"/>
      <c r="KYN33" s="684"/>
      <c r="KYO33" s="684"/>
      <c r="KYP33" s="684"/>
      <c r="KYQ33" s="684"/>
      <c r="KYR33" s="684"/>
      <c r="KYS33" s="684"/>
      <c r="KYT33" s="684"/>
      <c r="KYU33" s="684"/>
      <c r="KYV33" s="684"/>
      <c r="KYW33" s="684"/>
      <c r="KYX33" s="684"/>
      <c r="KYY33" s="684"/>
      <c r="KYZ33" s="684"/>
      <c r="KZA33" s="684"/>
      <c r="KZB33" s="684"/>
      <c r="KZC33" s="684"/>
      <c r="KZD33" s="684"/>
      <c r="KZE33" s="684"/>
      <c r="KZF33" s="684"/>
      <c r="KZG33" s="684"/>
      <c r="KZH33" s="684"/>
      <c r="KZI33" s="684"/>
      <c r="KZJ33" s="684"/>
      <c r="KZK33" s="684"/>
      <c r="KZL33" s="684"/>
      <c r="KZM33" s="684"/>
      <c r="KZN33" s="684"/>
      <c r="KZO33" s="684"/>
      <c r="KZP33" s="684"/>
      <c r="KZQ33" s="684"/>
      <c r="KZR33" s="684"/>
      <c r="KZS33" s="684"/>
      <c r="KZT33" s="684"/>
      <c r="KZU33" s="684"/>
      <c r="KZV33" s="684"/>
      <c r="KZW33" s="684"/>
      <c r="KZX33" s="684"/>
      <c r="KZY33" s="684"/>
      <c r="KZZ33" s="684"/>
      <c r="LAA33" s="684"/>
      <c r="LAB33" s="684"/>
      <c r="LAC33" s="684"/>
      <c r="LAD33" s="684"/>
      <c r="LAE33" s="684"/>
      <c r="LAF33" s="684"/>
      <c r="LAG33" s="684"/>
      <c r="LAH33" s="684"/>
      <c r="LAI33" s="684"/>
      <c r="LAJ33" s="684"/>
      <c r="LAK33" s="684"/>
      <c r="LAL33" s="684"/>
      <c r="LAM33" s="684"/>
      <c r="LAN33" s="684"/>
      <c r="LAO33" s="684"/>
      <c r="LAP33" s="684"/>
      <c r="LAQ33" s="684"/>
      <c r="LAR33" s="684"/>
      <c r="LAS33" s="684"/>
      <c r="LAT33" s="684"/>
      <c r="LAU33" s="684"/>
      <c r="LAV33" s="684"/>
      <c r="LAW33" s="684"/>
      <c r="LAX33" s="684"/>
      <c r="LAY33" s="684"/>
      <c r="LAZ33" s="684"/>
      <c r="LBA33" s="684"/>
      <c r="LBB33" s="684"/>
      <c r="LBC33" s="684"/>
      <c r="LBD33" s="684"/>
      <c r="LBE33" s="684"/>
      <c r="LBF33" s="684"/>
      <c r="LBG33" s="684"/>
      <c r="LBH33" s="684"/>
      <c r="LBI33" s="684"/>
      <c r="LBJ33" s="684"/>
      <c r="LBK33" s="684"/>
      <c r="LBL33" s="684"/>
      <c r="LBM33" s="684"/>
      <c r="LBN33" s="684"/>
      <c r="LBO33" s="684"/>
      <c r="LBP33" s="684"/>
      <c r="LBQ33" s="684"/>
      <c r="LBR33" s="684"/>
      <c r="LBS33" s="684"/>
      <c r="LBT33" s="684"/>
      <c r="LBU33" s="684"/>
      <c r="LBV33" s="684"/>
      <c r="LBW33" s="684"/>
      <c r="LBX33" s="684"/>
      <c r="LBY33" s="684"/>
      <c r="LBZ33" s="684"/>
      <c r="LCA33" s="684"/>
      <c r="LCB33" s="684"/>
      <c r="LCC33" s="684"/>
      <c r="LCD33" s="684"/>
      <c r="LCE33" s="684"/>
      <c r="LCF33" s="684"/>
      <c r="LCG33" s="684"/>
      <c r="LCH33" s="684"/>
      <c r="LCI33" s="684"/>
      <c r="LCJ33" s="684"/>
      <c r="LCK33" s="684"/>
      <c r="LCL33" s="684"/>
      <c r="LCM33" s="684"/>
      <c r="LCN33" s="684"/>
      <c r="LCO33" s="684"/>
      <c r="LCP33" s="684"/>
      <c r="LCQ33" s="684"/>
      <c r="LCR33" s="684"/>
      <c r="LCS33" s="684"/>
      <c r="LCT33" s="684"/>
      <c r="LCU33" s="684"/>
      <c r="LCV33" s="684"/>
      <c r="LCW33" s="684"/>
      <c r="LCX33" s="684"/>
      <c r="LCY33" s="684"/>
      <c r="LCZ33" s="684"/>
      <c r="LDA33" s="684"/>
      <c r="LDB33" s="684"/>
      <c r="LDC33" s="684"/>
      <c r="LDD33" s="684"/>
      <c r="LDE33" s="684"/>
      <c r="LDF33" s="684"/>
      <c r="LDG33" s="684"/>
      <c r="LDH33" s="684"/>
      <c r="LDI33" s="684"/>
      <c r="LDJ33" s="684"/>
      <c r="LDK33" s="684"/>
      <c r="LDL33" s="684"/>
      <c r="LDM33" s="684"/>
      <c r="LDN33" s="684"/>
      <c r="LDO33" s="684"/>
      <c r="LDP33" s="684"/>
      <c r="LDQ33" s="684"/>
      <c r="LDR33" s="684"/>
      <c r="LDS33" s="684"/>
      <c r="LDT33" s="684"/>
      <c r="LDU33" s="684"/>
      <c r="LDV33" s="684"/>
      <c r="LDW33" s="684"/>
      <c r="LDX33" s="684"/>
      <c r="LDY33" s="684"/>
      <c r="LDZ33" s="684"/>
      <c r="LEA33" s="684"/>
      <c r="LEB33" s="684"/>
      <c r="LEC33" s="684"/>
      <c r="LED33" s="684"/>
      <c r="LEE33" s="684"/>
      <c r="LEF33" s="684"/>
      <c r="LEG33" s="684"/>
      <c r="LEH33" s="684"/>
      <c r="LEI33" s="684"/>
      <c r="LEJ33" s="684"/>
      <c r="LEK33" s="684"/>
      <c r="LEL33" s="684"/>
      <c r="LEM33" s="684"/>
      <c r="LEN33" s="684"/>
      <c r="LEO33" s="684"/>
      <c r="LEP33" s="684"/>
      <c r="LEQ33" s="684"/>
      <c r="LER33" s="684"/>
      <c r="LES33" s="684"/>
      <c r="LET33" s="684"/>
      <c r="LEU33" s="684"/>
      <c r="LEV33" s="684"/>
      <c r="LEW33" s="684"/>
      <c r="LEX33" s="684"/>
      <c r="LEY33" s="684"/>
      <c r="LEZ33" s="684"/>
      <c r="LFA33" s="684"/>
      <c r="LFB33" s="684"/>
      <c r="LFC33" s="684"/>
      <c r="LFD33" s="684"/>
      <c r="LFE33" s="684"/>
      <c r="LFF33" s="684"/>
      <c r="LFG33" s="684"/>
      <c r="LFH33" s="684"/>
      <c r="LFI33" s="684"/>
      <c r="LFJ33" s="684"/>
      <c r="LFK33" s="684"/>
      <c r="LFL33" s="684"/>
      <c r="LFM33" s="684"/>
      <c r="LFN33" s="684"/>
      <c r="LFO33" s="684"/>
      <c r="LFP33" s="684"/>
      <c r="LFQ33" s="684"/>
      <c r="LFR33" s="684"/>
      <c r="LFS33" s="684"/>
      <c r="LFT33" s="684"/>
      <c r="LFU33" s="684"/>
      <c r="LFV33" s="684"/>
      <c r="LFW33" s="684"/>
      <c r="LFX33" s="684"/>
      <c r="LFY33" s="684"/>
      <c r="LFZ33" s="684"/>
      <c r="LGA33" s="684"/>
      <c r="LGB33" s="684"/>
      <c r="LGC33" s="684"/>
      <c r="LGD33" s="684"/>
      <c r="LGE33" s="684"/>
      <c r="LGF33" s="684"/>
      <c r="LGG33" s="684"/>
      <c r="LGH33" s="684"/>
      <c r="LGI33" s="684"/>
      <c r="LGJ33" s="684"/>
      <c r="LGK33" s="684"/>
      <c r="LGL33" s="684"/>
      <c r="LGM33" s="684"/>
      <c r="LGN33" s="684"/>
      <c r="LGO33" s="684"/>
      <c r="LGP33" s="684"/>
      <c r="LGQ33" s="684"/>
      <c r="LGR33" s="684"/>
      <c r="LGS33" s="684"/>
      <c r="LGT33" s="684"/>
      <c r="LGU33" s="684"/>
      <c r="LGV33" s="684"/>
      <c r="LGW33" s="684"/>
      <c r="LGX33" s="684"/>
      <c r="LGY33" s="684"/>
      <c r="LGZ33" s="684"/>
      <c r="LHA33" s="684"/>
      <c r="LHB33" s="684"/>
      <c r="LHC33" s="684"/>
      <c r="LHD33" s="684"/>
      <c r="LHE33" s="684"/>
      <c r="LHF33" s="684"/>
      <c r="LHG33" s="684"/>
      <c r="LHH33" s="684"/>
      <c r="LHI33" s="684"/>
      <c r="LHJ33" s="684"/>
      <c r="LHK33" s="684"/>
      <c r="LHL33" s="684"/>
      <c r="LHM33" s="684"/>
      <c r="LHN33" s="684"/>
      <c r="LHO33" s="684"/>
      <c r="LHP33" s="684"/>
      <c r="LHQ33" s="684"/>
      <c r="LHR33" s="684"/>
      <c r="LHS33" s="684"/>
      <c r="LHT33" s="684"/>
      <c r="LHU33" s="684"/>
      <c r="LHV33" s="684"/>
      <c r="LHW33" s="684"/>
      <c r="LHX33" s="684"/>
      <c r="LHY33" s="684"/>
      <c r="LHZ33" s="684"/>
      <c r="LIA33" s="684"/>
      <c r="LIB33" s="684"/>
      <c r="LIC33" s="684"/>
      <c r="LID33" s="684"/>
      <c r="LIE33" s="684"/>
      <c r="LIF33" s="684"/>
      <c r="LIG33" s="684"/>
      <c r="LIH33" s="684"/>
      <c r="LII33" s="684"/>
      <c r="LIJ33" s="684"/>
      <c r="LIK33" s="684"/>
      <c r="LIL33" s="684"/>
      <c r="LIM33" s="684"/>
      <c r="LIN33" s="684"/>
      <c r="LIO33" s="684"/>
      <c r="LIP33" s="684"/>
      <c r="LIQ33" s="684"/>
      <c r="LIR33" s="684"/>
      <c r="LIS33" s="684"/>
      <c r="LIT33" s="684"/>
      <c r="LIU33" s="684"/>
      <c r="LIV33" s="684"/>
      <c r="LIW33" s="684"/>
      <c r="LIX33" s="684"/>
      <c r="LIY33" s="684"/>
      <c r="LIZ33" s="684"/>
      <c r="LJA33" s="684"/>
      <c r="LJB33" s="684"/>
      <c r="LJC33" s="684"/>
      <c r="LJD33" s="684"/>
      <c r="LJE33" s="684"/>
      <c r="LJF33" s="684"/>
      <c r="LJG33" s="684"/>
      <c r="LJH33" s="684"/>
      <c r="LJI33" s="684"/>
      <c r="LJJ33" s="684"/>
      <c r="LJK33" s="684"/>
      <c r="LJL33" s="684"/>
      <c r="LJM33" s="684"/>
      <c r="LJN33" s="684"/>
      <c r="LJO33" s="684"/>
      <c r="LJP33" s="684"/>
      <c r="LJQ33" s="684"/>
      <c r="LJR33" s="684"/>
      <c r="LJS33" s="684"/>
      <c r="LJT33" s="684"/>
      <c r="LJU33" s="684"/>
      <c r="LJV33" s="684"/>
      <c r="LJW33" s="684"/>
      <c r="LJX33" s="684"/>
      <c r="LJY33" s="684"/>
      <c r="LJZ33" s="684"/>
      <c r="LKA33" s="684"/>
      <c r="LKB33" s="684"/>
      <c r="LKC33" s="684"/>
      <c r="LKD33" s="684"/>
      <c r="LKE33" s="684"/>
      <c r="LKF33" s="684"/>
      <c r="LKG33" s="684"/>
      <c r="LKH33" s="684"/>
      <c r="LKI33" s="684"/>
      <c r="LKJ33" s="684"/>
      <c r="LKK33" s="684"/>
      <c r="LKL33" s="684"/>
      <c r="LKM33" s="684"/>
      <c r="LKN33" s="684"/>
      <c r="LKO33" s="684"/>
      <c r="LKP33" s="684"/>
      <c r="LKQ33" s="684"/>
      <c r="LKR33" s="684"/>
      <c r="LKS33" s="684"/>
      <c r="LKT33" s="684"/>
      <c r="LKU33" s="684"/>
      <c r="LKV33" s="684"/>
      <c r="LKW33" s="684"/>
      <c r="LKX33" s="684"/>
      <c r="LKY33" s="684"/>
      <c r="LKZ33" s="684"/>
      <c r="LLA33" s="684"/>
      <c r="LLB33" s="684"/>
      <c r="LLC33" s="684"/>
      <c r="LLD33" s="684"/>
      <c r="LLE33" s="684"/>
      <c r="LLF33" s="684"/>
      <c r="LLG33" s="684"/>
      <c r="LLH33" s="684"/>
      <c r="LLI33" s="684"/>
      <c r="LLJ33" s="684"/>
      <c r="LLK33" s="684"/>
      <c r="LLL33" s="684"/>
      <c r="LLM33" s="684"/>
      <c r="LLN33" s="684"/>
      <c r="LLO33" s="684"/>
      <c r="LLP33" s="684"/>
      <c r="LLQ33" s="684"/>
      <c r="LLR33" s="684"/>
      <c r="LLS33" s="684"/>
      <c r="LLT33" s="684"/>
      <c r="LLU33" s="684"/>
      <c r="LLV33" s="684"/>
      <c r="LLW33" s="684"/>
      <c r="LLX33" s="684"/>
      <c r="LLY33" s="684"/>
      <c r="LLZ33" s="684"/>
      <c r="LMA33" s="684"/>
      <c r="LMB33" s="684"/>
      <c r="LMC33" s="684"/>
      <c r="LMD33" s="684"/>
      <c r="LME33" s="684"/>
      <c r="LMF33" s="684"/>
      <c r="LMG33" s="684"/>
      <c r="LMH33" s="684"/>
      <c r="LMI33" s="684"/>
      <c r="LMJ33" s="684"/>
      <c r="LMK33" s="684"/>
      <c r="LML33" s="684"/>
      <c r="LMM33" s="684"/>
      <c r="LMN33" s="684"/>
      <c r="LMO33" s="684"/>
      <c r="LMP33" s="684"/>
      <c r="LMQ33" s="684"/>
      <c r="LMR33" s="684"/>
      <c r="LMS33" s="684"/>
      <c r="LMT33" s="684"/>
      <c r="LMU33" s="684"/>
      <c r="LMV33" s="684"/>
      <c r="LMW33" s="684"/>
      <c r="LMX33" s="684"/>
      <c r="LMY33" s="684"/>
      <c r="LMZ33" s="684"/>
      <c r="LNA33" s="684"/>
      <c r="LNB33" s="684"/>
      <c r="LNC33" s="684"/>
      <c r="LND33" s="684"/>
      <c r="LNE33" s="684"/>
      <c r="LNF33" s="684"/>
      <c r="LNG33" s="684"/>
      <c r="LNH33" s="684"/>
      <c r="LNI33" s="684"/>
      <c r="LNJ33" s="684"/>
      <c r="LNK33" s="684"/>
      <c r="LNL33" s="684"/>
      <c r="LNM33" s="684"/>
      <c r="LNN33" s="684"/>
      <c r="LNO33" s="684"/>
      <c r="LNP33" s="684"/>
      <c r="LNQ33" s="684"/>
      <c r="LNR33" s="684"/>
      <c r="LNS33" s="684"/>
      <c r="LNT33" s="684"/>
      <c r="LNU33" s="684"/>
      <c r="LNV33" s="684"/>
      <c r="LNW33" s="684"/>
      <c r="LNX33" s="684"/>
      <c r="LNY33" s="684"/>
      <c r="LNZ33" s="684"/>
      <c r="LOA33" s="684"/>
      <c r="LOB33" s="684"/>
      <c r="LOC33" s="684"/>
      <c r="LOD33" s="684"/>
      <c r="LOE33" s="684"/>
      <c r="LOF33" s="684"/>
      <c r="LOG33" s="684"/>
      <c r="LOH33" s="684"/>
      <c r="LOI33" s="684"/>
      <c r="LOJ33" s="684"/>
      <c r="LOK33" s="684"/>
      <c r="LOL33" s="684"/>
      <c r="LOM33" s="684"/>
      <c r="LON33" s="684"/>
      <c r="LOO33" s="684"/>
      <c r="LOP33" s="684"/>
      <c r="LOQ33" s="684"/>
      <c r="LOR33" s="684"/>
      <c r="LOS33" s="684"/>
      <c r="LOT33" s="684"/>
      <c r="LOU33" s="684"/>
      <c r="LOV33" s="684"/>
      <c r="LOW33" s="684"/>
      <c r="LOX33" s="684"/>
      <c r="LOY33" s="684"/>
      <c r="LOZ33" s="684"/>
      <c r="LPA33" s="684"/>
      <c r="LPB33" s="684"/>
      <c r="LPC33" s="684"/>
      <c r="LPD33" s="684"/>
      <c r="LPE33" s="684"/>
      <c r="LPF33" s="684"/>
      <c r="LPG33" s="684"/>
      <c r="LPH33" s="684"/>
      <c r="LPI33" s="684"/>
      <c r="LPJ33" s="684"/>
      <c r="LPK33" s="684"/>
      <c r="LPL33" s="684"/>
      <c r="LPM33" s="684"/>
      <c r="LPN33" s="684"/>
      <c r="LPO33" s="684"/>
      <c r="LPP33" s="684"/>
      <c r="LPQ33" s="684"/>
      <c r="LPR33" s="684"/>
      <c r="LPS33" s="684"/>
      <c r="LPT33" s="684"/>
      <c r="LPU33" s="684"/>
      <c r="LPV33" s="684"/>
      <c r="LPW33" s="684"/>
      <c r="LPX33" s="684"/>
      <c r="LPY33" s="684"/>
      <c r="LPZ33" s="684"/>
      <c r="LQA33" s="684"/>
      <c r="LQB33" s="684"/>
      <c r="LQC33" s="684"/>
      <c r="LQD33" s="684"/>
      <c r="LQE33" s="684"/>
      <c r="LQF33" s="684"/>
      <c r="LQG33" s="684"/>
      <c r="LQH33" s="684"/>
      <c r="LQI33" s="684"/>
      <c r="LQJ33" s="684"/>
      <c r="LQK33" s="684"/>
      <c r="LQL33" s="684"/>
      <c r="LQM33" s="684"/>
      <c r="LQN33" s="684"/>
      <c r="LQO33" s="684"/>
      <c r="LQP33" s="684"/>
      <c r="LQQ33" s="684"/>
      <c r="LQR33" s="684"/>
      <c r="LQS33" s="684"/>
      <c r="LQT33" s="684"/>
      <c r="LQU33" s="684"/>
      <c r="LQV33" s="684"/>
      <c r="LQW33" s="684"/>
      <c r="LQX33" s="684"/>
      <c r="LQY33" s="684"/>
      <c r="LQZ33" s="684"/>
      <c r="LRA33" s="684"/>
      <c r="LRB33" s="684"/>
      <c r="LRC33" s="684"/>
      <c r="LRD33" s="684"/>
      <c r="LRE33" s="684"/>
      <c r="LRF33" s="684"/>
      <c r="LRG33" s="684"/>
      <c r="LRH33" s="684"/>
      <c r="LRI33" s="684"/>
      <c r="LRJ33" s="684"/>
      <c r="LRK33" s="684"/>
      <c r="LRL33" s="684"/>
      <c r="LRM33" s="684"/>
      <c r="LRN33" s="684"/>
      <c r="LRO33" s="684"/>
      <c r="LRP33" s="684"/>
      <c r="LRQ33" s="684"/>
      <c r="LRR33" s="684"/>
      <c r="LRS33" s="684"/>
      <c r="LRT33" s="684"/>
      <c r="LRU33" s="684"/>
      <c r="LRV33" s="684"/>
      <c r="LRW33" s="684"/>
      <c r="LRX33" s="684"/>
      <c r="LRY33" s="684"/>
      <c r="LRZ33" s="684"/>
      <c r="LSA33" s="684"/>
      <c r="LSB33" s="684"/>
      <c r="LSC33" s="684"/>
      <c r="LSD33" s="684"/>
      <c r="LSE33" s="684"/>
      <c r="LSF33" s="684"/>
      <c r="LSG33" s="684"/>
      <c r="LSH33" s="684"/>
      <c r="LSI33" s="684"/>
      <c r="LSJ33" s="684"/>
      <c r="LSK33" s="684"/>
      <c r="LSL33" s="684"/>
      <c r="LSM33" s="684"/>
      <c r="LSN33" s="684"/>
      <c r="LSO33" s="684"/>
      <c r="LSP33" s="684"/>
      <c r="LSQ33" s="684"/>
      <c r="LSR33" s="684"/>
      <c r="LSS33" s="684"/>
      <c r="LST33" s="684"/>
      <c r="LSU33" s="684"/>
      <c r="LSV33" s="684"/>
      <c r="LSW33" s="684"/>
      <c r="LSX33" s="684"/>
      <c r="LSY33" s="684"/>
      <c r="LSZ33" s="684"/>
      <c r="LTA33" s="684"/>
      <c r="LTB33" s="684"/>
      <c r="LTC33" s="684"/>
      <c r="LTD33" s="684"/>
      <c r="LTE33" s="684"/>
      <c r="LTF33" s="684"/>
      <c r="LTG33" s="684"/>
      <c r="LTH33" s="684"/>
      <c r="LTI33" s="684"/>
      <c r="LTJ33" s="684"/>
      <c r="LTK33" s="684"/>
      <c r="LTL33" s="684"/>
      <c r="LTM33" s="684"/>
      <c r="LTN33" s="684"/>
      <c r="LTO33" s="684"/>
      <c r="LTP33" s="684"/>
      <c r="LTQ33" s="684"/>
      <c r="LTR33" s="684"/>
      <c r="LTS33" s="684"/>
      <c r="LTT33" s="684"/>
      <c r="LTU33" s="684"/>
      <c r="LTV33" s="684"/>
      <c r="LTW33" s="684"/>
      <c r="LTX33" s="684"/>
      <c r="LTY33" s="684"/>
      <c r="LTZ33" s="684"/>
      <c r="LUA33" s="684"/>
      <c r="LUB33" s="684"/>
      <c r="LUC33" s="684"/>
      <c r="LUD33" s="684"/>
      <c r="LUE33" s="684"/>
      <c r="LUF33" s="684"/>
      <c r="LUG33" s="684"/>
      <c r="LUH33" s="684"/>
      <c r="LUI33" s="684"/>
      <c r="LUJ33" s="684"/>
      <c r="LUK33" s="684"/>
      <c r="LUL33" s="684"/>
      <c r="LUM33" s="684"/>
      <c r="LUN33" s="684"/>
      <c r="LUO33" s="684"/>
      <c r="LUP33" s="684"/>
      <c r="LUQ33" s="684"/>
      <c r="LUR33" s="684"/>
      <c r="LUS33" s="684"/>
      <c r="LUT33" s="684"/>
      <c r="LUU33" s="684"/>
      <c r="LUV33" s="684"/>
      <c r="LUW33" s="684"/>
      <c r="LUX33" s="684"/>
      <c r="LUY33" s="684"/>
      <c r="LUZ33" s="684"/>
      <c r="LVA33" s="684"/>
      <c r="LVB33" s="684"/>
      <c r="LVC33" s="684"/>
      <c r="LVD33" s="684"/>
      <c r="LVE33" s="684"/>
      <c r="LVF33" s="684"/>
      <c r="LVG33" s="684"/>
      <c r="LVH33" s="684"/>
      <c r="LVI33" s="684"/>
      <c r="LVJ33" s="684"/>
      <c r="LVK33" s="684"/>
      <c r="LVL33" s="684"/>
      <c r="LVM33" s="684"/>
      <c r="LVN33" s="684"/>
      <c r="LVO33" s="684"/>
      <c r="LVP33" s="684"/>
      <c r="LVQ33" s="684"/>
      <c r="LVR33" s="684"/>
      <c r="LVS33" s="684"/>
      <c r="LVT33" s="684"/>
      <c r="LVU33" s="684"/>
      <c r="LVV33" s="684"/>
      <c r="LVW33" s="684"/>
      <c r="LVX33" s="684"/>
      <c r="LVY33" s="684"/>
      <c r="LVZ33" s="684"/>
      <c r="LWA33" s="684"/>
      <c r="LWB33" s="684"/>
      <c r="LWC33" s="684"/>
      <c r="LWD33" s="684"/>
      <c r="LWE33" s="684"/>
      <c r="LWF33" s="684"/>
      <c r="LWG33" s="684"/>
      <c r="LWH33" s="684"/>
      <c r="LWI33" s="684"/>
      <c r="LWJ33" s="684"/>
      <c r="LWK33" s="684"/>
      <c r="LWL33" s="684"/>
      <c r="LWM33" s="684"/>
      <c r="LWN33" s="684"/>
      <c r="LWO33" s="684"/>
      <c r="LWP33" s="684"/>
      <c r="LWQ33" s="684"/>
      <c r="LWR33" s="684"/>
      <c r="LWS33" s="684"/>
      <c r="LWT33" s="684"/>
      <c r="LWU33" s="684"/>
      <c r="LWV33" s="684"/>
      <c r="LWW33" s="684"/>
      <c r="LWX33" s="684"/>
      <c r="LWY33" s="684"/>
      <c r="LWZ33" s="684"/>
      <c r="LXA33" s="684"/>
      <c r="LXB33" s="684"/>
      <c r="LXC33" s="684"/>
      <c r="LXD33" s="684"/>
      <c r="LXE33" s="684"/>
      <c r="LXF33" s="684"/>
      <c r="LXG33" s="684"/>
      <c r="LXH33" s="684"/>
      <c r="LXI33" s="684"/>
      <c r="LXJ33" s="684"/>
      <c r="LXK33" s="684"/>
      <c r="LXL33" s="684"/>
      <c r="LXM33" s="684"/>
      <c r="LXN33" s="684"/>
      <c r="LXO33" s="684"/>
      <c r="LXP33" s="684"/>
      <c r="LXQ33" s="684"/>
      <c r="LXR33" s="684"/>
      <c r="LXS33" s="684"/>
      <c r="LXT33" s="684"/>
      <c r="LXU33" s="684"/>
      <c r="LXV33" s="684"/>
      <c r="LXW33" s="684"/>
      <c r="LXX33" s="684"/>
      <c r="LXY33" s="684"/>
      <c r="LXZ33" s="684"/>
      <c r="LYA33" s="684"/>
      <c r="LYB33" s="684"/>
      <c r="LYC33" s="684"/>
      <c r="LYD33" s="684"/>
      <c r="LYE33" s="684"/>
      <c r="LYF33" s="684"/>
      <c r="LYG33" s="684"/>
      <c r="LYH33" s="684"/>
      <c r="LYI33" s="684"/>
      <c r="LYJ33" s="684"/>
      <c r="LYK33" s="684"/>
      <c r="LYL33" s="684"/>
      <c r="LYM33" s="684"/>
      <c r="LYN33" s="684"/>
      <c r="LYO33" s="684"/>
      <c r="LYP33" s="684"/>
      <c r="LYQ33" s="684"/>
      <c r="LYR33" s="684"/>
      <c r="LYS33" s="684"/>
      <c r="LYT33" s="684"/>
      <c r="LYU33" s="684"/>
      <c r="LYV33" s="684"/>
      <c r="LYW33" s="684"/>
      <c r="LYX33" s="684"/>
      <c r="LYY33" s="684"/>
      <c r="LYZ33" s="684"/>
      <c r="LZA33" s="684"/>
      <c r="LZB33" s="684"/>
      <c r="LZC33" s="684"/>
      <c r="LZD33" s="684"/>
      <c r="LZE33" s="684"/>
      <c r="LZF33" s="684"/>
      <c r="LZG33" s="684"/>
      <c r="LZH33" s="684"/>
      <c r="LZI33" s="684"/>
      <c r="LZJ33" s="684"/>
      <c r="LZK33" s="684"/>
      <c r="LZL33" s="684"/>
      <c r="LZM33" s="684"/>
      <c r="LZN33" s="684"/>
      <c r="LZO33" s="684"/>
      <c r="LZP33" s="684"/>
      <c r="LZQ33" s="684"/>
      <c r="LZR33" s="684"/>
      <c r="LZS33" s="684"/>
      <c r="LZT33" s="684"/>
      <c r="LZU33" s="684"/>
      <c r="LZV33" s="684"/>
      <c r="LZW33" s="684"/>
      <c r="LZX33" s="684"/>
      <c r="LZY33" s="684"/>
      <c r="LZZ33" s="684"/>
      <c r="MAA33" s="684"/>
      <c r="MAB33" s="684"/>
      <c r="MAC33" s="684"/>
      <c r="MAD33" s="684"/>
      <c r="MAE33" s="684"/>
      <c r="MAF33" s="684"/>
      <c r="MAG33" s="684"/>
      <c r="MAH33" s="684"/>
      <c r="MAI33" s="684"/>
      <c r="MAJ33" s="684"/>
      <c r="MAK33" s="684"/>
      <c r="MAL33" s="684"/>
      <c r="MAM33" s="684"/>
      <c r="MAN33" s="684"/>
      <c r="MAO33" s="684"/>
      <c r="MAP33" s="684"/>
      <c r="MAQ33" s="684"/>
      <c r="MAR33" s="684"/>
      <c r="MAS33" s="684"/>
      <c r="MAT33" s="684"/>
      <c r="MAU33" s="684"/>
      <c r="MAV33" s="684"/>
      <c r="MAW33" s="684"/>
      <c r="MAX33" s="684"/>
      <c r="MAY33" s="684"/>
      <c r="MAZ33" s="684"/>
      <c r="MBA33" s="684"/>
      <c r="MBB33" s="684"/>
      <c r="MBC33" s="684"/>
      <c r="MBD33" s="684"/>
      <c r="MBE33" s="684"/>
      <c r="MBF33" s="684"/>
      <c r="MBG33" s="684"/>
      <c r="MBH33" s="684"/>
      <c r="MBI33" s="684"/>
      <c r="MBJ33" s="684"/>
      <c r="MBK33" s="684"/>
      <c r="MBL33" s="684"/>
      <c r="MBM33" s="684"/>
      <c r="MBN33" s="684"/>
      <c r="MBO33" s="684"/>
      <c r="MBP33" s="684"/>
      <c r="MBQ33" s="684"/>
      <c r="MBR33" s="684"/>
      <c r="MBS33" s="684"/>
      <c r="MBT33" s="684"/>
      <c r="MBU33" s="684"/>
      <c r="MBV33" s="684"/>
      <c r="MBW33" s="684"/>
      <c r="MBX33" s="684"/>
      <c r="MBY33" s="684"/>
      <c r="MBZ33" s="684"/>
      <c r="MCA33" s="684"/>
      <c r="MCB33" s="684"/>
      <c r="MCC33" s="684"/>
      <c r="MCD33" s="684"/>
      <c r="MCE33" s="684"/>
      <c r="MCF33" s="684"/>
      <c r="MCG33" s="684"/>
      <c r="MCH33" s="684"/>
      <c r="MCI33" s="684"/>
      <c r="MCJ33" s="684"/>
      <c r="MCK33" s="684"/>
      <c r="MCL33" s="684"/>
      <c r="MCM33" s="684"/>
      <c r="MCN33" s="684"/>
      <c r="MCO33" s="684"/>
      <c r="MCP33" s="684"/>
      <c r="MCQ33" s="684"/>
      <c r="MCR33" s="684"/>
      <c r="MCS33" s="684"/>
      <c r="MCT33" s="684"/>
      <c r="MCU33" s="684"/>
      <c r="MCV33" s="684"/>
      <c r="MCW33" s="684"/>
      <c r="MCX33" s="684"/>
      <c r="MCY33" s="684"/>
      <c r="MCZ33" s="684"/>
      <c r="MDA33" s="684"/>
      <c r="MDB33" s="684"/>
      <c r="MDC33" s="684"/>
      <c r="MDD33" s="684"/>
      <c r="MDE33" s="684"/>
      <c r="MDF33" s="684"/>
      <c r="MDG33" s="684"/>
      <c r="MDH33" s="684"/>
      <c r="MDI33" s="684"/>
      <c r="MDJ33" s="684"/>
      <c r="MDK33" s="684"/>
      <c r="MDL33" s="684"/>
      <c r="MDM33" s="684"/>
      <c r="MDN33" s="684"/>
      <c r="MDO33" s="684"/>
      <c r="MDP33" s="684"/>
      <c r="MDQ33" s="684"/>
      <c r="MDR33" s="684"/>
      <c r="MDS33" s="684"/>
      <c r="MDT33" s="684"/>
      <c r="MDU33" s="684"/>
      <c r="MDV33" s="684"/>
      <c r="MDW33" s="684"/>
      <c r="MDX33" s="684"/>
      <c r="MDY33" s="684"/>
      <c r="MDZ33" s="684"/>
      <c r="MEA33" s="684"/>
      <c r="MEB33" s="684"/>
      <c r="MEC33" s="684"/>
      <c r="MED33" s="684"/>
      <c r="MEE33" s="684"/>
      <c r="MEF33" s="684"/>
      <c r="MEG33" s="684"/>
      <c r="MEH33" s="684"/>
      <c r="MEI33" s="684"/>
      <c r="MEJ33" s="684"/>
      <c r="MEK33" s="684"/>
      <c r="MEL33" s="684"/>
      <c r="MEM33" s="684"/>
      <c r="MEN33" s="684"/>
      <c r="MEO33" s="684"/>
      <c r="MEP33" s="684"/>
      <c r="MEQ33" s="684"/>
      <c r="MER33" s="684"/>
      <c r="MES33" s="684"/>
      <c r="MET33" s="684"/>
      <c r="MEU33" s="684"/>
      <c r="MEV33" s="684"/>
      <c r="MEW33" s="684"/>
      <c r="MEX33" s="684"/>
      <c r="MEY33" s="684"/>
      <c r="MEZ33" s="684"/>
      <c r="MFA33" s="684"/>
      <c r="MFB33" s="684"/>
      <c r="MFC33" s="684"/>
      <c r="MFD33" s="684"/>
      <c r="MFE33" s="684"/>
      <c r="MFF33" s="684"/>
      <c r="MFG33" s="684"/>
      <c r="MFH33" s="684"/>
      <c r="MFI33" s="684"/>
      <c r="MFJ33" s="684"/>
      <c r="MFK33" s="684"/>
      <c r="MFL33" s="684"/>
      <c r="MFM33" s="684"/>
      <c r="MFN33" s="684"/>
      <c r="MFO33" s="684"/>
      <c r="MFP33" s="684"/>
      <c r="MFQ33" s="684"/>
      <c r="MFR33" s="684"/>
      <c r="MFS33" s="684"/>
      <c r="MFT33" s="684"/>
      <c r="MFU33" s="684"/>
      <c r="MFV33" s="684"/>
      <c r="MFW33" s="684"/>
      <c r="MFX33" s="684"/>
      <c r="MFY33" s="684"/>
      <c r="MFZ33" s="684"/>
      <c r="MGA33" s="684"/>
      <c r="MGB33" s="684"/>
      <c r="MGC33" s="684"/>
      <c r="MGD33" s="684"/>
      <c r="MGE33" s="684"/>
      <c r="MGF33" s="684"/>
      <c r="MGG33" s="684"/>
      <c r="MGH33" s="684"/>
      <c r="MGI33" s="684"/>
      <c r="MGJ33" s="684"/>
      <c r="MGK33" s="684"/>
      <c r="MGL33" s="684"/>
      <c r="MGM33" s="684"/>
      <c r="MGN33" s="684"/>
      <c r="MGO33" s="684"/>
      <c r="MGP33" s="684"/>
      <c r="MGQ33" s="684"/>
      <c r="MGR33" s="684"/>
      <c r="MGS33" s="684"/>
      <c r="MGT33" s="684"/>
      <c r="MGU33" s="684"/>
      <c r="MGV33" s="684"/>
      <c r="MGW33" s="684"/>
      <c r="MGX33" s="684"/>
      <c r="MGY33" s="684"/>
      <c r="MGZ33" s="684"/>
      <c r="MHA33" s="684"/>
      <c r="MHB33" s="684"/>
      <c r="MHC33" s="684"/>
      <c r="MHD33" s="684"/>
      <c r="MHE33" s="684"/>
      <c r="MHF33" s="684"/>
      <c r="MHG33" s="684"/>
      <c r="MHH33" s="684"/>
      <c r="MHI33" s="684"/>
      <c r="MHJ33" s="684"/>
      <c r="MHK33" s="684"/>
      <c r="MHL33" s="684"/>
      <c r="MHM33" s="684"/>
      <c r="MHN33" s="684"/>
      <c r="MHO33" s="684"/>
      <c r="MHP33" s="684"/>
      <c r="MHQ33" s="684"/>
      <c r="MHR33" s="684"/>
      <c r="MHS33" s="684"/>
      <c r="MHT33" s="684"/>
      <c r="MHU33" s="684"/>
      <c r="MHV33" s="684"/>
      <c r="MHW33" s="684"/>
      <c r="MHX33" s="684"/>
      <c r="MHY33" s="684"/>
      <c r="MHZ33" s="684"/>
      <c r="MIA33" s="684"/>
      <c r="MIB33" s="684"/>
      <c r="MIC33" s="684"/>
      <c r="MID33" s="684"/>
      <c r="MIE33" s="684"/>
      <c r="MIF33" s="684"/>
      <c r="MIG33" s="684"/>
      <c r="MIH33" s="684"/>
      <c r="MII33" s="684"/>
      <c r="MIJ33" s="684"/>
      <c r="MIK33" s="684"/>
      <c r="MIL33" s="684"/>
      <c r="MIM33" s="684"/>
      <c r="MIN33" s="684"/>
      <c r="MIO33" s="684"/>
      <c r="MIP33" s="684"/>
      <c r="MIQ33" s="684"/>
      <c r="MIR33" s="684"/>
      <c r="MIS33" s="684"/>
      <c r="MIT33" s="684"/>
      <c r="MIU33" s="684"/>
      <c r="MIV33" s="684"/>
      <c r="MIW33" s="684"/>
      <c r="MIX33" s="684"/>
      <c r="MIY33" s="684"/>
      <c r="MIZ33" s="684"/>
      <c r="MJA33" s="684"/>
      <c r="MJB33" s="684"/>
      <c r="MJC33" s="684"/>
      <c r="MJD33" s="684"/>
      <c r="MJE33" s="684"/>
      <c r="MJF33" s="684"/>
      <c r="MJG33" s="684"/>
      <c r="MJH33" s="684"/>
      <c r="MJI33" s="684"/>
      <c r="MJJ33" s="684"/>
      <c r="MJK33" s="684"/>
      <c r="MJL33" s="684"/>
      <c r="MJM33" s="684"/>
      <c r="MJN33" s="684"/>
      <c r="MJO33" s="684"/>
      <c r="MJP33" s="684"/>
      <c r="MJQ33" s="684"/>
      <c r="MJR33" s="684"/>
      <c r="MJS33" s="684"/>
      <c r="MJT33" s="684"/>
      <c r="MJU33" s="684"/>
      <c r="MJV33" s="684"/>
      <c r="MJW33" s="684"/>
      <c r="MJX33" s="684"/>
      <c r="MJY33" s="684"/>
      <c r="MJZ33" s="684"/>
      <c r="MKA33" s="684"/>
      <c r="MKB33" s="684"/>
      <c r="MKC33" s="684"/>
      <c r="MKD33" s="684"/>
      <c r="MKE33" s="684"/>
      <c r="MKF33" s="684"/>
      <c r="MKG33" s="684"/>
      <c r="MKH33" s="684"/>
      <c r="MKI33" s="684"/>
      <c r="MKJ33" s="684"/>
      <c r="MKK33" s="684"/>
      <c r="MKL33" s="684"/>
      <c r="MKM33" s="684"/>
      <c r="MKN33" s="684"/>
      <c r="MKO33" s="684"/>
      <c r="MKP33" s="684"/>
      <c r="MKQ33" s="684"/>
      <c r="MKR33" s="684"/>
      <c r="MKS33" s="684"/>
      <c r="MKT33" s="684"/>
      <c r="MKU33" s="684"/>
      <c r="MKV33" s="684"/>
      <c r="MKW33" s="684"/>
      <c r="MKX33" s="684"/>
      <c r="MKY33" s="684"/>
      <c r="MKZ33" s="684"/>
      <c r="MLA33" s="684"/>
      <c r="MLB33" s="684"/>
      <c r="MLC33" s="684"/>
      <c r="MLD33" s="684"/>
      <c r="MLE33" s="684"/>
      <c r="MLF33" s="684"/>
      <c r="MLG33" s="684"/>
      <c r="MLH33" s="684"/>
      <c r="MLI33" s="684"/>
      <c r="MLJ33" s="684"/>
      <c r="MLK33" s="684"/>
      <c r="MLL33" s="684"/>
      <c r="MLM33" s="684"/>
      <c r="MLN33" s="684"/>
      <c r="MLO33" s="684"/>
      <c r="MLP33" s="684"/>
      <c r="MLQ33" s="684"/>
      <c r="MLR33" s="684"/>
      <c r="MLS33" s="684"/>
      <c r="MLT33" s="684"/>
      <c r="MLU33" s="684"/>
      <c r="MLV33" s="684"/>
      <c r="MLW33" s="684"/>
      <c r="MLX33" s="684"/>
      <c r="MLY33" s="684"/>
      <c r="MLZ33" s="684"/>
      <c r="MMA33" s="684"/>
      <c r="MMB33" s="684"/>
      <c r="MMC33" s="684"/>
      <c r="MMD33" s="684"/>
      <c r="MME33" s="684"/>
      <c r="MMF33" s="684"/>
      <c r="MMG33" s="684"/>
      <c r="MMH33" s="684"/>
      <c r="MMI33" s="684"/>
      <c r="MMJ33" s="684"/>
      <c r="MMK33" s="684"/>
      <c r="MML33" s="684"/>
      <c r="MMM33" s="684"/>
      <c r="MMN33" s="684"/>
      <c r="MMO33" s="684"/>
      <c r="MMP33" s="684"/>
      <c r="MMQ33" s="684"/>
      <c r="MMR33" s="684"/>
      <c r="MMS33" s="684"/>
      <c r="MMT33" s="684"/>
      <c r="MMU33" s="684"/>
      <c r="MMV33" s="684"/>
      <c r="MMW33" s="684"/>
      <c r="MMX33" s="684"/>
      <c r="MMY33" s="684"/>
      <c r="MMZ33" s="684"/>
      <c r="MNA33" s="684"/>
      <c r="MNB33" s="684"/>
      <c r="MNC33" s="684"/>
      <c r="MND33" s="684"/>
      <c r="MNE33" s="684"/>
      <c r="MNF33" s="684"/>
      <c r="MNG33" s="684"/>
      <c r="MNH33" s="684"/>
      <c r="MNI33" s="684"/>
      <c r="MNJ33" s="684"/>
      <c r="MNK33" s="684"/>
      <c r="MNL33" s="684"/>
      <c r="MNM33" s="684"/>
      <c r="MNN33" s="684"/>
      <c r="MNO33" s="684"/>
      <c r="MNP33" s="684"/>
      <c r="MNQ33" s="684"/>
      <c r="MNR33" s="684"/>
      <c r="MNS33" s="684"/>
      <c r="MNT33" s="684"/>
      <c r="MNU33" s="684"/>
      <c r="MNV33" s="684"/>
      <c r="MNW33" s="684"/>
      <c r="MNX33" s="684"/>
      <c r="MNY33" s="684"/>
      <c r="MNZ33" s="684"/>
      <c r="MOA33" s="684"/>
      <c r="MOB33" s="684"/>
      <c r="MOC33" s="684"/>
      <c r="MOD33" s="684"/>
      <c r="MOE33" s="684"/>
      <c r="MOF33" s="684"/>
      <c r="MOG33" s="684"/>
      <c r="MOH33" s="684"/>
      <c r="MOI33" s="684"/>
      <c r="MOJ33" s="684"/>
      <c r="MOK33" s="684"/>
      <c r="MOL33" s="684"/>
      <c r="MOM33" s="684"/>
      <c r="MON33" s="684"/>
      <c r="MOO33" s="684"/>
      <c r="MOP33" s="684"/>
      <c r="MOQ33" s="684"/>
      <c r="MOR33" s="684"/>
      <c r="MOS33" s="684"/>
      <c r="MOT33" s="684"/>
      <c r="MOU33" s="684"/>
      <c r="MOV33" s="684"/>
      <c r="MOW33" s="684"/>
      <c r="MOX33" s="684"/>
      <c r="MOY33" s="684"/>
      <c r="MOZ33" s="684"/>
      <c r="MPA33" s="684"/>
      <c r="MPB33" s="684"/>
      <c r="MPC33" s="684"/>
      <c r="MPD33" s="684"/>
      <c r="MPE33" s="684"/>
      <c r="MPF33" s="684"/>
      <c r="MPG33" s="684"/>
      <c r="MPH33" s="684"/>
      <c r="MPI33" s="684"/>
      <c r="MPJ33" s="684"/>
      <c r="MPK33" s="684"/>
      <c r="MPL33" s="684"/>
      <c r="MPM33" s="684"/>
      <c r="MPN33" s="684"/>
      <c r="MPO33" s="684"/>
      <c r="MPP33" s="684"/>
      <c r="MPQ33" s="684"/>
      <c r="MPR33" s="684"/>
      <c r="MPS33" s="684"/>
      <c r="MPT33" s="684"/>
      <c r="MPU33" s="684"/>
      <c r="MPV33" s="684"/>
      <c r="MPW33" s="684"/>
      <c r="MPX33" s="684"/>
      <c r="MPY33" s="684"/>
      <c r="MPZ33" s="684"/>
      <c r="MQA33" s="684"/>
      <c r="MQB33" s="684"/>
      <c r="MQC33" s="684"/>
      <c r="MQD33" s="684"/>
      <c r="MQE33" s="684"/>
      <c r="MQF33" s="684"/>
      <c r="MQG33" s="684"/>
      <c r="MQH33" s="684"/>
      <c r="MQI33" s="684"/>
      <c r="MQJ33" s="684"/>
      <c r="MQK33" s="684"/>
      <c r="MQL33" s="684"/>
      <c r="MQM33" s="684"/>
      <c r="MQN33" s="684"/>
      <c r="MQO33" s="684"/>
      <c r="MQP33" s="684"/>
      <c r="MQQ33" s="684"/>
      <c r="MQR33" s="684"/>
      <c r="MQS33" s="684"/>
      <c r="MQT33" s="684"/>
      <c r="MQU33" s="684"/>
      <c r="MQV33" s="684"/>
      <c r="MQW33" s="684"/>
      <c r="MQX33" s="684"/>
      <c r="MQY33" s="684"/>
      <c r="MQZ33" s="684"/>
      <c r="MRA33" s="684"/>
      <c r="MRB33" s="684"/>
      <c r="MRC33" s="684"/>
      <c r="MRD33" s="684"/>
      <c r="MRE33" s="684"/>
      <c r="MRF33" s="684"/>
      <c r="MRG33" s="684"/>
      <c r="MRH33" s="684"/>
      <c r="MRI33" s="684"/>
      <c r="MRJ33" s="684"/>
      <c r="MRK33" s="684"/>
      <c r="MRL33" s="684"/>
      <c r="MRM33" s="684"/>
      <c r="MRN33" s="684"/>
      <c r="MRO33" s="684"/>
      <c r="MRP33" s="684"/>
      <c r="MRQ33" s="684"/>
      <c r="MRR33" s="684"/>
      <c r="MRS33" s="684"/>
      <c r="MRT33" s="684"/>
      <c r="MRU33" s="684"/>
      <c r="MRV33" s="684"/>
      <c r="MRW33" s="684"/>
      <c r="MRX33" s="684"/>
      <c r="MRY33" s="684"/>
      <c r="MRZ33" s="684"/>
      <c r="MSA33" s="684"/>
      <c r="MSB33" s="684"/>
      <c r="MSC33" s="684"/>
      <c r="MSD33" s="684"/>
      <c r="MSE33" s="684"/>
      <c r="MSF33" s="684"/>
      <c r="MSG33" s="684"/>
      <c r="MSH33" s="684"/>
      <c r="MSI33" s="684"/>
      <c r="MSJ33" s="684"/>
      <c r="MSK33" s="684"/>
      <c r="MSL33" s="684"/>
      <c r="MSM33" s="684"/>
      <c r="MSN33" s="684"/>
      <c r="MSO33" s="684"/>
      <c r="MSP33" s="684"/>
      <c r="MSQ33" s="684"/>
      <c r="MSR33" s="684"/>
      <c r="MSS33" s="684"/>
      <c r="MST33" s="684"/>
      <c r="MSU33" s="684"/>
      <c r="MSV33" s="684"/>
      <c r="MSW33" s="684"/>
      <c r="MSX33" s="684"/>
      <c r="MSY33" s="684"/>
      <c r="MSZ33" s="684"/>
      <c r="MTA33" s="684"/>
      <c r="MTB33" s="684"/>
      <c r="MTC33" s="684"/>
      <c r="MTD33" s="684"/>
      <c r="MTE33" s="684"/>
      <c r="MTF33" s="684"/>
      <c r="MTG33" s="684"/>
      <c r="MTH33" s="684"/>
      <c r="MTI33" s="684"/>
      <c r="MTJ33" s="684"/>
      <c r="MTK33" s="684"/>
      <c r="MTL33" s="684"/>
      <c r="MTM33" s="684"/>
      <c r="MTN33" s="684"/>
      <c r="MTO33" s="684"/>
      <c r="MTP33" s="684"/>
      <c r="MTQ33" s="684"/>
      <c r="MTR33" s="684"/>
      <c r="MTS33" s="684"/>
      <c r="MTT33" s="684"/>
      <c r="MTU33" s="684"/>
      <c r="MTV33" s="684"/>
      <c r="MTW33" s="684"/>
      <c r="MTX33" s="684"/>
      <c r="MTY33" s="684"/>
      <c r="MTZ33" s="684"/>
      <c r="MUA33" s="684"/>
      <c r="MUB33" s="684"/>
      <c r="MUC33" s="684"/>
      <c r="MUD33" s="684"/>
      <c r="MUE33" s="684"/>
      <c r="MUF33" s="684"/>
      <c r="MUG33" s="684"/>
      <c r="MUH33" s="684"/>
      <c r="MUI33" s="684"/>
      <c r="MUJ33" s="684"/>
      <c r="MUK33" s="684"/>
      <c r="MUL33" s="684"/>
      <c r="MUM33" s="684"/>
      <c r="MUN33" s="684"/>
      <c r="MUO33" s="684"/>
      <c r="MUP33" s="684"/>
      <c r="MUQ33" s="684"/>
      <c r="MUR33" s="684"/>
      <c r="MUS33" s="684"/>
      <c r="MUT33" s="684"/>
      <c r="MUU33" s="684"/>
      <c r="MUV33" s="684"/>
      <c r="MUW33" s="684"/>
      <c r="MUX33" s="684"/>
      <c r="MUY33" s="684"/>
      <c r="MUZ33" s="684"/>
      <c r="MVA33" s="684"/>
      <c r="MVB33" s="684"/>
      <c r="MVC33" s="684"/>
      <c r="MVD33" s="684"/>
      <c r="MVE33" s="684"/>
      <c r="MVF33" s="684"/>
      <c r="MVG33" s="684"/>
      <c r="MVH33" s="684"/>
      <c r="MVI33" s="684"/>
      <c r="MVJ33" s="684"/>
      <c r="MVK33" s="684"/>
      <c r="MVL33" s="684"/>
      <c r="MVM33" s="684"/>
      <c r="MVN33" s="684"/>
      <c r="MVO33" s="684"/>
      <c r="MVP33" s="684"/>
      <c r="MVQ33" s="684"/>
      <c r="MVR33" s="684"/>
      <c r="MVS33" s="684"/>
      <c r="MVT33" s="684"/>
      <c r="MVU33" s="684"/>
      <c r="MVV33" s="684"/>
      <c r="MVW33" s="684"/>
      <c r="MVX33" s="684"/>
      <c r="MVY33" s="684"/>
      <c r="MVZ33" s="684"/>
      <c r="MWA33" s="684"/>
      <c r="MWB33" s="684"/>
      <c r="MWC33" s="684"/>
      <c r="MWD33" s="684"/>
      <c r="MWE33" s="684"/>
      <c r="MWF33" s="684"/>
      <c r="MWG33" s="684"/>
      <c r="MWH33" s="684"/>
      <c r="MWI33" s="684"/>
      <c r="MWJ33" s="684"/>
      <c r="MWK33" s="684"/>
      <c r="MWL33" s="684"/>
      <c r="MWM33" s="684"/>
      <c r="MWN33" s="684"/>
      <c r="MWO33" s="684"/>
      <c r="MWP33" s="684"/>
      <c r="MWQ33" s="684"/>
      <c r="MWR33" s="684"/>
      <c r="MWS33" s="684"/>
      <c r="MWT33" s="684"/>
      <c r="MWU33" s="684"/>
      <c r="MWV33" s="684"/>
      <c r="MWW33" s="684"/>
      <c r="MWX33" s="684"/>
      <c r="MWY33" s="684"/>
      <c r="MWZ33" s="684"/>
      <c r="MXA33" s="684"/>
      <c r="MXB33" s="684"/>
      <c r="MXC33" s="684"/>
      <c r="MXD33" s="684"/>
      <c r="MXE33" s="684"/>
      <c r="MXF33" s="684"/>
      <c r="MXG33" s="684"/>
      <c r="MXH33" s="684"/>
      <c r="MXI33" s="684"/>
      <c r="MXJ33" s="684"/>
      <c r="MXK33" s="684"/>
      <c r="MXL33" s="684"/>
      <c r="MXM33" s="684"/>
      <c r="MXN33" s="684"/>
      <c r="MXO33" s="684"/>
      <c r="MXP33" s="684"/>
      <c r="MXQ33" s="684"/>
      <c r="MXR33" s="684"/>
      <c r="MXS33" s="684"/>
      <c r="MXT33" s="684"/>
      <c r="MXU33" s="684"/>
      <c r="MXV33" s="684"/>
      <c r="MXW33" s="684"/>
      <c r="MXX33" s="684"/>
      <c r="MXY33" s="684"/>
      <c r="MXZ33" s="684"/>
      <c r="MYA33" s="684"/>
      <c r="MYB33" s="684"/>
      <c r="MYC33" s="684"/>
      <c r="MYD33" s="684"/>
      <c r="MYE33" s="684"/>
      <c r="MYF33" s="684"/>
      <c r="MYG33" s="684"/>
      <c r="MYH33" s="684"/>
      <c r="MYI33" s="684"/>
      <c r="MYJ33" s="684"/>
      <c r="MYK33" s="684"/>
      <c r="MYL33" s="684"/>
      <c r="MYM33" s="684"/>
      <c r="MYN33" s="684"/>
      <c r="MYO33" s="684"/>
      <c r="MYP33" s="684"/>
      <c r="MYQ33" s="684"/>
      <c r="MYR33" s="684"/>
      <c r="MYS33" s="684"/>
      <c r="MYT33" s="684"/>
      <c r="MYU33" s="684"/>
      <c r="MYV33" s="684"/>
      <c r="MYW33" s="684"/>
      <c r="MYX33" s="684"/>
      <c r="MYY33" s="684"/>
      <c r="MYZ33" s="684"/>
      <c r="MZA33" s="684"/>
      <c r="MZB33" s="684"/>
      <c r="MZC33" s="684"/>
      <c r="MZD33" s="684"/>
      <c r="MZE33" s="684"/>
      <c r="MZF33" s="684"/>
      <c r="MZG33" s="684"/>
      <c r="MZH33" s="684"/>
      <c r="MZI33" s="684"/>
      <c r="MZJ33" s="684"/>
      <c r="MZK33" s="684"/>
      <c r="MZL33" s="684"/>
      <c r="MZM33" s="684"/>
      <c r="MZN33" s="684"/>
      <c r="MZO33" s="684"/>
      <c r="MZP33" s="684"/>
      <c r="MZQ33" s="684"/>
      <c r="MZR33" s="684"/>
      <c r="MZS33" s="684"/>
      <c r="MZT33" s="684"/>
      <c r="MZU33" s="684"/>
      <c r="MZV33" s="684"/>
      <c r="MZW33" s="684"/>
      <c r="MZX33" s="684"/>
      <c r="MZY33" s="684"/>
      <c r="MZZ33" s="684"/>
      <c r="NAA33" s="684"/>
      <c r="NAB33" s="684"/>
      <c r="NAC33" s="684"/>
      <c r="NAD33" s="684"/>
      <c r="NAE33" s="684"/>
      <c r="NAF33" s="684"/>
      <c r="NAG33" s="684"/>
      <c r="NAH33" s="684"/>
      <c r="NAI33" s="684"/>
      <c r="NAJ33" s="684"/>
      <c r="NAK33" s="684"/>
      <c r="NAL33" s="684"/>
      <c r="NAM33" s="684"/>
      <c r="NAN33" s="684"/>
      <c r="NAO33" s="684"/>
      <c r="NAP33" s="684"/>
      <c r="NAQ33" s="684"/>
      <c r="NAR33" s="684"/>
      <c r="NAS33" s="684"/>
      <c r="NAT33" s="684"/>
      <c r="NAU33" s="684"/>
      <c r="NAV33" s="684"/>
      <c r="NAW33" s="684"/>
      <c r="NAX33" s="684"/>
      <c r="NAY33" s="684"/>
      <c r="NAZ33" s="684"/>
      <c r="NBA33" s="684"/>
      <c r="NBB33" s="684"/>
      <c r="NBC33" s="684"/>
      <c r="NBD33" s="684"/>
      <c r="NBE33" s="684"/>
      <c r="NBF33" s="684"/>
      <c r="NBG33" s="684"/>
      <c r="NBH33" s="684"/>
      <c r="NBI33" s="684"/>
      <c r="NBJ33" s="684"/>
      <c r="NBK33" s="684"/>
      <c r="NBL33" s="684"/>
      <c r="NBM33" s="684"/>
      <c r="NBN33" s="684"/>
      <c r="NBO33" s="684"/>
      <c r="NBP33" s="684"/>
      <c r="NBQ33" s="684"/>
      <c r="NBR33" s="684"/>
      <c r="NBS33" s="684"/>
      <c r="NBT33" s="684"/>
      <c r="NBU33" s="684"/>
      <c r="NBV33" s="684"/>
      <c r="NBW33" s="684"/>
      <c r="NBX33" s="684"/>
      <c r="NBY33" s="684"/>
      <c r="NBZ33" s="684"/>
      <c r="NCA33" s="684"/>
      <c r="NCB33" s="684"/>
      <c r="NCC33" s="684"/>
      <c r="NCD33" s="684"/>
      <c r="NCE33" s="684"/>
      <c r="NCF33" s="684"/>
      <c r="NCG33" s="684"/>
      <c r="NCH33" s="684"/>
      <c r="NCI33" s="684"/>
      <c r="NCJ33" s="684"/>
      <c r="NCK33" s="684"/>
      <c r="NCL33" s="684"/>
      <c r="NCM33" s="684"/>
      <c r="NCN33" s="684"/>
      <c r="NCO33" s="684"/>
      <c r="NCP33" s="684"/>
      <c r="NCQ33" s="684"/>
      <c r="NCR33" s="684"/>
      <c r="NCS33" s="684"/>
      <c r="NCT33" s="684"/>
      <c r="NCU33" s="684"/>
      <c r="NCV33" s="684"/>
      <c r="NCW33" s="684"/>
      <c r="NCX33" s="684"/>
      <c r="NCY33" s="684"/>
      <c r="NCZ33" s="684"/>
      <c r="NDA33" s="684"/>
      <c r="NDB33" s="684"/>
      <c r="NDC33" s="684"/>
      <c r="NDD33" s="684"/>
      <c r="NDE33" s="684"/>
      <c r="NDF33" s="684"/>
      <c r="NDG33" s="684"/>
      <c r="NDH33" s="684"/>
      <c r="NDI33" s="684"/>
      <c r="NDJ33" s="684"/>
      <c r="NDK33" s="684"/>
      <c r="NDL33" s="684"/>
      <c r="NDM33" s="684"/>
      <c r="NDN33" s="684"/>
      <c r="NDO33" s="684"/>
      <c r="NDP33" s="684"/>
      <c r="NDQ33" s="684"/>
      <c r="NDR33" s="684"/>
      <c r="NDS33" s="684"/>
      <c r="NDT33" s="684"/>
      <c r="NDU33" s="684"/>
      <c r="NDV33" s="684"/>
      <c r="NDW33" s="684"/>
      <c r="NDX33" s="684"/>
      <c r="NDY33" s="684"/>
      <c r="NDZ33" s="684"/>
      <c r="NEA33" s="684"/>
      <c r="NEB33" s="684"/>
      <c r="NEC33" s="684"/>
      <c r="NED33" s="684"/>
      <c r="NEE33" s="684"/>
      <c r="NEF33" s="684"/>
      <c r="NEG33" s="684"/>
      <c r="NEH33" s="684"/>
      <c r="NEI33" s="684"/>
      <c r="NEJ33" s="684"/>
      <c r="NEK33" s="684"/>
      <c r="NEL33" s="684"/>
      <c r="NEM33" s="684"/>
      <c r="NEN33" s="684"/>
      <c r="NEO33" s="684"/>
      <c r="NEP33" s="684"/>
      <c r="NEQ33" s="684"/>
      <c r="NER33" s="684"/>
      <c r="NES33" s="684"/>
      <c r="NET33" s="684"/>
      <c r="NEU33" s="684"/>
      <c r="NEV33" s="684"/>
      <c r="NEW33" s="684"/>
      <c r="NEX33" s="684"/>
      <c r="NEY33" s="684"/>
      <c r="NEZ33" s="684"/>
      <c r="NFA33" s="684"/>
      <c r="NFB33" s="684"/>
      <c r="NFC33" s="684"/>
      <c r="NFD33" s="684"/>
      <c r="NFE33" s="684"/>
      <c r="NFF33" s="684"/>
      <c r="NFG33" s="684"/>
      <c r="NFH33" s="684"/>
      <c r="NFI33" s="684"/>
      <c r="NFJ33" s="684"/>
      <c r="NFK33" s="684"/>
      <c r="NFL33" s="684"/>
      <c r="NFM33" s="684"/>
      <c r="NFN33" s="684"/>
      <c r="NFO33" s="684"/>
      <c r="NFP33" s="684"/>
      <c r="NFQ33" s="684"/>
      <c r="NFR33" s="684"/>
      <c r="NFS33" s="684"/>
      <c r="NFT33" s="684"/>
      <c r="NFU33" s="684"/>
      <c r="NFV33" s="684"/>
      <c r="NFW33" s="684"/>
      <c r="NFX33" s="684"/>
      <c r="NFY33" s="684"/>
      <c r="NFZ33" s="684"/>
      <c r="NGA33" s="684"/>
      <c r="NGB33" s="684"/>
      <c r="NGC33" s="684"/>
      <c r="NGD33" s="684"/>
      <c r="NGE33" s="684"/>
      <c r="NGF33" s="684"/>
      <c r="NGG33" s="684"/>
      <c r="NGH33" s="684"/>
      <c r="NGI33" s="684"/>
      <c r="NGJ33" s="684"/>
      <c r="NGK33" s="684"/>
      <c r="NGL33" s="684"/>
      <c r="NGM33" s="684"/>
      <c r="NGN33" s="684"/>
      <c r="NGO33" s="684"/>
      <c r="NGP33" s="684"/>
      <c r="NGQ33" s="684"/>
      <c r="NGR33" s="684"/>
      <c r="NGS33" s="684"/>
      <c r="NGT33" s="684"/>
      <c r="NGU33" s="684"/>
      <c r="NGV33" s="684"/>
      <c r="NGW33" s="684"/>
      <c r="NGX33" s="684"/>
      <c r="NGY33" s="684"/>
      <c r="NGZ33" s="684"/>
      <c r="NHA33" s="684"/>
      <c r="NHB33" s="684"/>
      <c r="NHC33" s="684"/>
      <c r="NHD33" s="684"/>
      <c r="NHE33" s="684"/>
      <c r="NHF33" s="684"/>
      <c r="NHG33" s="684"/>
      <c r="NHH33" s="684"/>
      <c r="NHI33" s="684"/>
      <c r="NHJ33" s="684"/>
      <c r="NHK33" s="684"/>
      <c r="NHL33" s="684"/>
      <c r="NHM33" s="684"/>
      <c r="NHN33" s="684"/>
      <c r="NHO33" s="684"/>
      <c r="NHP33" s="684"/>
      <c r="NHQ33" s="684"/>
      <c r="NHR33" s="684"/>
      <c r="NHS33" s="684"/>
      <c r="NHT33" s="684"/>
      <c r="NHU33" s="684"/>
      <c r="NHV33" s="684"/>
      <c r="NHW33" s="684"/>
      <c r="NHX33" s="684"/>
      <c r="NHY33" s="684"/>
      <c r="NHZ33" s="684"/>
      <c r="NIA33" s="684"/>
      <c r="NIB33" s="684"/>
      <c r="NIC33" s="684"/>
      <c r="NID33" s="684"/>
      <c r="NIE33" s="684"/>
      <c r="NIF33" s="684"/>
      <c r="NIG33" s="684"/>
      <c r="NIH33" s="684"/>
      <c r="NII33" s="684"/>
      <c r="NIJ33" s="684"/>
      <c r="NIK33" s="684"/>
      <c r="NIL33" s="684"/>
      <c r="NIM33" s="684"/>
      <c r="NIN33" s="684"/>
      <c r="NIO33" s="684"/>
      <c r="NIP33" s="684"/>
      <c r="NIQ33" s="684"/>
      <c r="NIR33" s="684"/>
      <c r="NIS33" s="684"/>
      <c r="NIT33" s="684"/>
      <c r="NIU33" s="684"/>
      <c r="NIV33" s="684"/>
      <c r="NIW33" s="684"/>
      <c r="NIX33" s="684"/>
      <c r="NIY33" s="684"/>
      <c r="NIZ33" s="684"/>
      <c r="NJA33" s="684"/>
      <c r="NJB33" s="684"/>
      <c r="NJC33" s="684"/>
      <c r="NJD33" s="684"/>
      <c r="NJE33" s="684"/>
      <c r="NJF33" s="684"/>
      <c r="NJG33" s="684"/>
      <c r="NJH33" s="684"/>
      <c r="NJI33" s="684"/>
      <c r="NJJ33" s="684"/>
      <c r="NJK33" s="684"/>
      <c r="NJL33" s="684"/>
      <c r="NJM33" s="684"/>
      <c r="NJN33" s="684"/>
      <c r="NJO33" s="684"/>
      <c r="NJP33" s="684"/>
      <c r="NJQ33" s="684"/>
      <c r="NJR33" s="684"/>
      <c r="NJS33" s="684"/>
      <c r="NJT33" s="684"/>
      <c r="NJU33" s="684"/>
      <c r="NJV33" s="684"/>
      <c r="NJW33" s="684"/>
      <c r="NJX33" s="684"/>
      <c r="NJY33" s="684"/>
      <c r="NJZ33" s="684"/>
      <c r="NKA33" s="684"/>
      <c r="NKB33" s="684"/>
      <c r="NKC33" s="684"/>
      <c r="NKD33" s="684"/>
      <c r="NKE33" s="684"/>
      <c r="NKF33" s="684"/>
      <c r="NKG33" s="684"/>
      <c r="NKH33" s="684"/>
      <c r="NKI33" s="684"/>
      <c r="NKJ33" s="684"/>
      <c r="NKK33" s="684"/>
      <c r="NKL33" s="684"/>
      <c r="NKM33" s="684"/>
      <c r="NKN33" s="684"/>
      <c r="NKO33" s="684"/>
      <c r="NKP33" s="684"/>
      <c r="NKQ33" s="684"/>
      <c r="NKR33" s="684"/>
      <c r="NKS33" s="684"/>
      <c r="NKT33" s="684"/>
      <c r="NKU33" s="684"/>
      <c r="NKV33" s="684"/>
      <c r="NKW33" s="684"/>
      <c r="NKX33" s="684"/>
      <c r="NKY33" s="684"/>
      <c r="NKZ33" s="684"/>
      <c r="NLA33" s="684"/>
      <c r="NLB33" s="684"/>
      <c r="NLC33" s="684"/>
      <c r="NLD33" s="684"/>
      <c r="NLE33" s="684"/>
      <c r="NLF33" s="684"/>
      <c r="NLG33" s="684"/>
      <c r="NLH33" s="684"/>
      <c r="NLI33" s="684"/>
      <c r="NLJ33" s="684"/>
      <c r="NLK33" s="684"/>
      <c r="NLL33" s="684"/>
      <c r="NLM33" s="684"/>
      <c r="NLN33" s="684"/>
      <c r="NLO33" s="684"/>
      <c r="NLP33" s="684"/>
      <c r="NLQ33" s="684"/>
      <c r="NLR33" s="684"/>
      <c r="NLS33" s="684"/>
      <c r="NLT33" s="684"/>
      <c r="NLU33" s="684"/>
      <c r="NLV33" s="684"/>
      <c r="NLW33" s="684"/>
      <c r="NLX33" s="684"/>
      <c r="NLY33" s="684"/>
      <c r="NLZ33" s="684"/>
      <c r="NMA33" s="684"/>
      <c r="NMB33" s="684"/>
      <c r="NMC33" s="684"/>
      <c r="NMD33" s="684"/>
      <c r="NME33" s="684"/>
      <c r="NMF33" s="684"/>
      <c r="NMG33" s="684"/>
      <c r="NMH33" s="684"/>
      <c r="NMI33" s="684"/>
      <c r="NMJ33" s="684"/>
      <c r="NMK33" s="684"/>
      <c r="NML33" s="684"/>
      <c r="NMM33" s="684"/>
      <c r="NMN33" s="684"/>
      <c r="NMO33" s="684"/>
      <c r="NMP33" s="684"/>
      <c r="NMQ33" s="684"/>
      <c r="NMR33" s="684"/>
      <c r="NMS33" s="684"/>
      <c r="NMT33" s="684"/>
      <c r="NMU33" s="684"/>
      <c r="NMV33" s="684"/>
      <c r="NMW33" s="684"/>
      <c r="NMX33" s="684"/>
      <c r="NMY33" s="684"/>
      <c r="NMZ33" s="684"/>
      <c r="NNA33" s="684"/>
      <c r="NNB33" s="684"/>
      <c r="NNC33" s="684"/>
      <c r="NND33" s="684"/>
      <c r="NNE33" s="684"/>
      <c r="NNF33" s="684"/>
      <c r="NNG33" s="684"/>
      <c r="NNH33" s="684"/>
      <c r="NNI33" s="684"/>
      <c r="NNJ33" s="684"/>
      <c r="NNK33" s="684"/>
      <c r="NNL33" s="684"/>
      <c r="NNM33" s="684"/>
      <c r="NNN33" s="684"/>
      <c r="NNO33" s="684"/>
      <c r="NNP33" s="684"/>
      <c r="NNQ33" s="684"/>
      <c r="NNR33" s="684"/>
      <c r="NNS33" s="684"/>
      <c r="NNT33" s="684"/>
      <c r="NNU33" s="684"/>
      <c r="NNV33" s="684"/>
      <c r="NNW33" s="684"/>
      <c r="NNX33" s="684"/>
      <c r="NNY33" s="684"/>
      <c r="NNZ33" s="684"/>
      <c r="NOA33" s="684"/>
      <c r="NOB33" s="684"/>
      <c r="NOC33" s="684"/>
      <c r="NOD33" s="684"/>
      <c r="NOE33" s="684"/>
      <c r="NOF33" s="684"/>
      <c r="NOG33" s="684"/>
      <c r="NOH33" s="684"/>
      <c r="NOI33" s="684"/>
      <c r="NOJ33" s="684"/>
      <c r="NOK33" s="684"/>
      <c r="NOL33" s="684"/>
      <c r="NOM33" s="684"/>
      <c r="NON33" s="684"/>
      <c r="NOO33" s="684"/>
      <c r="NOP33" s="684"/>
      <c r="NOQ33" s="684"/>
      <c r="NOR33" s="684"/>
      <c r="NOS33" s="684"/>
      <c r="NOT33" s="684"/>
      <c r="NOU33" s="684"/>
      <c r="NOV33" s="684"/>
      <c r="NOW33" s="684"/>
      <c r="NOX33" s="684"/>
      <c r="NOY33" s="684"/>
      <c r="NOZ33" s="684"/>
      <c r="NPA33" s="684"/>
      <c r="NPB33" s="684"/>
      <c r="NPC33" s="684"/>
      <c r="NPD33" s="684"/>
      <c r="NPE33" s="684"/>
      <c r="NPF33" s="684"/>
      <c r="NPG33" s="684"/>
      <c r="NPH33" s="684"/>
      <c r="NPI33" s="684"/>
      <c r="NPJ33" s="684"/>
      <c r="NPK33" s="684"/>
      <c r="NPL33" s="684"/>
      <c r="NPM33" s="684"/>
      <c r="NPN33" s="684"/>
      <c r="NPO33" s="684"/>
      <c r="NPP33" s="684"/>
      <c r="NPQ33" s="684"/>
      <c r="NPR33" s="684"/>
      <c r="NPS33" s="684"/>
      <c r="NPT33" s="684"/>
      <c r="NPU33" s="684"/>
      <c r="NPV33" s="684"/>
      <c r="NPW33" s="684"/>
      <c r="NPX33" s="684"/>
      <c r="NPY33" s="684"/>
      <c r="NPZ33" s="684"/>
      <c r="NQA33" s="684"/>
      <c r="NQB33" s="684"/>
      <c r="NQC33" s="684"/>
      <c r="NQD33" s="684"/>
      <c r="NQE33" s="684"/>
      <c r="NQF33" s="684"/>
      <c r="NQG33" s="684"/>
      <c r="NQH33" s="684"/>
      <c r="NQI33" s="684"/>
      <c r="NQJ33" s="684"/>
      <c r="NQK33" s="684"/>
      <c r="NQL33" s="684"/>
      <c r="NQM33" s="684"/>
      <c r="NQN33" s="684"/>
      <c r="NQO33" s="684"/>
      <c r="NQP33" s="684"/>
      <c r="NQQ33" s="684"/>
      <c r="NQR33" s="684"/>
      <c r="NQS33" s="684"/>
      <c r="NQT33" s="684"/>
      <c r="NQU33" s="684"/>
      <c r="NQV33" s="684"/>
      <c r="NQW33" s="684"/>
      <c r="NQX33" s="684"/>
      <c r="NQY33" s="684"/>
      <c r="NQZ33" s="684"/>
      <c r="NRA33" s="684"/>
      <c r="NRB33" s="684"/>
      <c r="NRC33" s="684"/>
      <c r="NRD33" s="684"/>
      <c r="NRE33" s="684"/>
      <c r="NRF33" s="684"/>
      <c r="NRG33" s="684"/>
      <c r="NRH33" s="684"/>
      <c r="NRI33" s="684"/>
      <c r="NRJ33" s="684"/>
      <c r="NRK33" s="684"/>
      <c r="NRL33" s="684"/>
      <c r="NRM33" s="684"/>
      <c r="NRN33" s="684"/>
      <c r="NRO33" s="684"/>
      <c r="NRP33" s="684"/>
      <c r="NRQ33" s="684"/>
      <c r="NRR33" s="684"/>
      <c r="NRS33" s="684"/>
      <c r="NRT33" s="684"/>
      <c r="NRU33" s="684"/>
      <c r="NRV33" s="684"/>
      <c r="NRW33" s="684"/>
      <c r="NRX33" s="684"/>
      <c r="NRY33" s="684"/>
      <c r="NRZ33" s="684"/>
      <c r="NSA33" s="684"/>
      <c r="NSB33" s="684"/>
      <c r="NSC33" s="684"/>
      <c r="NSD33" s="684"/>
      <c r="NSE33" s="684"/>
      <c r="NSF33" s="684"/>
      <c r="NSG33" s="684"/>
      <c r="NSH33" s="684"/>
      <c r="NSI33" s="684"/>
      <c r="NSJ33" s="684"/>
      <c r="NSK33" s="684"/>
      <c r="NSL33" s="684"/>
      <c r="NSM33" s="684"/>
      <c r="NSN33" s="684"/>
      <c r="NSO33" s="684"/>
      <c r="NSP33" s="684"/>
      <c r="NSQ33" s="684"/>
      <c r="NSR33" s="684"/>
      <c r="NSS33" s="684"/>
      <c r="NST33" s="684"/>
      <c r="NSU33" s="684"/>
      <c r="NSV33" s="684"/>
      <c r="NSW33" s="684"/>
      <c r="NSX33" s="684"/>
      <c r="NSY33" s="684"/>
      <c r="NSZ33" s="684"/>
      <c r="NTA33" s="684"/>
      <c r="NTB33" s="684"/>
      <c r="NTC33" s="684"/>
      <c r="NTD33" s="684"/>
      <c r="NTE33" s="684"/>
      <c r="NTF33" s="684"/>
      <c r="NTG33" s="684"/>
      <c r="NTH33" s="684"/>
      <c r="NTI33" s="684"/>
      <c r="NTJ33" s="684"/>
      <c r="NTK33" s="684"/>
      <c r="NTL33" s="684"/>
      <c r="NTM33" s="684"/>
      <c r="NTN33" s="684"/>
      <c r="NTO33" s="684"/>
      <c r="NTP33" s="684"/>
      <c r="NTQ33" s="684"/>
      <c r="NTR33" s="684"/>
      <c r="NTS33" s="684"/>
      <c r="NTT33" s="684"/>
      <c r="NTU33" s="684"/>
      <c r="NTV33" s="684"/>
      <c r="NTW33" s="684"/>
      <c r="NTX33" s="684"/>
      <c r="NTY33" s="684"/>
      <c r="NTZ33" s="684"/>
      <c r="NUA33" s="684"/>
      <c r="NUB33" s="684"/>
      <c r="NUC33" s="684"/>
      <c r="NUD33" s="684"/>
      <c r="NUE33" s="684"/>
      <c r="NUF33" s="684"/>
      <c r="NUG33" s="684"/>
      <c r="NUH33" s="684"/>
      <c r="NUI33" s="684"/>
      <c r="NUJ33" s="684"/>
      <c r="NUK33" s="684"/>
      <c r="NUL33" s="684"/>
      <c r="NUM33" s="684"/>
      <c r="NUN33" s="684"/>
      <c r="NUO33" s="684"/>
      <c r="NUP33" s="684"/>
      <c r="NUQ33" s="684"/>
      <c r="NUR33" s="684"/>
      <c r="NUS33" s="684"/>
      <c r="NUT33" s="684"/>
      <c r="NUU33" s="684"/>
      <c r="NUV33" s="684"/>
      <c r="NUW33" s="684"/>
      <c r="NUX33" s="684"/>
      <c r="NUY33" s="684"/>
      <c r="NUZ33" s="684"/>
      <c r="NVA33" s="684"/>
      <c r="NVB33" s="684"/>
      <c r="NVC33" s="684"/>
      <c r="NVD33" s="684"/>
      <c r="NVE33" s="684"/>
      <c r="NVF33" s="684"/>
      <c r="NVG33" s="684"/>
      <c r="NVH33" s="684"/>
      <c r="NVI33" s="684"/>
      <c r="NVJ33" s="684"/>
      <c r="NVK33" s="684"/>
      <c r="NVL33" s="684"/>
      <c r="NVM33" s="684"/>
      <c r="NVN33" s="684"/>
      <c r="NVO33" s="684"/>
      <c r="NVP33" s="684"/>
      <c r="NVQ33" s="684"/>
      <c r="NVR33" s="684"/>
      <c r="NVS33" s="684"/>
      <c r="NVT33" s="684"/>
      <c r="NVU33" s="684"/>
      <c r="NVV33" s="684"/>
      <c r="NVW33" s="684"/>
      <c r="NVX33" s="684"/>
      <c r="NVY33" s="684"/>
      <c r="NVZ33" s="684"/>
      <c r="NWA33" s="684"/>
      <c r="NWB33" s="684"/>
      <c r="NWC33" s="684"/>
      <c r="NWD33" s="684"/>
      <c r="NWE33" s="684"/>
      <c r="NWF33" s="684"/>
      <c r="NWG33" s="684"/>
      <c r="NWH33" s="684"/>
      <c r="NWI33" s="684"/>
      <c r="NWJ33" s="684"/>
      <c r="NWK33" s="684"/>
      <c r="NWL33" s="684"/>
      <c r="NWM33" s="684"/>
      <c r="NWN33" s="684"/>
      <c r="NWO33" s="684"/>
      <c r="NWP33" s="684"/>
      <c r="NWQ33" s="684"/>
      <c r="NWR33" s="684"/>
      <c r="NWS33" s="684"/>
      <c r="NWT33" s="684"/>
      <c r="NWU33" s="684"/>
      <c r="NWV33" s="684"/>
      <c r="NWW33" s="684"/>
      <c r="NWX33" s="684"/>
      <c r="NWY33" s="684"/>
      <c r="NWZ33" s="684"/>
      <c r="NXA33" s="684"/>
      <c r="NXB33" s="684"/>
      <c r="NXC33" s="684"/>
      <c r="NXD33" s="684"/>
      <c r="NXE33" s="684"/>
      <c r="NXF33" s="684"/>
      <c r="NXG33" s="684"/>
      <c r="NXH33" s="684"/>
      <c r="NXI33" s="684"/>
      <c r="NXJ33" s="684"/>
      <c r="NXK33" s="684"/>
      <c r="NXL33" s="684"/>
      <c r="NXM33" s="684"/>
      <c r="NXN33" s="684"/>
      <c r="NXO33" s="684"/>
      <c r="NXP33" s="684"/>
      <c r="NXQ33" s="684"/>
      <c r="NXR33" s="684"/>
      <c r="NXS33" s="684"/>
      <c r="NXT33" s="684"/>
      <c r="NXU33" s="684"/>
      <c r="NXV33" s="684"/>
      <c r="NXW33" s="684"/>
      <c r="NXX33" s="684"/>
      <c r="NXY33" s="684"/>
      <c r="NXZ33" s="684"/>
      <c r="NYA33" s="684"/>
      <c r="NYB33" s="684"/>
      <c r="NYC33" s="684"/>
      <c r="NYD33" s="684"/>
      <c r="NYE33" s="684"/>
      <c r="NYF33" s="684"/>
      <c r="NYG33" s="684"/>
      <c r="NYH33" s="684"/>
      <c r="NYI33" s="684"/>
      <c r="NYJ33" s="684"/>
      <c r="NYK33" s="684"/>
      <c r="NYL33" s="684"/>
      <c r="NYM33" s="684"/>
      <c r="NYN33" s="684"/>
      <c r="NYO33" s="684"/>
      <c r="NYP33" s="684"/>
      <c r="NYQ33" s="684"/>
      <c r="NYR33" s="684"/>
      <c r="NYS33" s="684"/>
      <c r="NYT33" s="684"/>
      <c r="NYU33" s="684"/>
      <c r="NYV33" s="684"/>
      <c r="NYW33" s="684"/>
      <c r="NYX33" s="684"/>
      <c r="NYY33" s="684"/>
      <c r="NYZ33" s="684"/>
      <c r="NZA33" s="684"/>
      <c r="NZB33" s="684"/>
      <c r="NZC33" s="684"/>
      <c r="NZD33" s="684"/>
      <c r="NZE33" s="684"/>
      <c r="NZF33" s="684"/>
      <c r="NZG33" s="684"/>
      <c r="NZH33" s="684"/>
      <c r="NZI33" s="684"/>
      <c r="NZJ33" s="684"/>
      <c r="NZK33" s="684"/>
      <c r="NZL33" s="684"/>
      <c r="NZM33" s="684"/>
      <c r="NZN33" s="684"/>
      <c r="NZO33" s="684"/>
      <c r="NZP33" s="684"/>
      <c r="NZQ33" s="684"/>
      <c r="NZR33" s="684"/>
      <c r="NZS33" s="684"/>
      <c r="NZT33" s="684"/>
      <c r="NZU33" s="684"/>
      <c r="NZV33" s="684"/>
      <c r="NZW33" s="684"/>
      <c r="NZX33" s="684"/>
      <c r="NZY33" s="684"/>
      <c r="NZZ33" s="684"/>
      <c r="OAA33" s="684"/>
      <c r="OAB33" s="684"/>
      <c r="OAC33" s="684"/>
      <c r="OAD33" s="684"/>
      <c r="OAE33" s="684"/>
      <c r="OAF33" s="684"/>
      <c r="OAG33" s="684"/>
      <c r="OAH33" s="684"/>
      <c r="OAI33" s="684"/>
      <c r="OAJ33" s="684"/>
      <c r="OAK33" s="684"/>
      <c r="OAL33" s="684"/>
      <c r="OAM33" s="684"/>
      <c r="OAN33" s="684"/>
      <c r="OAO33" s="684"/>
      <c r="OAP33" s="684"/>
      <c r="OAQ33" s="684"/>
      <c r="OAR33" s="684"/>
      <c r="OAS33" s="684"/>
      <c r="OAT33" s="684"/>
      <c r="OAU33" s="684"/>
      <c r="OAV33" s="684"/>
      <c r="OAW33" s="684"/>
      <c r="OAX33" s="684"/>
      <c r="OAY33" s="684"/>
      <c r="OAZ33" s="684"/>
      <c r="OBA33" s="684"/>
      <c r="OBB33" s="684"/>
      <c r="OBC33" s="684"/>
      <c r="OBD33" s="684"/>
      <c r="OBE33" s="684"/>
      <c r="OBF33" s="684"/>
      <c r="OBG33" s="684"/>
      <c r="OBH33" s="684"/>
      <c r="OBI33" s="684"/>
      <c r="OBJ33" s="684"/>
      <c r="OBK33" s="684"/>
      <c r="OBL33" s="684"/>
      <c r="OBM33" s="684"/>
      <c r="OBN33" s="684"/>
      <c r="OBO33" s="684"/>
      <c r="OBP33" s="684"/>
      <c r="OBQ33" s="684"/>
      <c r="OBR33" s="684"/>
      <c r="OBS33" s="684"/>
      <c r="OBT33" s="684"/>
      <c r="OBU33" s="684"/>
      <c r="OBV33" s="684"/>
      <c r="OBW33" s="684"/>
      <c r="OBX33" s="684"/>
      <c r="OBY33" s="684"/>
      <c r="OBZ33" s="684"/>
      <c r="OCA33" s="684"/>
      <c r="OCB33" s="684"/>
      <c r="OCC33" s="684"/>
      <c r="OCD33" s="684"/>
      <c r="OCE33" s="684"/>
      <c r="OCF33" s="684"/>
      <c r="OCG33" s="684"/>
      <c r="OCH33" s="684"/>
      <c r="OCI33" s="684"/>
      <c r="OCJ33" s="684"/>
      <c r="OCK33" s="684"/>
      <c r="OCL33" s="684"/>
      <c r="OCM33" s="684"/>
      <c r="OCN33" s="684"/>
      <c r="OCO33" s="684"/>
      <c r="OCP33" s="684"/>
      <c r="OCQ33" s="684"/>
      <c r="OCR33" s="684"/>
      <c r="OCS33" s="684"/>
      <c r="OCT33" s="684"/>
      <c r="OCU33" s="684"/>
      <c r="OCV33" s="684"/>
      <c r="OCW33" s="684"/>
      <c r="OCX33" s="684"/>
      <c r="OCY33" s="684"/>
      <c r="OCZ33" s="684"/>
      <c r="ODA33" s="684"/>
      <c r="ODB33" s="684"/>
      <c r="ODC33" s="684"/>
      <c r="ODD33" s="684"/>
      <c r="ODE33" s="684"/>
      <c r="ODF33" s="684"/>
      <c r="ODG33" s="684"/>
      <c r="ODH33" s="684"/>
      <c r="ODI33" s="684"/>
      <c r="ODJ33" s="684"/>
      <c r="ODK33" s="684"/>
      <c r="ODL33" s="684"/>
      <c r="ODM33" s="684"/>
      <c r="ODN33" s="684"/>
      <c r="ODO33" s="684"/>
      <c r="ODP33" s="684"/>
      <c r="ODQ33" s="684"/>
      <c r="ODR33" s="684"/>
      <c r="ODS33" s="684"/>
      <c r="ODT33" s="684"/>
      <c r="ODU33" s="684"/>
      <c r="ODV33" s="684"/>
      <c r="ODW33" s="684"/>
      <c r="ODX33" s="684"/>
      <c r="ODY33" s="684"/>
      <c r="ODZ33" s="684"/>
      <c r="OEA33" s="684"/>
      <c r="OEB33" s="684"/>
      <c r="OEC33" s="684"/>
      <c r="OED33" s="684"/>
      <c r="OEE33" s="684"/>
      <c r="OEF33" s="684"/>
      <c r="OEG33" s="684"/>
      <c r="OEH33" s="684"/>
      <c r="OEI33" s="684"/>
      <c r="OEJ33" s="684"/>
      <c r="OEK33" s="684"/>
      <c r="OEL33" s="684"/>
      <c r="OEM33" s="684"/>
      <c r="OEN33" s="684"/>
      <c r="OEO33" s="684"/>
      <c r="OEP33" s="684"/>
      <c r="OEQ33" s="684"/>
      <c r="OER33" s="684"/>
      <c r="OES33" s="684"/>
      <c r="OET33" s="684"/>
      <c r="OEU33" s="684"/>
      <c r="OEV33" s="684"/>
      <c r="OEW33" s="684"/>
      <c r="OEX33" s="684"/>
      <c r="OEY33" s="684"/>
      <c r="OEZ33" s="684"/>
      <c r="OFA33" s="684"/>
      <c r="OFB33" s="684"/>
      <c r="OFC33" s="684"/>
      <c r="OFD33" s="684"/>
      <c r="OFE33" s="684"/>
      <c r="OFF33" s="684"/>
      <c r="OFG33" s="684"/>
      <c r="OFH33" s="684"/>
      <c r="OFI33" s="684"/>
      <c r="OFJ33" s="684"/>
      <c r="OFK33" s="684"/>
      <c r="OFL33" s="684"/>
      <c r="OFM33" s="684"/>
      <c r="OFN33" s="684"/>
      <c r="OFO33" s="684"/>
      <c r="OFP33" s="684"/>
      <c r="OFQ33" s="684"/>
      <c r="OFR33" s="684"/>
      <c r="OFS33" s="684"/>
      <c r="OFT33" s="684"/>
      <c r="OFU33" s="684"/>
      <c r="OFV33" s="684"/>
      <c r="OFW33" s="684"/>
      <c r="OFX33" s="684"/>
      <c r="OFY33" s="684"/>
      <c r="OFZ33" s="684"/>
      <c r="OGA33" s="684"/>
      <c r="OGB33" s="684"/>
      <c r="OGC33" s="684"/>
      <c r="OGD33" s="684"/>
      <c r="OGE33" s="684"/>
      <c r="OGF33" s="684"/>
      <c r="OGG33" s="684"/>
      <c r="OGH33" s="684"/>
      <c r="OGI33" s="684"/>
      <c r="OGJ33" s="684"/>
      <c r="OGK33" s="684"/>
      <c r="OGL33" s="684"/>
      <c r="OGM33" s="684"/>
      <c r="OGN33" s="684"/>
      <c r="OGO33" s="684"/>
      <c r="OGP33" s="684"/>
      <c r="OGQ33" s="684"/>
      <c r="OGR33" s="684"/>
      <c r="OGS33" s="684"/>
      <c r="OGT33" s="684"/>
      <c r="OGU33" s="684"/>
      <c r="OGV33" s="684"/>
      <c r="OGW33" s="684"/>
      <c r="OGX33" s="684"/>
      <c r="OGY33" s="684"/>
      <c r="OGZ33" s="684"/>
      <c r="OHA33" s="684"/>
      <c r="OHB33" s="684"/>
      <c r="OHC33" s="684"/>
      <c r="OHD33" s="684"/>
      <c r="OHE33" s="684"/>
      <c r="OHF33" s="684"/>
      <c r="OHG33" s="684"/>
      <c r="OHH33" s="684"/>
      <c r="OHI33" s="684"/>
      <c r="OHJ33" s="684"/>
      <c r="OHK33" s="684"/>
      <c r="OHL33" s="684"/>
      <c r="OHM33" s="684"/>
      <c r="OHN33" s="684"/>
      <c r="OHO33" s="684"/>
      <c r="OHP33" s="684"/>
      <c r="OHQ33" s="684"/>
      <c r="OHR33" s="684"/>
      <c r="OHS33" s="684"/>
      <c r="OHT33" s="684"/>
      <c r="OHU33" s="684"/>
      <c r="OHV33" s="684"/>
      <c r="OHW33" s="684"/>
      <c r="OHX33" s="684"/>
      <c r="OHY33" s="684"/>
      <c r="OHZ33" s="684"/>
      <c r="OIA33" s="684"/>
      <c r="OIB33" s="684"/>
      <c r="OIC33" s="684"/>
      <c r="OID33" s="684"/>
      <c r="OIE33" s="684"/>
      <c r="OIF33" s="684"/>
      <c r="OIG33" s="684"/>
      <c r="OIH33" s="684"/>
      <c r="OII33" s="684"/>
      <c r="OIJ33" s="684"/>
      <c r="OIK33" s="684"/>
      <c r="OIL33" s="684"/>
      <c r="OIM33" s="684"/>
      <c r="OIN33" s="684"/>
      <c r="OIO33" s="684"/>
      <c r="OIP33" s="684"/>
      <c r="OIQ33" s="684"/>
      <c r="OIR33" s="684"/>
      <c r="OIS33" s="684"/>
      <c r="OIT33" s="684"/>
      <c r="OIU33" s="684"/>
      <c r="OIV33" s="684"/>
      <c r="OIW33" s="684"/>
      <c r="OIX33" s="684"/>
      <c r="OIY33" s="684"/>
      <c r="OIZ33" s="684"/>
      <c r="OJA33" s="684"/>
      <c r="OJB33" s="684"/>
      <c r="OJC33" s="684"/>
      <c r="OJD33" s="684"/>
      <c r="OJE33" s="684"/>
      <c r="OJF33" s="684"/>
      <c r="OJG33" s="684"/>
      <c r="OJH33" s="684"/>
      <c r="OJI33" s="684"/>
      <c r="OJJ33" s="684"/>
      <c r="OJK33" s="684"/>
      <c r="OJL33" s="684"/>
      <c r="OJM33" s="684"/>
      <c r="OJN33" s="684"/>
      <c r="OJO33" s="684"/>
      <c r="OJP33" s="684"/>
      <c r="OJQ33" s="684"/>
      <c r="OJR33" s="684"/>
      <c r="OJS33" s="684"/>
      <c r="OJT33" s="684"/>
      <c r="OJU33" s="684"/>
      <c r="OJV33" s="684"/>
      <c r="OJW33" s="684"/>
      <c r="OJX33" s="684"/>
      <c r="OJY33" s="684"/>
      <c r="OJZ33" s="684"/>
      <c r="OKA33" s="684"/>
      <c r="OKB33" s="684"/>
      <c r="OKC33" s="684"/>
      <c r="OKD33" s="684"/>
      <c r="OKE33" s="684"/>
      <c r="OKF33" s="684"/>
      <c r="OKG33" s="684"/>
      <c r="OKH33" s="684"/>
      <c r="OKI33" s="684"/>
      <c r="OKJ33" s="684"/>
      <c r="OKK33" s="684"/>
      <c r="OKL33" s="684"/>
      <c r="OKM33" s="684"/>
      <c r="OKN33" s="684"/>
      <c r="OKO33" s="684"/>
      <c r="OKP33" s="684"/>
      <c r="OKQ33" s="684"/>
      <c r="OKR33" s="684"/>
      <c r="OKS33" s="684"/>
      <c r="OKT33" s="684"/>
      <c r="OKU33" s="684"/>
      <c r="OKV33" s="684"/>
      <c r="OKW33" s="684"/>
      <c r="OKX33" s="684"/>
      <c r="OKY33" s="684"/>
      <c r="OKZ33" s="684"/>
      <c r="OLA33" s="684"/>
      <c r="OLB33" s="684"/>
      <c r="OLC33" s="684"/>
      <c r="OLD33" s="684"/>
      <c r="OLE33" s="684"/>
      <c r="OLF33" s="684"/>
      <c r="OLG33" s="684"/>
      <c r="OLH33" s="684"/>
      <c r="OLI33" s="684"/>
      <c r="OLJ33" s="684"/>
      <c r="OLK33" s="684"/>
      <c r="OLL33" s="684"/>
      <c r="OLM33" s="684"/>
      <c r="OLN33" s="684"/>
      <c r="OLO33" s="684"/>
      <c r="OLP33" s="684"/>
      <c r="OLQ33" s="684"/>
      <c r="OLR33" s="684"/>
      <c r="OLS33" s="684"/>
      <c r="OLT33" s="684"/>
      <c r="OLU33" s="684"/>
      <c r="OLV33" s="684"/>
      <c r="OLW33" s="684"/>
      <c r="OLX33" s="684"/>
      <c r="OLY33" s="684"/>
      <c r="OLZ33" s="684"/>
      <c r="OMA33" s="684"/>
      <c r="OMB33" s="684"/>
      <c r="OMC33" s="684"/>
      <c r="OMD33" s="684"/>
      <c r="OME33" s="684"/>
      <c r="OMF33" s="684"/>
      <c r="OMG33" s="684"/>
      <c r="OMH33" s="684"/>
      <c r="OMI33" s="684"/>
      <c r="OMJ33" s="684"/>
      <c r="OMK33" s="684"/>
      <c r="OML33" s="684"/>
      <c r="OMM33" s="684"/>
      <c r="OMN33" s="684"/>
      <c r="OMO33" s="684"/>
      <c r="OMP33" s="684"/>
      <c r="OMQ33" s="684"/>
      <c r="OMR33" s="684"/>
      <c r="OMS33" s="684"/>
      <c r="OMT33" s="684"/>
      <c r="OMU33" s="684"/>
      <c r="OMV33" s="684"/>
      <c r="OMW33" s="684"/>
      <c r="OMX33" s="684"/>
      <c r="OMY33" s="684"/>
      <c r="OMZ33" s="684"/>
      <c r="ONA33" s="684"/>
      <c r="ONB33" s="684"/>
      <c r="ONC33" s="684"/>
      <c r="OND33" s="684"/>
      <c r="ONE33" s="684"/>
      <c r="ONF33" s="684"/>
      <c r="ONG33" s="684"/>
      <c r="ONH33" s="684"/>
      <c r="ONI33" s="684"/>
      <c r="ONJ33" s="684"/>
      <c r="ONK33" s="684"/>
      <c r="ONL33" s="684"/>
      <c r="ONM33" s="684"/>
      <c r="ONN33" s="684"/>
      <c r="ONO33" s="684"/>
      <c r="ONP33" s="684"/>
      <c r="ONQ33" s="684"/>
      <c r="ONR33" s="684"/>
      <c r="ONS33" s="684"/>
      <c r="ONT33" s="684"/>
      <c r="ONU33" s="684"/>
      <c r="ONV33" s="684"/>
      <c r="ONW33" s="684"/>
      <c r="ONX33" s="684"/>
      <c r="ONY33" s="684"/>
      <c r="ONZ33" s="684"/>
      <c r="OOA33" s="684"/>
      <c r="OOB33" s="684"/>
      <c r="OOC33" s="684"/>
      <c r="OOD33" s="684"/>
      <c r="OOE33" s="684"/>
      <c r="OOF33" s="684"/>
      <c r="OOG33" s="684"/>
      <c r="OOH33" s="684"/>
      <c r="OOI33" s="684"/>
      <c r="OOJ33" s="684"/>
      <c r="OOK33" s="684"/>
      <c r="OOL33" s="684"/>
      <c r="OOM33" s="684"/>
      <c r="OON33" s="684"/>
      <c r="OOO33" s="684"/>
      <c r="OOP33" s="684"/>
      <c r="OOQ33" s="684"/>
      <c r="OOR33" s="684"/>
      <c r="OOS33" s="684"/>
      <c r="OOT33" s="684"/>
      <c r="OOU33" s="684"/>
      <c r="OOV33" s="684"/>
      <c r="OOW33" s="684"/>
      <c r="OOX33" s="684"/>
      <c r="OOY33" s="684"/>
      <c r="OOZ33" s="684"/>
      <c r="OPA33" s="684"/>
      <c r="OPB33" s="684"/>
      <c r="OPC33" s="684"/>
      <c r="OPD33" s="684"/>
      <c r="OPE33" s="684"/>
      <c r="OPF33" s="684"/>
      <c r="OPG33" s="684"/>
      <c r="OPH33" s="684"/>
      <c r="OPI33" s="684"/>
      <c r="OPJ33" s="684"/>
      <c r="OPK33" s="684"/>
      <c r="OPL33" s="684"/>
      <c r="OPM33" s="684"/>
      <c r="OPN33" s="684"/>
      <c r="OPO33" s="684"/>
      <c r="OPP33" s="684"/>
      <c r="OPQ33" s="684"/>
      <c r="OPR33" s="684"/>
      <c r="OPS33" s="684"/>
      <c r="OPT33" s="684"/>
      <c r="OPU33" s="684"/>
      <c r="OPV33" s="684"/>
      <c r="OPW33" s="684"/>
      <c r="OPX33" s="684"/>
      <c r="OPY33" s="684"/>
      <c r="OPZ33" s="684"/>
      <c r="OQA33" s="684"/>
      <c r="OQB33" s="684"/>
      <c r="OQC33" s="684"/>
      <c r="OQD33" s="684"/>
      <c r="OQE33" s="684"/>
      <c r="OQF33" s="684"/>
      <c r="OQG33" s="684"/>
      <c r="OQH33" s="684"/>
      <c r="OQI33" s="684"/>
      <c r="OQJ33" s="684"/>
      <c r="OQK33" s="684"/>
      <c r="OQL33" s="684"/>
      <c r="OQM33" s="684"/>
      <c r="OQN33" s="684"/>
      <c r="OQO33" s="684"/>
      <c r="OQP33" s="684"/>
      <c r="OQQ33" s="684"/>
      <c r="OQR33" s="684"/>
      <c r="OQS33" s="684"/>
      <c r="OQT33" s="684"/>
      <c r="OQU33" s="684"/>
      <c r="OQV33" s="684"/>
      <c r="OQW33" s="684"/>
      <c r="OQX33" s="684"/>
      <c r="OQY33" s="684"/>
      <c r="OQZ33" s="684"/>
      <c r="ORA33" s="684"/>
      <c r="ORB33" s="684"/>
      <c r="ORC33" s="684"/>
      <c r="ORD33" s="684"/>
      <c r="ORE33" s="684"/>
      <c r="ORF33" s="684"/>
      <c r="ORG33" s="684"/>
      <c r="ORH33" s="684"/>
      <c r="ORI33" s="684"/>
      <c r="ORJ33" s="684"/>
      <c r="ORK33" s="684"/>
      <c r="ORL33" s="684"/>
      <c r="ORM33" s="684"/>
      <c r="ORN33" s="684"/>
      <c r="ORO33" s="684"/>
      <c r="ORP33" s="684"/>
      <c r="ORQ33" s="684"/>
      <c r="ORR33" s="684"/>
      <c r="ORS33" s="684"/>
      <c r="ORT33" s="684"/>
      <c r="ORU33" s="684"/>
      <c r="ORV33" s="684"/>
      <c r="ORW33" s="684"/>
      <c r="ORX33" s="684"/>
      <c r="ORY33" s="684"/>
      <c r="ORZ33" s="684"/>
      <c r="OSA33" s="684"/>
      <c r="OSB33" s="684"/>
      <c r="OSC33" s="684"/>
      <c r="OSD33" s="684"/>
      <c r="OSE33" s="684"/>
      <c r="OSF33" s="684"/>
      <c r="OSG33" s="684"/>
      <c r="OSH33" s="684"/>
      <c r="OSI33" s="684"/>
      <c r="OSJ33" s="684"/>
      <c r="OSK33" s="684"/>
      <c r="OSL33" s="684"/>
      <c r="OSM33" s="684"/>
      <c r="OSN33" s="684"/>
      <c r="OSO33" s="684"/>
      <c r="OSP33" s="684"/>
      <c r="OSQ33" s="684"/>
      <c r="OSR33" s="684"/>
      <c r="OSS33" s="684"/>
      <c r="OST33" s="684"/>
      <c r="OSU33" s="684"/>
      <c r="OSV33" s="684"/>
      <c r="OSW33" s="684"/>
      <c r="OSX33" s="684"/>
      <c r="OSY33" s="684"/>
      <c r="OSZ33" s="684"/>
      <c r="OTA33" s="684"/>
      <c r="OTB33" s="684"/>
      <c r="OTC33" s="684"/>
      <c r="OTD33" s="684"/>
      <c r="OTE33" s="684"/>
      <c r="OTF33" s="684"/>
      <c r="OTG33" s="684"/>
      <c r="OTH33" s="684"/>
      <c r="OTI33" s="684"/>
      <c r="OTJ33" s="684"/>
      <c r="OTK33" s="684"/>
      <c r="OTL33" s="684"/>
      <c r="OTM33" s="684"/>
      <c r="OTN33" s="684"/>
      <c r="OTO33" s="684"/>
      <c r="OTP33" s="684"/>
      <c r="OTQ33" s="684"/>
      <c r="OTR33" s="684"/>
      <c r="OTS33" s="684"/>
      <c r="OTT33" s="684"/>
      <c r="OTU33" s="684"/>
      <c r="OTV33" s="684"/>
      <c r="OTW33" s="684"/>
      <c r="OTX33" s="684"/>
      <c r="OTY33" s="684"/>
      <c r="OTZ33" s="684"/>
      <c r="OUA33" s="684"/>
      <c r="OUB33" s="684"/>
      <c r="OUC33" s="684"/>
      <c r="OUD33" s="684"/>
      <c r="OUE33" s="684"/>
      <c r="OUF33" s="684"/>
      <c r="OUG33" s="684"/>
      <c r="OUH33" s="684"/>
      <c r="OUI33" s="684"/>
      <c r="OUJ33" s="684"/>
      <c r="OUK33" s="684"/>
      <c r="OUL33" s="684"/>
      <c r="OUM33" s="684"/>
      <c r="OUN33" s="684"/>
      <c r="OUO33" s="684"/>
      <c r="OUP33" s="684"/>
      <c r="OUQ33" s="684"/>
      <c r="OUR33" s="684"/>
      <c r="OUS33" s="684"/>
      <c r="OUT33" s="684"/>
      <c r="OUU33" s="684"/>
      <c r="OUV33" s="684"/>
      <c r="OUW33" s="684"/>
      <c r="OUX33" s="684"/>
      <c r="OUY33" s="684"/>
      <c r="OUZ33" s="684"/>
      <c r="OVA33" s="684"/>
      <c r="OVB33" s="684"/>
      <c r="OVC33" s="684"/>
      <c r="OVD33" s="684"/>
      <c r="OVE33" s="684"/>
      <c r="OVF33" s="684"/>
      <c r="OVG33" s="684"/>
      <c r="OVH33" s="684"/>
      <c r="OVI33" s="684"/>
      <c r="OVJ33" s="684"/>
      <c r="OVK33" s="684"/>
      <c r="OVL33" s="684"/>
      <c r="OVM33" s="684"/>
      <c r="OVN33" s="684"/>
      <c r="OVO33" s="684"/>
      <c r="OVP33" s="684"/>
      <c r="OVQ33" s="684"/>
      <c r="OVR33" s="684"/>
      <c r="OVS33" s="684"/>
      <c r="OVT33" s="684"/>
      <c r="OVU33" s="684"/>
      <c r="OVV33" s="684"/>
      <c r="OVW33" s="684"/>
      <c r="OVX33" s="684"/>
      <c r="OVY33" s="684"/>
      <c r="OVZ33" s="684"/>
      <c r="OWA33" s="684"/>
      <c r="OWB33" s="684"/>
      <c r="OWC33" s="684"/>
      <c r="OWD33" s="684"/>
      <c r="OWE33" s="684"/>
      <c r="OWF33" s="684"/>
      <c r="OWG33" s="684"/>
      <c r="OWH33" s="684"/>
      <c r="OWI33" s="684"/>
      <c r="OWJ33" s="684"/>
      <c r="OWK33" s="684"/>
      <c r="OWL33" s="684"/>
      <c r="OWM33" s="684"/>
      <c r="OWN33" s="684"/>
      <c r="OWO33" s="684"/>
      <c r="OWP33" s="684"/>
      <c r="OWQ33" s="684"/>
      <c r="OWR33" s="684"/>
      <c r="OWS33" s="684"/>
      <c r="OWT33" s="684"/>
      <c r="OWU33" s="684"/>
      <c r="OWV33" s="684"/>
      <c r="OWW33" s="684"/>
      <c r="OWX33" s="684"/>
      <c r="OWY33" s="684"/>
      <c r="OWZ33" s="684"/>
      <c r="OXA33" s="684"/>
      <c r="OXB33" s="684"/>
      <c r="OXC33" s="684"/>
      <c r="OXD33" s="684"/>
      <c r="OXE33" s="684"/>
      <c r="OXF33" s="684"/>
      <c r="OXG33" s="684"/>
      <c r="OXH33" s="684"/>
      <c r="OXI33" s="684"/>
      <c r="OXJ33" s="684"/>
      <c r="OXK33" s="684"/>
      <c r="OXL33" s="684"/>
      <c r="OXM33" s="684"/>
      <c r="OXN33" s="684"/>
      <c r="OXO33" s="684"/>
      <c r="OXP33" s="684"/>
      <c r="OXQ33" s="684"/>
      <c r="OXR33" s="684"/>
      <c r="OXS33" s="684"/>
      <c r="OXT33" s="684"/>
      <c r="OXU33" s="684"/>
      <c r="OXV33" s="684"/>
      <c r="OXW33" s="684"/>
      <c r="OXX33" s="684"/>
      <c r="OXY33" s="684"/>
      <c r="OXZ33" s="684"/>
      <c r="OYA33" s="684"/>
      <c r="OYB33" s="684"/>
      <c r="OYC33" s="684"/>
      <c r="OYD33" s="684"/>
      <c r="OYE33" s="684"/>
      <c r="OYF33" s="684"/>
      <c r="OYG33" s="684"/>
      <c r="OYH33" s="684"/>
      <c r="OYI33" s="684"/>
      <c r="OYJ33" s="684"/>
      <c r="OYK33" s="684"/>
      <c r="OYL33" s="684"/>
      <c r="OYM33" s="684"/>
      <c r="OYN33" s="684"/>
      <c r="OYO33" s="684"/>
      <c r="OYP33" s="684"/>
      <c r="OYQ33" s="684"/>
      <c r="OYR33" s="684"/>
      <c r="OYS33" s="684"/>
      <c r="OYT33" s="684"/>
      <c r="OYU33" s="684"/>
      <c r="OYV33" s="684"/>
      <c r="OYW33" s="684"/>
      <c r="OYX33" s="684"/>
      <c r="OYY33" s="684"/>
      <c r="OYZ33" s="684"/>
      <c r="OZA33" s="684"/>
      <c r="OZB33" s="684"/>
      <c r="OZC33" s="684"/>
      <c r="OZD33" s="684"/>
      <c r="OZE33" s="684"/>
      <c r="OZF33" s="684"/>
      <c r="OZG33" s="684"/>
      <c r="OZH33" s="684"/>
      <c r="OZI33" s="684"/>
      <c r="OZJ33" s="684"/>
      <c r="OZK33" s="684"/>
      <c r="OZL33" s="684"/>
      <c r="OZM33" s="684"/>
      <c r="OZN33" s="684"/>
      <c r="OZO33" s="684"/>
      <c r="OZP33" s="684"/>
      <c r="OZQ33" s="684"/>
      <c r="OZR33" s="684"/>
      <c r="OZS33" s="684"/>
      <c r="OZT33" s="684"/>
      <c r="OZU33" s="684"/>
      <c r="OZV33" s="684"/>
      <c r="OZW33" s="684"/>
      <c r="OZX33" s="684"/>
      <c r="OZY33" s="684"/>
      <c r="OZZ33" s="684"/>
      <c r="PAA33" s="684"/>
      <c r="PAB33" s="684"/>
      <c r="PAC33" s="684"/>
      <c r="PAD33" s="684"/>
      <c r="PAE33" s="684"/>
      <c r="PAF33" s="684"/>
      <c r="PAG33" s="684"/>
      <c r="PAH33" s="684"/>
      <c r="PAI33" s="684"/>
      <c r="PAJ33" s="684"/>
      <c r="PAK33" s="684"/>
      <c r="PAL33" s="684"/>
      <c r="PAM33" s="684"/>
      <c r="PAN33" s="684"/>
      <c r="PAO33" s="684"/>
      <c r="PAP33" s="684"/>
      <c r="PAQ33" s="684"/>
      <c r="PAR33" s="684"/>
      <c r="PAS33" s="684"/>
      <c r="PAT33" s="684"/>
      <c r="PAU33" s="684"/>
      <c r="PAV33" s="684"/>
      <c r="PAW33" s="684"/>
      <c r="PAX33" s="684"/>
      <c r="PAY33" s="684"/>
      <c r="PAZ33" s="684"/>
      <c r="PBA33" s="684"/>
      <c r="PBB33" s="684"/>
      <c r="PBC33" s="684"/>
      <c r="PBD33" s="684"/>
      <c r="PBE33" s="684"/>
      <c r="PBF33" s="684"/>
      <c r="PBG33" s="684"/>
      <c r="PBH33" s="684"/>
      <c r="PBI33" s="684"/>
      <c r="PBJ33" s="684"/>
      <c r="PBK33" s="684"/>
      <c r="PBL33" s="684"/>
      <c r="PBM33" s="684"/>
      <c r="PBN33" s="684"/>
      <c r="PBO33" s="684"/>
      <c r="PBP33" s="684"/>
      <c r="PBQ33" s="684"/>
      <c r="PBR33" s="684"/>
      <c r="PBS33" s="684"/>
      <c r="PBT33" s="684"/>
      <c r="PBU33" s="684"/>
      <c r="PBV33" s="684"/>
      <c r="PBW33" s="684"/>
      <c r="PBX33" s="684"/>
      <c r="PBY33" s="684"/>
      <c r="PBZ33" s="684"/>
      <c r="PCA33" s="684"/>
      <c r="PCB33" s="684"/>
      <c r="PCC33" s="684"/>
      <c r="PCD33" s="684"/>
      <c r="PCE33" s="684"/>
      <c r="PCF33" s="684"/>
      <c r="PCG33" s="684"/>
      <c r="PCH33" s="684"/>
      <c r="PCI33" s="684"/>
      <c r="PCJ33" s="684"/>
      <c r="PCK33" s="684"/>
      <c r="PCL33" s="684"/>
      <c r="PCM33" s="684"/>
      <c r="PCN33" s="684"/>
      <c r="PCO33" s="684"/>
      <c r="PCP33" s="684"/>
      <c r="PCQ33" s="684"/>
      <c r="PCR33" s="684"/>
      <c r="PCS33" s="684"/>
      <c r="PCT33" s="684"/>
      <c r="PCU33" s="684"/>
      <c r="PCV33" s="684"/>
      <c r="PCW33" s="684"/>
      <c r="PCX33" s="684"/>
      <c r="PCY33" s="684"/>
      <c r="PCZ33" s="684"/>
      <c r="PDA33" s="684"/>
      <c r="PDB33" s="684"/>
      <c r="PDC33" s="684"/>
      <c r="PDD33" s="684"/>
      <c r="PDE33" s="684"/>
      <c r="PDF33" s="684"/>
      <c r="PDG33" s="684"/>
      <c r="PDH33" s="684"/>
      <c r="PDI33" s="684"/>
      <c r="PDJ33" s="684"/>
      <c r="PDK33" s="684"/>
      <c r="PDL33" s="684"/>
      <c r="PDM33" s="684"/>
      <c r="PDN33" s="684"/>
      <c r="PDO33" s="684"/>
      <c r="PDP33" s="684"/>
      <c r="PDQ33" s="684"/>
      <c r="PDR33" s="684"/>
      <c r="PDS33" s="684"/>
      <c r="PDT33" s="684"/>
      <c r="PDU33" s="684"/>
      <c r="PDV33" s="684"/>
      <c r="PDW33" s="684"/>
      <c r="PDX33" s="684"/>
      <c r="PDY33" s="684"/>
      <c r="PDZ33" s="684"/>
      <c r="PEA33" s="684"/>
      <c r="PEB33" s="684"/>
      <c r="PEC33" s="684"/>
      <c r="PED33" s="684"/>
      <c r="PEE33" s="684"/>
      <c r="PEF33" s="684"/>
      <c r="PEG33" s="684"/>
      <c r="PEH33" s="684"/>
      <c r="PEI33" s="684"/>
      <c r="PEJ33" s="684"/>
      <c r="PEK33" s="684"/>
      <c r="PEL33" s="684"/>
      <c r="PEM33" s="684"/>
      <c r="PEN33" s="684"/>
      <c r="PEO33" s="684"/>
      <c r="PEP33" s="684"/>
      <c r="PEQ33" s="684"/>
      <c r="PER33" s="684"/>
      <c r="PES33" s="684"/>
      <c r="PET33" s="684"/>
      <c r="PEU33" s="684"/>
      <c r="PEV33" s="684"/>
      <c r="PEW33" s="684"/>
      <c r="PEX33" s="684"/>
      <c r="PEY33" s="684"/>
      <c r="PEZ33" s="684"/>
      <c r="PFA33" s="684"/>
      <c r="PFB33" s="684"/>
      <c r="PFC33" s="684"/>
      <c r="PFD33" s="684"/>
      <c r="PFE33" s="684"/>
      <c r="PFF33" s="684"/>
      <c r="PFG33" s="684"/>
      <c r="PFH33" s="684"/>
      <c r="PFI33" s="684"/>
      <c r="PFJ33" s="684"/>
      <c r="PFK33" s="684"/>
      <c r="PFL33" s="684"/>
      <c r="PFM33" s="684"/>
      <c r="PFN33" s="684"/>
      <c r="PFO33" s="684"/>
      <c r="PFP33" s="684"/>
      <c r="PFQ33" s="684"/>
      <c r="PFR33" s="684"/>
      <c r="PFS33" s="684"/>
      <c r="PFT33" s="684"/>
      <c r="PFU33" s="684"/>
      <c r="PFV33" s="684"/>
      <c r="PFW33" s="684"/>
      <c r="PFX33" s="684"/>
      <c r="PFY33" s="684"/>
      <c r="PFZ33" s="684"/>
      <c r="PGA33" s="684"/>
      <c r="PGB33" s="684"/>
      <c r="PGC33" s="684"/>
      <c r="PGD33" s="684"/>
      <c r="PGE33" s="684"/>
      <c r="PGF33" s="684"/>
      <c r="PGG33" s="684"/>
      <c r="PGH33" s="684"/>
      <c r="PGI33" s="684"/>
      <c r="PGJ33" s="684"/>
      <c r="PGK33" s="684"/>
      <c r="PGL33" s="684"/>
      <c r="PGM33" s="684"/>
      <c r="PGN33" s="684"/>
      <c r="PGO33" s="684"/>
      <c r="PGP33" s="684"/>
      <c r="PGQ33" s="684"/>
      <c r="PGR33" s="684"/>
      <c r="PGS33" s="684"/>
      <c r="PGT33" s="684"/>
      <c r="PGU33" s="684"/>
      <c r="PGV33" s="684"/>
      <c r="PGW33" s="684"/>
      <c r="PGX33" s="684"/>
      <c r="PGY33" s="684"/>
      <c r="PGZ33" s="684"/>
      <c r="PHA33" s="684"/>
      <c r="PHB33" s="684"/>
      <c r="PHC33" s="684"/>
      <c r="PHD33" s="684"/>
      <c r="PHE33" s="684"/>
      <c r="PHF33" s="684"/>
      <c r="PHG33" s="684"/>
      <c r="PHH33" s="684"/>
      <c r="PHI33" s="684"/>
      <c r="PHJ33" s="684"/>
      <c r="PHK33" s="684"/>
      <c r="PHL33" s="684"/>
      <c r="PHM33" s="684"/>
      <c r="PHN33" s="684"/>
      <c r="PHO33" s="684"/>
      <c r="PHP33" s="684"/>
      <c r="PHQ33" s="684"/>
      <c r="PHR33" s="684"/>
      <c r="PHS33" s="684"/>
      <c r="PHT33" s="684"/>
      <c r="PHU33" s="684"/>
      <c r="PHV33" s="684"/>
      <c r="PHW33" s="684"/>
      <c r="PHX33" s="684"/>
      <c r="PHY33" s="684"/>
      <c r="PHZ33" s="684"/>
      <c r="PIA33" s="684"/>
      <c r="PIB33" s="684"/>
      <c r="PIC33" s="684"/>
      <c r="PID33" s="684"/>
      <c r="PIE33" s="684"/>
      <c r="PIF33" s="684"/>
      <c r="PIG33" s="684"/>
      <c r="PIH33" s="684"/>
      <c r="PII33" s="684"/>
      <c r="PIJ33" s="684"/>
      <c r="PIK33" s="684"/>
      <c r="PIL33" s="684"/>
      <c r="PIM33" s="684"/>
      <c r="PIN33" s="684"/>
      <c r="PIO33" s="684"/>
      <c r="PIP33" s="684"/>
      <c r="PIQ33" s="684"/>
      <c r="PIR33" s="684"/>
      <c r="PIS33" s="684"/>
      <c r="PIT33" s="684"/>
      <c r="PIU33" s="684"/>
      <c r="PIV33" s="684"/>
      <c r="PIW33" s="684"/>
      <c r="PIX33" s="684"/>
      <c r="PIY33" s="684"/>
      <c r="PIZ33" s="684"/>
      <c r="PJA33" s="684"/>
      <c r="PJB33" s="684"/>
      <c r="PJC33" s="684"/>
      <c r="PJD33" s="684"/>
      <c r="PJE33" s="684"/>
      <c r="PJF33" s="684"/>
      <c r="PJG33" s="684"/>
      <c r="PJH33" s="684"/>
      <c r="PJI33" s="684"/>
      <c r="PJJ33" s="684"/>
      <c r="PJK33" s="684"/>
      <c r="PJL33" s="684"/>
      <c r="PJM33" s="684"/>
      <c r="PJN33" s="684"/>
      <c r="PJO33" s="684"/>
      <c r="PJP33" s="684"/>
      <c r="PJQ33" s="684"/>
      <c r="PJR33" s="684"/>
      <c r="PJS33" s="684"/>
      <c r="PJT33" s="684"/>
      <c r="PJU33" s="684"/>
      <c r="PJV33" s="684"/>
      <c r="PJW33" s="684"/>
      <c r="PJX33" s="684"/>
      <c r="PJY33" s="684"/>
      <c r="PJZ33" s="684"/>
      <c r="PKA33" s="684"/>
      <c r="PKB33" s="684"/>
      <c r="PKC33" s="684"/>
      <c r="PKD33" s="684"/>
      <c r="PKE33" s="684"/>
      <c r="PKF33" s="684"/>
      <c r="PKG33" s="684"/>
      <c r="PKH33" s="684"/>
      <c r="PKI33" s="684"/>
      <c r="PKJ33" s="684"/>
      <c r="PKK33" s="684"/>
      <c r="PKL33" s="684"/>
      <c r="PKM33" s="684"/>
      <c r="PKN33" s="684"/>
      <c r="PKO33" s="684"/>
      <c r="PKP33" s="684"/>
      <c r="PKQ33" s="684"/>
      <c r="PKR33" s="684"/>
      <c r="PKS33" s="684"/>
      <c r="PKT33" s="684"/>
      <c r="PKU33" s="684"/>
      <c r="PKV33" s="684"/>
      <c r="PKW33" s="684"/>
      <c r="PKX33" s="684"/>
      <c r="PKY33" s="684"/>
      <c r="PKZ33" s="684"/>
      <c r="PLA33" s="684"/>
      <c r="PLB33" s="684"/>
      <c r="PLC33" s="684"/>
      <c r="PLD33" s="684"/>
      <c r="PLE33" s="684"/>
      <c r="PLF33" s="684"/>
      <c r="PLG33" s="684"/>
      <c r="PLH33" s="684"/>
      <c r="PLI33" s="684"/>
      <c r="PLJ33" s="684"/>
      <c r="PLK33" s="684"/>
      <c r="PLL33" s="684"/>
      <c r="PLM33" s="684"/>
      <c r="PLN33" s="684"/>
      <c r="PLO33" s="684"/>
      <c r="PLP33" s="684"/>
      <c r="PLQ33" s="684"/>
      <c r="PLR33" s="684"/>
      <c r="PLS33" s="684"/>
      <c r="PLT33" s="684"/>
      <c r="PLU33" s="684"/>
      <c r="PLV33" s="684"/>
      <c r="PLW33" s="684"/>
      <c r="PLX33" s="684"/>
      <c r="PLY33" s="684"/>
      <c r="PLZ33" s="684"/>
      <c r="PMA33" s="684"/>
      <c r="PMB33" s="684"/>
      <c r="PMC33" s="684"/>
      <c r="PMD33" s="684"/>
      <c r="PME33" s="684"/>
      <c r="PMF33" s="684"/>
      <c r="PMG33" s="684"/>
      <c r="PMH33" s="684"/>
      <c r="PMI33" s="684"/>
      <c r="PMJ33" s="684"/>
      <c r="PMK33" s="684"/>
      <c r="PML33" s="684"/>
      <c r="PMM33" s="684"/>
      <c r="PMN33" s="684"/>
      <c r="PMO33" s="684"/>
      <c r="PMP33" s="684"/>
      <c r="PMQ33" s="684"/>
      <c r="PMR33" s="684"/>
      <c r="PMS33" s="684"/>
      <c r="PMT33" s="684"/>
      <c r="PMU33" s="684"/>
      <c r="PMV33" s="684"/>
      <c r="PMW33" s="684"/>
      <c r="PMX33" s="684"/>
      <c r="PMY33" s="684"/>
      <c r="PMZ33" s="684"/>
      <c r="PNA33" s="684"/>
      <c r="PNB33" s="684"/>
      <c r="PNC33" s="684"/>
      <c r="PND33" s="684"/>
      <c r="PNE33" s="684"/>
      <c r="PNF33" s="684"/>
      <c r="PNG33" s="684"/>
      <c r="PNH33" s="684"/>
      <c r="PNI33" s="684"/>
      <c r="PNJ33" s="684"/>
      <c r="PNK33" s="684"/>
      <c r="PNL33" s="684"/>
      <c r="PNM33" s="684"/>
      <c r="PNN33" s="684"/>
      <c r="PNO33" s="684"/>
      <c r="PNP33" s="684"/>
      <c r="PNQ33" s="684"/>
      <c r="PNR33" s="684"/>
      <c r="PNS33" s="684"/>
      <c r="PNT33" s="684"/>
      <c r="PNU33" s="684"/>
      <c r="PNV33" s="684"/>
      <c r="PNW33" s="684"/>
      <c r="PNX33" s="684"/>
      <c r="PNY33" s="684"/>
      <c r="PNZ33" s="684"/>
      <c r="POA33" s="684"/>
      <c r="POB33" s="684"/>
      <c r="POC33" s="684"/>
      <c r="POD33" s="684"/>
      <c r="POE33" s="684"/>
      <c r="POF33" s="684"/>
      <c r="POG33" s="684"/>
      <c r="POH33" s="684"/>
      <c r="POI33" s="684"/>
      <c r="POJ33" s="684"/>
      <c r="POK33" s="684"/>
      <c r="POL33" s="684"/>
      <c r="POM33" s="684"/>
      <c r="PON33" s="684"/>
      <c r="POO33" s="684"/>
      <c r="POP33" s="684"/>
      <c r="POQ33" s="684"/>
      <c r="POR33" s="684"/>
      <c r="POS33" s="684"/>
      <c r="POT33" s="684"/>
      <c r="POU33" s="684"/>
      <c r="POV33" s="684"/>
      <c r="POW33" s="684"/>
      <c r="POX33" s="684"/>
      <c r="POY33" s="684"/>
      <c r="POZ33" s="684"/>
      <c r="PPA33" s="684"/>
      <c r="PPB33" s="684"/>
      <c r="PPC33" s="684"/>
      <c r="PPD33" s="684"/>
      <c r="PPE33" s="684"/>
      <c r="PPF33" s="684"/>
      <c r="PPG33" s="684"/>
      <c r="PPH33" s="684"/>
      <c r="PPI33" s="684"/>
      <c r="PPJ33" s="684"/>
      <c r="PPK33" s="684"/>
      <c r="PPL33" s="684"/>
      <c r="PPM33" s="684"/>
      <c r="PPN33" s="684"/>
      <c r="PPO33" s="684"/>
      <c r="PPP33" s="684"/>
      <c r="PPQ33" s="684"/>
      <c r="PPR33" s="684"/>
      <c r="PPS33" s="684"/>
      <c r="PPT33" s="684"/>
      <c r="PPU33" s="684"/>
      <c r="PPV33" s="684"/>
      <c r="PPW33" s="684"/>
      <c r="PPX33" s="684"/>
      <c r="PPY33" s="684"/>
      <c r="PPZ33" s="684"/>
      <c r="PQA33" s="684"/>
      <c r="PQB33" s="684"/>
      <c r="PQC33" s="684"/>
      <c r="PQD33" s="684"/>
      <c r="PQE33" s="684"/>
      <c r="PQF33" s="684"/>
      <c r="PQG33" s="684"/>
      <c r="PQH33" s="684"/>
      <c r="PQI33" s="684"/>
      <c r="PQJ33" s="684"/>
      <c r="PQK33" s="684"/>
      <c r="PQL33" s="684"/>
      <c r="PQM33" s="684"/>
      <c r="PQN33" s="684"/>
      <c r="PQO33" s="684"/>
      <c r="PQP33" s="684"/>
      <c r="PQQ33" s="684"/>
      <c r="PQR33" s="684"/>
      <c r="PQS33" s="684"/>
      <c r="PQT33" s="684"/>
      <c r="PQU33" s="684"/>
      <c r="PQV33" s="684"/>
      <c r="PQW33" s="684"/>
      <c r="PQX33" s="684"/>
      <c r="PQY33" s="684"/>
      <c r="PQZ33" s="684"/>
      <c r="PRA33" s="684"/>
      <c r="PRB33" s="684"/>
      <c r="PRC33" s="684"/>
      <c r="PRD33" s="684"/>
      <c r="PRE33" s="684"/>
      <c r="PRF33" s="684"/>
      <c r="PRG33" s="684"/>
      <c r="PRH33" s="684"/>
      <c r="PRI33" s="684"/>
      <c r="PRJ33" s="684"/>
      <c r="PRK33" s="684"/>
      <c r="PRL33" s="684"/>
      <c r="PRM33" s="684"/>
      <c r="PRN33" s="684"/>
      <c r="PRO33" s="684"/>
      <c r="PRP33" s="684"/>
      <c r="PRQ33" s="684"/>
      <c r="PRR33" s="684"/>
      <c r="PRS33" s="684"/>
      <c r="PRT33" s="684"/>
      <c r="PRU33" s="684"/>
      <c r="PRV33" s="684"/>
      <c r="PRW33" s="684"/>
      <c r="PRX33" s="684"/>
      <c r="PRY33" s="684"/>
      <c r="PRZ33" s="684"/>
      <c r="PSA33" s="684"/>
      <c r="PSB33" s="684"/>
      <c r="PSC33" s="684"/>
      <c r="PSD33" s="684"/>
      <c r="PSE33" s="684"/>
      <c r="PSF33" s="684"/>
      <c r="PSG33" s="684"/>
      <c r="PSH33" s="684"/>
      <c r="PSI33" s="684"/>
      <c r="PSJ33" s="684"/>
      <c r="PSK33" s="684"/>
      <c r="PSL33" s="684"/>
      <c r="PSM33" s="684"/>
      <c r="PSN33" s="684"/>
      <c r="PSO33" s="684"/>
      <c r="PSP33" s="684"/>
      <c r="PSQ33" s="684"/>
      <c r="PSR33" s="684"/>
      <c r="PSS33" s="684"/>
      <c r="PST33" s="684"/>
      <c r="PSU33" s="684"/>
      <c r="PSV33" s="684"/>
      <c r="PSW33" s="684"/>
      <c r="PSX33" s="684"/>
      <c r="PSY33" s="684"/>
      <c r="PSZ33" s="684"/>
      <c r="PTA33" s="684"/>
      <c r="PTB33" s="684"/>
      <c r="PTC33" s="684"/>
      <c r="PTD33" s="684"/>
      <c r="PTE33" s="684"/>
      <c r="PTF33" s="684"/>
      <c r="PTG33" s="684"/>
      <c r="PTH33" s="684"/>
      <c r="PTI33" s="684"/>
      <c r="PTJ33" s="684"/>
      <c r="PTK33" s="684"/>
      <c r="PTL33" s="684"/>
      <c r="PTM33" s="684"/>
      <c r="PTN33" s="684"/>
      <c r="PTO33" s="684"/>
      <c r="PTP33" s="684"/>
      <c r="PTQ33" s="684"/>
      <c r="PTR33" s="684"/>
      <c r="PTS33" s="684"/>
      <c r="PTT33" s="684"/>
      <c r="PTU33" s="684"/>
      <c r="PTV33" s="684"/>
      <c r="PTW33" s="684"/>
      <c r="PTX33" s="684"/>
      <c r="PTY33" s="684"/>
      <c r="PTZ33" s="684"/>
      <c r="PUA33" s="684"/>
      <c r="PUB33" s="684"/>
      <c r="PUC33" s="684"/>
      <c r="PUD33" s="684"/>
      <c r="PUE33" s="684"/>
      <c r="PUF33" s="684"/>
      <c r="PUG33" s="684"/>
      <c r="PUH33" s="684"/>
      <c r="PUI33" s="684"/>
      <c r="PUJ33" s="684"/>
      <c r="PUK33" s="684"/>
      <c r="PUL33" s="684"/>
      <c r="PUM33" s="684"/>
      <c r="PUN33" s="684"/>
      <c r="PUO33" s="684"/>
      <c r="PUP33" s="684"/>
      <c r="PUQ33" s="684"/>
      <c r="PUR33" s="684"/>
      <c r="PUS33" s="684"/>
      <c r="PUT33" s="684"/>
      <c r="PUU33" s="684"/>
      <c r="PUV33" s="684"/>
      <c r="PUW33" s="684"/>
      <c r="PUX33" s="684"/>
      <c r="PUY33" s="684"/>
      <c r="PUZ33" s="684"/>
      <c r="PVA33" s="684"/>
      <c r="PVB33" s="684"/>
      <c r="PVC33" s="684"/>
      <c r="PVD33" s="684"/>
      <c r="PVE33" s="684"/>
      <c r="PVF33" s="684"/>
      <c r="PVG33" s="684"/>
      <c r="PVH33" s="684"/>
      <c r="PVI33" s="684"/>
      <c r="PVJ33" s="684"/>
      <c r="PVK33" s="684"/>
      <c r="PVL33" s="684"/>
      <c r="PVM33" s="684"/>
      <c r="PVN33" s="684"/>
      <c r="PVO33" s="684"/>
      <c r="PVP33" s="684"/>
      <c r="PVQ33" s="684"/>
      <c r="PVR33" s="684"/>
      <c r="PVS33" s="684"/>
      <c r="PVT33" s="684"/>
      <c r="PVU33" s="684"/>
      <c r="PVV33" s="684"/>
      <c r="PVW33" s="684"/>
      <c r="PVX33" s="684"/>
      <c r="PVY33" s="684"/>
      <c r="PVZ33" s="684"/>
      <c r="PWA33" s="684"/>
      <c r="PWB33" s="684"/>
      <c r="PWC33" s="684"/>
      <c r="PWD33" s="684"/>
      <c r="PWE33" s="684"/>
      <c r="PWF33" s="684"/>
      <c r="PWG33" s="684"/>
      <c r="PWH33" s="684"/>
      <c r="PWI33" s="684"/>
      <c r="PWJ33" s="684"/>
      <c r="PWK33" s="684"/>
      <c r="PWL33" s="684"/>
      <c r="PWM33" s="684"/>
      <c r="PWN33" s="684"/>
      <c r="PWO33" s="684"/>
      <c r="PWP33" s="684"/>
      <c r="PWQ33" s="684"/>
      <c r="PWR33" s="684"/>
      <c r="PWS33" s="684"/>
      <c r="PWT33" s="684"/>
      <c r="PWU33" s="684"/>
      <c r="PWV33" s="684"/>
      <c r="PWW33" s="684"/>
      <c r="PWX33" s="684"/>
      <c r="PWY33" s="684"/>
      <c r="PWZ33" s="684"/>
      <c r="PXA33" s="684"/>
      <c r="PXB33" s="684"/>
      <c r="PXC33" s="684"/>
      <c r="PXD33" s="684"/>
      <c r="PXE33" s="684"/>
      <c r="PXF33" s="684"/>
      <c r="PXG33" s="684"/>
      <c r="PXH33" s="684"/>
      <c r="PXI33" s="684"/>
      <c r="PXJ33" s="684"/>
      <c r="PXK33" s="684"/>
      <c r="PXL33" s="684"/>
      <c r="PXM33" s="684"/>
      <c r="PXN33" s="684"/>
      <c r="PXO33" s="684"/>
      <c r="PXP33" s="684"/>
      <c r="PXQ33" s="684"/>
      <c r="PXR33" s="684"/>
      <c r="PXS33" s="684"/>
      <c r="PXT33" s="684"/>
      <c r="PXU33" s="684"/>
      <c r="PXV33" s="684"/>
      <c r="PXW33" s="684"/>
      <c r="PXX33" s="684"/>
      <c r="PXY33" s="684"/>
      <c r="PXZ33" s="684"/>
      <c r="PYA33" s="684"/>
      <c r="PYB33" s="684"/>
      <c r="PYC33" s="684"/>
      <c r="PYD33" s="684"/>
      <c r="PYE33" s="684"/>
      <c r="PYF33" s="684"/>
      <c r="PYG33" s="684"/>
      <c r="PYH33" s="684"/>
      <c r="PYI33" s="684"/>
      <c r="PYJ33" s="684"/>
      <c r="PYK33" s="684"/>
      <c r="PYL33" s="684"/>
      <c r="PYM33" s="684"/>
      <c r="PYN33" s="684"/>
      <c r="PYO33" s="684"/>
      <c r="PYP33" s="684"/>
      <c r="PYQ33" s="684"/>
      <c r="PYR33" s="684"/>
      <c r="PYS33" s="684"/>
      <c r="PYT33" s="684"/>
      <c r="PYU33" s="684"/>
      <c r="PYV33" s="684"/>
      <c r="PYW33" s="684"/>
      <c r="PYX33" s="684"/>
      <c r="PYY33" s="684"/>
      <c r="PYZ33" s="684"/>
      <c r="PZA33" s="684"/>
      <c r="PZB33" s="684"/>
      <c r="PZC33" s="684"/>
      <c r="PZD33" s="684"/>
      <c r="PZE33" s="684"/>
      <c r="PZF33" s="684"/>
      <c r="PZG33" s="684"/>
      <c r="PZH33" s="684"/>
      <c r="PZI33" s="684"/>
      <c r="PZJ33" s="684"/>
      <c r="PZK33" s="684"/>
      <c r="PZL33" s="684"/>
      <c r="PZM33" s="684"/>
      <c r="PZN33" s="684"/>
      <c r="PZO33" s="684"/>
      <c r="PZP33" s="684"/>
      <c r="PZQ33" s="684"/>
      <c r="PZR33" s="684"/>
      <c r="PZS33" s="684"/>
      <c r="PZT33" s="684"/>
      <c r="PZU33" s="684"/>
      <c r="PZV33" s="684"/>
      <c r="PZW33" s="684"/>
      <c r="PZX33" s="684"/>
      <c r="PZY33" s="684"/>
      <c r="PZZ33" s="684"/>
      <c r="QAA33" s="684"/>
      <c r="QAB33" s="684"/>
      <c r="QAC33" s="684"/>
      <c r="QAD33" s="684"/>
      <c r="QAE33" s="684"/>
      <c r="QAF33" s="684"/>
      <c r="QAG33" s="684"/>
      <c r="QAH33" s="684"/>
      <c r="QAI33" s="684"/>
      <c r="QAJ33" s="684"/>
      <c r="QAK33" s="684"/>
      <c r="QAL33" s="684"/>
      <c r="QAM33" s="684"/>
      <c r="QAN33" s="684"/>
      <c r="QAO33" s="684"/>
      <c r="QAP33" s="684"/>
      <c r="QAQ33" s="684"/>
      <c r="QAR33" s="684"/>
      <c r="QAS33" s="684"/>
      <c r="QAT33" s="684"/>
      <c r="QAU33" s="684"/>
      <c r="QAV33" s="684"/>
      <c r="QAW33" s="684"/>
      <c r="QAX33" s="684"/>
      <c r="QAY33" s="684"/>
      <c r="QAZ33" s="684"/>
      <c r="QBA33" s="684"/>
      <c r="QBB33" s="684"/>
      <c r="QBC33" s="684"/>
      <c r="QBD33" s="684"/>
      <c r="QBE33" s="684"/>
      <c r="QBF33" s="684"/>
      <c r="QBG33" s="684"/>
      <c r="QBH33" s="684"/>
      <c r="QBI33" s="684"/>
      <c r="QBJ33" s="684"/>
      <c r="QBK33" s="684"/>
      <c r="QBL33" s="684"/>
      <c r="QBM33" s="684"/>
      <c r="QBN33" s="684"/>
      <c r="QBO33" s="684"/>
      <c r="QBP33" s="684"/>
      <c r="QBQ33" s="684"/>
      <c r="QBR33" s="684"/>
      <c r="QBS33" s="684"/>
      <c r="QBT33" s="684"/>
      <c r="QBU33" s="684"/>
      <c r="QBV33" s="684"/>
      <c r="QBW33" s="684"/>
      <c r="QBX33" s="684"/>
      <c r="QBY33" s="684"/>
      <c r="QBZ33" s="684"/>
      <c r="QCA33" s="684"/>
      <c r="QCB33" s="684"/>
      <c r="QCC33" s="684"/>
      <c r="QCD33" s="684"/>
      <c r="QCE33" s="684"/>
      <c r="QCF33" s="684"/>
      <c r="QCG33" s="684"/>
      <c r="QCH33" s="684"/>
      <c r="QCI33" s="684"/>
      <c r="QCJ33" s="684"/>
      <c r="QCK33" s="684"/>
      <c r="QCL33" s="684"/>
      <c r="QCM33" s="684"/>
      <c r="QCN33" s="684"/>
      <c r="QCO33" s="684"/>
      <c r="QCP33" s="684"/>
      <c r="QCQ33" s="684"/>
      <c r="QCR33" s="684"/>
      <c r="QCS33" s="684"/>
      <c r="QCT33" s="684"/>
      <c r="QCU33" s="684"/>
      <c r="QCV33" s="684"/>
      <c r="QCW33" s="684"/>
      <c r="QCX33" s="684"/>
      <c r="QCY33" s="684"/>
      <c r="QCZ33" s="684"/>
      <c r="QDA33" s="684"/>
      <c r="QDB33" s="684"/>
      <c r="QDC33" s="684"/>
      <c r="QDD33" s="684"/>
      <c r="QDE33" s="684"/>
      <c r="QDF33" s="684"/>
      <c r="QDG33" s="684"/>
      <c r="QDH33" s="684"/>
      <c r="QDI33" s="684"/>
      <c r="QDJ33" s="684"/>
      <c r="QDK33" s="684"/>
      <c r="QDL33" s="684"/>
      <c r="QDM33" s="684"/>
      <c r="QDN33" s="684"/>
      <c r="QDO33" s="684"/>
      <c r="QDP33" s="684"/>
      <c r="QDQ33" s="684"/>
      <c r="QDR33" s="684"/>
      <c r="QDS33" s="684"/>
      <c r="QDT33" s="684"/>
      <c r="QDU33" s="684"/>
      <c r="QDV33" s="684"/>
      <c r="QDW33" s="684"/>
      <c r="QDX33" s="684"/>
      <c r="QDY33" s="684"/>
      <c r="QDZ33" s="684"/>
      <c r="QEA33" s="684"/>
      <c r="QEB33" s="684"/>
      <c r="QEC33" s="684"/>
      <c r="QED33" s="684"/>
      <c r="QEE33" s="684"/>
      <c r="QEF33" s="684"/>
      <c r="QEG33" s="684"/>
      <c r="QEH33" s="684"/>
      <c r="QEI33" s="684"/>
      <c r="QEJ33" s="684"/>
      <c r="QEK33" s="684"/>
      <c r="QEL33" s="684"/>
      <c r="QEM33" s="684"/>
      <c r="QEN33" s="684"/>
      <c r="QEO33" s="684"/>
      <c r="QEP33" s="684"/>
      <c r="QEQ33" s="684"/>
      <c r="QER33" s="684"/>
      <c r="QES33" s="684"/>
      <c r="QET33" s="684"/>
      <c r="QEU33" s="684"/>
      <c r="QEV33" s="684"/>
      <c r="QEW33" s="684"/>
      <c r="QEX33" s="684"/>
      <c r="QEY33" s="684"/>
      <c r="QEZ33" s="684"/>
      <c r="QFA33" s="684"/>
      <c r="QFB33" s="684"/>
      <c r="QFC33" s="684"/>
      <c r="QFD33" s="684"/>
      <c r="QFE33" s="684"/>
      <c r="QFF33" s="684"/>
      <c r="QFG33" s="684"/>
      <c r="QFH33" s="684"/>
      <c r="QFI33" s="684"/>
      <c r="QFJ33" s="684"/>
      <c r="QFK33" s="684"/>
      <c r="QFL33" s="684"/>
      <c r="QFM33" s="684"/>
      <c r="QFN33" s="684"/>
      <c r="QFO33" s="684"/>
      <c r="QFP33" s="684"/>
      <c r="QFQ33" s="684"/>
      <c r="QFR33" s="684"/>
      <c r="QFS33" s="684"/>
      <c r="QFT33" s="684"/>
      <c r="QFU33" s="684"/>
      <c r="QFV33" s="684"/>
      <c r="QFW33" s="684"/>
      <c r="QFX33" s="684"/>
      <c r="QFY33" s="684"/>
      <c r="QFZ33" s="684"/>
      <c r="QGA33" s="684"/>
      <c r="QGB33" s="684"/>
      <c r="QGC33" s="684"/>
      <c r="QGD33" s="684"/>
      <c r="QGE33" s="684"/>
      <c r="QGF33" s="684"/>
      <c r="QGG33" s="684"/>
      <c r="QGH33" s="684"/>
      <c r="QGI33" s="684"/>
      <c r="QGJ33" s="684"/>
      <c r="QGK33" s="684"/>
      <c r="QGL33" s="684"/>
      <c r="QGM33" s="684"/>
      <c r="QGN33" s="684"/>
      <c r="QGO33" s="684"/>
      <c r="QGP33" s="684"/>
      <c r="QGQ33" s="684"/>
      <c r="QGR33" s="684"/>
      <c r="QGS33" s="684"/>
      <c r="QGT33" s="684"/>
      <c r="QGU33" s="684"/>
      <c r="QGV33" s="684"/>
      <c r="QGW33" s="684"/>
      <c r="QGX33" s="684"/>
      <c r="QGY33" s="684"/>
      <c r="QGZ33" s="684"/>
      <c r="QHA33" s="684"/>
      <c r="QHB33" s="684"/>
      <c r="QHC33" s="684"/>
      <c r="QHD33" s="684"/>
      <c r="QHE33" s="684"/>
      <c r="QHF33" s="684"/>
      <c r="QHG33" s="684"/>
      <c r="QHH33" s="684"/>
      <c r="QHI33" s="684"/>
      <c r="QHJ33" s="684"/>
      <c r="QHK33" s="684"/>
      <c r="QHL33" s="684"/>
      <c r="QHM33" s="684"/>
      <c r="QHN33" s="684"/>
      <c r="QHO33" s="684"/>
      <c r="QHP33" s="684"/>
      <c r="QHQ33" s="684"/>
      <c r="QHR33" s="684"/>
      <c r="QHS33" s="684"/>
      <c r="QHT33" s="684"/>
      <c r="QHU33" s="684"/>
      <c r="QHV33" s="684"/>
      <c r="QHW33" s="684"/>
      <c r="QHX33" s="684"/>
      <c r="QHY33" s="684"/>
      <c r="QHZ33" s="684"/>
      <c r="QIA33" s="684"/>
      <c r="QIB33" s="684"/>
      <c r="QIC33" s="684"/>
      <c r="QID33" s="684"/>
      <c r="QIE33" s="684"/>
      <c r="QIF33" s="684"/>
      <c r="QIG33" s="684"/>
      <c r="QIH33" s="684"/>
      <c r="QII33" s="684"/>
      <c r="QIJ33" s="684"/>
      <c r="QIK33" s="684"/>
      <c r="QIL33" s="684"/>
      <c r="QIM33" s="684"/>
      <c r="QIN33" s="684"/>
      <c r="QIO33" s="684"/>
      <c r="QIP33" s="684"/>
      <c r="QIQ33" s="684"/>
      <c r="QIR33" s="684"/>
      <c r="QIS33" s="684"/>
      <c r="QIT33" s="684"/>
      <c r="QIU33" s="684"/>
      <c r="QIV33" s="684"/>
      <c r="QIW33" s="684"/>
      <c r="QIX33" s="684"/>
      <c r="QIY33" s="684"/>
      <c r="QIZ33" s="684"/>
      <c r="QJA33" s="684"/>
      <c r="QJB33" s="684"/>
      <c r="QJC33" s="684"/>
      <c r="QJD33" s="684"/>
      <c r="QJE33" s="684"/>
      <c r="QJF33" s="684"/>
      <c r="QJG33" s="684"/>
      <c r="QJH33" s="684"/>
      <c r="QJI33" s="684"/>
      <c r="QJJ33" s="684"/>
      <c r="QJK33" s="684"/>
      <c r="QJL33" s="684"/>
      <c r="QJM33" s="684"/>
      <c r="QJN33" s="684"/>
      <c r="QJO33" s="684"/>
      <c r="QJP33" s="684"/>
      <c r="QJQ33" s="684"/>
      <c r="QJR33" s="684"/>
      <c r="QJS33" s="684"/>
      <c r="QJT33" s="684"/>
      <c r="QJU33" s="684"/>
      <c r="QJV33" s="684"/>
      <c r="QJW33" s="684"/>
      <c r="QJX33" s="684"/>
      <c r="QJY33" s="684"/>
      <c r="QJZ33" s="684"/>
      <c r="QKA33" s="684"/>
      <c r="QKB33" s="684"/>
      <c r="QKC33" s="684"/>
      <c r="QKD33" s="684"/>
      <c r="QKE33" s="684"/>
      <c r="QKF33" s="684"/>
      <c r="QKG33" s="684"/>
      <c r="QKH33" s="684"/>
      <c r="QKI33" s="684"/>
      <c r="QKJ33" s="684"/>
      <c r="QKK33" s="684"/>
      <c r="QKL33" s="684"/>
      <c r="QKM33" s="684"/>
      <c r="QKN33" s="684"/>
      <c r="QKO33" s="684"/>
      <c r="QKP33" s="684"/>
      <c r="QKQ33" s="684"/>
      <c r="QKR33" s="684"/>
      <c r="QKS33" s="684"/>
      <c r="QKT33" s="684"/>
      <c r="QKU33" s="684"/>
      <c r="QKV33" s="684"/>
      <c r="QKW33" s="684"/>
      <c r="QKX33" s="684"/>
      <c r="QKY33" s="684"/>
      <c r="QKZ33" s="684"/>
      <c r="QLA33" s="684"/>
      <c r="QLB33" s="684"/>
      <c r="QLC33" s="684"/>
      <c r="QLD33" s="684"/>
      <c r="QLE33" s="684"/>
      <c r="QLF33" s="684"/>
      <c r="QLG33" s="684"/>
      <c r="QLH33" s="684"/>
      <c r="QLI33" s="684"/>
      <c r="QLJ33" s="684"/>
      <c r="QLK33" s="684"/>
      <c r="QLL33" s="684"/>
      <c r="QLM33" s="684"/>
      <c r="QLN33" s="684"/>
      <c r="QLO33" s="684"/>
      <c r="QLP33" s="684"/>
      <c r="QLQ33" s="684"/>
      <c r="QLR33" s="684"/>
      <c r="QLS33" s="684"/>
      <c r="QLT33" s="684"/>
      <c r="QLU33" s="684"/>
      <c r="QLV33" s="684"/>
      <c r="QLW33" s="684"/>
      <c r="QLX33" s="684"/>
      <c r="QLY33" s="684"/>
      <c r="QLZ33" s="684"/>
      <c r="QMA33" s="684"/>
      <c r="QMB33" s="684"/>
      <c r="QMC33" s="684"/>
      <c r="QMD33" s="684"/>
      <c r="QME33" s="684"/>
      <c r="QMF33" s="684"/>
      <c r="QMG33" s="684"/>
      <c r="QMH33" s="684"/>
      <c r="QMI33" s="684"/>
      <c r="QMJ33" s="684"/>
      <c r="QMK33" s="684"/>
      <c r="QML33" s="684"/>
      <c r="QMM33" s="684"/>
      <c r="QMN33" s="684"/>
      <c r="QMO33" s="684"/>
      <c r="QMP33" s="684"/>
      <c r="QMQ33" s="684"/>
      <c r="QMR33" s="684"/>
      <c r="QMS33" s="684"/>
      <c r="QMT33" s="684"/>
      <c r="QMU33" s="684"/>
      <c r="QMV33" s="684"/>
      <c r="QMW33" s="684"/>
      <c r="QMX33" s="684"/>
      <c r="QMY33" s="684"/>
      <c r="QMZ33" s="684"/>
      <c r="QNA33" s="684"/>
      <c r="QNB33" s="684"/>
      <c r="QNC33" s="684"/>
      <c r="QND33" s="684"/>
      <c r="QNE33" s="684"/>
      <c r="QNF33" s="684"/>
      <c r="QNG33" s="684"/>
      <c r="QNH33" s="684"/>
      <c r="QNI33" s="684"/>
      <c r="QNJ33" s="684"/>
      <c r="QNK33" s="684"/>
      <c r="QNL33" s="684"/>
      <c r="QNM33" s="684"/>
      <c r="QNN33" s="684"/>
      <c r="QNO33" s="684"/>
      <c r="QNP33" s="684"/>
      <c r="QNQ33" s="684"/>
      <c r="QNR33" s="684"/>
      <c r="QNS33" s="684"/>
      <c r="QNT33" s="684"/>
      <c r="QNU33" s="684"/>
      <c r="QNV33" s="684"/>
      <c r="QNW33" s="684"/>
      <c r="QNX33" s="684"/>
      <c r="QNY33" s="684"/>
      <c r="QNZ33" s="684"/>
      <c r="QOA33" s="684"/>
      <c r="QOB33" s="684"/>
      <c r="QOC33" s="684"/>
      <c r="QOD33" s="684"/>
      <c r="QOE33" s="684"/>
      <c r="QOF33" s="684"/>
      <c r="QOG33" s="684"/>
      <c r="QOH33" s="684"/>
      <c r="QOI33" s="684"/>
      <c r="QOJ33" s="684"/>
      <c r="QOK33" s="684"/>
      <c r="QOL33" s="684"/>
      <c r="QOM33" s="684"/>
      <c r="QON33" s="684"/>
      <c r="QOO33" s="684"/>
      <c r="QOP33" s="684"/>
      <c r="QOQ33" s="684"/>
      <c r="QOR33" s="684"/>
      <c r="QOS33" s="684"/>
      <c r="QOT33" s="684"/>
      <c r="QOU33" s="684"/>
      <c r="QOV33" s="684"/>
      <c r="QOW33" s="684"/>
      <c r="QOX33" s="684"/>
      <c r="QOY33" s="684"/>
      <c r="QOZ33" s="684"/>
      <c r="QPA33" s="684"/>
      <c r="QPB33" s="684"/>
      <c r="QPC33" s="684"/>
      <c r="QPD33" s="684"/>
      <c r="QPE33" s="684"/>
      <c r="QPF33" s="684"/>
      <c r="QPG33" s="684"/>
      <c r="QPH33" s="684"/>
      <c r="QPI33" s="684"/>
      <c r="QPJ33" s="684"/>
      <c r="QPK33" s="684"/>
      <c r="QPL33" s="684"/>
      <c r="QPM33" s="684"/>
      <c r="QPN33" s="684"/>
      <c r="QPO33" s="684"/>
      <c r="QPP33" s="684"/>
      <c r="QPQ33" s="684"/>
      <c r="QPR33" s="684"/>
      <c r="QPS33" s="684"/>
      <c r="QPT33" s="684"/>
      <c r="QPU33" s="684"/>
      <c r="QPV33" s="684"/>
      <c r="QPW33" s="684"/>
      <c r="QPX33" s="684"/>
      <c r="QPY33" s="684"/>
      <c r="QPZ33" s="684"/>
      <c r="QQA33" s="684"/>
      <c r="QQB33" s="684"/>
      <c r="QQC33" s="684"/>
      <c r="QQD33" s="684"/>
      <c r="QQE33" s="684"/>
      <c r="QQF33" s="684"/>
      <c r="QQG33" s="684"/>
      <c r="QQH33" s="684"/>
      <c r="QQI33" s="684"/>
      <c r="QQJ33" s="684"/>
      <c r="QQK33" s="684"/>
      <c r="QQL33" s="684"/>
      <c r="QQM33" s="684"/>
      <c r="QQN33" s="684"/>
      <c r="QQO33" s="684"/>
      <c r="QQP33" s="684"/>
      <c r="QQQ33" s="684"/>
      <c r="QQR33" s="684"/>
      <c r="QQS33" s="684"/>
      <c r="QQT33" s="684"/>
      <c r="QQU33" s="684"/>
      <c r="QQV33" s="684"/>
      <c r="QQW33" s="684"/>
      <c r="QQX33" s="684"/>
      <c r="QQY33" s="684"/>
      <c r="QQZ33" s="684"/>
      <c r="QRA33" s="684"/>
      <c r="QRB33" s="684"/>
      <c r="QRC33" s="684"/>
      <c r="QRD33" s="684"/>
      <c r="QRE33" s="684"/>
      <c r="QRF33" s="684"/>
      <c r="QRG33" s="684"/>
      <c r="QRH33" s="684"/>
      <c r="QRI33" s="684"/>
      <c r="QRJ33" s="684"/>
      <c r="QRK33" s="684"/>
      <c r="QRL33" s="684"/>
      <c r="QRM33" s="684"/>
      <c r="QRN33" s="684"/>
      <c r="QRO33" s="684"/>
      <c r="QRP33" s="684"/>
      <c r="QRQ33" s="684"/>
      <c r="QRR33" s="684"/>
      <c r="QRS33" s="684"/>
      <c r="QRT33" s="684"/>
      <c r="QRU33" s="684"/>
      <c r="QRV33" s="684"/>
      <c r="QRW33" s="684"/>
      <c r="QRX33" s="684"/>
      <c r="QRY33" s="684"/>
      <c r="QRZ33" s="684"/>
      <c r="QSA33" s="684"/>
      <c r="QSB33" s="684"/>
      <c r="QSC33" s="684"/>
      <c r="QSD33" s="684"/>
      <c r="QSE33" s="684"/>
      <c r="QSF33" s="684"/>
      <c r="QSG33" s="684"/>
      <c r="QSH33" s="684"/>
      <c r="QSI33" s="684"/>
      <c r="QSJ33" s="684"/>
      <c r="QSK33" s="684"/>
      <c r="QSL33" s="684"/>
      <c r="QSM33" s="684"/>
      <c r="QSN33" s="684"/>
      <c r="QSO33" s="684"/>
      <c r="QSP33" s="684"/>
      <c r="QSQ33" s="684"/>
      <c r="QSR33" s="684"/>
      <c r="QSS33" s="684"/>
      <c r="QST33" s="684"/>
      <c r="QSU33" s="684"/>
      <c r="QSV33" s="684"/>
      <c r="QSW33" s="684"/>
      <c r="QSX33" s="684"/>
      <c r="QSY33" s="684"/>
      <c r="QSZ33" s="684"/>
      <c r="QTA33" s="684"/>
      <c r="QTB33" s="684"/>
      <c r="QTC33" s="684"/>
      <c r="QTD33" s="684"/>
      <c r="QTE33" s="684"/>
      <c r="QTF33" s="684"/>
      <c r="QTG33" s="684"/>
      <c r="QTH33" s="684"/>
      <c r="QTI33" s="684"/>
      <c r="QTJ33" s="684"/>
      <c r="QTK33" s="684"/>
      <c r="QTL33" s="684"/>
      <c r="QTM33" s="684"/>
      <c r="QTN33" s="684"/>
      <c r="QTO33" s="684"/>
      <c r="QTP33" s="684"/>
      <c r="QTQ33" s="684"/>
      <c r="QTR33" s="684"/>
      <c r="QTS33" s="684"/>
      <c r="QTT33" s="684"/>
      <c r="QTU33" s="684"/>
      <c r="QTV33" s="684"/>
      <c r="QTW33" s="684"/>
      <c r="QTX33" s="684"/>
      <c r="QTY33" s="684"/>
      <c r="QTZ33" s="684"/>
      <c r="QUA33" s="684"/>
      <c r="QUB33" s="684"/>
      <c r="QUC33" s="684"/>
      <c r="QUD33" s="684"/>
      <c r="QUE33" s="684"/>
      <c r="QUF33" s="684"/>
      <c r="QUG33" s="684"/>
      <c r="QUH33" s="684"/>
      <c r="QUI33" s="684"/>
      <c r="QUJ33" s="684"/>
      <c r="QUK33" s="684"/>
      <c r="QUL33" s="684"/>
      <c r="QUM33" s="684"/>
      <c r="QUN33" s="684"/>
      <c r="QUO33" s="684"/>
      <c r="QUP33" s="684"/>
      <c r="QUQ33" s="684"/>
      <c r="QUR33" s="684"/>
      <c r="QUS33" s="684"/>
      <c r="QUT33" s="684"/>
      <c r="QUU33" s="684"/>
      <c r="QUV33" s="684"/>
      <c r="QUW33" s="684"/>
      <c r="QUX33" s="684"/>
      <c r="QUY33" s="684"/>
      <c r="QUZ33" s="684"/>
      <c r="QVA33" s="684"/>
      <c r="QVB33" s="684"/>
      <c r="QVC33" s="684"/>
      <c r="QVD33" s="684"/>
      <c r="QVE33" s="684"/>
      <c r="QVF33" s="684"/>
      <c r="QVG33" s="684"/>
      <c r="QVH33" s="684"/>
      <c r="QVI33" s="684"/>
      <c r="QVJ33" s="684"/>
      <c r="QVK33" s="684"/>
      <c r="QVL33" s="684"/>
      <c r="QVM33" s="684"/>
      <c r="QVN33" s="684"/>
      <c r="QVO33" s="684"/>
      <c r="QVP33" s="684"/>
      <c r="QVQ33" s="684"/>
      <c r="QVR33" s="684"/>
      <c r="QVS33" s="684"/>
      <c r="QVT33" s="684"/>
      <c r="QVU33" s="684"/>
      <c r="QVV33" s="684"/>
      <c r="QVW33" s="684"/>
      <c r="QVX33" s="684"/>
      <c r="QVY33" s="684"/>
      <c r="QVZ33" s="684"/>
      <c r="QWA33" s="684"/>
      <c r="QWB33" s="684"/>
      <c r="QWC33" s="684"/>
      <c r="QWD33" s="684"/>
      <c r="QWE33" s="684"/>
      <c r="QWF33" s="684"/>
      <c r="QWG33" s="684"/>
      <c r="QWH33" s="684"/>
      <c r="QWI33" s="684"/>
      <c r="QWJ33" s="684"/>
      <c r="QWK33" s="684"/>
      <c r="QWL33" s="684"/>
      <c r="QWM33" s="684"/>
      <c r="QWN33" s="684"/>
      <c r="QWO33" s="684"/>
      <c r="QWP33" s="684"/>
      <c r="QWQ33" s="684"/>
      <c r="QWR33" s="684"/>
      <c r="QWS33" s="684"/>
      <c r="QWT33" s="684"/>
      <c r="QWU33" s="684"/>
      <c r="QWV33" s="684"/>
      <c r="QWW33" s="684"/>
      <c r="QWX33" s="684"/>
      <c r="QWY33" s="684"/>
      <c r="QWZ33" s="684"/>
      <c r="QXA33" s="684"/>
      <c r="QXB33" s="684"/>
      <c r="QXC33" s="684"/>
      <c r="QXD33" s="684"/>
      <c r="QXE33" s="684"/>
      <c r="QXF33" s="684"/>
      <c r="QXG33" s="684"/>
      <c r="QXH33" s="684"/>
      <c r="QXI33" s="684"/>
      <c r="QXJ33" s="684"/>
      <c r="QXK33" s="684"/>
      <c r="QXL33" s="684"/>
      <c r="QXM33" s="684"/>
      <c r="QXN33" s="684"/>
      <c r="QXO33" s="684"/>
      <c r="QXP33" s="684"/>
      <c r="QXQ33" s="684"/>
      <c r="QXR33" s="684"/>
      <c r="QXS33" s="684"/>
      <c r="QXT33" s="684"/>
      <c r="QXU33" s="684"/>
      <c r="QXV33" s="684"/>
      <c r="QXW33" s="684"/>
      <c r="QXX33" s="684"/>
      <c r="QXY33" s="684"/>
      <c r="QXZ33" s="684"/>
      <c r="QYA33" s="684"/>
      <c r="QYB33" s="684"/>
      <c r="QYC33" s="684"/>
      <c r="QYD33" s="684"/>
      <c r="QYE33" s="684"/>
      <c r="QYF33" s="684"/>
      <c r="QYG33" s="684"/>
      <c r="QYH33" s="684"/>
      <c r="QYI33" s="684"/>
      <c r="QYJ33" s="684"/>
      <c r="QYK33" s="684"/>
      <c r="QYL33" s="684"/>
      <c r="QYM33" s="684"/>
      <c r="QYN33" s="684"/>
      <c r="QYO33" s="684"/>
      <c r="QYP33" s="684"/>
      <c r="QYQ33" s="684"/>
      <c r="QYR33" s="684"/>
      <c r="QYS33" s="684"/>
      <c r="QYT33" s="684"/>
      <c r="QYU33" s="684"/>
      <c r="QYV33" s="684"/>
      <c r="QYW33" s="684"/>
      <c r="QYX33" s="684"/>
      <c r="QYY33" s="684"/>
      <c r="QYZ33" s="684"/>
      <c r="QZA33" s="684"/>
      <c r="QZB33" s="684"/>
      <c r="QZC33" s="684"/>
      <c r="QZD33" s="684"/>
      <c r="QZE33" s="684"/>
      <c r="QZF33" s="684"/>
      <c r="QZG33" s="684"/>
      <c r="QZH33" s="684"/>
      <c r="QZI33" s="684"/>
      <c r="QZJ33" s="684"/>
      <c r="QZK33" s="684"/>
      <c r="QZL33" s="684"/>
      <c r="QZM33" s="684"/>
      <c r="QZN33" s="684"/>
      <c r="QZO33" s="684"/>
      <c r="QZP33" s="684"/>
      <c r="QZQ33" s="684"/>
      <c r="QZR33" s="684"/>
      <c r="QZS33" s="684"/>
      <c r="QZT33" s="684"/>
      <c r="QZU33" s="684"/>
      <c r="QZV33" s="684"/>
      <c r="QZW33" s="684"/>
      <c r="QZX33" s="684"/>
      <c r="QZY33" s="684"/>
      <c r="QZZ33" s="684"/>
      <c r="RAA33" s="684"/>
      <c r="RAB33" s="684"/>
      <c r="RAC33" s="684"/>
      <c r="RAD33" s="684"/>
      <c r="RAE33" s="684"/>
      <c r="RAF33" s="684"/>
      <c r="RAG33" s="684"/>
      <c r="RAH33" s="684"/>
      <c r="RAI33" s="684"/>
      <c r="RAJ33" s="684"/>
      <c r="RAK33" s="684"/>
      <c r="RAL33" s="684"/>
      <c r="RAM33" s="684"/>
      <c r="RAN33" s="684"/>
      <c r="RAO33" s="684"/>
      <c r="RAP33" s="684"/>
      <c r="RAQ33" s="684"/>
      <c r="RAR33" s="684"/>
      <c r="RAS33" s="684"/>
      <c r="RAT33" s="684"/>
      <c r="RAU33" s="684"/>
      <c r="RAV33" s="684"/>
      <c r="RAW33" s="684"/>
      <c r="RAX33" s="684"/>
      <c r="RAY33" s="684"/>
      <c r="RAZ33" s="684"/>
      <c r="RBA33" s="684"/>
      <c r="RBB33" s="684"/>
      <c r="RBC33" s="684"/>
      <c r="RBD33" s="684"/>
      <c r="RBE33" s="684"/>
      <c r="RBF33" s="684"/>
      <c r="RBG33" s="684"/>
      <c r="RBH33" s="684"/>
      <c r="RBI33" s="684"/>
      <c r="RBJ33" s="684"/>
      <c r="RBK33" s="684"/>
      <c r="RBL33" s="684"/>
      <c r="RBM33" s="684"/>
      <c r="RBN33" s="684"/>
      <c r="RBO33" s="684"/>
      <c r="RBP33" s="684"/>
      <c r="RBQ33" s="684"/>
      <c r="RBR33" s="684"/>
      <c r="RBS33" s="684"/>
      <c r="RBT33" s="684"/>
      <c r="RBU33" s="684"/>
      <c r="RBV33" s="684"/>
      <c r="RBW33" s="684"/>
      <c r="RBX33" s="684"/>
      <c r="RBY33" s="684"/>
      <c r="RBZ33" s="684"/>
      <c r="RCA33" s="684"/>
      <c r="RCB33" s="684"/>
      <c r="RCC33" s="684"/>
      <c r="RCD33" s="684"/>
      <c r="RCE33" s="684"/>
      <c r="RCF33" s="684"/>
      <c r="RCG33" s="684"/>
      <c r="RCH33" s="684"/>
      <c r="RCI33" s="684"/>
      <c r="RCJ33" s="684"/>
      <c r="RCK33" s="684"/>
      <c r="RCL33" s="684"/>
      <c r="RCM33" s="684"/>
      <c r="RCN33" s="684"/>
      <c r="RCO33" s="684"/>
      <c r="RCP33" s="684"/>
      <c r="RCQ33" s="684"/>
      <c r="RCR33" s="684"/>
      <c r="RCS33" s="684"/>
      <c r="RCT33" s="684"/>
      <c r="RCU33" s="684"/>
      <c r="RCV33" s="684"/>
      <c r="RCW33" s="684"/>
      <c r="RCX33" s="684"/>
      <c r="RCY33" s="684"/>
      <c r="RCZ33" s="684"/>
      <c r="RDA33" s="684"/>
      <c r="RDB33" s="684"/>
      <c r="RDC33" s="684"/>
      <c r="RDD33" s="684"/>
      <c r="RDE33" s="684"/>
      <c r="RDF33" s="684"/>
      <c r="RDG33" s="684"/>
      <c r="RDH33" s="684"/>
      <c r="RDI33" s="684"/>
      <c r="RDJ33" s="684"/>
      <c r="RDK33" s="684"/>
      <c r="RDL33" s="684"/>
      <c r="RDM33" s="684"/>
      <c r="RDN33" s="684"/>
      <c r="RDO33" s="684"/>
      <c r="RDP33" s="684"/>
      <c r="RDQ33" s="684"/>
      <c r="RDR33" s="684"/>
      <c r="RDS33" s="684"/>
      <c r="RDT33" s="684"/>
      <c r="RDU33" s="684"/>
      <c r="RDV33" s="684"/>
      <c r="RDW33" s="684"/>
      <c r="RDX33" s="684"/>
      <c r="RDY33" s="684"/>
      <c r="RDZ33" s="684"/>
      <c r="REA33" s="684"/>
      <c r="REB33" s="684"/>
      <c r="REC33" s="684"/>
      <c r="RED33" s="684"/>
      <c r="REE33" s="684"/>
      <c r="REF33" s="684"/>
      <c r="REG33" s="684"/>
      <c r="REH33" s="684"/>
      <c r="REI33" s="684"/>
      <c r="REJ33" s="684"/>
      <c r="REK33" s="684"/>
      <c r="REL33" s="684"/>
      <c r="REM33" s="684"/>
      <c r="REN33" s="684"/>
      <c r="REO33" s="684"/>
      <c r="REP33" s="684"/>
      <c r="REQ33" s="684"/>
      <c r="RER33" s="684"/>
      <c r="RES33" s="684"/>
      <c r="RET33" s="684"/>
      <c r="REU33" s="684"/>
      <c r="REV33" s="684"/>
      <c r="REW33" s="684"/>
      <c r="REX33" s="684"/>
      <c r="REY33" s="684"/>
      <c r="REZ33" s="684"/>
      <c r="RFA33" s="684"/>
      <c r="RFB33" s="684"/>
      <c r="RFC33" s="684"/>
      <c r="RFD33" s="684"/>
      <c r="RFE33" s="684"/>
      <c r="RFF33" s="684"/>
      <c r="RFG33" s="684"/>
      <c r="RFH33" s="684"/>
      <c r="RFI33" s="684"/>
      <c r="RFJ33" s="684"/>
      <c r="RFK33" s="684"/>
      <c r="RFL33" s="684"/>
      <c r="RFM33" s="684"/>
      <c r="RFN33" s="684"/>
      <c r="RFO33" s="684"/>
      <c r="RFP33" s="684"/>
      <c r="RFQ33" s="684"/>
      <c r="RFR33" s="684"/>
      <c r="RFS33" s="684"/>
      <c r="RFT33" s="684"/>
      <c r="RFU33" s="684"/>
      <c r="RFV33" s="684"/>
      <c r="RFW33" s="684"/>
      <c r="RFX33" s="684"/>
      <c r="RFY33" s="684"/>
      <c r="RFZ33" s="684"/>
      <c r="RGA33" s="684"/>
      <c r="RGB33" s="684"/>
      <c r="RGC33" s="684"/>
      <c r="RGD33" s="684"/>
      <c r="RGE33" s="684"/>
      <c r="RGF33" s="684"/>
      <c r="RGG33" s="684"/>
      <c r="RGH33" s="684"/>
      <c r="RGI33" s="684"/>
      <c r="RGJ33" s="684"/>
      <c r="RGK33" s="684"/>
      <c r="RGL33" s="684"/>
      <c r="RGM33" s="684"/>
      <c r="RGN33" s="684"/>
      <c r="RGO33" s="684"/>
      <c r="RGP33" s="684"/>
      <c r="RGQ33" s="684"/>
      <c r="RGR33" s="684"/>
      <c r="RGS33" s="684"/>
      <c r="RGT33" s="684"/>
      <c r="RGU33" s="684"/>
      <c r="RGV33" s="684"/>
      <c r="RGW33" s="684"/>
      <c r="RGX33" s="684"/>
      <c r="RGY33" s="684"/>
      <c r="RGZ33" s="684"/>
      <c r="RHA33" s="684"/>
      <c r="RHB33" s="684"/>
      <c r="RHC33" s="684"/>
      <c r="RHD33" s="684"/>
      <c r="RHE33" s="684"/>
      <c r="RHF33" s="684"/>
      <c r="RHG33" s="684"/>
      <c r="RHH33" s="684"/>
      <c r="RHI33" s="684"/>
      <c r="RHJ33" s="684"/>
      <c r="RHK33" s="684"/>
      <c r="RHL33" s="684"/>
      <c r="RHM33" s="684"/>
      <c r="RHN33" s="684"/>
      <c r="RHO33" s="684"/>
      <c r="RHP33" s="684"/>
      <c r="RHQ33" s="684"/>
      <c r="RHR33" s="684"/>
      <c r="RHS33" s="684"/>
      <c r="RHT33" s="684"/>
      <c r="RHU33" s="684"/>
      <c r="RHV33" s="684"/>
      <c r="RHW33" s="684"/>
      <c r="RHX33" s="684"/>
      <c r="RHY33" s="684"/>
      <c r="RHZ33" s="684"/>
      <c r="RIA33" s="684"/>
      <c r="RIB33" s="684"/>
      <c r="RIC33" s="684"/>
      <c r="RID33" s="684"/>
      <c r="RIE33" s="684"/>
      <c r="RIF33" s="684"/>
      <c r="RIG33" s="684"/>
      <c r="RIH33" s="684"/>
      <c r="RII33" s="684"/>
      <c r="RIJ33" s="684"/>
      <c r="RIK33" s="684"/>
      <c r="RIL33" s="684"/>
      <c r="RIM33" s="684"/>
      <c r="RIN33" s="684"/>
      <c r="RIO33" s="684"/>
      <c r="RIP33" s="684"/>
      <c r="RIQ33" s="684"/>
      <c r="RIR33" s="684"/>
      <c r="RIS33" s="684"/>
      <c r="RIT33" s="684"/>
      <c r="RIU33" s="684"/>
      <c r="RIV33" s="684"/>
      <c r="RIW33" s="684"/>
      <c r="RIX33" s="684"/>
      <c r="RIY33" s="684"/>
      <c r="RIZ33" s="684"/>
      <c r="RJA33" s="684"/>
      <c r="RJB33" s="684"/>
      <c r="RJC33" s="684"/>
      <c r="RJD33" s="684"/>
      <c r="RJE33" s="684"/>
      <c r="RJF33" s="684"/>
      <c r="RJG33" s="684"/>
      <c r="RJH33" s="684"/>
      <c r="RJI33" s="684"/>
      <c r="RJJ33" s="684"/>
      <c r="RJK33" s="684"/>
      <c r="RJL33" s="684"/>
      <c r="RJM33" s="684"/>
      <c r="RJN33" s="684"/>
      <c r="RJO33" s="684"/>
      <c r="RJP33" s="684"/>
      <c r="RJQ33" s="684"/>
      <c r="RJR33" s="684"/>
      <c r="RJS33" s="684"/>
      <c r="RJT33" s="684"/>
      <c r="RJU33" s="684"/>
      <c r="RJV33" s="684"/>
      <c r="RJW33" s="684"/>
      <c r="RJX33" s="684"/>
      <c r="RJY33" s="684"/>
      <c r="RJZ33" s="684"/>
      <c r="RKA33" s="684"/>
      <c r="RKB33" s="684"/>
      <c r="RKC33" s="684"/>
      <c r="RKD33" s="684"/>
      <c r="RKE33" s="684"/>
      <c r="RKF33" s="684"/>
      <c r="RKG33" s="684"/>
      <c r="RKH33" s="684"/>
      <c r="RKI33" s="684"/>
      <c r="RKJ33" s="684"/>
      <c r="RKK33" s="684"/>
      <c r="RKL33" s="684"/>
      <c r="RKM33" s="684"/>
      <c r="RKN33" s="684"/>
      <c r="RKO33" s="684"/>
      <c r="RKP33" s="684"/>
      <c r="RKQ33" s="684"/>
      <c r="RKR33" s="684"/>
      <c r="RKS33" s="684"/>
      <c r="RKT33" s="684"/>
      <c r="RKU33" s="684"/>
      <c r="RKV33" s="684"/>
      <c r="RKW33" s="684"/>
      <c r="RKX33" s="684"/>
      <c r="RKY33" s="684"/>
      <c r="RKZ33" s="684"/>
      <c r="RLA33" s="684"/>
      <c r="RLB33" s="684"/>
      <c r="RLC33" s="684"/>
      <c r="RLD33" s="684"/>
      <c r="RLE33" s="684"/>
      <c r="RLF33" s="684"/>
      <c r="RLG33" s="684"/>
      <c r="RLH33" s="684"/>
      <c r="RLI33" s="684"/>
      <c r="RLJ33" s="684"/>
      <c r="RLK33" s="684"/>
      <c r="RLL33" s="684"/>
      <c r="RLM33" s="684"/>
      <c r="RLN33" s="684"/>
      <c r="RLO33" s="684"/>
      <c r="RLP33" s="684"/>
      <c r="RLQ33" s="684"/>
      <c r="RLR33" s="684"/>
      <c r="RLS33" s="684"/>
      <c r="RLT33" s="684"/>
      <c r="RLU33" s="684"/>
      <c r="RLV33" s="684"/>
      <c r="RLW33" s="684"/>
      <c r="RLX33" s="684"/>
      <c r="RLY33" s="684"/>
      <c r="RLZ33" s="684"/>
      <c r="RMA33" s="684"/>
      <c r="RMB33" s="684"/>
      <c r="RMC33" s="684"/>
      <c r="RMD33" s="684"/>
      <c r="RME33" s="684"/>
      <c r="RMF33" s="684"/>
      <c r="RMG33" s="684"/>
      <c r="RMH33" s="684"/>
      <c r="RMI33" s="684"/>
      <c r="RMJ33" s="684"/>
      <c r="RMK33" s="684"/>
      <c r="RML33" s="684"/>
      <c r="RMM33" s="684"/>
      <c r="RMN33" s="684"/>
      <c r="RMO33" s="684"/>
      <c r="RMP33" s="684"/>
      <c r="RMQ33" s="684"/>
      <c r="RMR33" s="684"/>
      <c r="RMS33" s="684"/>
      <c r="RMT33" s="684"/>
      <c r="RMU33" s="684"/>
      <c r="RMV33" s="684"/>
      <c r="RMW33" s="684"/>
      <c r="RMX33" s="684"/>
      <c r="RMY33" s="684"/>
      <c r="RMZ33" s="684"/>
      <c r="RNA33" s="684"/>
      <c r="RNB33" s="684"/>
      <c r="RNC33" s="684"/>
      <c r="RND33" s="684"/>
      <c r="RNE33" s="684"/>
      <c r="RNF33" s="684"/>
      <c r="RNG33" s="684"/>
      <c r="RNH33" s="684"/>
      <c r="RNI33" s="684"/>
      <c r="RNJ33" s="684"/>
      <c r="RNK33" s="684"/>
      <c r="RNL33" s="684"/>
      <c r="RNM33" s="684"/>
      <c r="RNN33" s="684"/>
      <c r="RNO33" s="684"/>
      <c r="RNP33" s="684"/>
      <c r="RNQ33" s="684"/>
      <c r="RNR33" s="684"/>
      <c r="RNS33" s="684"/>
      <c r="RNT33" s="684"/>
      <c r="RNU33" s="684"/>
      <c r="RNV33" s="684"/>
      <c r="RNW33" s="684"/>
      <c r="RNX33" s="684"/>
      <c r="RNY33" s="684"/>
      <c r="RNZ33" s="684"/>
      <c r="ROA33" s="684"/>
      <c r="ROB33" s="684"/>
      <c r="ROC33" s="684"/>
      <c r="ROD33" s="684"/>
      <c r="ROE33" s="684"/>
      <c r="ROF33" s="684"/>
      <c r="ROG33" s="684"/>
      <c r="ROH33" s="684"/>
      <c r="ROI33" s="684"/>
      <c r="ROJ33" s="684"/>
      <c r="ROK33" s="684"/>
      <c r="ROL33" s="684"/>
      <c r="ROM33" s="684"/>
      <c r="RON33" s="684"/>
      <c r="ROO33" s="684"/>
      <c r="ROP33" s="684"/>
      <c r="ROQ33" s="684"/>
      <c r="ROR33" s="684"/>
      <c r="ROS33" s="684"/>
      <c r="ROT33" s="684"/>
      <c r="ROU33" s="684"/>
      <c r="ROV33" s="684"/>
      <c r="ROW33" s="684"/>
      <c r="ROX33" s="684"/>
      <c r="ROY33" s="684"/>
      <c r="ROZ33" s="684"/>
      <c r="RPA33" s="684"/>
      <c r="RPB33" s="684"/>
      <c r="RPC33" s="684"/>
      <c r="RPD33" s="684"/>
      <c r="RPE33" s="684"/>
      <c r="RPF33" s="684"/>
      <c r="RPG33" s="684"/>
      <c r="RPH33" s="684"/>
      <c r="RPI33" s="684"/>
      <c r="RPJ33" s="684"/>
      <c r="RPK33" s="684"/>
      <c r="RPL33" s="684"/>
      <c r="RPM33" s="684"/>
      <c r="RPN33" s="684"/>
      <c r="RPO33" s="684"/>
      <c r="RPP33" s="684"/>
      <c r="RPQ33" s="684"/>
      <c r="RPR33" s="684"/>
      <c r="RPS33" s="684"/>
      <c r="RPT33" s="684"/>
      <c r="RPU33" s="684"/>
      <c r="RPV33" s="684"/>
      <c r="RPW33" s="684"/>
      <c r="RPX33" s="684"/>
      <c r="RPY33" s="684"/>
      <c r="RPZ33" s="684"/>
      <c r="RQA33" s="684"/>
      <c r="RQB33" s="684"/>
      <c r="RQC33" s="684"/>
      <c r="RQD33" s="684"/>
      <c r="RQE33" s="684"/>
      <c r="RQF33" s="684"/>
      <c r="RQG33" s="684"/>
      <c r="RQH33" s="684"/>
      <c r="RQI33" s="684"/>
      <c r="RQJ33" s="684"/>
      <c r="RQK33" s="684"/>
      <c r="RQL33" s="684"/>
      <c r="RQM33" s="684"/>
      <c r="RQN33" s="684"/>
      <c r="RQO33" s="684"/>
      <c r="RQP33" s="684"/>
      <c r="RQQ33" s="684"/>
      <c r="RQR33" s="684"/>
      <c r="RQS33" s="684"/>
      <c r="RQT33" s="684"/>
      <c r="RQU33" s="684"/>
      <c r="RQV33" s="684"/>
      <c r="RQW33" s="684"/>
      <c r="RQX33" s="684"/>
      <c r="RQY33" s="684"/>
      <c r="RQZ33" s="684"/>
      <c r="RRA33" s="684"/>
      <c r="RRB33" s="684"/>
      <c r="RRC33" s="684"/>
      <c r="RRD33" s="684"/>
      <c r="RRE33" s="684"/>
      <c r="RRF33" s="684"/>
      <c r="RRG33" s="684"/>
      <c r="RRH33" s="684"/>
      <c r="RRI33" s="684"/>
      <c r="RRJ33" s="684"/>
      <c r="RRK33" s="684"/>
      <c r="RRL33" s="684"/>
      <c r="RRM33" s="684"/>
      <c r="RRN33" s="684"/>
      <c r="RRO33" s="684"/>
      <c r="RRP33" s="684"/>
      <c r="RRQ33" s="684"/>
      <c r="RRR33" s="684"/>
      <c r="RRS33" s="684"/>
      <c r="RRT33" s="684"/>
      <c r="RRU33" s="684"/>
      <c r="RRV33" s="684"/>
      <c r="RRW33" s="684"/>
      <c r="RRX33" s="684"/>
      <c r="RRY33" s="684"/>
      <c r="RRZ33" s="684"/>
      <c r="RSA33" s="684"/>
      <c r="RSB33" s="684"/>
      <c r="RSC33" s="684"/>
      <c r="RSD33" s="684"/>
      <c r="RSE33" s="684"/>
      <c r="RSF33" s="684"/>
      <c r="RSG33" s="684"/>
      <c r="RSH33" s="684"/>
      <c r="RSI33" s="684"/>
      <c r="RSJ33" s="684"/>
      <c r="RSK33" s="684"/>
      <c r="RSL33" s="684"/>
      <c r="RSM33" s="684"/>
      <c r="RSN33" s="684"/>
      <c r="RSO33" s="684"/>
      <c r="RSP33" s="684"/>
      <c r="RSQ33" s="684"/>
      <c r="RSR33" s="684"/>
      <c r="RSS33" s="684"/>
      <c r="RST33" s="684"/>
      <c r="RSU33" s="684"/>
      <c r="RSV33" s="684"/>
      <c r="RSW33" s="684"/>
      <c r="RSX33" s="684"/>
      <c r="RSY33" s="684"/>
      <c r="RSZ33" s="684"/>
      <c r="RTA33" s="684"/>
      <c r="RTB33" s="684"/>
      <c r="RTC33" s="684"/>
      <c r="RTD33" s="684"/>
      <c r="RTE33" s="684"/>
      <c r="RTF33" s="684"/>
      <c r="RTG33" s="684"/>
      <c r="RTH33" s="684"/>
      <c r="RTI33" s="684"/>
      <c r="RTJ33" s="684"/>
      <c r="RTK33" s="684"/>
      <c r="RTL33" s="684"/>
      <c r="RTM33" s="684"/>
      <c r="RTN33" s="684"/>
      <c r="RTO33" s="684"/>
      <c r="RTP33" s="684"/>
      <c r="RTQ33" s="684"/>
      <c r="RTR33" s="684"/>
      <c r="RTS33" s="684"/>
      <c r="RTT33" s="684"/>
      <c r="RTU33" s="684"/>
      <c r="RTV33" s="684"/>
      <c r="RTW33" s="684"/>
      <c r="RTX33" s="684"/>
      <c r="RTY33" s="684"/>
      <c r="RTZ33" s="684"/>
      <c r="RUA33" s="684"/>
      <c r="RUB33" s="684"/>
      <c r="RUC33" s="684"/>
      <c r="RUD33" s="684"/>
      <c r="RUE33" s="684"/>
      <c r="RUF33" s="684"/>
      <c r="RUG33" s="684"/>
      <c r="RUH33" s="684"/>
      <c r="RUI33" s="684"/>
      <c r="RUJ33" s="684"/>
      <c r="RUK33" s="684"/>
      <c r="RUL33" s="684"/>
      <c r="RUM33" s="684"/>
      <c r="RUN33" s="684"/>
      <c r="RUO33" s="684"/>
      <c r="RUP33" s="684"/>
      <c r="RUQ33" s="684"/>
      <c r="RUR33" s="684"/>
      <c r="RUS33" s="684"/>
      <c r="RUT33" s="684"/>
      <c r="RUU33" s="684"/>
      <c r="RUV33" s="684"/>
      <c r="RUW33" s="684"/>
      <c r="RUX33" s="684"/>
      <c r="RUY33" s="684"/>
      <c r="RUZ33" s="684"/>
      <c r="RVA33" s="684"/>
      <c r="RVB33" s="684"/>
      <c r="RVC33" s="684"/>
      <c r="RVD33" s="684"/>
      <c r="RVE33" s="684"/>
      <c r="RVF33" s="684"/>
      <c r="RVG33" s="684"/>
      <c r="RVH33" s="684"/>
      <c r="RVI33" s="684"/>
      <c r="RVJ33" s="684"/>
      <c r="RVK33" s="684"/>
      <c r="RVL33" s="684"/>
      <c r="RVM33" s="684"/>
      <c r="RVN33" s="684"/>
      <c r="RVO33" s="684"/>
      <c r="RVP33" s="684"/>
      <c r="RVQ33" s="684"/>
      <c r="RVR33" s="684"/>
      <c r="RVS33" s="684"/>
      <c r="RVT33" s="684"/>
      <c r="RVU33" s="684"/>
      <c r="RVV33" s="684"/>
      <c r="RVW33" s="684"/>
      <c r="RVX33" s="684"/>
      <c r="RVY33" s="684"/>
      <c r="RVZ33" s="684"/>
      <c r="RWA33" s="684"/>
      <c r="RWB33" s="684"/>
      <c r="RWC33" s="684"/>
      <c r="RWD33" s="684"/>
      <c r="RWE33" s="684"/>
      <c r="RWF33" s="684"/>
      <c r="RWG33" s="684"/>
      <c r="RWH33" s="684"/>
      <c r="RWI33" s="684"/>
      <c r="RWJ33" s="684"/>
      <c r="RWK33" s="684"/>
      <c r="RWL33" s="684"/>
      <c r="RWM33" s="684"/>
      <c r="RWN33" s="684"/>
      <c r="RWO33" s="684"/>
      <c r="RWP33" s="684"/>
      <c r="RWQ33" s="684"/>
      <c r="RWR33" s="684"/>
      <c r="RWS33" s="684"/>
      <c r="RWT33" s="684"/>
      <c r="RWU33" s="684"/>
      <c r="RWV33" s="684"/>
      <c r="RWW33" s="684"/>
      <c r="RWX33" s="684"/>
      <c r="RWY33" s="684"/>
      <c r="RWZ33" s="684"/>
      <c r="RXA33" s="684"/>
      <c r="RXB33" s="684"/>
      <c r="RXC33" s="684"/>
      <c r="RXD33" s="684"/>
      <c r="RXE33" s="684"/>
      <c r="RXF33" s="684"/>
      <c r="RXG33" s="684"/>
      <c r="RXH33" s="684"/>
      <c r="RXI33" s="684"/>
      <c r="RXJ33" s="684"/>
      <c r="RXK33" s="684"/>
      <c r="RXL33" s="684"/>
      <c r="RXM33" s="684"/>
      <c r="RXN33" s="684"/>
      <c r="RXO33" s="684"/>
      <c r="RXP33" s="684"/>
      <c r="RXQ33" s="684"/>
      <c r="RXR33" s="684"/>
      <c r="RXS33" s="684"/>
      <c r="RXT33" s="684"/>
      <c r="RXU33" s="684"/>
      <c r="RXV33" s="684"/>
      <c r="RXW33" s="684"/>
      <c r="RXX33" s="684"/>
      <c r="RXY33" s="684"/>
      <c r="RXZ33" s="684"/>
      <c r="RYA33" s="684"/>
      <c r="RYB33" s="684"/>
      <c r="RYC33" s="684"/>
      <c r="RYD33" s="684"/>
      <c r="RYE33" s="684"/>
      <c r="RYF33" s="684"/>
      <c r="RYG33" s="684"/>
      <c r="RYH33" s="684"/>
      <c r="RYI33" s="684"/>
      <c r="RYJ33" s="684"/>
      <c r="RYK33" s="684"/>
      <c r="RYL33" s="684"/>
      <c r="RYM33" s="684"/>
      <c r="RYN33" s="684"/>
      <c r="RYO33" s="684"/>
      <c r="RYP33" s="684"/>
      <c r="RYQ33" s="684"/>
      <c r="RYR33" s="684"/>
      <c r="RYS33" s="684"/>
      <c r="RYT33" s="684"/>
      <c r="RYU33" s="684"/>
      <c r="RYV33" s="684"/>
      <c r="RYW33" s="684"/>
      <c r="RYX33" s="684"/>
      <c r="RYY33" s="684"/>
      <c r="RYZ33" s="684"/>
      <c r="RZA33" s="684"/>
      <c r="RZB33" s="684"/>
      <c r="RZC33" s="684"/>
      <c r="RZD33" s="684"/>
      <c r="RZE33" s="684"/>
      <c r="RZF33" s="684"/>
      <c r="RZG33" s="684"/>
      <c r="RZH33" s="684"/>
      <c r="RZI33" s="684"/>
      <c r="RZJ33" s="684"/>
      <c r="RZK33" s="684"/>
      <c r="RZL33" s="684"/>
      <c r="RZM33" s="684"/>
      <c r="RZN33" s="684"/>
      <c r="RZO33" s="684"/>
      <c r="RZP33" s="684"/>
      <c r="RZQ33" s="684"/>
      <c r="RZR33" s="684"/>
      <c r="RZS33" s="684"/>
      <c r="RZT33" s="684"/>
      <c r="RZU33" s="684"/>
      <c r="RZV33" s="684"/>
      <c r="RZW33" s="684"/>
      <c r="RZX33" s="684"/>
      <c r="RZY33" s="684"/>
      <c r="RZZ33" s="684"/>
      <c r="SAA33" s="684"/>
      <c r="SAB33" s="684"/>
      <c r="SAC33" s="684"/>
      <c r="SAD33" s="684"/>
      <c r="SAE33" s="684"/>
      <c r="SAF33" s="684"/>
      <c r="SAG33" s="684"/>
      <c r="SAH33" s="684"/>
      <c r="SAI33" s="684"/>
      <c r="SAJ33" s="684"/>
      <c r="SAK33" s="684"/>
      <c r="SAL33" s="684"/>
      <c r="SAM33" s="684"/>
      <c r="SAN33" s="684"/>
      <c r="SAO33" s="684"/>
      <c r="SAP33" s="684"/>
      <c r="SAQ33" s="684"/>
      <c r="SAR33" s="684"/>
      <c r="SAS33" s="684"/>
      <c r="SAT33" s="684"/>
      <c r="SAU33" s="684"/>
      <c r="SAV33" s="684"/>
      <c r="SAW33" s="684"/>
      <c r="SAX33" s="684"/>
      <c r="SAY33" s="684"/>
      <c r="SAZ33" s="684"/>
      <c r="SBA33" s="684"/>
      <c r="SBB33" s="684"/>
      <c r="SBC33" s="684"/>
      <c r="SBD33" s="684"/>
      <c r="SBE33" s="684"/>
      <c r="SBF33" s="684"/>
      <c r="SBG33" s="684"/>
      <c r="SBH33" s="684"/>
      <c r="SBI33" s="684"/>
      <c r="SBJ33" s="684"/>
      <c r="SBK33" s="684"/>
      <c r="SBL33" s="684"/>
      <c r="SBM33" s="684"/>
      <c r="SBN33" s="684"/>
      <c r="SBO33" s="684"/>
      <c r="SBP33" s="684"/>
      <c r="SBQ33" s="684"/>
      <c r="SBR33" s="684"/>
      <c r="SBS33" s="684"/>
      <c r="SBT33" s="684"/>
      <c r="SBU33" s="684"/>
      <c r="SBV33" s="684"/>
      <c r="SBW33" s="684"/>
      <c r="SBX33" s="684"/>
      <c r="SBY33" s="684"/>
      <c r="SBZ33" s="684"/>
      <c r="SCA33" s="684"/>
      <c r="SCB33" s="684"/>
      <c r="SCC33" s="684"/>
      <c r="SCD33" s="684"/>
      <c r="SCE33" s="684"/>
      <c r="SCF33" s="684"/>
      <c r="SCG33" s="684"/>
      <c r="SCH33" s="684"/>
      <c r="SCI33" s="684"/>
      <c r="SCJ33" s="684"/>
      <c r="SCK33" s="684"/>
      <c r="SCL33" s="684"/>
      <c r="SCM33" s="684"/>
      <c r="SCN33" s="684"/>
      <c r="SCO33" s="684"/>
      <c r="SCP33" s="684"/>
      <c r="SCQ33" s="684"/>
      <c r="SCR33" s="684"/>
      <c r="SCS33" s="684"/>
      <c r="SCT33" s="684"/>
      <c r="SCU33" s="684"/>
      <c r="SCV33" s="684"/>
      <c r="SCW33" s="684"/>
      <c r="SCX33" s="684"/>
      <c r="SCY33" s="684"/>
      <c r="SCZ33" s="684"/>
      <c r="SDA33" s="684"/>
      <c r="SDB33" s="684"/>
      <c r="SDC33" s="684"/>
      <c r="SDD33" s="684"/>
      <c r="SDE33" s="684"/>
      <c r="SDF33" s="684"/>
      <c r="SDG33" s="684"/>
      <c r="SDH33" s="684"/>
      <c r="SDI33" s="684"/>
      <c r="SDJ33" s="684"/>
      <c r="SDK33" s="684"/>
      <c r="SDL33" s="684"/>
      <c r="SDM33" s="684"/>
      <c r="SDN33" s="684"/>
      <c r="SDO33" s="684"/>
      <c r="SDP33" s="684"/>
      <c r="SDQ33" s="684"/>
      <c r="SDR33" s="684"/>
      <c r="SDS33" s="684"/>
      <c r="SDT33" s="684"/>
      <c r="SDU33" s="684"/>
      <c r="SDV33" s="684"/>
      <c r="SDW33" s="684"/>
      <c r="SDX33" s="684"/>
      <c r="SDY33" s="684"/>
      <c r="SDZ33" s="684"/>
      <c r="SEA33" s="684"/>
      <c r="SEB33" s="684"/>
      <c r="SEC33" s="684"/>
      <c r="SED33" s="684"/>
      <c r="SEE33" s="684"/>
      <c r="SEF33" s="684"/>
      <c r="SEG33" s="684"/>
      <c r="SEH33" s="684"/>
      <c r="SEI33" s="684"/>
      <c r="SEJ33" s="684"/>
      <c r="SEK33" s="684"/>
      <c r="SEL33" s="684"/>
      <c r="SEM33" s="684"/>
      <c r="SEN33" s="684"/>
      <c r="SEO33" s="684"/>
      <c r="SEP33" s="684"/>
      <c r="SEQ33" s="684"/>
      <c r="SER33" s="684"/>
      <c r="SES33" s="684"/>
      <c r="SET33" s="684"/>
      <c r="SEU33" s="684"/>
      <c r="SEV33" s="684"/>
      <c r="SEW33" s="684"/>
      <c r="SEX33" s="684"/>
      <c r="SEY33" s="684"/>
      <c r="SEZ33" s="684"/>
      <c r="SFA33" s="684"/>
      <c r="SFB33" s="684"/>
      <c r="SFC33" s="684"/>
      <c r="SFD33" s="684"/>
      <c r="SFE33" s="684"/>
      <c r="SFF33" s="684"/>
      <c r="SFG33" s="684"/>
      <c r="SFH33" s="684"/>
      <c r="SFI33" s="684"/>
      <c r="SFJ33" s="684"/>
      <c r="SFK33" s="684"/>
      <c r="SFL33" s="684"/>
      <c r="SFM33" s="684"/>
      <c r="SFN33" s="684"/>
      <c r="SFO33" s="684"/>
      <c r="SFP33" s="684"/>
      <c r="SFQ33" s="684"/>
      <c r="SFR33" s="684"/>
      <c r="SFS33" s="684"/>
      <c r="SFT33" s="684"/>
      <c r="SFU33" s="684"/>
      <c r="SFV33" s="684"/>
      <c r="SFW33" s="684"/>
      <c r="SFX33" s="684"/>
      <c r="SFY33" s="684"/>
      <c r="SFZ33" s="684"/>
      <c r="SGA33" s="684"/>
      <c r="SGB33" s="684"/>
      <c r="SGC33" s="684"/>
      <c r="SGD33" s="684"/>
      <c r="SGE33" s="684"/>
      <c r="SGF33" s="684"/>
      <c r="SGG33" s="684"/>
      <c r="SGH33" s="684"/>
      <c r="SGI33" s="684"/>
      <c r="SGJ33" s="684"/>
      <c r="SGK33" s="684"/>
      <c r="SGL33" s="684"/>
      <c r="SGM33" s="684"/>
      <c r="SGN33" s="684"/>
      <c r="SGO33" s="684"/>
      <c r="SGP33" s="684"/>
      <c r="SGQ33" s="684"/>
      <c r="SGR33" s="684"/>
      <c r="SGS33" s="684"/>
      <c r="SGT33" s="684"/>
      <c r="SGU33" s="684"/>
      <c r="SGV33" s="684"/>
      <c r="SGW33" s="684"/>
      <c r="SGX33" s="684"/>
      <c r="SGY33" s="684"/>
      <c r="SGZ33" s="684"/>
      <c r="SHA33" s="684"/>
      <c r="SHB33" s="684"/>
      <c r="SHC33" s="684"/>
      <c r="SHD33" s="684"/>
      <c r="SHE33" s="684"/>
      <c r="SHF33" s="684"/>
      <c r="SHG33" s="684"/>
      <c r="SHH33" s="684"/>
      <c r="SHI33" s="684"/>
      <c r="SHJ33" s="684"/>
      <c r="SHK33" s="684"/>
      <c r="SHL33" s="684"/>
      <c r="SHM33" s="684"/>
      <c r="SHN33" s="684"/>
      <c r="SHO33" s="684"/>
      <c r="SHP33" s="684"/>
      <c r="SHQ33" s="684"/>
      <c r="SHR33" s="684"/>
      <c r="SHS33" s="684"/>
      <c r="SHT33" s="684"/>
      <c r="SHU33" s="684"/>
      <c r="SHV33" s="684"/>
      <c r="SHW33" s="684"/>
      <c r="SHX33" s="684"/>
      <c r="SHY33" s="684"/>
      <c r="SHZ33" s="684"/>
      <c r="SIA33" s="684"/>
      <c r="SIB33" s="684"/>
      <c r="SIC33" s="684"/>
      <c r="SID33" s="684"/>
      <c r="SIE33" s="684"/>
      <c r="SIF33" s="684"/>
      <c r="SIG33" s="684"/>
      <c r="SIH33" s="684"/>
      <c r="SII33" s="684"/>
      <c r="SIJ33" s="684"/>
      <c r="SIK33" s="684"/>
      <c r="SIL33" s="684"/>
      <c r="SIM33" s="684"/>
      <c r="SIN33" s="684"/>
      <c r="SIO33" s="684"/>
      <c r="SIP33" s="684"/>
      <c r="SIQ33" s="684"/>
      <c r="SIR33" s="684"/>
      <c r="SIS33" s="684"/>
      <c r="SIT33" s="684"/>
      <c r="SIU33" s="684"/>
      <c r="SIV33" s="684"/>
      <c r="SIW33" s="684"/>
      <c r="SIX33" s="684"/>
      <c r="SIY33" s="684"/>
      <c r="SIZ33" s="684"/>
      <c r="SJA33" s="684"/>
      <c r="SJB33" s="684"/>
      <c r="SJC33" s="684"/>
      <c r="SJD33" s="684"/>
      <c r="SJE33" s="684"/>
      <c r="SJF33" s="684"/>
      <c r="SJG33" s="684"/>
      <c r="SJH33" s="684"/>
      <c r="SJI33" s="684"/>
      <c r="SJJ33" s="684"/>
      <c r="SJK33" s="684"/>
      <c r="SJL33" s="684"/>
      <c r="SJM33" s="684"/>
      <c r="SJN33" s="684"/>
      <c r="SJO33" s="684"/>
      <c r="SJP33" s="684"/>
      <c r="SJQ33" s="684"/>
      <c r="SJR33" s="684"/>
      <c r="SJS33" s="684"/>
      <c r="SJT33" s="684"/>
      <c r="SJU33" s="684"/>
      <c r="SJV33" s="684"/>
      <c r="SJW33" s="684"/>
      <c r="SJX33" s="684"/>
      <c r="SJY33" s="684"/>
      <c r="SJZ33" s="684"/>
      <c r="SKA33" s="684"/>
      <c r="SKB33" s="684"/>
      <c r="SKC33" s="684"/>
      <c r="SKD33" s="684"/>
      <c r="SKE33" s="684"/>
      <c r="SKF33" s="684"/>
      <c r="SKG33" s="684"/>
      <c r="SKH33" s="684"/>
      <c r="SKI33" s="684"/>
      <c r="SKJ33" s="684"/>
      <c r="SKK33" s="684"/>
      <c r="SKL33" s="684"/>
      <c r="SKM33" s="684"/>
      <c r="SKN33" s="684"/>
      <c r="SKO33" s="684"/>
      <c r="SKP33" s="684"/>
      <c r="SKQ33" s="684"/>
      <c r="SKR33" s="684"/>
      <c r="SKS33" s="684"/>
      <c r="SKT33" s="684"/>
      <c r="SKU33" s="684"/>
      <c r="SKV33" s="684"/>
      <c r="SKW33" s="684"/>
      <c r="SKX33" s="684"/>
      <c r="SKY33" s="684"/>
      <c r="SKZ33" s="684"/>
      <c r="SLA33" s="684"/>
      <c r="SLB33" s="684"/>
      <c r="SLC33" s="684"/>
      <c r="SLD33" s="684"/>
      <c r="SLE33" s="684"/>
      <c r="SLF33" s="684"/>
      <c r="SLG33" s="684"/>
      <c r="SLH33" s="684"/>
      <c r="SLI33" s="684"/>
      <c r="SLJ33" s="684"/>
      <c r="SLK33" s="684"/>
      <c r="SLL33" s="684"/>
      <c r="SLM33" s="684"/>
      <c r="SLN33" s="684"/>
      <c r="SLO33" s="684"/>
      <c r="SLP33" s="684"/>
      <c r="SLQ33" s="684"/>
      <c r="SLR33" s="684"/>
      <c r="SLS33" s="684"/>
      <c r="SLT33" s="684"/>
      <c r="SLU33" s="684"/>
      <c r="SLV33" s="684"/>
      <c r="SLW33" s="684"/>
      <c r="SLX33" s="684"/>
      <c r="SLY33" s="684"/>
      <c r="SLZ33" s="684"/>
      <c r="SMA33" s="684"/>
      <c r="SMB33" s="684"/>
      <c r="SMC33" s="684"/>
      <c r="SMD33" s="684"/>
      <c r="SME33" s="684"/>
      <c r="SMF33" s="684"/>
      <c r="SMG33" s="684"/>
      <c r="SMH33" s="684"/>
      <c r="SMI33" s="684"/>
      <c r="SMJ33" s="684"/>
      <c r="SMK33" s="684"/>
      <c r="SML33" s="684"/>
      <c r="SMM33" s="684"/>
      <c r="SMN33" s="684"/>
      <c r="SMO33" s="684"/>
      <c r="SMP33" s="684"/>
      <c r="SMQ33" s="684"/>
      <c r="SMR33" s="684"/>
      <c r="SMS33" s="684"/>
      <c r="SMT33" s="684"/>
      <c r="SMU33" s="684"/>
      <c r="SMV33" s="684"/>
      <c r="SMW33" s="684"/>
      <c r="SMX33" s="684"/>
      <c r="SMY33" s="684"/>
      <c r="SMZ33" s="684"/>
      <c r="SNA33" s="684"/>
      <c r="SNB33" s="684"/>
      <c r="SNC33" s="684"/>
      <c r="SND33" s="684"/>
      <c r="SNE33" s="684"/>
      <c r="SNF33" s="684"/>
      <c r="SNG33" s="684"/>
      <c r="SNH33" s="684"/>
      <c r="SNI33" s="684"/>
      <c r="SNJ33" s="684"/>
      <c r="SNK33" s="684"/>
      <c r="SNL33" s="684"/>
      <c r="SNM33" s="684"/>
      <c r="SNN33" s="684"/>
      <c r="SNO33" s="684"/>
      <c r="SNP33" s="684"/>
      <c r="SNQ33" s="684"/>
      <c r="SNR33" s="684"/>
      <c r="SNS33" s="684"/>
      <c r="SNT33" s="684"/>
      <c r="SNU33" s="684"/>
      <c r="SNV33" s="684"/>
      <c r="SNW33" s="684"/>
      <c r="SNX33" s="684"/>
      <c r="SNY33" s="684"/>
      <c r="SNZ33" s="684"/>
      <c r="SOA33" s="684"/>
      <c r="SOB33" s="684"/>
      <c r="SOC33" s="684"/>
      <c r="SOD33" s="684"/>
      <c r="SOE33" s="684"/>
      <c r="SOF33" s="684"/>
      <c r="SOG33" s="684"/>
      <c r="SOH33" s="684"/>
      <c r="SOI33" s="684"/>
      <c r="SOJ33" s="684"/>
      <c r="SOK33" s="684"/>
      <c r="SOL33" s="684"/>
      <c r="SOM33" s="684"/>
      <c r="SON33" s="684"/>
      <c r="SOO33" s="684"/>
      <c r="SOP33" s="684"/>
      <c r="SOQ33" s="684"/>
      <c r="SOR33" s="684"/>
      <c r="SOS33" s="684"/>
      <c r="SOT33" s="684"/>
      <c r="SOU33" s="684"/>
      <c r="SOV33" s="684"/>
      <c r="SOW33" s="684"/>
      <c r="SOX33" s="684"/>
      <c r="SOY33" s="684"/>
      <c r="SOZ33" s="684"/>
      <c r="SPA33" s="684"/>
      <c r="SPB33" s="684"/>
      <c r="SPC33" s="684"/>
      <c r="SPD33" s="684"/>
      <c r="SPE33" s="684"/>
      <c r="SPF33" s="684"/>
      <c r="SPG33" s="684"/>
      <c r="SPH33" s="684"/>
      <c r="SPI33" s="684"/>
      <c r="SPJ33" s="684"/>
      <c r="SPK33" s="684"/>
      <c r="SPL33" s="684"/>
      <c r="SPM33" s="684"/>
      <c r="SPN33" s="684"/>
      <c r="SPO33" s="684"/>
      <c r="SPP33" s="684"/>
      <c r="SPQ33" s="684"/>
      <c r="SPR33" s="684"/>
      <c r="SPS33" s="684"/>
      <c r="SPT33" s="684"/>
      <c r="SPU33" s="684"/>
      <c r="SPV33" s="684"/>
      <c r="SPW33" s="684"/>
      <c r="SPX33" s="684"/>
      <c r="SPY33" s="684"/>
      <c r="SPZ33" s="684"/>
      <c r="SQA33" s="684"/>
      <c r="SQB33" s="684"/>
      <c r="SQC33" s="684"/>
      <c r="SQD33" s="684"/>
      <c r="SQE33" s="684"/>
      <c r="SQF33" s="684"/>
      <c r="SQG33" s="684"/>
      <c r="SQH33" s="684"/>
      <c r="SQI33" s="684"/>
      <c r="SQJ33" s="684"/>
      <c r="SQK33" s="684"/>
      <c r="SQL33" s="684"/>
      <c r="SQM33" s="684"/>
      <c r="SQN33" s="684"/>
      <c r="SQO33" s="684"/>
      <c r="SQP33" s="684"/>
      <c r="SQQ33" s="684"/>
      <c r="SQR33" s="684"/>
      <c r="SQS33" s="684"/>
      <c r="SQT33" s="684"/>
      <c r="SQU33" s="684"/>
      <c r="SQV33" s="684"/>
      <c r="SQW33" s="684"/>
      <c r="SQX33" s="684"/>
      <c r="SQY33" s="684"/>
      <c r="SQZ33" s="684"/>
      <c r="SRA33" s="684"/>
      <c r="SRB33" s="684"/>
      <c r="SRC33" s="684"/>
      <c r="SRD33" s="684"/>
      <c r="SRE33" s="684"/>
      <c r="SRF33" s="684"/>
      <c r="SRG33" s="684"/>
      <c r="SRH33" s="684"/>
      <c r="SRI33" s="684"/>
      <c r="SRJ33" s="684"/>
      <c r="SRK33" s="684"/>
      <c r="SRL33" s="684"/>
      <c r="SRM33" s="684"/>
      <c r="SRN33" s="684"/>
      <c r="SRO33" s="684"/>
      <c r="SRP33" s="684"/>
      <c r="SRQ33" s="684"/>
      <c r="SRR33" s="684"/>
      <c r="SRS33" s="684"/>
      <c r="SRT33" s="684"/>
      <c r="SRU33" s="684"/>
      <c r="SRV33" s="684"/>
      <c r="SRW33" s="684"/>
      <c r="SRX33" s="684"/>
      <c r="SRY33" s="684"/>
      <c r="SRZ33" s="684"/>
      <c r="SSA33" s="684"/>
      <c r="SSB33" s="684"/>
      <c r="SSC33" s="684"/>
      <c r="SSD33" s="684"/>
      <c r="SSE33" s="684"/>
      <c r="SSF33" s="684"/>
      <c r="SSG33" s="684"/>
      <c r="SSH33" s="684"/>
      <c r="SSI33" s="684"/>
      <c r="SSJ33" s="684"/>
      <c r="SSK33" s="684"/>
      <c r="SSL33" s="684"/>
      <c r="SSM33" s="684"/>
      <c r="SSN33" s="684"/>
      <c r="SSO33" s="684"/>
      <c r="SSP33" s="684"/>
      <c r="SSQ33" s="684"/>
      <c r="SSR33" s="684"/>
      <c r="SSS33" s="684"/>
      <c r="SST33" s="684"/>
      <c r="SSU33" s="684"/>
      <c r="SSV33" s="684"/>
      <c r="SSW33" s="684"/>
      <c r="SSX33" s="684"/>
      <c r="SSY33" s="684"/>
      <c r="SSZ33" s="684"/>
      <c r="STA33" s="684"/>
      <c r="STB33" s="684"/>
      <c r="STC33" s="684"/>
      <c r="STD33" s="684"/>
      <c r="STE33" s="684"/>
      <c r="STF33" s="684"/>
      <c r="STG33" s="684"/>
      <c r="STH33" s="684"/>
      <c r="STI33" s="684"/>
      <c r="STJ33" s="684"/>
      <c r="STK33" s="684"/>
      <c r="STL33" s="684"/>
      <c r="STM33" s="684"/>
      <c r="STN33" s="684"/>
      <c r="STO33" s="684"/>
      <c r="STP33" s="684"/>
      <c r="STQ33" s="684"/>
      <c r="STR33" s="684"/>
      <c r="STS33" s="684"/>
      <c r="STT33" s="684"/>
      <c r="STU33" s="684"/>
      <c r="STV33" s="684"/>
      <c r="STW33" s="684"/>
      <c r="STX33" s="684"/>
      <c r="STY33" s="684"/>
      <c r="STZ33" s="684"/>
      <c r="SUA33" s="684"/>
      <c r="SUB33" s="684"/>
      <c r="SUC33" s="684"/>
      <c r="SUD33" s="684"/>
      <c r="SUE33" s="684"/>
      <c r="SUF33" s="684"/>
      <c r="SUG33" s="684"/>
      <c r="SUH33" s="684"/>
      <c r="SUI33" s="684"/>
      <c r="SUJ33" s="684"/>
      <c r="SUK33" s="684"/>
      <c r="SUL33" s="684"/>
      <c r="SUM33" s="684"/>
      <c r="SUN33" s="684"/>
      <c r="SUO33" s="684"/>
      <c r="SUP33" s="684"/>
      <c r="SUQ33" s="684"/>
      <c r="SUR33" s="684"/>
      <c r="SUS33" s="684"/>
      <c r="SUT33" s="684"/>
      <c r="SUU33" s="684"/>
      <c r="SUV33" s="684"/>
      <c r="SUW33" s="684"/>
      <c r="SUX33" s="684"/>
      <c r="SUY33" s="684"/>
      <c r="SUZ33" s="684"/>
      <c r="SVA33" s="684"/>
      <c r="SVB33" s="684"/>
      <c r="SVC33" s="684"/>
      <c r="SVD33" s="684"/>
      <c r="SVE33" s="684"/>
      <c r="SVF33" s="684"/>
      <c r="SVG33" s="684"/>
      <c r="SVH33" s="684"/>
      <c r="SVI33" s="684"/>
      <c r="SVJ33" s="684"/>
      <c r="SVK33" s="684"/>
      <c r="SVL33" s="684"/>
      <c r="SVM33" s="684"/>
      <c r="SVN33" s="684"/>
      <c r="SVO33" s="684"/>
      <c r="SVP33" s="684"/>
      <c r="SVQ33" s="684"/>
      <c r="SVR33" s="684"/>
      <c r="SVS33" s="684"/>
      <c r="SVT33" s="684"/>
      <c r="SVU33" s="684"/>
      <c r="SVV33" s="684"/>
      <c r="SVW33" s="684"/>
      <c r="SVX33" s="684"/>
      <c r="SVY33" s="684"/>
      <c r="SVZ33" s="684"/>
      <c r="SWA33" s="684"/>
      <c r="SWB33" s="684"/>
      <c r="SWC33" s="684"/>
      <c r="SWD33" s="684"/>
      <c r="SWE33" s="684"/>
      <c r="SWF33" s="684"/>
      <c r="SWG33" s="684"/>
      <c r="SWH33" s="684"/>
      <c r="SWI33" s="684"/>
      <c r="SWJ33" s="684"/>
      <c r="SWK33" s="684"/>
      <c r="SWL33" s="684"/>
      <c r="SWM33" s="684"/>
      <c r="SWN33" s="684"/>
      <c r="SWO33" s="684"/>
      <c r="SWP33" s="684"/>
      <c r="SWQ33" s="684"/>
      <c r="SWR33" s="684"/>
      <c r="SWS33" s="684"/>
      <c r="SWT33" s="684"/>
      <c r="SWU33" s="684"/>
      <c r="SWV33" s="684"/>
      <c r="SWW33" s="684"/>
      <c r="SWX33" s="684"/>
      <c r="SWY33" s="684"/>
      <c r="SWZ33" s="684"/>
      <c r="SXA33" s="684"/>
      <c r="SXB33" s="684"/>
      <c r="SXC33" s="684"/>
      <c r="SXD33" s="684"/>
      <c r="SXE33" s="684"/>
      <c r="SXF33" s="684"/>
      <c r="SXG33" s="684"/>
      <c r="SXH33" s="684"/>
      <c r="SXI33" s="684"/>
      <c r="SXJ33" s="684"/>
      <c r="SXK33" s="684"/>
      <c r="SXL33" s="684"/>
      <c r="SXM33" s="684"/>
      <c r="SXN33" s="684"/>
      <c r="SXO33" s="684"/>
      <c r="SXP33" s="684"/>
      <c r="SXQ33" s="684"/>
      <c r="SXR33" s="684"/>
      <c r="SXS33" s="684"/>
      <c r="SXT33" s="684"/>
      <c r="SXU33" s="684"/>
      <c r="SXV33" s="684"/>
      <c r="SXW33" s="684"/>
      <c r="SXX33" s="684"/>
      <c r="SXY33" s="684"/>
      <c r="SXZ33" s="684"/>
      <c r="SYA33" s="684"/>
      <c r="SYB33" s="684"/>
      <c r="SYC33" s="684"/>
      <c r="SYD33" s="684"/>
      <c r="SYE33" s="684"/>
      <c r="SYF33" s="684"/>
      <c r="SYG33" s="684"/>
      <c r="SYH33" s="684"/>
      <c r="SYI33" s="684"/>
      <c r="SYJ33" s="684"/>
      <c r="SYK33" s="684"/>
      <c r="SYL33" s="684"/>
      <c r="SYM33" s="684"/>
      <c r="SYN33" s="684"/>
      <c r="SYO33" s="684"/>
      <c r="SYP33" s="684"/>
      <c r="SYQ33" s="684"/>
      <c r="SYR33" s="684"/>
      <c r="SYS33" s="684"/>
      <c r="SYT33" s="684"/>
      <c r="SYU33" s="684"/>
      <c r="SYV33" s="684"/>
      <c r="SYW33" s="684"/>
      <c r="SYX33" s="684"/>
      <c r="SYY33" s="684"/>
      <c r="SYZ33" s="684"/>
      <c r="SZA33" s="684"/>
      <c r="SZB33" s="684"/>
      <c r="SZC33" s="684"/>
      <c r="SZD33" s="684"/>
      <c r="SZE33" s="684"/>
      <c r="SZF33" s="684"/>
      <c r="SZG33" s="684"/>
      <c r="SZH33" s="684"/>
      <c r="SZI33" s="684"/>
      <c r="SZJ33" s="684"/>
      <c r="SZK33" s="684"/>
      <c r="SZL33" s="684"/>
      <c r="SZM33" s="684"/>
      <c r="SZN33" s="684"/>
      <c r="SZO33" s="684"/>
      <c r="SZP33" s="684"/>
      <c r="SZQ33" s="684"/>
      <c r="SZR33" s="684"/>
      <c r="SZS33" s="684"/>
      <c r="SZT33" s="684"/>
      <c r="SZU33" s="684"/>
      <c r="SZV33" s="684"/>
      <c r="SZW33" s="684"/>
      <c r="SZX33" s="684"/>
      <c r="SZY33" s="684"/>
      <c r="SZZ33" s="684"/>
      <c r="TAA33" s="684"/>
      <c r="TAB33" s="684"/>
      <c r="TAC33" s="684"/>
      <c r="TAD33" s="684"/>
      <c r="TAE33" s="684"/>
      <c r="TAF33" s="684"/>
      <c r="TAG33" s="684"/>
      <c r="TAH33" s="684"/>
      <c r="TAI33" s="684"/>
      <c r="TAJ33" s="684"/>
      <c r="TAK33" s="684"/>
      <c r="TAL33" s="684"/>
      <c r="TAM33" s="684"/>
      <c r="TAN33" s="684"/>
      <c r="TAO33" s="684"/>
      <c r="TAP33" s="684"/>
      <c r="TAQ33" s="684"/>
      <c r="TAR33" s="684"/>
      <c r="TAS33" s="684"/>
      <c r="TAT33" s="684"/>
      <c r="TAU33" s="684"/>
      <c r="TAV33" s="684"/>
      <c r="TAW33" s="684"/>
      <c r="TAX33" s="684"/>
      <c r="TAY33" s="684"/>
      <c r="TAZ33" s="684"/>
      <c r="TBA33" s="684"/>
      <c r="TBB33" s="684"/>
      <c r="TBC33" s="684"/>
      <c r="TBD33" s="684"/>
      <c r="TBE33" s="684"/>
      <c r="TBF33" s="684"/>
      <c r="TBG33" s="684"/>
      <c r="TBH33" s="684"/>
      <c r="TBI33" s="684"/>
      <c r="TBJ33" s="684"/>
      <c r="TBK33" s="684"/>
      <c r="TBL33" s="684"/>
      <c r="TBM33" s="684"/>
      <c r="TBN33" s="684"/>
      <c r="TBO33" s="684"/>
      <c r="TBP33" s="684"/>
      <c r="TBQ33" s="684"/>
      <c r="TBR33" s="684"/>
      <c r="TBS33" s="684"/>
      <c r="TBT33" s="684"/>
      <c r="TBU33" s="684"/>
      <c r="TBV33" s="684"/>
      <c r="TBW33" s="684"/>
      <c r="TBX33" s="684"/>
      <c r="TBY33" s="684"/>
      <c r="TBZ33" s="684"/>
      <c r="TCA33" s="684"/>
      <c r="TCB33" s="684"/>
      <c r="TCC33" s="684"/>
      <c r="TCD33" s="684"/>
      <c r="TCE33" s="684"/>
      <c r="TCF33" s="684"/>
      <c r="TCG33" s="684"/>
      <c r="TCH33" s="684"/>
      <c r="TCI33" s="684"/>
      <c r="TCJ33" s="684"/>
      <c r="TCK33" s="684"/>
      <c r="TCL33" s="684"/>
      <c r="TCM33" s="684"/>
      <c r="TCN33" s="684"/>
      <c r="TCO33" s="684"/>
      <c r="TCP33" s="684"/>
      <c r="TCQ33" s="684"/>
      <c r="TCR33" s="684"/>
      <c r="TCS33" s="684"/>
      <c r="TCT33" s="684"/>
      <c r="TCU33" s="684"/>
      <c r="TCV33" s="684"/>
      <c r="TCW33" s="684"/>
      <c r="TCX33" s="684"/>
      <c r="TCY33" s="684"/>
      <c r="TCZ33" s="684"/>
      <c r="TDA33" s="684"/>
      <c r="TDB33" s="684"/>
      <c r="TDC33" s="684"/>
      <c r="TDD33" s="684"/>
      <c r="TDE33" s="684"/>
      <c r="TDF33" s="684"/>
      <c r="TDG33" s="684"/>
      <c r="TDH33" s="684"/>
      <c r="TDI33" s="684"/>
      <c r="TDJ33" s="684"/>
      <c r="TDK33" s="684"/>
      <c r="TDL33" s="684"/>
      <c r="TDM33" s="684"/>
      <c r="TDN33" s="684"/>
      <c r="TDO33" s="684"/>
      <c r="TDP33" s="684"/>
      <c r="TDQ33" s="684"/>
      <c r="TDR33" s="684"/>
      <c r="TDS33" s="684"/>
      <c r="TDT33" s="684"/>
      <c r="TDU33" s="684"/>
      <c r="TDV33" s="684"/>
      <c r="TDW33" s="684"/>
      <c r="TDX33" s="684"/>
      <c r="TDY33" s="684"/>
      <c r="TDZ33" s="684"/>
      <c r="TEA33" s="684"/>
      <c r="TEB33" s="684"/>
      <c r="TEC33" s="684"/>
      <c r="TED33" s="684"/>
      <c r="TEE33" s="684"/>
      <c r="TEF33" s="684"/>
      <c r="TEG33" s="684"/>
      <c r="TEH33" s="684"/>
      <c r="TEI33" s="684"/>
      <c r="TEJ33" s="684"/>
      <c r="TEK33" s="684"/>
      <c r="TEL33" s="684"/>
      <c r="TEM33" s="684"/>
      <c r="TEN33" s="684"/>
      <c r="TEO33" s="684"/>
      <c r="TEP33" s="684"/>
      <c r="TEQ33" s="684"/>
      <c r="TER33" s="684"/>
      <c r="TES33" s="684"/>
      <c r="TET33" s="684"/>
      <c r="TEU33" s="684"/>
      <c r="TEV33" s="684"/>
      <c r="TEW33" s="684"/>
      <c r="TEX33" s="684"/>
      <c r="TEY33" s="684"/>
      <c r="TEZ33" s="684"/>
      <c r="TFA33" s="684"/>
      <c r="TFB33" s="684"/>
      <c r="TFC33" s="684"/>
      <c r="TFD33" s="684"/>
      <c r="TFE33" s="684"/>
      <c r="TFF33" s="684"/>
      <c r="TFG33" s="684"/>
      <c r="TFH33" s="684"/>
      <c r="TFI33" s="684"/>
      <c r="TFJ33" s="684"/>
      <c r="TFK33" s="684"/>
      <c r="TFL33" s="684"/>
      <c r="TFM33" s="684"/>
      <c r="TFN33" s="684"/>
      <c r="TFO33" s="684"/>
      <c r="TFP33" s="684"/>
      <c r="TFQ33" s="684"/>
      <c r="TFR33" s="684"/>
      <c r="TFS33" s="684"/>
      <c r="TFT33" s="684"/>
      <c r="TFU33" s="684"/>
      <c r="TFV33" s="684"/>
      <c r="TFW33" s="684"/>
      <c r="TFX33" s="684"/>
      <c r="TFY33" s="684"/>
      <c r="TFZ33" s="684"/>
      <c r="TGA33" s="684"/>
      <c r="TGB33" s="684"/>
      <c r="TGC33" s="684"/>
      <c r="TGD33" s="684"/>
      <c r="TGE33" s="684"/>
      <c r="TGF33" s="684"/>
      <c r="TGG33" s="684"/>
      <c r="TGH33" s="684"/>
      <c r="TGI33" s="684"/>
      <c r="TGJ33" s="684"/>
      <c r="TGK33" s="684"/>
      <c r="TGL33" s="684"/>
      <c r="TGM33" s="684"/>
      <c r="TGN33" s="684"/>
      <c r="TGO33" s="684"/>
      <c r="TGP33" s="684"/>
      <c r="TGQ33" s="684"/>
      <c r="TGR33" s="684"/>
      <c r="TGS33" s="684"/>
      <c r="TGT33" s="684"/>
      <c r="TGU33" s="684"/>
      <c r="TGV33" s="684"/>
      <c r="TGW33" s="684"/>
      <c r="TGX33" s="684"/>
      <c r="TGY33" s="684"/>
      <c r="TGZ33" s="684"/>
      <c r="THA33" s="684"/>
      <c r="THB33" s="684"/>
      <c r="THC33" s="684"/>
      <c r="THD33" s="684"/>
      <c r="THE33" s="684"/>
      <c r="THF33" s="684"/>
      <c r="THG33" s="684"/>
      <c r="THH33" s="684"/>
      <c r="THI33" s="684"/>
      <c r="THJ33" s="684"/>
      <c r="THK33" s="684"/>
      <c r="THL33" s="684"/>
      <c r="THM33" s="684"/>
      <c r="THN33" s="684"/>
      <c r="THO33" s="684"/>
      <c r="THP33" s="684"/>
      <c r="THQ33" s="684"/>
      <c r="THR33" s="684"/>
      <c r="THS33" s="684"/>
      <c r="THT33" s="684"/>
      <c r="THU33" s="684"/>
      <c r="THV33" s="684"/>
      <c r="THW33" s="684"/>
      <c r="THX33" s="684"/>
      <c r="THY33" s="684"/>
      <c r="THZ33" s="684"/>
      <c r="TIA33" s="684"/>
      <c r="TIB33" s="684"/>
      <c r="TIC33" s="684"/>
      <c r="TID33" s="684"/>
      <c r="TIE33" s="684"/>
      <c r="TIF33" s="684"/>
      <c r="TIG33" s="684"/>
      <c r="TIH33" s="684"/>
      <c r="TII33" s="684"/>
      <c r="TIJ33" s="684"/>
      <c r="TIK33" s="684"/>
      <c r="TIL33" s="684"/>
      <c r="TIM33" s="684"/>
      <c r="TIN33" s="684"/>
      <c r="TIO33" s="684"/>
      <c r="TIP33" s="684"/>
      <c r="TIQ33" s="684"/>
      <c r="TIR33" s="684"/>
      <c r="TIS33" s="684"/>
      <c r="TIT33" s="684"/>
      <c r="TIU33" s="684"/>
      <c r="TIV33" s="684"/>
      <c r="TIW33" s="684"/>
      <c r="TIX33" s="684"/>
      <c r="TIY33" s="684"/>
      <c r="TIZ33" s="684"/>
      <c r="TJA33" s="684"/>
      <c r="TJB33" s="684"/>
      <c r="TJC33" s="684"/>
      <c r="TJD33" s="684"/>
      <c r="TJE33" s="684"/>
      <c r="TJF33" s="684"/>
      <c r="TJG33" s="684"/>
      <c r="TJH33" s="684"/>
      <c r="TJI33" s="684"/>
      <c r="TJJ33" s="684"/>
      <c r="TJK33" s="684"/>
      <c r="TJL33" s="684"/>
      <c r="TJM33" s="684"/>
      <c r="TJN33" s="684"/>
      <c r="TJO33" s="684"/>
      <c r="TJP33" s="684"/>
      <c r="TJQ33" s="684"/>
      <c r="TJR33" s="684"/>
      <c r="TJS33" s="684"/>
      <c r="TJT33" s="684"/>
      <c r="TJU33" s="684"/>
      <c r="TJV33" s="684"/>
      <c r="TJW33" s="684"/>
      <c r="TJX33" s="684"/>
      <c r="TJY33" s="684"/>
      <c r="TJZ33" s="684"/>
      <c r="TKA33" s="684"/>
      <c r="TKB33" s="684"/>
      <c r="TKC33" s="684"/>
      <c r="TKD33" s="684"/>
      <c r="TKE33" s="684"/>
      <c r="TKF33" s="684"/>
      <c r="TKG33" s="684"/>
      <c r="TKH33" s="684"/>
      <c r="TKI33" s="684"/>
      <c r="TKJ33" s="684"/>
      <c r="TKK33" s="684"/>
      <c r="TKL33" s="684"/>
      <c r="TKM33" s="684"/>
      <c r="TKN33" s="684"/>
      <c r="TKO33" s="684"/>
      <c r="TKP33" s="684"/>
      <c r="TKQ33" s="684"/>
      <c r="TKR33" s="684"/>
      <c r="TKS33" s="684"/>
      <c r="TKT33" s="684"/>
      <c r="TKU33" s="684"/>
      <c r="TKV33" s="684"/>
      <c r="TKW33" s="684"/>
      <c r="TKX33" s="684"/>
      <c r="TKY33" s="684"/>
      <c r="TKZ33" s="684"/>
      <c r="TLA33" s="684"/>
      <c r="TLB33" s="684"/>
      <c r="TLC33" s="684"/>
      <c r="TLD33" s="684"/>
      <c r="TLE33" s="684"/>
      <c r="TLF33" s="684"/>
      <c r="TLG33" s="684"/>
      <c r="TLH33" s="684"/>
      <c r="TLI33" s="684"/>
      <c r="TLJ33" s="684"/>
      <c r="TLK33" s="684"/>
      <c r="TLL33" s="684"/>
      <c r="TLM33" s="684"/>
      <c r="TLN33" s="684"/>
      <c r="TLO33" s="684"/>
      <c r="TLP33" s="684"/>
      <c r="TLQ33" s="684"/>
      <c r="TLR33" s="684"/>
      <c r="TLS33" s="684"/>
      <c r="TLT33" s="684"/>
      <c r="TLU33" s="684"/>
      <c r="TLV33" s="684"/>
      <c r="TLW33" s="684"/>
      <c r="TLX33" s="684"/>
      <c r="TLY33" s="684"/>
      <c r="TLZ33" s="684"/>
      <c r="TMA33" s="684"/>
      <c r="TMB33" s="684"/>
      <c r="TMC33" s="684"/>
      <c r="TMD33" s="684"/>
      <c r="TME33" s="684"/>
      <c r="TMF33" s="684"/>
      <c r="TMG33" s="684"/>
      <c r="TMH33" s="684"/>
      <c r="TMI33" s="684"/>
      <c r="TMJ33" s="684"/>
      <c r="TMK33" s="684"/>
      <c r="TML33" s="684"/>
      <c r="TMM33" s="684"/>
      <c r="TMN33" s="684"/>
      <c r="TMO33" s="684"/>
      <c r="TMP33" s="684"/>
      <c r="TMQ33" s="684"/>
      <c r="TMR33" s="684"/>
      <c r="TMS33" s="684"/>
      <c r="TMT33" s="684"/>
      <c r="TMU33" s="684"/>
      <c r="TMV33" s="684"/>
      <c r="TMW33" s="684"/>
      <c r="TMX33" s="684"/>
      <c r="TMY33" s="684"/>
      <c r="TMZ33" s="684"/>
      <c r="TNA33" s="684"/>
      <c r="TNB33" s="684"/>
      <c r="TNC33" s="684"/>
      <c r="TND33" s="684"/>
      <c r="TNE33" s="684"/>
      <c r="TNF33" s="684"/>
      <c r="TNG33" s="684"/>
      <c r="TNH33" s="684"/>
      <c r="TNI33" s="684"/>
      <c r="TNJ33" s="684"/>
      <c r="TNK33" s="684"/>
      <c r="TNL33" s="684"/>
      <c r="TNM33" s="684"/>
      <c r="TNN33" s="684"/>
      <c r="TNO33" s="684"/>
      <c r="TNP33" s="684"/>
      <c r="TNQ33" s="684"/>
      <c r="TNR33" s="684"/>
      <c r="TNS33" s="684"/>
      <c r="TNT33" s="684"/>
      <c r="TNU33" s="684"/>
      <c r="TNV33" s="684"/>
      <c r="TNW33" s="684"/>
      <c r="TNX33" s="684"/>
      <c r="TNY33" s="684"/>
      <c r="TNZ33" s="684"/>
      <c r="TOA33" s="684"/>
      <c r="TOB33" s="684"/>
      <c r="TOC33" s="684"/>
      <c r="TOD33" s="684"/>
      <c r="TOE33" s="684"/>
      <c r="TOF33" s="684"/>
      <c r="TOG33" s="684"/>
      <c r="TOH33" s="684"/>
      <c r="TOI33" s="684"/>
      <c r="TOJ33" s="684"/>
      <c r="TOK33" s="684"/>
      <c r="TOL33" s="684"/>
      <c r="TOM33" s="684"/>
      <c r="TON33" s="684"/>
      <c r="TOO33" s="684"/>
      <c r="TOP33" s="684"/>
      <c r="TOQ33" s="684"/>
      <c r="TOR33" s="684"/>
      <c r="TOS33" s="684"/>
      <c r="TOT33" s="684"/>
      <c r="TOU33" s="684"/>
      <c r="TOV33" s="684"/>
      <c r="TOW33" s="684"/>
      <c r="TOX33" s="684"/>
      <c r="TOY33" s="684"/>
      <c r="TOZ33" s="684"/>
      <c r="TPA33" s="684"/>
      <c r="TPB33" s="684"/>
      <c r="TPC33" s="684"/>
      <c r="TPD33" s="684"/>
      <c r="TPE33" s="684"/>
      <c r="TPF33" s="684"/>
      <c r="TPG33" s="684"/>
      <c r="TPH33" s="684"/>
      <c r="TPI33" s="684"/>
      <c r="TPJ33" s="684"/>
      <c r="TPK33" s="684"/>
      <c r="TPL33" s="684"/>
      <c r="TPM33" s="684"/>
      <c r="TPN33" s="684"/>
      <c r="TPO33" s="684"/>
      <c r="TPP33" s="684"/>
      <c r="TPQ33" s="684"/>
      <c r="TPR33" s="684"/>
      <c r="TPS33" s="684"/>
      <c r="TPT33" s="684"/>
      <c r="TPU33" s="684"/>
      <c r="TPV33" s="684"/>
      <c r="TPW33" s="684"/>
      <c r="TPX33" s="684"/>
      <c r="TPY33" s="684"/>
      <c r="TPZ33" s="684"/>
      <c r="TQA33" s="684"/>
      <c r="TQB33" s="684"/>
      <c r="TQC33" s="684"/>
      <c r="TQD33" s="684"/>
      <c r="TQE33" s="684"/>
      <c r="TQF33" s="684"/>
      <c r="TQG33" s="684"/>
      <c r="TQH33" s="684"/>
      <c r="TQI33" s="684"/>
      <c r="TQJ33" s="684"/>
      <c r="TQK33" s="684"/>
      <c r="TQL33" s="684"/>
      <c r="TQM33" s="684"/>
      <c r="TQN33" s="684"/>
      <c r="TQO33" s="684"/>
      <c r="TQP33" s="684"/>
      <c r="TQQ33" s="684"/>
      <c r="TQR33" s="684"/>
      <c r="TQS33" s="684"/>
      <c r="TQT33" s="684"/>
      <c r="TQU33" s="684"/>
      <c r="TQV33" s="684"/>
      <c r="TQW33" s="684"/>
      <c r="TQX33" s="684"/>
      <c r="TQY33" s="684"/>
      <c r="TQZ33" s="684"/>
      <c r="TRA33" s="684"/>
      <c r="TRB33" s="684"/>
      <c r="TRC33" s="684"/>
      <c r="TRD33" s="684"/>
      <c r="TRE33" s="684"/>
      <c r="TRF33" s="684"/>
      <c r="TRG33" s="684"/>
      <c r="TRH33" s="684"/>
      <c r="TRI33" s="684"/>
      <c r="TRJ33" s="684"/>
      <c r="TRK33" s="684"/>
      <c r="TRL33" s="684"/>
      <c r="TRM33" s="684"/>
      <c r="TRN33" s="684"/>
      <c r="TRO33" s="684"/>
      <c r="TRP33" s="684"/>
      <c r="TRQ33" s="684"/>
      <c r="TRR33" s="684"/>
      <c r="TRS33" s="684"/>
      <c r="TRT33" s="684"/>
      <c r="TRU33" s="684"/>
      <c r="TRV33" s="684"/>
      <c r="TRW33" s="684"/>
      <c r="TRX33" s="684"/>
      <c r="TRY33" s="684"/>
      <c r="TRZ33" s="684"/>
      <c r="TSA33" s="684"/>
      <c r="TSB33" s="684"/>
      <c r="TSC33" s="684"/>
      <c r="TSD33" s="684"/>
      <c r="TSE33" s="684"/>
      <c r="TSF33" s="684"/>
      <c r="TSG33" s="684"/>
      <c r="TSH33" s="684"/>
      <c r="TSI33" s="684"/>
      <c r="TSJ33" s="684"/>
      <c r="TSK33" s="684"/>
      <c r="TSL33" s="684"/>
      <c r="TSM33" s="684"/>
      <c r="TSN33" s="684"/>
      <c r="TSO33" s="684"/>
      <c r="TSP33" s="684"/>
      <c r="TSQ33" s="684"/>
      <c r="TSR33" s="684"/>
      <c r="TSS33" s="684"/>
      <c r="TST33" s="684"/>
      <c r="TSU33" s="684"/>
      <c r="TSV33" s="684"/>
      <c r="TSW33" s="684"/>
      <c r="TSX33" s="684"/>
      <c r="TSY33" s="684"/>
      <c r="TSZ33" s="684"/>
      <c r="TTA33" s="684"/>
      <c r="TTB33" s="684"/>
      <c r="TTC33" s="684"/>
      <c r="TTD33" s="684"/>
      <c r="TTE33" s="684"/>
      <c r="TTF33" s="684"/>
      <c r="TTG33" s="684"/>
      <c r="TTH33" s="684"/>
      <c r="TTI33" s="684"/>
      <c r="TTJ33" s="684"/>
      <c r="TTK33" s="684"/>
      <c r="TTL33" s="684"/>
      <c r="TTM33" s="684"/>
      <c r="TTN33" s="684"/>
      <c r="TTO33" s="684"/>
      <c r="TTP33" s="684"/>
      <c r="TTQ33" s="684"/>
      <c r="TTR33" s="684"/>
      <c r="TTS33" s="684"/>
      <c r="TTT33" s="684"/>
      <c r="TTU33" s="684"/>
      <c r="TTV33" s="684"/>
      <c r="TTW33" s="684"/>
      <c r="TTX33" s="684"/>
      <c r="TTY33" s="684"/>
      <c r="TTZ33" s="684"/>
      <c r="TUA33" s="684"/>
      <c r="TUB33" s="684"/>
      <c r="TUC33" s="684"/>
      <c r="TUD33" s="684"/>
      <c r="TUE33" s="684"/>
      <c r="TUF33" s="684"/>
      <c r="TUG33" s="684"/>
      <c r="TUH33" s="684"/>
      <c r="TUI33" s="684"/>
      <c r="TUJ33" s="684"/>
      <c r="TUK33" s="684"/>
      <c r="TUL33" s="684"/>
      <c r="TUM33" s="684"/>
      <c r="TUN33" s="684"/>
      <c r="TUO33" s="684"/>
      <c r="TUP33" s="684"/>
      <c r="TUQ33" s="684"/>
      <c r="TUR33" s="684"/>
      <c r="TUS33" s="684"/>
      <c r="TUT33" s="684"/>
      <c r="TUU33" s="684"/>
      <c r="TUV33" s="684"/>
      <c r="TUW33" s="684"/>
      <c r="TUX33" s="684"/>
      <c r="TUY33" s="684"/>
      <c r="TUZ33" s="684"/>
      <c r="TVA33" s="684"/>
      <c r="TVB33" s="684"/>
      <c r="TVC33" s="684"/>
      <c r="TVD33" s="684"/>
      <c r="TVE33" s="684"/>
      <c r="TVF33" s="684"/>
      <c r="TVG33" s="684"/>
      <c r="TVH33" s="684"/>
      <c r="TVI33" s="684"/>
      <c r="TVJ33" s="684"/>
      <c r="TVK33" s="684"/>
      <c r="TVL33" s="684"/>
      <c r="TVM33" s="684"/>
      <c r="TVN33" s="684"/>
      <c r="TVO33" s="684"/>
      <c r="TVP33" s="684"/>
      <c r="TVQ33" s="684"/>
      <c r="TVR33" s="684"/>
      <c r="TVS33" s="684"/>
      <c r="TVT33" s="684"/>
      <c r="TVU33" s="684"/>
      <c r="TVV33" s="684"/>
      <c r="TVW33" s="684"/>
      <c r="TVX33" s="684"/>
      <c r="TVY33" s="684"/>
      <c r="TVZ33" s="684"/>
      <c r="TWA33" s="684"/>
      <c r="TWB33" s="684"/>
      <c r="TWC33" s="684"/>
      <c r="TWD33" s="684"/>
      <c r="TWE33" s="684"/>
      <c r="TWF33" s="684"/>
      <c r="TWG33" s="684"/>
      <c r="TWH33" s="684"/>
      <c r="TWI33" s="684"/>
      <c r="TWJ33" s="684"/>
      <c r="TWK33" s="684"/>
      <c r="TWL33" s="684"/>
      <c r="TWM33" s="684"/>
      <c r="TWN33" s="684"/>
      <c r="TWO33" s="684"/>
      <c r="TWP33" s="684"/>
      <c r="TWQ33" s="684"/>
      <c r="TWR33" s="684"/>
      <c r="TWS33" s="684"/>
      <c r="TWT33" s="684"/>
      <c r="TWU33" s="684"/>
      <c r="TWV33" s="684"/>
      <c r="TWW33" s="684"/>
      <c r="TWX33" s="684"/>
      <c r="TWY33" s="684"/>
      <c r="TWZ33" s="684"/>
      <c r="TXA33" s="684"/>
      <c r="TXB33" s="684"/>
      <c r="TXC33" s="684"/>
      <c r="TXD33" s="684"/>
      <c r="TXE33" s="684"/>
      <c r="TXF33" s="684"/>
      <c r="TXG33" s="684"/>
      <c r="TXH33" s="684"/>
      <c r="TXI33" s="684"/>
      <c r="TXJ33" s="684"/>
      <c r="TXK33" s="684"/>
      <c r="TXL33" s="684"/>
      <c r="TXM33" s="684"/>
      <c r="TXN33" s="684"/>
      <c r="TXO33" s="684"/>
      <c r="TXP33" s="684"/>
      <c r="TXQ33" s="684"/>
      <c r="TXR33" s="684"/>
      <c r="TXS33" s="684"/>
      <c r="TXT33" s="684"/>
      <c r="TXU33" s="684"/>
      <c r="TXV33" s="684"/>
      <c r="TXW33" s="684"/>
      <c r="TXX33" s="684"/>
      <c r="TXY33" s="684"/>
      <c r="TXZ33" s="684"/>
      <c r="TYA33" s="684"/>
      <c r="TYB33" s="684"/>
      <c r="TYC33" s="684"/>
      <c r="TYD33" s="684"/>
      <c r="TYE33" s="684"/>
      <c r="TYF33" s="684"/>
      <c r="TYG33" s="684"/>
      <c r="TYH33" s="684"/>
      <c r="TYI33" s="684"/>
      <c r="TYJ33" s="684"/>
      <c r="TYK33" s="684"/>
      <c r="TYL33" s="684"/>
      <c r="TYM33" s="684"/>
      <c r="TYN33" s="684"/>
      <c r="TYO33" s="684"/>
      <c r="TYP33" s="684"/>
      <c r="TYQ33" s="684"/>
      <c r="TYR33" s="684"/>
      <c r="TYS33" s="684"/>
      <c r="TYT33" s="684"/>
      <c r="TYU33" s="684"/>
      <c r="TYV33" s="684"/>
      <c r="TYW33" s="684"/>
      <c r="TYX33" s="684"/>
      <c r="TYY33" s="684"/>
      <c r="TYZ33" s="684"/>
      <c r="TZA33" s="684"/>
      <c r="TZB33" s="684"/>
      <c r="TZC33" s="684"/>
      <c r="TZD33" s="684"/>
      <c r="TZE33" s="684"/>
      <c r="TZF33" s="684"/>
      <c r="TZG33" s="684"/>
      <c r="TZH33" s="684"/>
      <c r="TZI33" s="684"/>
      <c r="TZJ33" s="684"/>
      <c r="TZK33" s="684"/>
      <c r="TZL33" s="684"/>
      <c r="TZM33" s="684"/>
      <c r="TZN33" s="684"/>
      <c r="TZO33" s="684"/>
      <c r="TZP33" s="684"/>
      <c r="TZQ33" s="684"/>
      <c r="TZR33" s="684"/>
      <c r="TZS33" s="684"/>
      <c r="TZT33" s="684"/>
      <c r="TZU33" s="684"/>
      <c r="TZV33" s="684"/>
      <c r="TZW33" s="684"/>
      <c r="TZX33" s="684"/>
      <c r="TZY33" s="684"/>
      <c r="TZZ33" s="684"/>
      <c r="UAA33" s="684"/>
      <c r="UAB33" s="684"/>
      <c r="UAC33" s="684"/>
      <c r="UAD33" s="684"/>
      <c r="UAE33" s="684"/>
      <c r="UAF33" s="684"/>
      <c r="UAG33" s="684"/>
      <c r="UAH33" s="684"/>
      <c r="UAI33" s="684"/>
      <c r="UAJ33" s="684"/>
      <c r="UAK33" s="684"/>
      <c r="UAL33" s="684"/>
      <c r="UAM33" s="684"/>
      <c r="UAN33" s="684"/>
      <c r="UAO33" s="684"/>
      <c r="UAP33" s="684"/>
      <c r="UAQ33" s="684"/>
      <c r="UAR33" s="684"/>
      <c r="UAS33" s="684"/>
      <c r="UAT33" s="684"/>
      <c r="UAU33" s="684"/>
      <c r="UAV33" s="684"/>
      <c r="UAW33" s="684"/>
      <c r="UAX33" s="684"/>
      <c r="UAY33" s="684"/>
      <c r="UAZ33" s="684"/>
      <c r="UBA33" s="684"/>
      <c r="UBB33" s="684"/>
      <c r="UBC33" s="684"/>
      <c r="UBD33" s="684"/>
      <c r="UBE33" s="684"/>
      <c r="UBF33" s="684"/>
      <c r="UBG33" s="684"/>
      <c r="UBH33" s="684"/>
      <c r="UBI33" s="684"/>
      <c r="UBJ33" s="684"/>
      <c r="UBK33" s="684"/>
      <c r="UBL33" s="684"/>
      <c r="UBM33" s="684"/>
      <c r="UBN33" s="684"/>
      <c r="UBO33" s="684"/>
      <c r="UBP33" s="684"/>
      <c r="UBQ33" s="684"/>
      <c r="UBR33" s="684"/>
      <c r="UBS33" s="684"/>
      <c r="UBT33" s="684"/>
      <c r="UBU33" s="684"/>
      <c r="UBV33" s="684"/>
      <c r="UBW33" s="684"/>
      <c r="UBX33" s="684"/>
      <c r="UBY33" s="684"/>
      <c r="UBZ33" s="684"/>
      <c r="UCA33" s="684"/>
      <c r="UCB33" s="684"/>
      <c r="UCC33" s="684"/>
      <c r="UCD33" s="684"/>
      <c r="UCE33" s="684"/>
      <c r="UCF33" s="684"/>
      <c r="UCG33" s="684"/>
      <c r="UCH33" s="684"/>
      <c r="UCI33" s="684"/>
      <c r="UCJ33" s="684"/>
      <c r="UCK33" s="684"/>
      <c r="UCL33" s="684"/>
      <c r="UCM33" s="684"/>
      <c r="UCN33" s="684"/>
      <c r="UCO33" s="684"/>
      <c r="UCP33" s="684"/>
      <c r="UCQ33" s="684"/>
      <c r="UCR33" s="684"/>
      <c r="UCS33" s="684"/>
      <c r="UCT33" s="684"/>
      <c r="UCU33" s="684"/>
      <c r="UCV33" s="684"/>
      <c r="UCW33" s="684"/>
      <c r="UCX33" s="684"/>
      <c r="UCY33" s="684"/>
      <c r="UCZ33" s="684"/>
      <c r="UDA33" s="684"/>
      <c r="UDB33" s="684"/>
      <c r="UDC33" s="684"/>
      <c r="UDD33" s="684"/>
      <c r="UDE33" s="684"/>
      <c r="UDF33" s="684"/>
      <c r="UDG33" s="684"/>
      <c r="UDH33" s="684"/>
      <c r="UDI33" s="684"/>
      <c r="UDJ33" s="684"/>
      <c r="UDK33" s="684"/>
      <c r="UDL33" s="684"/>
      <c r="UDM33" s="684"/>
      <c r="UDN33" s="684"/>
      <c r="UDO33" s="684"/>
      <c r="UDP33" s="684"/>
      <c r="UDQ33" s="684"/>
      <c r="UDR33" s="684"/>
      <c r="UDS33" s="684"/>
      <c r="UDT33" s="684"/>
      <c r="UDU33" s="684"/>
      <c r="UDV33" s="684"/>
      <c r="UDW33" s="684"/>
      <c r="UDX33" s="684"/>
      <c r="UDY33" s="684"/>
      <c r="UDZ33" s="684"/>
      <c r="UEA33" s="684"/>
      <c r="UEB33" s="684"/>
      <c r="UEC33" s="684"/>
      <c r="UED33" s="684"/>
      <c r="UEE33" s="684"/>
      <c r="UEF33" s="684"/>
      <c r="UEG33" s="684"/>
      <c r="UEH33" s="684"/>
      <c r="UEI33" s="684"/>
      <c r="UEJ33" s="684"/>
      <c r="UEK33" s="684"/>
      <c r="UEL33" s="684"/>
      <c r="UEM33" s="684"/>
      <c r="UEN33" s="684"/>
      <c r="UEO33" s="684"/>
      <c r="UEP33" s="684"/>
      <c r="UEQ33" s="684"/>
      <c r="UER33" s="684"/>
      <c r="UES33" s="684"/>
      <c r="UET33" s="684"/>
      <c r="UEU33" s="684"/>
      <c r="UEV33" s="684"/>
      <c r="UEW33" s="684"/>
      <c r="UEX33" s="684"/>
      <c r="UEY33" s="684"/>
      <c r="UEZ33" s="684"/>
      <c r="UFA33" s="684"/>
      <c r="UFB33" s="684"/>
      <c r="UFC33" s="684"/>
      <c r="UFD33" s="684"/>
      <c r="UFE33" s="684"/>
      <c r="UFF33" s="684"/>
      <c r="UFG33" s="684"/>
      <c r="UFH33" s="684"/>
      <c r="UFI33" s="684"/>
      <c r="UFJ33" s="684"/>
      <c r="UFK33" s="684"/>
      <c r="UFL33" s="684"/>
      <c r="UFM33" s="684"/>
      <c r="UFN33" s="684"/>
      <c r="UFO33" s="684"/>
      <c r="UFP33" s="684"/>
      <c r="UFQ33" s="684"/>
      <c r="UFR33" s="684"/>
      <c r="UFS33" s="684"/>
      <c r="UFT33" s="684"/>
      <c r="UFU33" s="684"/>
      <c r="UFV33" s="684"/>
      <c r="UFW33" s="684"/>
      <c r="UFX33" s="684"/>
      <c r="UFY33" s="684"/>
      <c r="UFZ33" s="684"/>
      <c r="UGA33" s="684"/>
      <c r="UGB33" s="684"/>
      <c r="UGC33" s="684"/>
      <c r="UGD33" s="684"/>
      <c r="UGE33" s="684"/>
      <c r="UGF33" s="684"/>
      <c r="UGG33" s="684"/>
      <c r="UGH33" s="684"/>
      <c r="UGI33" s="684"/>
      <c r="UGJ33" s="684"/>
      <c r="UGK33" s="684"/>
      <c r="UGL33" s="684"/>
      <c r="UGM33" s="684"/>
      <c r="UGN33" s="684"/>
      <c r="UGO33" s="684"/>
      <c r="UGP33" s="684"/>
      <c r="UGQ33" s="684"/>
      <c r="UGR33" s="684"/>
      <c r="UGS33" s="684"/>
      <c r="UGT33" s="684"/>
      <c r="UGU33" s="684"/>
      <c r="UGV33" s="684"/>
      <c r="UGW33" s="684"/>
      <c r="UGX33" s="684"/>
      <c r="UGY33" s="684"/>
      <c r="UGZ33" s="684"/>
      <c r="UHA33" s="684"/>
      <c r="UHB33" s="684"/>
      <c r="UHC33" s="684"/>
      <c r="UHD33" s="684"/>
      <c r="UHE33" s="684"/>
      <c r="UHF33" s="684"/>
      <c r="UHG33" s="684"/>
      <c r="UHH33" s="684"/>
      <c r="UHI33" s="684"/>
      <c r="UHJ33" s="684"/>
      <c r="UHK33" s="684"/>
      <c r="UHL33" s="684"/>
      <c r="UHM33" s="684"/>
      <c r="UHN33" s="684"/>
      <c r="UHO33" s="684"/>
      <c r="UHP33" s="684"/>
      <c r="UHQ33" s="684"/>
      <c r="UHR33" s="684"/>
      <c r="UHS33" s="684"/>
      <c r="UHT33" s="684"/>
      <c r="UHU33" s="684"/>
      <c r="UHV33" s="684"/>
      <c r="UHW33" s="684"/>
      <c r="UHX33" s="684"/>
      <c r="UHY33" s="684"/>
      <c r="UHZ33" s="684"/>
      <c r="UIA33" s="684"/>
      <c r="UIB33" s="684"/>
      <c r="UIC33" s="684"/>
      <c r="UID33" s="684"/>
      <c r="UIE33" s="684"/>
      <c r="UIF33" s="684"/>
      <c r="UIG33" s="684"/>
      <c r="UIH33" s="684"/>
      <c r="UII33" s="684"/>
      <c r="UIJ33" s="684"/>
      <c r="UIK33" s="684"/>
      <c r="UIL33" s="684"/>
      <c r="UIM33" s="684"/>
      <c r="UIN33" s="684"/>
      <c r="UIO33" s="684"/>
      <c r="UIP33" s="684"/>
      <c r="UIQ33" s="684"/>
      <c r="UIR33" s="684"/>
      <c r="UIS33" s="684"/>
      <c r="UIT33" s="684"/>
      <c r="UIU33" s="684"/>
      <c r="UIV33" s="684"/>
      <c r="UIW33" s="684"/>
      <c r="UIX33" s="684"/>
      <c r="UIY33" s="684"/>
      <c r="UIZ33" s="684"/>
      <c r="UJA33" s="684"/>
      <c r="UJB33" s="684"/>
      <c r="UJC33" s="684"/>
      <c r="UJD33" s="684"/>
      <c r="UJE33" s="684"/>
      <c r="UJF33" s="684"/>
      <c r="UJG33" s="684"/>
      <c r="UJH33" s="684"/>
      <c r="UJI33" s="684"/>
      <c r="UJJ33" s="684"/>
      <c r="UJK33" s="684"/>
      <c r="UJL33" s="684"/>
      <c r="UJM33" s="684"/>
      <c r="UJN33" s="684"/>
      <c r="UJO33" s="684"/>
      <c r="UJP33" s="684"/>
      <c r="UJQ33" s="684"/>
      <c r="UJR33" s="684"/>
      <c r="UJS33" s="684"/>
      <c r="UJT33" s="684"/>
      <c r="UJU33" s="684"/>
      <c r="UJV33" s="684"/>
      <c r="UJW33" s="684"/>
      <c r="UJX33" s="684"/>
      <c r="UJY33" s="684"/>
      <c r="UJZ33" s="684"/>
      <c r="UKA33" s="684"/>
      <c r="UKB33" s="684"/>
      <c r="UKC33" s="684"/>
      <c r="UKD33" s="684"/>
      <c r="UKE33" s="684"/>
      <c r="UKF33" s="684"/>
      <c r="UKG33" s="684"/>
      <c r="UKH33" s="684"/>
      <c r="UKI33" s="684"/>
      <c r="UKJ33" s="684"/>
      <c r="UKK33" s="684"/>
      <c r="UKL33" s="684"/>
      <c r="UKM33" s="684"/>
      <c r="UKN33" s="684"/>
      <c r="UKO33" s="684"/>
      <c r="UKP33" s="684"/>
      <c r="UKQ33" s="684"/>
      <c r="UKR33" s="684"/>
      <c r="UKS33" s="684"/>
      <c r="UKT33" s="684"/>
      <c r="UKU33" s="684"/>
      <c r="UKV33" s="684"/>
      <c r="UKW33" s="684"/>
      <c r="UKX33" s="684"/>
      <c r="UKY33" s="684"/>
      <c r="UKZ33" s="684"/>
      <c r="ULA33" s="684"/>
      <c r="ULB33" s="684"/>
      <c r="ULC33" s="684"/>
      <c r="ULD33" s="684"/>
      <c r="ULE33" s="684"/>
      <c r="ULF33" s="684"/>
      <c r="ULG33" s="684"/>
      <c r="ULH33" s="684"/>
      <c r="ULI33" s="684"/>
      <c r="ULJ33" s="684"/>
      <c r="ULK33" s="684"/>
      <c r="ULL33" s="684"/>
      <c r="ULM33" s="684"/>
      <c r="ULN33" s="684"/>
      <c r="ULO33" s="684"/>
      <c r="ULP33" s="684"/>
      <c r="ULQ33" s="684"/>
      <c r="ULR33" s="684"/>
      <c r="ULS33" s="684"/>
      <c r="ULT33" s="684"/>
      <c r="ULU33" s="684"/>
      <c r="ULV33" s="684"/>
      <c r="ULW33" s="684"/>
      <c r="ULX33" s="684"/>
      <c r="ULY33" s="684"/>
      <c r="ULZ33" s="684"/>
      <c r="UMA33" s="684"/>
      <c r="UMB33" s="684"/>
      <c r="UMC33" s="684"/>
      <c r="UMD33" s="684"/>
      <c r="UME33" s="684"/>
      <c r="UMF33" s="684"/>
      <c r="UMG33" s="684"/>
      <c r="UMH33" s="684"/>
      <c r="UMI33" s="684"/>
      <c r="UMJ33" s="684"/>
      <c r="UMK33" s="684"/>
      <c r="UML33" s="684"/>
      <c r="UMM33" s="684"/>
      <c r="UMN33" s="684"/>
      <c r="UMO33" s="684"/>
      <c r="UMP33" s="684"/>
      <c r="UMQ33" s="684"/>
      <c r="UMR33" s="684"/>
      <c r="UMS33" s="684"/>
      <c r="UMT33" s="684"/>
      <c r="UMU33" s="684"/>
      <c r="UMV33" s="684"/>
      <c r="UMW33" s="684"/>
      <c r="UMX33" s="684"/>
      <c r="UMY33" s="684"/>
      <c r="UMZ33" s="684"/>
      <c r="UNA33" s="684"/>
      <c r="UNB33" s="684"/>
      <c r="UNC33" s="684"/>
      <c r="UND33" s="684"/>
      <c r="UNE33" s="684"/>
      <c r="UNF33" s="684"/>
      <c r="UNG33" s="684"/>
      <c r="UNH33" s="684"/>
      <c r="UNI33" s="684"/>
      <c r="UNJ33" s="684"/>
      <c r="UNK33" s="684"/>
      <c r="UNL33" s="684"/>
      <c r="UNM33" s="684"/>
      <c r="UNN33" s="684"/>
      <c r="UNO33" s="684"/>
      <c r="UNP33" s="684"/>
      <c r="UNQ33" s="684"/>
      <c r="UNR33" s="684"/>
      <c r="UNS33" s="684"/>
      <c r="UNT33" s="684"/>
      <c r="UNU33" s="684"/>
      <c r="UNV33" s="684"/>
      <c r="UNW33" s="684"/>
      <c r="UNX33" s="684"/>
      <c r="UNY33" s="684"/>
      <c r="UNZ33" s="684"/>
      <c r="UOA33" s="684"/>
      <c r="UOB33" s="684"/>
      <c r="UOC33" s="684"/>
      <c r="UOD33" s="684"/>
      <c r="UOE33" s="684"/>
      <c r="UOF33" s="684"/>
      <c r="UOG33" s="684"/>
      <c r="UOH33" s="684"/>
      <c r="UOI33" s="684"/>
      <c r="UOJ33" s="684"/>
      <c r="UOK33" s="684"/>
      <c r="UOL33" s="684"/>
      <c r="UOM33" s="684"/>
      <c r="UON33" s="684"/>
      <c r="UOO33" s="684"/>
      <c r="UOP33" s="684"/>
      <c r="UOQ33" s="684"/>
      <c r="UOR33" s="684"/>
      <c r="UOS33" s="684"/>
      <c r="UOT33" s="684"/>
      <c r="UOU33" s="684"/>
      <c r="UOV33" s="684"/>
      <c r="UOW33" s="684"/>
      <c r="UOX33" s="684"/>
      <c r="UOY33" s="684"/>
      <c r="UOZ33" s="684"/>
      <c r="UPA33" s="684"/>
      <c r="UPB33" s="684"/>
      <c r="UPC33" s="684"/>
      <c r="UPD33" s="684"/>
      <c r="UPE33" s="684"/>
      <c r="UPF33" s="684"/>
      <c r="UPG33" s="684"/>
      <c r="UPH33" s="684"/>
      <c r="UPI33" s="684"/>
      <c r="UPJ33" s="684"/>
      <c r="UPK33" s="684"/>
      <c r="UPL33" s="684"/>
      <c r="UPM33" s="684"/>
      <c r="UPN33" s="684"/>
      <c r="UPO33" s="684"/>
      <c r="UPP33" s="684"/>
      <c r="UPQ33" s="684"/>
      <c r="UPR33" s="684"/>
      <c r="UPS33" s="684"/>
      <c r="UPT33" s="684"/>
      <c r="UPU33" s="684"/>
      <c r="UPV33" s="684"/>
      <c r="UPW33" s="684"/>
      <c r="UPX33" s="684"/>
      <c r="UPY33" s="684"/>
      <c r="UPZ33" s="684"/>
      <c r="UQA33" s="684"/>
      <c r="UQB33" s="684"/>
      <c r="UQC33" s="684"/>
      <c r="UQD33" s="684"/>
      <c r="UQE33" s="684"/>
      <c r="UQF33" s="684"/>
      <c r="UQG33" s="684"/>
      <c r="UQH33" s="684"/>
      <c r="UQI33" s="684"/>
      <c r="UQJ33" s="684"/>
      <c r="UQK33" s="684"/>
      <c r="UQL33" s="684"/>
      <c r="UQM33" s="684"/>
      <c r="UQN33" s="684"/>
      <c r="UQO33" s="684"/>
      <c r="UQP33" s="684"/>
      <c r="UQQ33" s="684"/>
      <c r="UQR33" s="684"/>
      <c r="UQS33" s="684"/>
      <c r="UQT33" s="684"/>
      <c r="UQU33" s="684"/>
      <c r="UQV33" s="684"/>
      <c r="UQW33" s="684"/>
      <c r="UQX33" s="684"/>
      <c r="UQY33" s="684"/>
      <c r="UQZ33" s="684"/>
      <c r="URA33" s="684"/>
      <c r="URB33" s="684"/>
      <c r="URC33" s="684"/>
      <c r="URD33" s="684"/>
      <c r="URE33" s="684"/>
      <c r="URF33" s="684"/>
      <c r="URG33" s="684"/>
      <c r="URH33" s="684"/>
      <c r="URI33" s="684"/>
      <c r="URJ33" s="684"/>
      <c r="URK33" s="684"/>
      <c r="URL33" s="684"/>
      <c r="URM33" s="684"/>
      <c r="URN33" s="684"/>
      <c r="URO33" s="684"/>
      <c r="URP33" s="684"/>
      <c r="URQ33" s="684"/>
      <c r="URR33" s="684"/>
      <c r="URS33" s="684"/>
      <c r="URT33" s="684"/>
      <c r="URU33" s="684"/>
      <c r="URV33" s="684"/>
      <c r="URW33" s="684"/>
      <c r="URX33" s="684"/>
      <c r="URY33" s="684"/>
      <c r="URZ33" s="684"/>
      <c r="USA33" s="684"/>
      <c r="USB33" s="684"/>
      <c r="USC33" s="684"/>
      <c r="USD33" s="684"/>
      <c r="USE33" s="684"/>
      <c r="USF33" s="684"/>
      <c r="USG33" s="684"/>
      <c r="USH33" s="684"/>
      <c r="USI33" s="684"/>
      <c r="USJ33" s="684"/>
      <c r="USK33" s="684"/>
      <c r="USL33" s="684"/>
      <c r="USM33" s="684"/>
      <c r="USN33" s="684"/>
      <c r="USO33" s="684"/>
      <c r="USP33" s="684"/>
      <c r="USQ33" s="684"/>
      <c r="USR33" s="684"/>
      <c r="USS33" s="684"/>
      <c r="UST33" s="684"/>
      <c r="USU33" s="684"/>
      <c r="USV33" s="684"/>
      <c r="USW33" s="684"/>
      <c r="USX33" s="684"/>
      <c r="USY33" s="684"/>
      <c r="USZ33" s="684"/>
      <c r="UTA33" s="684"/>
      <c r="UTB33" s="684"/>
      <c r="UTC33" s="684"/>
      <c r="UTD33" s="684"/>
      <c r="UTE33" s="684"/>
      <c r="UTF33" s="684"/>
      <c r="UTG33" s="684"/>
      <c r="UTH33" s="684"/>
      <c r="UTI33" s="684"/>
      <c r="UTJ33" s="684"/>
      <c r="UTK33" s="684"/>
      <c r="UTL33" s="684"/>
      <c r="UTM33" s="684"/>
      <c r="UTN33" s="684"/>
      <c r="UTO33" s="684"/>
      <c r="UTP33" s="684"/>
      <c r="UTQ33" s="684"/>
      <c r="UTR33" s="684"/>
      <c r="UTS33" s="684"/>
      <c r="UTT33" s="684"/>
      <c r="UTU33" s="684"/>
      <c r="UTV33" s="684"/>
      <c r="UTW33" s="684"/>
      <c r="UTX33" s="684"/>
      <c r="UTY33" s="684"/>
      <c r="UTZ33" s="684"/>
      <c r="UUA33" s="684"/>
      <c r="UUB33" s="684"/>
      <c r="UUC33" s="684"/>
      <c r="UUD33" s="684"/>
      <c r="UUE33" s="684"/>
      <c r="UUF33" s="684"/>
      <c r="UUG33" s="684"/>
      <c r="UUH33" s="684"/>
      <c r="UUI33" s="684"/>
      <c r="UUJ33" s="684"/>
      <c r="UUK33" s="684"/>
      <c r="UUL33" s="684"/>
      <c r="UUM33" s="684"/>
      <c r="UUN33" s="684"/>
      <c r="UUO33" s="684"/>
      <c r="UUP33" s="684"/>
      <c r="UUQ33" s="684"/>
      <c r="UUR33" s="684"/>
      <c r="UUS33" s="684"/>
      <c r="UUT33" s="684"/>
      <c r="UUU33" s="684"/>
      <c r="UUV33" s="684"/>
      <c r="UUW33" s="684"/>
      <c r="UUX33" s="684"/>
      <c r="UUY33" s="684"/>
      <c r="UUZ33" s="684"/>
      <c r="UVA33" s="684"/>
      <c r="UVB33" s="684"/>
      <c r="UVC33" s="684"/>
      <c r="UVD33" s="684"/>
      <c r="UVE33" s="684"/>
      <c r="UVF33" s="684"/>
      <c r="UVG33" s="684"/>
      <c r="UVH33" s="684"/>
      <c r="UVI33" s="684"/>
      <c r="UVJ33" s="684"/>
      <c r="UVK33" s="684"/>
      <c r="UVL33" s="684"/>
      <c r="UVM33" s="684"/>
      <c r="UVN33" s="684"/>
      <c r="UVO33" s="684"/>
      <c r="UVP33" s="684"/>
      <c r="UVQ33" s="684"/>
      <c r="UVR33" s="684"/>
      <c r="UVS33" s="684"/>
      <c r="UVT33" s="684"/>
      <c r="UVU33" s="684"/>
      <c r="UVV33" s="684"/>
      <c r="UVW33" s="684"/>
      <c r="UVX33" s="684"/>
      <c r="UVY33" s="684"/>
      <c r="UVZ33" s="684"/>
      <c r="UWA33" s="684"/>
      <c r="UWB33" s="684"/>
      <c r="UWC33" s="684"/>
      <c r="UWD33" s="684"/>
      <c r="UWE33" s="684"/>
      <c r="UWF33" s="684"/>
      <c r="UWG33" s="684"/>
      <c r="UWH33" s="684"/>
      <c r="UWI33" s="684"/>
      <c r="UWJ33" s="684"/>
      <c r="UWK33" s="684"/>
      <c r="UWL33" s="684"/>
      <c r="UWM33" s="684"/>
      <c r="UWN33" s="684"/>
      <c r="UWO33" s="684"/>
      <c r="UWP33" s="684"/>
      <c r="UWQ33" s="684"/>
      <c r="UWR33" s="684"/>
      <c r="UWS33" s="684"/>
      <c r="UWT33" s="684"/>
      <c r="UWU33" s="684"/>
      <c r="UWV33" s="684"/>
      <c r="UWW33" s="684"/>
      <c r="UWX33" s="684"/>
      <c r="UWY33" s="684"/>
      <c r="UWZ33" s="684"/>
      <c r="UXA33" s="684"/>
      <c r="UXB33" s="684"/>
      <c r="UXC33" s="684"/>
      <c r="UXD33" s="684"/>
      <c r="UXE33" s="684"/>
      <c r="UXF33" s="684"/>
      <c r="UXG33" s="684"/>
      <c r="UXH33" s="684"/>
      <c r="UXI33" s="684"/>
      <c r="UXJ33" s="684"/>
      <c r="UXK33" s="684"/>
      <c r="UXL33" s="684"/>
      <c r="UXM33" s="684"/>
      <c r="UXN33" s="684"/>
      <c r="UXO33" s="684"/>
      <c r="UXP33" s="684"/>
      <c r="UXQ33" s="684"/>
      <c r="UXR33" s="684"/>
      <c r="UXS33" s="684"/>
      <c r="UXT33" s="684"/>
      <c r="UXU33" s="684"/>
      <c r="UXV33" s="684"/>
      <c r="UXW33" s="684"/>
      <c r="UXX33" s="684"/>
      <c r="UXY33" s="684"/>
      <c r="UXZ33" s="684"/>
      <c r="UYA33" s="684"/>
      <c r="UYB33" s="684"/>
      <c r="UYC33" s="684"/>
      <c r="UYD33" s="684"/>
      <c r="UYE33" s="684"/>
      <c r="UYF33" s="684"/>
      <c r="UYG33" s="684"/>
      <c r="UYH33" s="684"/>
      <c r="UYI33" s="684"/>
      <c r="UYJ33" s="684"/>
      <c r="UYK33" s="684"/>
      <c r="UYL33" s="684"/>
      <c r="UYM33" s="684"/>
      <c r="UYN33" s="684"/>
      <c r="UYO33" s="684"/>
      <c r="UYP33" s="684"/>
      <c r="UYQ33" s="684"/>
      <c r="UYR33" s="684"/>
      <c r="UYS33" s="684"/>
      <c r="UYT33" s="684"/>
      <c r="UYU33" s="684"/>
      <c r="UYV33" s="684"/>
      <c r="UYW33" s="684"/>
      <c r="UYX33" s="684"/>
      <c r="UYY33" s="684"/>
      <c r="UYZ33" s="684"/>
      <c r="UZA33" s="684"/>
      <c r="UZB33" s="684"/>
      <c r="UZC33" s="684"/>
      <c r="UZD33" s="684"/>
      <c r="UZE33" s="684"/>
      <c r="UZF33" s="684"/>
      <c r="UZG33" s="684"/>
      <c r="UZH33" s="684"/>
      <c r="UZI33" s="684"/>
      <c r="UZJ33" s="684"/>
      <c r="UZK33" s="684"/>
      <c r="UZL33" s="684"/>
      <c r="UZM33" s="684"/>
      <c r="UZN33" s="684"/>
      <c r="UZO33" s="684"/>
      <c r="UZP33" s="684"/>
      <c r="UZQ33" s="684"/>
      <c r="UZR33" s="684"/>
      <c r="UZS33" s="684"/>
      <c r="UZT33" s="684"/>
      <c r="UZU33" s="684"/>
      <c r="UZV33" s="684"/>
      <c r="UZW33" s="684"/>
      <c r="UZX33" s="684"/>
      <c r="UZY33" s="684"/>
      <c r="UZZ33" s="684"/>
      <c r="VAA33" s="684"/>
      <c r="VAB33" s="684"/>
      <c r="VAC33" s="684"/>
      <c r="VAD33" s="684"/>
      <c r="VAE33" s="684"/>
      <c r="VAF33" s="684"/>
      <c r="VAG33" s="684"/>
      <c r="VAH33" s="684"/>
      <c r="VAI33" s="684"/>
      <c r="VAJ33" s="684"/>
      <c r="VAK33" s="684"/>
      <c r="VAL33" s="684"/>
      <c r="VAM33" s="684"/>
      <c r="VAN33" s="684"/>
      <c r="VAO33" s="684"/>
      <c r="VAP33" s="684"/>
      <c r="VAQ33" s="684"/>
      <c r="VAR33" s="684"/>
      <c r="VAS33" s="684"/>
      <c r="VAT33" s="684"/>
      <c r="VAU33" s="684"/>
      <c r="VAV33" s="684"/>
      <c r="VAW33" s="684"/>
      <c r="VAX33" s="684"/>
      <c r="VAY33" s="684"/>
      <c r="VAZ33" s="684"/>
      <c r="VBA33" s="684"/>
      <c r="VBB33" s="684"/>
      <c r="VBC33" s="684"/>
      <c r="VBD33" s="684"/>
      <c r="VBE33" s="684"/>
      <c r="VBF33" s="684"/>
      <c r="VBG33" s="684"/>
      <c r="VBH33" s="684"/>
      <c r="VBI33" s="684"/>
      <c r="VBJ33" s="684"/>
      <c r="VBK33" s="684"/>
      <c r="VBL33" s="684"/>
      <c r="VBM33" s="684"/>
      <c r="VBN33" s="684"/>
      <c r="VBO33" s="684"/>
      <c r="VBP33" s="684"/>
      <c r="VBQ33" s="684"/>
      <c r="VBR33" s="684"/>
      <c r="VBS33" s="684"/>
      <c r="VBT33" s="684"/>
      <c r="VBU33" s="684"/>
      <c r="VBV33" s="684"/>
      <c r="VBW33" s="684"/>
      <c r="VBX33" s="684"/>
      <c r="VBY33" s="684"/>
      <c r="VBZ33" s="684"/>
      <c r="VCA33" s="684"/>
      <c r="VCB33" s="684"/>
      <c r="VCC33" s="684"/>
      <c r="VCD33" s="684"/>
      <c r="VCE33" s="684"/>
      <c r="VCF33" s="684"/>
      <c r="VCG33" s="684"/>
      <c r="VCH33" s="684"/>
      <c r="VCI33" s="684"/>
      <c r="VCJ33" s="684"/>
      <c r="VCK33" s="684"/>
      <c r="VCL33" s="684"/>
      <c r="VCM33" s="684"/>
      <c r="VCN33" s="684"/>
      <c r="VCO33" s="684"/>
      <c r="VCP33" s="684"/>
      <c r="VCQ33" s="684"/>
      <c r="VCR33" s="684"/>
      <c r="VCS33" s="684"/>
      <c r="VCT33" s="684"/>
      <c r="VCU33" s="684"/>
      <c r="VCV33" s="684"/>
      <c r="VCW33" s="684"/>
      <c r="VCX33" s="684"/>
      <c r="VCY33" s="684"/>
      <c r="VCZ33" s="684"/>
      <c r="VDA33" s="684"/>
      <c r="VDB33" s="684"/>
      <c r="VDC33" s="684"/>
      <c r="VDD33" s="684"/>
      <c r="VDE33" s="684"/>
      <c r="VDF33" s="684"/>
      <c r="VDG33" s="684"/>
      <c r="VDH33" s="684"/>
      <c r="VDI33" s="684"/>
      <c r="VDJ33" s="684"/>
      <c r="VDK33" s="684"/>
      <c r="VDL33" s="684"/>
      <c r="VDM33" s="684"/>
      <c r="VDN33" s="684"/>
      <c r="VDO33" s="684"/>
      <c r="VDP33" s="684"/>
      <c r="VDQ33" s="684"/>
      <c r="VDR33" s="684"/>
      <c r="VDS33" s="684"/>
      <c r="VDT33" s="684"/>
      <c r="VDU33" s="684"/>
      <c r="VDV33" s="684"/>
      <c r="VDW33" s="684"/>
      <c r="VDX33" s="684"/>
      <c r="VDY33" s="684"/>
      <c r="VDZ33" s="684"/>
      <c r="VEA33" s="684"/>
      <c r="VEB33" s="684"/>
      <c r="VEC33" s="684"/>
      <c r="VED33" s="684"/>
      <c r="VEE33" s="684"/>
      <c r="VEF33" s="684"/>
      <c r="VEG33" s="684"/>
      <c r="VEH33" s="684"/>
      <c r="VEI33" s="684"/>
      <c r="VEJ33" s="684"/>
      <c r="VEK33" s="684"/>
      <c r="VEL33" s="684"/>
      <c r="VEM33" s="684"/>
      <c r="VEN33" s="684"/>
      <c r="VEO33" s="684"/>
      <c r="VEP33" s="684"/>
      <c r="VEQ33" s="684"/>
      <c r="VER33" s="684"/>
      <c r="VES33" s="684"/>
      <c r="VET33" s="684"/>
      <c r="VEU33" s="684"/>
      <c r="VEV33" s="684"/>
      <c r="VEW33" s="684"/>
      <c r="VEX33" s="684"/>
      <c r="VEY33" s="684"/>
      <c r="VEZ33" s="684"/>
      <c r="VFA33" s="684"/>
      <c r="VFB33" s="684"/>
      <c r="VFC33" s="684"/>
      <c r="VFD33" s="684"/>
      <c r="VFE33" s="684"/>
      <c r="VFF33" s="684"/>
      <c r="VFG33" s="684"/>
      <c r="VFH33" s="684"/>
      <c r="VFI33" s="684"/>
      <c r="VFJ33" s="684"/>
      <c r="VFK33" s="684"/>
      <c r="VFL33" s="684"/>
      <c r="VFM33" s="684"/>
      <c r="VFN33" s="684"/>
      <c r="VFO33" s="684"/>
      <c r="VFP33" s="684"/>
      <c r="VFQ33" s="684"/>
      <c r="VFR33" s="684"/>
      <c r="VFS33" s="684"/>
      <c r="VFT33" s="684"/>
      <c r="VFU33" s="684"/>
      <c r="VFV33" s="684"/>
      <c r="VFW33" s="684"/>
      <c r="VFX33" s="684"/>
      <c r="VFY33" s="684"/>
      <c r="VFZ33" s="684"/>
      <c r="VGA33" s="684"/>
      <c r="VGB33" s="684"/>
      <c r="VGC33" s="684"/>
      <c r="VGD33" s="684"/>
      <c r="VGE33" s="684"/>
      <c r="VGF33" s="684"/>
      <c r="VGG33" s="684"/>
      <c r="VGH33" s="684"/>
      <c r="VGI33" s="684"/>
      <c r="VGJ33" s="684"/>
      <c r="VGK33" s="684"/>
      <c r="VGL33" s="684"/>
      <c r="VGM33" s="684"/>
      <c r="VGN33" s="684"/>
      <c r="VGO33" s="684"/>
      <c r="VGP33" s="684"/>
      <c r="VGQ33" s="684"/>
      <c r="VGR33" s="684"/>
      <c r="VGS33" s="684"/>
      <c r="VGT33" s="684"/>
      <c r="VGU33" s="684"/>
      <c r="VGV33" s="684"/>
      <c r="VGW33" s="684"/>
      <c r="VGX33" s="684"/>
      <c r="VGY33" s="684"/>
      <c r="VGZ33" s="684"/>
      <c r="VHA33" s="684"/>
      <c r="VHB33" s="684"/>
      <c r="VHC33" s="684"/>
      <c r="VHD33" s="684"/>
      <c r="VHE33" s="684"/>
      <c r="VHF33" s="684"/>
      <c r="VHG33" s="684"/>
      <c r="VHH33" s="684"/>
      <c r="VHI33" s="684"/>
      <c r="VHJ33" s="684"/>
      <c r="VHK33" s="684"/>
      <c r="VHL33" s="684"/>
      <c r="VHM33" s="684"/>
      <c r="VHN33" s="684"/>
      <c r="VHO33" s="684"/>
      <c r="VHP33" s="684"/>
      <c r="VHQ33" s="684"/>
      <c r="VHR33" s="684"/>
      <c r="VHS33" s="684"/>
      <c r="VHT33" s="684"/>
      <c r="VHU33" s="684"/>
      <c r="VHV33" s="684"/>
      <c r="VHW33" s="684"/>
      <c r="VHX33" s="684"/>
      <c r="VHY33" s="684"/>
      <c r="VHZ33" s="684"/>
      <c r="VIA33" s="684"/>
      <c r="VIB33" s="684"/>
      <c r="VIC33" s="684"/>
      <c r="VID33" s="684"/>
      <c r="VIE33" s="684"/>
      <c r="VIF33" s="684"/>
      <c r="VIG33" s="684"/>
      <c r="VIH33" s="684"/>
      <c r="VII33" s="684"/>
      <c r="VIJ33" s="684"/>
      <c r="VIK33" s="684"/>
      <c r="VIL33" s="684"/>
      <c r="VIM33" s="684"/>
      <c r="VIN33" s="684"/>
      <c r="VIO33" s="684"/>
      <c r="VIP33" s="684"/>
      <c r="VIQ33" s="684"/>
      <c r="VIR33" s="684"/>
      <c r="VIS33" s="684"/>
      <c r="VIT33" s="684"/>
      <c r="VIU33" s="684"/>
      <c r="VIV33" s="684"/>
      <c r="VIW33" s="684"/>
      <c r="VIX33" s="684"/>
      <c r="VIY33" s="684"/>
      <c r="VIZ33" s="684"/>
      <c r="VJA33" s="684"/>
      <c r="VJB33" s="684"/>
      <c r="VJC33" s="684"/>
      <c r="VJD33" s="684"/>
      <c r="VJE33" s="684"/>
      <c r="VJF33" s="684"/>
      <c r="VJG33" s="684"/>
      <c r="VJH33" s="684"/>
      <c r="VJI33" s="684"/>
      <c r="VJJ33" s="684"/>
      <c r="VJK33" s="684"/>
      <c r="VJL33" s="684"/>
      <c r="VJM33" s="684"/>
      <c r="VJN33" s="684"/>
      <c r="VJO33" s="684"/>
      <c r="VJP33" s="684"/>
      <c r="VJQ33" s="684"/>
      <c r="VJR33" s="684"/>
      <c r="VJS33" s="684"/>
      <c r="VJT33" s="684"/>
      <c r="VJU33" s="684"/>
      <c r="VJV33" s="684"/>
      <c r="VJW33" s="684"/>
      <c r="VJX33" s="684"/>
      <c r="VJY33" s="684"/>
      <c r="VJZ33" s="684"/>
      <c r="VKA33" s="684"/>
      <c r="VKB33" s="684"/>
      <c r="VKC33" s="684"/>
      <c r="VKD33" s="684"/>
      <c r="VKE33" s="684"/>
      <c r="VKF33" s="684"/>
      <c r="VKG33" s="684"/>
      <c r="VKH33" s="684"/>
      <c r="VKI33" s="684"/>
      <c r="VKJ33" s="684"/>
      <c r="VKK33" s="684"/>
      <c r="VKL33" s="684"/>
      <c r="VKM33" s="684"/>
      <c r="VKN33" s="684"/>
      <c r="VKO33" s="684"/>
      <c r="VKP33" s="684"/>
      <c r="VKQ33" s="684"/>
      <c r="VKR33" s="684"/>
      <c r="VKS33" s="684"/>
      <c r="VKT33" s="684"/>
      <c r="VKU33" s="684"/>
      <c r="VKV33" s="684"/>
      <c r="VKW33" s="684"/>
      <c r="VKX33" s="684"/>
      <c r="VKY33" s="684"/>
      <c r="VKZ33" s="684"/>
      <c r="VLA33" s="684"/>
      <c r="VLB33" s="684"/>
      <c r="VLC33" s="684"/>
      <c r="VLD33" s="684"/>
      <c r="VLE33" s="684"/>
      <c r="VLF33" s="684"/>
      <c r="VLG33" s="684"/>
      <c r="VLH33" s="684"/>
      <c r="VLI33" s="684"/>
      <c r="VLJ33" s="684"/>
      <c r="VLK33" s="684"/>
      <c r="VLL33" s="684"/>
      <c r="VLM33" s="684"/>
      <c r="VLN33" s="684"/>
      <c r="VLO33" s="684"/>
      <c r="VLP33" s="684"/>
      <c r="VLQ33" s="684"/>
      <c r="VLR33" s="684"/>
      <c r="VLS33" s="684"/>
      <c r="VLT33" s="684"/>
      <c r="VLU33" s="684"/>
      <c r="VLV33" s="684"/>
      <c r="VLW33" s="684"/>
      <c r="VLX33" s="684"/>
      <c r="VLY33" s="684"/>
      <c r="VLZ33" s="684"/>
      <c r="VMA33" s="684"/>
      <c r="VMB33" s="684"/>
      <c r="VMC33" s="684"/>
      <c r="VMD33" s="684"/>
      <c r="VME33" s="684"/>
      <c r="VMF33" s="684"/>
      <c r="VMG33" s="684"/>
      <c r="VMH33" s="684"/>
      <c r="VMI33" s="684"/>
      <c r="VMJ33" s="684"/>
      <c r="VMK33" s="684"/>
      <c r="VML33" s="684"/>
      <c r="VMM33" s="684"/>
      <c r="VMN33" s="684"/>
      <c r="VMO33" s="684"/>
      <c r="VMP33" s="684"/>
      <c r="VMQ33" s="684"/>
      <c r="VMR33" s="684"/>
      <c r="VMS33" s="684"/>
      <c r="VMT33" s="684"/>
      <c r="VMU33" s="684"/>
      <c r="VMV33" s="684"/>
      <c r="VMW33" s="684"/>
      <c r="VMX33" s="684"/>
      <c r="VMY33" s="684"/>
      <c r="VMZ33" s="684"/>
      <c r="VNA33" s="684"/>
      <c r="VNB33" s="684"/>
      <c r="VNC33" s="684"/>
      <c r="VND33" s="684"/>
      <c r="VNE33" s="684"/>
      <c r="VNF33" s="684"/>
      <c r="VNG33" s="684"/>
      <c r="VNH33" s="684"/>
      <c r="VNI33" s="684"/>
      <c r="VNJ33" s="684"/>
      <c r="VNK33" s="684"/>
      <c r="VNL33" s="684"/>
      <c r="VNM33" s="684"/>
      <c r="VNN33" s="684"/>
      <c r="VNO33" s="684"/>
      <c r="VNP33" s="684"/>
      <c r="VNQ33" s="684"/>
      <c r="VNR33" s="684"/>
      <c r="VNS33" s="684"/>
      <c r="VNT33" s="684"/>
      <c r="VNU33" s="684"/>
      <c r="VNV33" s="684"/>
      <c r="VNW33" s="684"/>
      <c r="VNX33" s="684"/>
      <c r="VNY33" s="684"/>
      <c r="VNZ33" s="684"/>
      <c r="VOA33" s="684"/>
      <c r="VOB33" s="684"/>
      <c r="VOC33" s="684"/>
      <c r="VOD33" s="684"/>
      <c r="VOE33" s="684"/>
      <c r="VOF33" s="684"/>
      <c r="VOG33" s="684"/>
      <c r="VOH33" s="684"/>
      <c r="VOI33" s="684"/>
      <c r="VOJ33" s="684"/>
      <c r="VOK33" s="684"/>
      <c r="VOL33" s="684"/>
      <c r="VOM33" s="684"/>
      <c r="VON33" s="684"/>
      <c r="VOO33" s="684"/>
      <c r="VOP33" s="684"/>
      <c r="VOQ33" s="684"/>
      <c r="VOR33" s="684"/>
      <c r="VOS33" s="684"/>
      <c r="VOT33" s="684"/>
      <c r="VOU33" s="684"/>
      <c r="VOV33" s="684"/>
      <c r="VOW33" s="684"/>
      <c r="VOX33" s="684"/>
      <c r="VOY33" s="684"/>
      <c r="VOZ33" s="684"/>
      <c r="VPA33" s="684"/>
      <c r="VPB33" s="684"/>
      <c r="VPC33" s="684"/>
      <c r="VPD33" s="684"/>
      <c r="VPE33" s="684"/>
      <c r="VPF33" s="684"/>
      <c r="VPG33" s="684"/>
      <c r="VPH33" s="684"/>
      <c r="VPI33" s="684"/>
      <c r="VPJ33" s="684"/>
      <c r="VPK33" s="684"/>
      <c r="VPL33" s="684"/>
      <c r="VPM33" s="684"/>
      <c r="VPN33" s="684"/>
      <c r="VPO33" s="684"/>
      <c r="VPP33" s="684"/>
      <c r="VPQ33" s="684"/>
      <c r="VPR33" s="684"/>
      <c r="VPS33" s="684"/>
      <c r="VPT33" s="684"/>
      <c r="VPU33" s="684"/>
      <c r="VPV33" s="684"/>
      <c r="VPW33" s="684"/>
      <c r="VPX33" s="684"/>
      <c r="VPY33" s="684"/>
      <c r="VPZ33" s="684"/>
      <c r="VQA33" s="684"/>
      <c r="VQB33" s="684"/>
      <c r="VQC33" s="684"/>
      <c r="VQD33" s="684"/>
      <c r="VQE33" s="684"/>
      <c r="VQF33" s="684"/>
      <c r="VQG33" s="684"/>
      <c r="VQH33" s="684"/>
      <c r="VQI33" s="684"/>
      <c r="VQJ33" s="684"/>
      <c r="VQK33" s="684"/>
      <c r="VQL33" s="684"/>
      <c r="VQM33" s="684"/>
      <c r="VQN33" s="684"/>
      <c r="VQO33" s="684"/>
      <c r="VQP33" s="684"/>
      <c r="VQQ33" s="684"/>
      <c r="VQR33" s="684"/>
      <c r="VQS33" s="684"/>
      <c r="VQT33" s="684"/>
      <c r="VQU33" s="684"/>
      <c r="VQV33" s="684"/>
      <c r="VQW33" s="684"/>
      <c r="VQX33" s="684"/>
      <c r="VQY33" s="684"/>
      <c r="VQZ33" s="684"/>
      <c r="VRA33" s="684"/>
      <c r="VRB33" s="684"/>
      <c r="VRC33" s="684"/>
      <c r="VRD33" s="684"/>
      <c r="VRE33" s="684"/>
      <c r="VRF33" s="684"/>
      <c r="VRG33" s="684"/>
      <c r="VRH33" s="684"/>
      <c r="VRI33" s="684"/>
      <c r="VRJ33" s="684"/>
      <c r="VRK33" s="684"/>
      <c r="VRL33" s="684"/>
      <c r="VRM33" s="684"/>
      <c r="VRN33" s="684"/>
      <c r="VRO33" s="684"/>
      <c r="VRP33" s="684"/>
      <c r="VRQ33" s="684"/>
      <c r="VRR33" s="684"/>
      <c r="VRS33" s="684"/>
      <c r="VRT33" s="684"/>
      <c r="VRU33" s="684"/>
      <c r="VRV33" s="684"/>
      <c r="VRW33" s="684"/>
      <c r="VRX33" s="684"/>
      <c r="VRY33" s="684"/>
      <c r="VRZ33" s="684"/>
      <c r="VSA33" s="684"/>
      <c r="VSB33" s="684"/>
      <c r="VSC33" s="684"/>
      <c r="VSD33" s="684"/>
      <c r="VSE33" s="684"/>
      <c r="VSF33" s="684"/>
      <c r="VSG33" s="684"/>
      <c r="VSH33" s="684"/>
      <c r="VSI33" s="684"/>
      <c r="VSJ33" s="684"/>
      <c r="VSK33" s="684"/>
      <c r="VSL33" s="684"/>
      <c r="VSM33" s="684"/>
      <c r="VSN33" s="684"/>
      <c r="VSO33" s="684"/>
      <c r="VSP33" s="684"/>
      <c r="VSQ33" s="684"/>
      <c r="VSR33" s="684"/>
      <c r="VSS33" s="684"/>
      <c r="VST33" s="684"/>
      <c r="VSU33" s="684"/>
      <c r="VSV33" s="684"/>
      <c r="VSW33" s="684"/>
      <c r="VSX33" s="684"/>
      <c r="VSY33" s="684"/>
      <c r="VSZ33" s="684"/>
      <c r="VTA33" s="684"/>
      <c r="VTB33" s="684"/>
      <c r="VTC33" s="684"/>
      <c r="VTD33" s="684"/>
      <c r="VTE33" s="684"/>
      <c r="VTF33" s="684"/>
      <c r="VTG33" s="684"/>
      <c r="VTH33" s="684"/>
      <c r="VTI33" s="684"/>
      <c r="VTJ33" s="684"/>
      <c r="VTK33" s="684"/>
      <c r="VTL33" s="684"/>
      <c r="VTM33" s="684"/>
      <c r="VTN33" s="684"/>
      <c r="VTO33" s="684"/>
      <c r="VTP33" s="684"/>
      <c r="VTQ33" s="684"/>
      <c r="VTR33" s="684"/>
      <c r="VTS33" s="684"/>
      <c r="VTT33" s="684"/>
      <c r="VTU33" s="684"/>
      <c r="VTV33" s="684"/>
      <c r="VTW33" s="684"/>
      <c r="VTX33" s="684"/>
      <c r="VTY33" s="684"/>
      <c r="VTZ33" s="684"/>
      <c r="VUA33" s="684"/>
      <c r="VUB33" s="684"/>
      <c r="VUC33" s="684"/>
      <c r="VUD33" s="684"/>
      <c r="VUE33" s="684"/>
      <c r="VUF33" s="684"/>
      <c r="VUG33" s="684"/>
      <c r="VUH33" s="684"/>
      <c r="VUI33" s="684"/>
      <c r="VUJ33" s="684"/>
      <c r="VUK33" s="684"/>
      <c r="VUL33" s="684"/>
      <c r="VUM33" s="684"/>
      <c r="VUN33" s="684"/>
      <c r="VUO33" s="684"/>
      <c r="VUP33" s="684"/>
      <c r="VUQ33" s="684"/>
      <c r="VUR33" s="684"/>
      <c r="VUS33" s="684"/>
      <c r="VUT33" s="684"/>
      <c r="VUU33" s="684"/>
      <c r="VUV33" s="684"/>
      <c r="VUW33" s="684"/>
      <c r="VUX33" s="684"/>
      <c r="VUY33" s="684"/>
      <c r="VUZ33" s="684"/>
      <c r="VVA33" s="684"/>
      <c r="VVB33" s="684"/>
      <c r="VVC33" s="684"/>
      <c r="VVD33" s="684"/>
      <c r="VVE33" s="684"/>
      <c r="VVF33" s="684"/>
      <c r="VVG33" s="684"/>
      <c r="VVH33" s="684"/>
      <c r="VVI33" s="684"/>
      <c r="VVJ33" s="684"/>
      <c r="VVK33" s="684"/>
      <c r="VVL33" s="684"/>
      <c r="VVM33" s="684"/>
      <c r="VVN33" s="684"/>
      <c r="VVO33" s="684"/>
      <c r="VVP33" s="684"/>
      <c r="VVQ33" s="684"/>
      <c r="VVR33" s="684"/>
      <c r="VVS33" s="684"/>
      <c r="VVT33" s="684"/>
      <c r="VVU33" s="684"/>
      <c r="VVV33" s="684"/>
      <c r="VVW33" s="684"/>
      <c r="VVX33" s="684"/>
      <c r="VVY33" s="684"/>
      <c r="VVZ33" s="684"/>
      <c r="VWA33" s="684"/>
      <c r="VWB33" s="684"/>
      <c r="VWC33" s="684"/>
      <c r="VWD33" s="684"/>
      <c r="VWE33" s="684"/>
      <c r="VWF33" s="684"/>
      <c r="VWG33" s="684"/>
      <c r="VWH33" s="684"/>
      <c r="VWI33" s="684"/>
      <c r="VWJ33" s="684"/>
      <c r="VWK33" s="684"/>
      <c r="VWL33" s="684"/>
      <c r="VWM33" s="684"/>
      <c r="VWN33" s="684"/>
      <c r="VWO33" s="684"/>
      <c r="VWP33" s="684"/>
      <c r="VWQ33" s="684"/>
      <c r="VWR33" s="684"/>
      <c r="VWS33" s="684"/>
      <c r="VWT33" s="684"/>
      <c r="VWU33" s="684"/>
      <c r="VWV33" s="684"/>
      <c r="VWW33" s="684"/>
      <c r="VWX33" s="684"/>
      <c r="VWY33" s="684"/>
      <c r="VWZ33" s="684"/>
      <c r="VXA33" s="684"/>
      <c r="VXB33" s="684"/>
      <c r="VXC33" s="684"/>
      <c r="VXD33" s="684"/>
      <c r="VXE33" s="684"/>
      <c r="VXF33" s="684"/>
      <c r="VXG33" s="684"/>
      <c r="VXH33" s="684"/>
      <c r="VXI33" s="684"/>
      <c r="VXJ33" s="684"/>
      <c r="VXK33" s="684"/>
      <c r="VXL33" s="684"/>
      <c r="VXM33" s="684"/>
      <c r="VXN33" s="684"/>
      <c r="VXO33" s="684"/>
      <c r="VXP33" s="684"/>
      <c r="VXQ33" s="684"/>
      <c r="VXR33" s="684"/>
      <c r="VXS33" s="684"/>
      <c r="VXT33" s="684"/>
      <c r="VXU33" s="684"/>
      <c r="VXV33" s="684"/>
      <c r="VXW33" s="684"/>
      <c r="VXX33" s="684"/>
      <c r="VXY33" s="684"/>
      <c r="VXZ33" s="684"/>
      <c r="VYA33" s="684"/>
      <c r="VYB33" s="684"/>
      <c r="VYC33" s="684"/>
      <c r="VYD33" s="684"/>
      <c r="VYE33" s="684"/>
      <c r="VYF33" s="684"/>
      <c r="VYG33" s="684"/>
      <c r="VYH33" s="684"/>
      <c r="VYI33" s="684"/>
      <c r="VYJ33" s="684"/>
      <c r="VYK33" s="684"/>
      <c r="VYL33" s="684"/>
      <c r="VYM33" s="684"/>
      <c r="VYN33" s="684"/>
      <c r="VYO33" s="684"/>
      <c r="VYP33" s="684"/>
      <c r="VYQ33" s="684"/>
      <c r="VYR33" s="684"/>
      <c r="VYS33" s="684"/>
      <c r="VYT33" s="684"/>
      <c r="VYU33" s="684"/>
      <c r="VYV33" s="684"/>
      <c r="VYW33" s="684"/>
      <c r="VYX33" s="684"/>
      <c r="VYY33" s="684"/>
      <c r="VYZ33" s="684"/>
      <c r="VZA33" s="684"/>
      <c r="VZB33" s="684"/>
      <c r="VZC33" s="684"/>
      <c r="VZD33" s="684"/>
      <c r="VZE33" s="684"/>
      <c r="VZF33" s="684"/>
      <c r="VZG33" s="684"/>
      <c r="VZH33" s="684"/>
      <c r="VZI33" s="684"/>
      <c r="VZJ33" s="684"/>
      <c r="VZK33" s="684"/>
      <c r="VZL33" s="684"/>
      <c r="VZM33" s="684"/>
      <c r="VZN33" s="684"/>
      <c r="VZO33" s="684"/>
      <c r="VZP33" s="684"/>
      <c r="VZQ33" s="684"/>
      <c r="VZR33" s="684"/>
      <c r="VZS33" s="684"/>
      <c r="VZT33" s="684"/>
      <c r="VZU33" s="684"/>
      <c r="VZV33" s="684"/>
      <c r="VZW33" s="684"/>
      <c r="VZX33" s="684"/>
      <c r="VZY33" s="684"/>
      <c r="VZZ33" s="684"/>
      <c r="WAA33" s="684"/>
      <c r="WAB33" s="684"/>
      <c r="WAC33" s="684"/>
      <c r="WAD33" s="684"/>
      <c r="WAE33" s="684"/>
      <c r="WAF33" s="684"/>
      <c r="WAG33" s="684"/>
      <c r="WAH33" s="684"/>
      <c r="WAI33" s="684"/>
      <c r="WAJ33" s="684"/>
      <c r="WAK33" s="684"/>
      <c r="WAL33" s="684"/>
      <c r="WAM33" s="684"/>
      <c r="WAN33" s="684"/>
      <c r="WAO33" s="684"/>
      <c r="WAP33" s="684"/>
      <c r="WAQ33" s="684"/>
      <c r="WAR33" s="684"/>
      <c r="WAS33" s="684"/>
      <c r="WAT33" s="684"/>
      <c r="WAU33" s="684"/>
      <c r="WAV33" s="684"/>
      <c r="WAW33" s="684"/>
      <c r="WAX33" s="684"/>
      <c r="WAY33" s="684"/>
      <c r="WAZ33" s="684"/>
      <c r="WBA33" s="684"/>
      <c r="WBB33" s="684"/>
      <c r="WBC33" s="684"/>
      <c r="WBD33" s="684"/>
      <c r="WBE33" s="684"/>
      <c r="WBF33" s="684"/>
      <c r="WBG33" s="684"/>
      <c r="WBH33" s="684"/>
      <c r="WBI33" s="684"/>
      <c r="WBJ33" s="684"/>
      <c r="WBK33" s="684"/>
      <c r="WBL33" s="684"/>
      <c r="WBM33" s="684"/>
      <c r="WBN33" s="684"/>
      <c r="WBO33" s="684"/>
      <c r="WBP33" s="684"/>
      <c r="WBQ33" s="684"/>
      <c r="WBR33" s="684"/>
      <c r="WBS33" s="684"/>
      <c r="WBT33" s="684"/>
      <c r="WBU33" s="684"/>
      <c r="WBV33" s="684"/>
      <c r="WBW33" s="684"/>
      <c r="WBX33" s="684"/>
      <c r="WBY33" s="684"/>
      <c r="WBZ33" s="684"/>
      <c r="WCA33" s="684"/>
      <c r="WCB33" s="684"/>
      <c r="WCC33" s="684"/>
      <c r="WCD33" s="684"/>
      <c r="WCE33" s="684"/>
      <c r="WCF33" s="684"/>
      <c r="WCG33" s="684"/>
      <c r="WCH33" s="684"/>
      <c r="WCI33" s="684"/>
      <c r="WCJ33" s="684"/>
      <c r="WCK33" s="684"/>
      <c r="WCL33" s="684"/>
      <c r="WCM33" s="684"/>
      <c r="WCN33" s="684"/>
      <c r="WCO33" s="684"/>
      <c r="WCP33" s="684"/>
      <c r="WCQ33" s="684"/>
      <c r="WCR33" s="684"/>
      <c r="WCS33" s="684"/>
      <c r="WCT33" s="684"/>
      <c r="WCU33" s="684"/>
      <c r="WCV33" s="684"/>
      <c r="WCW33" s="684"/>
      <c r="WCX33" s="684"/>
      <c r="WCY33" s="684"/>
      <c r="WCZ33" s="684"/>
      <c r="WDA33" s="684"/>
      <c r="WDB33" s="684"/>
      <c r="WDC33" s="684"/>
      <c r="WDD33" s="684"/>
      <c r="WDE33" s="684"/>
      <c r="WDF33" s="684"/>
      <c r="WDG33" s="684"/>
      <c r="WDH33" s="684"/>
      <c r="WDI33" s="684"/>
      <c r="WDJ33" s="684"/>
      <c r="WDK33" s="684"/>
      <c r="WDL33" s="684"/>
      <c r="WDM33" s="684"/>
      <c r="WDN33" s="684"/>
      <c r="WDO33" s="684"/>
      <c r="WDP33" s="684"/>
      <c r="WDQ33" s="684"/>
      <c r="WDR33" s="684"/>
      <c r="WDS33" s="684"/>
      <c r="WDT33" s="684"/>
      <c r="WDU33" s="684"/>
      <c r="WDV33" s="684"/>
      <c r="WDW33" s="684"/>
      <c r="WDX33" s="684"/>
      <c r="WDY33" s="684"/>
      <c r="WDZ33" s="684"/>
      <c r="WEA33" s="684"/>
      <c r="WEB33" s="684"/>
      <c r="WEC33" s="684"/>
      <c r="WED33" s="684"/>
      <c r="WEE33" s="684"/>
      <c r="WEF33" s="684"/>
      <c r="WEG33" s="684"/>
      <c r="WEH33" s="684"/>
      <c r="WEI33" s="684"/>
      <c r="WEJ33" s="684"/>
      <c r="WEK33" s="684"/>
      <c r="WEL33" s="684"/>
      <c r="WEM33" s="684"/>
      <c r="WEN33" s="684"/>
      <c r="WEO33" s="684"/>
      <c r="WEP33" s="684"/>
      <c r="WEQ33" s="684"/>
      <c r="WER33" s="684"/>
      <c r="WES33" s="684"/>
      <c r="WET33" s="684"/>
      <c r="WEU33" s="684"/>
      <c r="WEV33" s="684"/>
      <c r="WEW33" s="684"/>
      <c r="WEX33" s="684"/>
      <c r="WEY33" s="684"/>
      <c r="WEZ33" s="684"/>
      <c r="WFA33" s="684"/>
      <c r="WFB33" s="684"/>
      <c r="WFC33" s="684"/>
      <c r="WFD33" s="684"/>
      <c r="WFE33" s="684"/>
      <c r="WFF33" s="684"/>
      <c r="WFG33" s="684"/>
      <c r="WFH33" s="684"/>
      <c r="WFI33" s="684"/>
      <c r="WFJ33" s="684"/>
      <c r="WFK33" s="684"/>
      <c r="WFL33" s="684"/>
      <c r="WFM33" s="684"/>
      <c r="WFN33" s="684"/>
      <c r="WFO33" s="684"/>
      <c r="WFP33" s="684"/>
      <c r="WFQ33" s="684"/>
      <c r="WFR33" s="684"/>
      <c r="WFS33" s="684"/>
      <c r="WFT33" s="684"/>
      <c r="WFU33" s="684"/>
      <c r="WFV33" s="684"/>
      <c r="WFW33" s="684"/>
      <c r="WFX33" s="684"/>
      <c r="WFY33" s="684"/>
      <c r="WFZ33" s="684"/>
      <c r="WGA33" s="684"/>
      <c r="WGB33" s="684"/>
      <c r="WGC33" s="684"/>
      <c r="WGD33" s="684"/>
      <c r="WGE33" s="684"/>
      <c r="WGF33" s="684"/>
      <c r="WGG33" s="684"/>
      <c r="WGH33" s="684"/>
      <c r="WGI33" s="684"/>
      <c r="WGJ33" s="684"/>
      <c r="WGK33" s="684"/>
      <c r="WGL33" s="684"/>
      <c r="WGM33" s="684"/>
      <c r="WGN33" s="684"/>
      <c r="WGO33" s="684"/>
      <c r="WGP33" s="684"/>
      <c r="WGQ33" s="684"/>
      <c r="WGR33" s="684"/>
      <c r="WGS33" s="684"/>
      <c r="WGT33" s="684"/>
      <c r="WGU33" s="684"/>
      <c r="WGV33" s="684"/>
      <c r="WGW33" s="684"/>
      <c r="WGX33" s="684"/>
      <c r="WGY33" s="684"/>
      <c r="WGZ33" s="684"/>
      <c r="WHA33" s="684"/>
      <c r="WHB33" s="684"/>
      <c r="WHC33" s="684"/>
      <c r="WHD33" s="684"/>
      <c r="WHE33" s="684"/>
      <c r="WHF33" s="684"/>
      <c r="WHG33" s="684"/>
      <c r="WHH33" s="684"/>
      <c r="WHI33" s="684"/>
      <c r="WHJ33" s="684"/>
      <c r="WHK33" s="684"/>
      <c r="WHL33" s="684"/>
      <c r="WHM33" s="684"/>
      <c r="WHN33" s="684"/>
      <c r="WHO33" s="684"/>
      <c r="WHP33" s="684"/>
      <c r="WHQ33" s="684"/>
      <c r="WHR33" s="684"/>
      <c r="WHS33" s="684"/>
      <c r="WHT33" s="684"/>
      <c r="WHU33" s="684"/>
      <c r="WHV33" s="684"/>
      <c r="WHW33" s="684"/>
      <c r="WHX33" s="684"/>
      <c r="WHY33" s="684"/>
      <c r="WHZ33" s="684"/>
      <c r="WIA33" s="684"/>
      <c r="WIB33" s="684"/>
      <c r="WIC33" s="684"/>
      <c r="WID33" s="684"/>
      <c r="WIE33" s="684"/>
      <c r="WIF33" s="684"/>
      <c r="WIG33" s="684"/>
      <c r="WIH33" s="684"/>
      <c r="WII33" s="684"/>
      <c r="WIJ33" s="684"/>
      <c r="WIK33" s="684"/>
      <c r="WIL33" s="684"/>
      <c r="WIM33" s="684"/>
      <c r="WIN33" s="684"/>
      <c r="WIO33" s="684"/>
      <c r="WIP33" s="684"/>
      <c r="WIQ33" s="684"/>
      <c r="WIR33" s="684"/>
      <c r="WIS33" s="684"/>
      <c r="WIT33" s="684"/>
      <c r="WIU33" s="684"/>
      <c r="WIV33" s="684"/>
      <c r="WIW33" s="684"/>
      <c r="WIX33" s="684"/>
      <c r="WIY33" s="684"/>
      <c r="WIZ33" s="684"/>
      <c r="WJA33" s="684"/>
      <c r="WJB33" s="684"/>
      <c r="WJC33" s="684"/>
      <c r="WJD33" s="684"/>
      <c r="WJE33" s="684"/>
      <c r="WJF33" s="684"/>
      <c r="WJG33" s="684"/>
      <c r="WJH33" s="684"/>
      <c r="WJI33" s="684"/>
      <c r="WJJ33" s="684"/>
      <c r="WJK33" s="684"/>
      <c r="WJL33" s="684"/>
      <c r="WJM33" s="684"/>
      <c r="WJN33" s="684"/>
      <c r="WJO33" s="684"/>
      <c r="WJP33" s="684"/>
      <c r="WJQ33" s="684"/>
      <c r="WJR33" s="684"/>
      <c r="WJS33" s="684"/>
      <c r="WJT33" s="684"/>
      <c r="WJU33" s="684"/>
      <c r="WJV33" s="684"/>
      <c r="WJW33" s="684"/>
      <c r="WJX33" s="684"/>
      <c r="WJY33" s="684"/>
      <c r="WJZ33" s="684"/>
      <c r="WKA33" s="684"/>
      <c r="WKB33" s="684"/>
      <c r="WKC33" s="684"/>
      <c r="WKD33" s="684"/>
      <c r="WKE33" s="684"/>
      <c r="WKF33" s="684"/>
      <c r="WKG33" s="684"/>
      <c r="WKH33" s="684"/>
      <c r="WKI33" s="684"/>
      <c r="WKJ33" s="684"/>
      <c r="WKK33" s="684"/>
      <c r="WKL33" s="684"/>
      <c r="WKM33" s="684"/>
      <c r="WKN33" s="684"/>
      <c r="WKO33" s="684"/>
      <c r="WKP33" s="684"/>
      <c r="WKQ33" s="684"/>
      <c r="WKR33" s="684"/>
      <c r="WKS33" s="684"/>
      <c r="WKT33" s="684"/>
      <c r="WKU33" s="684"/>
      <c r="WKV33" s="684"/>
      <c r="WKW33" s="684"/>
      <c r="WKX33" s="684"/>
      <c r="WKY33" s="684"/>
      <c r="WKZ33" s="684"/>
      <c r="WLA33" s="684"/>
      <c r="WLB33" s="684"/>
      <c r="WLC33" s="684"/>
      <c r="WLD33" s="684"/>
      <c r="WLE33" s="684"/>
      <c r="WLF33" s="684"/>
      <c r="WLG33" s="684"/>
      <c r="WLH33" s="684"/>
      <c r="WLI33" s="684"/>
      <c r="WLJ33" s="684"/>
      <c r="WLK33" s="684"/>
      <c r="WLL33" s="684"/>
      <c r="WLM33" s="684"/>
      <c r="WLN33" s="684"/>
      <c r="WLO33" s="684"/>
      <c r="WLP33" s="684"/>
      <c r="WLQ33" s="684"/>
      <c r="WLR33" s="684"/>
      <c r="WLS33" s="684"/>
      <c r="WLT33" s="684"/>
      <c r="WLU33" s="684"/>
      <c r="WLV33" s="684"/>
      <c r="WLW33" s="684"/>
      <c r="WLX33" s="684"/>
      <c r="WLY33" s="684"/>
      <c r="WLZ33" s="684"/>
      <c r="WMA33" s="684"/>
      <c r="WMB33" s="684"/>
      <c r="WMC33" s="684"/>
      <c r="WMD33" s="684"/>
      <c r="WME33" s="684"/>
      <c r="WMF33" s="684"/>
      <c r="WMG33" s="684"/>
      <c r="WMH33" s="684"/>
      <c r="WMI33" s="684"/>
      <c r="WMJ33" s="684"/>
      <c r="WMK33" s="684"/>
      <c r="WML33" s="684"/>
      <c r="WMM33" s="684"/>
      <c r="WMN33" s="684"/>
      <c r="WMO33" s="684"/>
      <c r="WMP33" s="684"/>
      <c r="WMQ33" s="684"/>
      <c r="WMR33" s="684"/>
      <c r="WMS33" s="684"/>
      <c r="WMT33" s="684"/>
      <c r="WMU33" s="684"/>
      <c r="WMV33" s="684"/>
      <c r="WMW33" s="684"/>
      <c r="WMX33" s="684"/>
      <c r="WMY33" s="684"/>
      <c r="WMZ33" s="684"/>
      <c r="WNA33" s="684"/>
      <c r="WNB33" s="684"/>
      <c r="WNC33" s="684"/>
      <c r="WND33" s="684"/>
      <c r="WNE33" s="684"/>
      <c r="WNF33" s="684"/>
      <c r="WNG33" s="684"/>
      <c r="WNH33" s="684"/>
      <c r="WNI33" s="684"/>
      <c r="WNJ33" s="684"/>
      <c r="WNK33" s="684"/>
      <c r="WNL33" s="684"/>
      <c r="WNM33" s="684"/>
      <c r="WNN33" s="684"/>
      <c r="WNO33" s="684"/>
      <c r="WNP33" s="684"/>
      <c r="WNQ33" s="684"/>
      <c r="WNR33" s="684"/>
      <c r="WNS33" s="684"/>
      <c r="WNT33" s="684"/>
      <c r="WNU33" s="684"/>
      <c r="WNV33" s="684"/>
      <c r="WNW33" s="684"/>
      <c r="WNX33" s="684"/>
      <c r="WNY33" s="684"/>
      <c r="WNZ33" s="684"/>
      <c r="WOA33" s="684"/>
      <c r="WOB33" s="684"/>
      <c r="WOC33" s="684"/>
      <c r="WOD33" s="684"/>
      <c r="WOE33" s="684"/>
      <c r="WOF33" s="684"/>
      <c r="WOG33" s="684"/>
      <c r="WOH33" s="684"/>
      <c r="WOI33" s="684"/>
      <c r="WOJ33" s="684"/>
      <c r="WOK33" s="684"/>
      <c r="WOL33" s="684"/>
      <c r="WOM33" s="684"/>
      <c r="WON33" s="684"/>
      <c r="WOO33" s="684"/>
      <c r="WOP33" s="684"/>
      <c r="WOQ33" s="684"/>
      <c r="WOR33" s="684"/>
      <c r="WOS33" s="684"/>
      <c r="WOT33" s="684"/>
      <c r="WOU33" s="684"/>
      <c r="WOV33" s="684"/>
      <c r="WOW33" s="684"/>
      <c r="WOX33" s="684"/>
      <c r="WOY33" s="684"/>
      <c r="WOZ33" s="684"/>
      <c r="WPA33" s="684"/>
      <c r="WPB33" s="684"/>
      <c r="WPC33" s="684"/>
      <c r="WPD33" s="684"/>
      <c r="WPE33" s="684"/>
      <c r="WPF33" s="684"/>
      <c r="WPG33" s="684"/>
      <c r="WPH33" s="684"/>
      <c r="WPI33" s="684"/>
      <c r="WPJ33" s="684"/>
      <c r="WPK33" s="684"/>
      <c r="WPL33" s="684"/>
      <c r="WPM33" s="684"/>
      <c r="WPN33" s="684"/>
      <c r="WPO33" s="684"/>
      <c r="WPP33" s="684"/>
      <c r="WPQ33" s="684"/>
      <c r="WPR33" s="684"/>
      <c r="WPS33" s="684"/>
      <c r="WPT33" s="684"/>
      <c r="WPU33" s="684"/>
      <c r="WPV33" s="684"/>
      <c r="WPW33" s="684"/>
      <c r="WPX33" s="684"/>
      <c r="WPY33" s="684"/>
      <c r="WPZ33" s="684"/>
      <c r="WQA33" s="684"/>
      <c r="WQB33" s="684"/>
      <c r="WQC33" s="684"/>
      <c r="WQD33" s="684"/>
      <c r="WQE33" s="684"/>
      <c r="WQF33" s="684"/>
      <c r="WQG33" s="684"/>
      <c r="WQH33" s="684"/>
      <c r="WQI33" s="684"/>
      <c r="WQJ33" s="684"/>
      <c r="WQK33" s="684"/>
      <c r="WQL33" s="684"/>
      <c r="WQM33" s="684"/>
      <c r="WQN33" s="684"/>
      <c r="WQO33" s="684"/>
      <c r="WQP33" s="684"/>
      <c r="WQQ33" s="684"/>
      <c r="WQR33" s="684"/>
      <c r="WQS33" s="684"/>
      <c r="WQT33" s="684"/>
      <c r="WQU33" s="684"/>
      <c r="WQV33" s="684"/>
      <c r="WQW33" s="684"/>
      <c r="WQX33" s="684"/>
      <c r="WQY33" s="684"/>
      <c r="WQZ33" s="684"/>
      <c r="WRA33" s="684"/>
      <c r="WRB33" s="684"/>
      <c r="WRC33" s="684"/>
      <c r="WRD33" s="684"/>
      <c r="WRE33" s="684"/>
      <c r="WRF33" s="684"/>
      <c r="WRG33" s="684"/>
      <c r="WRH33" s="684"/>
      <c r="WRI33" s="684"/>
      <c r="WRJ33" s="684"/>
      <c r="WRK33" s="684"/>
      <c r="WRL33" s="684"/>
      <c r="WRM33" s="684"/>
      <c r="WRN33" s="684"/>
      <c r="WRO33" s="684"/>
      <c r="WRP33" s="684"/>
      <c r="WRQ33" s="684"/>
      <c r="WRR33" s="684"/>
      <c r="WRS33" s="684"/>
      <c r="WRT33" s="684"/>
      <c r="WRU33" s="684"/>
      <c r="WRV33" s="684"/>
      <c r="WRW33" s="684"/>
      <c r="WRX33" s="684"/>
      <c r="WRY33" s="684"/>
      <c r="WRZ33" s="684"/>
      <c r="WSA33" s="684"/>
      <c r="WSB33" s="684"/>
      <c r="WSC33" s="684"/>
      <c r="WSD33" s="684"/>
      <c r="WSE33" s="684"/>
      <c r="WSF33" s="684"/>
      <c r="WSG33" s="684"/>
      <c r="WSH33" s="684"/>
      <c r="WSI33" s="684"/>
      <c r="WSJ33" s="684"/>
      <c r="WSK33" s="684"/>
      <c r="WSL33" s="684"/>
      <c r="WSM33" s="684"/>
      <c r="WSN33" s="684"/>
      <c r="WSO33" s="684"/>
      <c r="WSP33" s="684"/>
      <c r="WSQ33" s="684"/>
      <c r="WSR33" s="684"/>
      <c r="WSS33" s="684"/>
      <c r="WST33" s="684"/>
      <c r="WSU33" s="684"/>
      <c r="WSV33" s="684"/>
      <c r="WSW33" s="684"/>
      <c r="WSX33" s="684"/>
      <c r="WSY33" s="684"/>
      <c r="WSZ33" s="684"/>
      <c r="WTA33" s="684"/>
      <c r="WTB33" s="684"/>
      <c r="WTC33" s="684"/>
      <c r="WTD33" s="684"/>
      <c r="WTE33" s="684"/>
      <c r="WTF33" s="684"/>
      <c r="WTG33" s="684"/>
      <c r="WTH33" s="684"/>
      <c r="WTI33" s="684"/>
      <c r="WTJ33" s="684"/>
      <c r="WTK33" s="684"/>
      <c r="WTL33" s="684"/>
      <c r="WTM33" s="684"/>
      <c r="WTN33" s="684"/>
      <c r="WTO33" s="684"/>
      <c r="WTP33" s="684"/>
      <c r="WTQ33" s="684"/>
      <c r="WTR33" s="684"/>
      <c r="WTS33" s="684"/>
      <c r="WTT33" s="684"/>
      <c r="WTU33" s="684"/>
      <c r="WTV33" s="684"/>
      <c r="WTW33" s="684"/>
      <c r="WTX33" s="684"/>
      <c r="WTY33" s="684"/>
      <c r="WTZ33" s="684"/>
      <c r="WUA33" s="684"/>
      <c r="WUB33" s="684"/>
      <c r="WUC33" s="684"/>
      <c r="WUD33" s="684"/>
      <c r="WUE33" s="684"/>
      <c r="WUF33" s="684"/>
      <c r="WUG33" s="684"/>
      <c r="WUH33" s="684"/>
      <c r="WUI33" s="684"/>
      <c r="WUJ33" s="684"/>
      <c r="WUK33" s="684"/>
      <c r="WUL33" s="684"/>
      <c r="WUM33" s="684"/>
      <c r="WUN33" s="684"/>
      <c r="WUO33" s="684"/>
      <c r="WUP33" s="684"/>
      <c r="WUQ33" s="684"/>
      <c r="WUR33" s="684"/>
      <c r="WUS33" s="684"/>
      <c r="WUT33" s="684"/>
      <c r="WUU33" s="684"/>
      <c r="WUV33" s="684"/>
      <c r="WUW33" s="684"/>
      <c r="WUX33" s="684"/>
      <c r="WUY33" s="684"/>
      <c r="WUZ33" s="684"/>
      <c r="WVA33" s="684"/>
      <c r="WVB33" s="684"/>
      <c r="WVC33" s="684"/>
      <c r="WVD33" s="684"/>
      <c r="WVE33" s="684"/>
      <c r="WVF33" s="684"/>
      <c r="WVG33" s="684"/>
      <c r="WVH33" s="684"/>
      <c r="WVI33" s="684"/>
      <c r="WVJ33" s="684"/>
      <c r="WVK33" s="684"/>
      <c r="WVL33" s="684"/>
      <c r="WVM33" s="684"/>
      <c r="WVN33" s="684"/>
      <c r="WVO33" s="684"/>
      <c r="WVP33" s="684"/>
      <c r="WVQ33" s="684"/>
      <c r="WVR33" s="684"/>
      <c r="WVS33" s="684"/>
      <c r="WVT33" s="684"/>
      <c r="WVU33" s="684"/>
      <c r="WVV33" s="684"/>
      <c r="WVW33" s="684"/>
      <c r="WVX33" s="684"/>
      <c r="WVY33" s="684"/>
      <c r="WVZ33" s="684"/>
      <c r="WWA33" s="684"/>
      <c r="WWB33" s="684"/>
      <c r="WWC33" s="684"/>
      <c r="WWD33" s="684"/>
      <c r="WWE33" s="684"/>
      <c r="WWF33" s="684"/>
      <c r="WWG33" s="684"/>
      <c r="WWH33" s="684"/>
      <c r="WWI33" s="684"/>
      <c r="WWJ33" s="684"/>
      <c r="WWK33" s="684"/>
      <c r="WWL33" s="684"/>
      <c r="WWM33" s="684"/>
      <c r="WWN33" s="684"/>
      <c r="WWO33" s="684"/>
      <c r="WWP33" s="684"/>
      <c r="WWQ33" s="684"/>
      <c r="WWR33" s="684"/>
      <c r="WWS33" s="684"/>
      <c r="WWT33" s="684"/>
      <c r="WWU33" s="684"/>
      <c r="WWV33" s="684"/>
      <c r="WWW33" s="684"/>
      <c r="WWX33" s="684"/>
      <c r="WWY33" s="684"/>
      <c r="WWZ33" s="684"/>
      <c r="WXA33" s="684"/>
      <c r="WXB33" s="684"/>
      <c r="WXC33" s="684"/>
      <c r="WXD33" s="684"/>
      <c r="WXE33" s="684"/>
      <c r="WXF33" s="684"/>
      <c r="WXG33" s="684"/>
      <c r="WXH33" s="684"/>
      <c r="WXI33" s="684"/>
      <c r="WXJ33" s="684"/>
      <c r="WXK33" s="684"/>
      <c r="WXL33" s="684"/>
      <c r="WXM33" s="684"/>
      <c r="WXN33" s="684"/>
      <c r="WXO33" s="684"/>
      <c r="WXP33" s="684"/>
      <c r="WXQ33" s="684"/>
      <c r="WXR33" s="684"/>
      <c r="WXS33" s="684"/>
      <c r="WXT33" s="684"/>
      <c r="WXU33" s="684"/>
      <c r="WXV33" s="684"/>
      <c r="WXW33" s="684"/>
      <c r="WXX33" s="684"/>
      <c r="WXY33" s="684"/>
      <c r="WXZ33" s="684"/>
      <c r="WYA33" s="684"/>
      <c r="WYB33" s="684"/>
      <c r="WYC33" s="684"/>
      <c r="WYD33" s="684"/>
      <c r="WYE33" s="684"/>
      <c r="WYF33" s="684"/>
      <c r="WYG33" s="684"/>
      <c r="WYH33" s="684"/>
      <c r="WYI33" s="684"/>
      <c r="WYJ33" s="684"/>
      <c r="WYK33" s="684"/>
      <c r="WYL33" s="684"/>
      <c r="WYM33" s="684"/>
      <c r="WYN33" s="684"/>
      <c r="WYO33" s="684"/>
      <c r="WYP33" s="684"/>
      <c r="WYQ33" s="684"/>
      <c r="WYR33" s="684"/>
      <c r="WYS33" s="684"/>
      <c r="WYT33" s="684"/>
      <c r="WYU33" s="684"/>
      <c r="WYV33" s="684"/>
      <c r="WYW33" s="684"/>
      <c r="WYX33" s="684"/>
      <c r="WYY33" s="684"/>
      <c r="WYZ33" s="684"/>
      <c r="WZA33" s="684"/>
      <c r="WZB33" s="684"/>
      <c r="WZC33" s="684"/>
      <c r="WZD33" s="684"/>
      <c r="WZE33" s="684"/>
      <c r="WZF33" s="684"/>
      <c r="WZG33" s="684"/>
      <c r="WZH33" s="684"/>
      <c r="WZI33" s="684"/>
      <c r="WZJ33" s="684"/>
      <c r="WZK33" s="684"/>
      <c r="WZL33" s="684"/>
      <c r="WZM33" s="684"/>
      <c r="WZN33" s="684"/>
      <c r="WZO33" s="684"/>
      <c r="WZP33" s="684"/>
      <c r="WZQ33" s="684"/>
      <c r="WZR33" s="684"/>
      <c r="WZS33" s="684"/>
      <c r="WZT33" s="684"/>
      <c r="WZU33" s="684"/>
      <c r="WZV33" s="684"/>
      <c r="WZW33" s="684"/>
      <c r="WZX33" s="684"/>
      <c r="WZY33" s="684"/>
      <c r="WZZ33" s="684"/>
      <c r="XAA33" s="684"/>
      <c r="XAB33" s="684"/>
      <c r="XAC33" s="684"/>
      <c r="XAD33" s="684"/>
      <c r="XAE33" s="684"/>
      <c r="XAF33" s="684"/>
      <c r="XAG33" s="684"/>
      <c r="XAH33" s="684"/>
      <c r="XAI33" s="684"/>
      <c r="XAJ33" s="684"/>
      <c r="XAK33" s="684"/>
      <c r="XAL33" s="684"/>
      <c r="XAM33" s="684"/>
      <c r="XAN33" s="684"/>
      <c r="XAO33" s="684"/>
      <c r="XAP33" s="684"/>
      <c r="XAQ33" s="684"/>
      <c r="XAR33" s="684"/>
      <c r="XAS33" s="684"/>
      <c r="XAT33" s="684"/>
      <c r="XAU33" s="684"/>
      <c r="XAV33" s="684"/>
      <c r="XAW33" s="684"/>
      <c r="XAX33" s="684"/>
      <c r="XAY33" s="684"/>
      <c r="XAZ33" s="684"/>
      <c r="XBA33" s="684"/>
      <c r="XBB33" s="684"/>
      <c r="XBC33" s="684"/>
      <c r="XBD33" s="684"/>
      <c r="XBE33" s="684"/>
      <c r="XBF33" s="684"/>
      <c r="XBG33" s="684"/>
      <c r="XBH33" s="684"/>
      <c r="XBI33" s="684"/>
      <c r="XBJ33" s="684"/>
      <c r="XBK33" s="684"/>
      <c r="XBL33" s="684"/>
      <c r="XBM33" s="684"/>
      <c r="XBN33" s="684"/>
      <c r="XBO33" s="684"/>
      <c r="XBP33" s="684"/>
      <c r="XBQ33" s="684"/>
      <c r="XBR33" s="684"/>
      <c r="XBS33" s="684"/>
      <c r="XBT33" s="684"/>
      <c r="XBU33" s="684"/>
      <c r="XBV33" s="684"/>
      <c r="XBW33" s="684"/>
      <c r="XBX33" s="684"/>
      <c r="XBY33" s="684"/>
      <c r="XBZ33" s="684"/>
      <c r="XCA33" s="684"/>
      <c r="XCB33" s="684"/>
      <c r="XCC33" s="684"/>
      <c r="XCD33" s="684"/>
      <c r="XCE33" s="684"/>
      <c r="XCF33" s="684"/>
      <c r="XCG33" s="684"/>
      <c r="XCH33" s="684"/>
      <c r="XCI33" s="684"/>
      <c r="XCJ33" s="684"/>
      <c r="XCK33" s="684"/>
      <c r="XCL33" s="684"/>
      <c r="XCM33" s="684"/>
      <c r="XCN33" s="684"/>
      <c r="XCO33" s="684"/>
      <c r="XCP33" s="684"/>
      <c r="XCQ33" s="684"/>
      <c r="XCR33" s="684"/>
      <c r="XCS33" s="684"/>
      <c r="XCT33" s="684"/>
      <c r="XCU33" s="684"/>
      <c r="XCV33" s="684"/>
      <c r="XCW33" s="684"/>
      <c r="XCX33" s="684"/>
      <c r="XCY33" s="684"/>
      <c r="XCZ33" s="684"/>
      <c r="XDA33" s="684"/>
      <c r="XDB33" s="684"/>
      <c r="XDC33" s="684"/>
      <c r="XDD33" s="684"/>
      <c r="XDE33" s="684"/>
      <c r="XDF33" s="684"/>
      <c r="XDG33" s="684"/>
      <c r="XDH33" s="684"/>
      <c r="XDI33" s="684"/>
      <c r="XDJ33" s="684"/>
      <c r="XDK33" s="684"/>
      <c r="XDL33" s="684"/>
      <c r="XDM33" s="684"/>
      <c r="XDN33" s="684"/>
      <c r="XDO33" s="684"/>
      <c r="XDP33" s="684"/>
      <c r="XDQ33" s="684"/>
      <c r="XDR33" s="684"/>
      <c r="XDS33" s="684"/>
      <c r="XDT33" s="684"/>
      <c r="XDU33" s="684"/>
      <c r="XDV33" s="684"/>
      <c r="XDW33" s="684"/>
      <c r="XDX33" s="684"/>
      <c r="XDY33" s="684"/>
      <c r="XDZ33" s="684"/>
      <c r="XEA33" s="684"/>
      <c r="XEB33" s="684"/>
      <c r="XEC33" s="684"/>
      <c r="XED33" s="684"/>
      <c r="XEE33" s="684"/>
      <c r="XEF33" s="684"/>
      <c r="XEG33" s="684"/>
      <c r="XEH33" s="684"/>
      <c r="XEI33" s="684"/>
      <c r="XEJ33" s="684"/>
      <c r="XEK33" s="684"/>
      <c r="XEL33" s="684"/>
      <c r="XEM33" s="684"/>
      <c r="XEN33" s="684"/>
      <c r="XEO33" s="684"/>
      <c r="XEP33" s="684"/>
      <c r="XEQ33" s="684"/>
      <c r="XER33" s="684"/>
      <c r="XES33" s="684"/>
      <c r="XET33" s="684"/>
      <c r="XEU33" s="684"/>
      <c r="XEV33" s="684"/>
      <c r="XEW33" s="684"/>
      <c r="XEX33" s="684"/>
      <c r="XEY33" s="684"/>
      <c r="XEZ33" s="684"/>
      <c r="XFA33" s="684"/>
      <c r="XFB33" s="684"/>
    </row>
    <row r="34" spans="1:16382" ht="20.100000000000001" customHeight="1">
      <c r="A34" s="684" t="s">
        <v>232</v>
      </c>
      <c r="B34" s="684"/>
      <c r="C34" s="684"/>
      <c r="D34" s="684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12"/>
      <c r="AH34" s="275"/>
      <c r="AI34" s="12"/>
      <c r="AJ34" s="615"/>
      <c r="AK34" s="7"/>
      <c r="AL34" s="428"/>
      <c r="AM34" s="428"/>
      <c r="AN34" s="428"/>
      <c r="AO34" s="428"/>
      <c r="AP34" s="428"/>
      <c r="AQ34" s="617"/>
      <c r="AR34" s="617"/>
      <c r="AS34" s="617"/>
      <c r="AT34" s="617"/>
      <c r="AU34" s="617"/>
      <c r="AV34" s="428"/>
      <c r="AW34" s="617"/>
      <c r="AX34" s="684"/>
      <c r="AY34" s="684"/>
      <c r="AZ34" s="684"/>
      <c r="BA34" s="684"/>
      <c r="BB34" s="684"/>
      <c r="BC34" s="684"/>
      <c r="BD34" s="684"/>
      <c r="BE34" s="684"/>
      <c r="BF34" s="684"/>
      <c r="BG34" s="684"/>
      <c r="BH34" s="684"/>
      <c r="BI34" s="684"/>
      <c r="BJ34" s="684"/>
      <c r="BK34" s="684"/>
      <c r="BL34" s="684"/>
      <c r="BM34" s="684"/>
      <c r="BN34" s="684"/>
      <c r="BO34" s="684"/>
      <c r="BP34" s="684"/>
      <c r="BQ34" s="684"/>
      <c r="BR34" s="684"/>
      <c r="BS34" s="684"/>
      <c r="BT34" s="684"/>
      <c r="BU34" s="684"/>
      <c r="BV34" s="684"/>
      <c r="BW34" s="684"/>
      <c r="BX34" s="684"/>
      <c r="BY34" s="684"/>
      <c r="BZ34" s="684"/>
      <c r="CA34" s="684"/>
      <c r="CB34" s="684"/>
      <c r="CC34" s="684"/>
      <c r="CD34" s="684"/>
      <c r="CE34" s="684"/>
      <c r="CF34" s="684"/>
      <c r="CG34" s="684"/>
      <c r="CH34" s="684"/>
      <c r="CI34" s="684"/>
      <c r="CJ34" s="684"/>
      <c r="CK34" s="684"/>
      <c r="CL34" s="684"/>
      <c r="CM34" s="684"/>
      <c r="CN34" s="684"/>
      <c r="CO34" s="684"/>
      <c r="CP34" s="684"/>
      <c r="CQ34" s="684"/>
      <c r="CR34" s="684"/>
      <c r="CS34" s="684"/>
      <c r="CT34" s="684"/>
      <c r="CU34" s="684"/>
      <c r="CV34" s="684"/>
      <c r="CW34" s="684"/>
      <c r="CX34" s="684"/>
      <c r="CY34" s="684"/>
      <c r="CZ34" s="684"/>
      <c r="DA34" s="684"/>
      <c r="DB34" s="684"/>
      <c r="DC34" s="684"/>
      <c r="DD34" s="684"/>
      <c r="DE34" s="684"/>
      <c r="DF34" s="684"/>
      <c r="DG34" s="684"/>
      <c r="DH34" s="684"/>
      <c r="DI34" s="684"/>
      <c r="DJ34" s="684"/>
      <c r="DK34" s="684"/>
      <c r="DL34" s="684"/>
      <c r="DM34" s="684"/>
      <c r="DN34" s="684"/>
      <c r="DO34" s="684"/>
      <c r="DP34" s="684"/>
      <c r="DQ34" s="684"/>
      <c r="DR34" s="684"/>
      <c r="DS34" s="684"/>
      <c r="DT34" s="684"/>
      <c r="DU34" s="684"/>
      <c r="DV34" s="684"/>
      <c r="DW34" s="684"/>
      <c r="DX34" s="684"/>
      <c r="DY34" s="684"/>
      <c r="DZ34" s="684"/>
      <c r="EA34" s="684"/>
      <c r="EB34" s="684"/>
      <c r="EC34" s="684"/>
      <c r="ED34" s="684"/>
      <c r="EE34" s="684"/>
      <c r="EF34" s="684"/>
      <c r="EG34" s="684"/>
      <c r="EH34" s="684"/>
      <c r="EI34" s="684"/>
      <c r="EJ34" s="684"/>
      <c r="EK34" s="684"/>
      <c r="EL34" s="684"/>
      <c r="EM34" s="684"/>
      <c r="EN34" s="684"/>
      <c r="EO34" s="684"/>
      <c r="EP34" s="684"/>
      <c r="EQ34" s="684"/>
      <c r="ER34" s="684"/>
      <c r="ES34" s="684"/>
      <c r="ET34" s="684"/>
      <c r="EU34" s="684"/>
      <c r="EV34" s="684"/>
      <c r="EW34" s="684"/>
      <c r="EX34" s="684"/>
      <c r="EY34" s="684"/>
      <c r="EZ34" s="684"/>
      <c r="FA34" s="684"/>
      <c r="FB34" s="684"/>
      <c r="FC34" s="684"/>
      <c r="FD34" s="684"/>
      <c r="FE34" s="684"/>
      <c r="FF34" s="684"/>
      <c r="FG34" s="684"/>
      <c r="FH34" s="684"/>
      <c r="FI34" s="684"/>
      <c r="FJ34" s="684"/>
      <c r="FK34" s="684"/>
      <c r="FL34" s="684"/>
      <c r="FM34" s="684"/>
      <c r="FN34" s="684"/>
      <c r="FO34" s="684"/>
      <c r="FP34" s="684"/>
      <c r="FQ34" s="684"/>
      <c r="FR34" s="684"/>
      <c r="FS34" s="684"/>
      <c r="FT34" s="684"/>
      <c r="FU34" s="684"/>
      <c r="FV34" s="684"/>
      <c r="FW34" s="684"/>
      <c r="FX34" s="684"/>
      <c r="FY34" s="684"/>
      <c r="FZ34" s="684"/>
      <c r="GA34" s="684"/>
      <c r="GB34" s="684"/>
      <c r="GC34" s="684"/>
      <c r="GD34" s="684"/>
      <c r="GE34" s="684"/>
      <c r="GF34" s="684"/>
      <c r="GG34" s="684"/>
      <c r="GH34" s="684"/>
      <c r="GI34" s="684"/>
      <c r="GJ34" s="684"/>
      <c r="GK34" s="684"/>
      <c r="GL34" s="684"/>
      <c r="GM34" s="684"/>
      <c r="GN34" s="684"/>
      <c r="GO34" s="684"/>
      <c r="GP34" s="684"/>
      <c r="GQ34" s="684"/>
      <c r="GR34" s="684"/>
      <c r="GS34" s="684"/>
      <c r="GT34" s="684"/>
      <c r="GU34" s="684"/>
      <c r="GV34" s="684"/>
      <c r="GW34" s="684"/>
      <c r="GX34" s="684"/>
      <c r="GY34" s="684"/>
      <c r="GZ34" s="684"/>
      <c r="HA34" s="684"/>
      <c r="HB34" s="684"/>
      <c r="HC34" s="684"/>
      <c r="HD34" s="684"/>
      <c r="HE34" s="684"/>
      <c r="HF34" s="684"/>
      <c r="HG34" s="684"/>
      <c r="HH34" s="684"/>
      <c r="HI34" s="684"/>
      <c r="HJ34" s="684"/>
      <c r="HK34" s="684"/>
      <c r="HL34" s="684"/>
      <c r="HM34" s="684"/>
      <c r="HN34" s="684"/>
      <c r="HO34" s="684"/>
      <c r="HP34" s="684"/>
      <c r="HQ34" s="684"/>
      <c r="HR34" s="684"/>
      <c r="HS34" s="684"/>
      <c r="HT34" s="684"/>
      <c r="HU34" s="684"/>
      <c r="HV34" s="684"/>
      <c r="HW34" s="684"/>
      <c r="HX34" s="684"/>
      <c r="HY34" s="684"/>
      <c r="HZ34" s="684"/>
      <c r="IA34" s="684"/>
      <c r="IB34" s="684"/>
      <c r="IC34" s="684"/>
      <c r="ID34" s="684"/>
      <c r="IE34" s="684"/>
      <c r="IF34" s="684"/>
      <c r="IG34" s="684"/>
      <c r="IH34" s="684"/>
      <c r="II34" s="684"/>
      <c r="IJ34" s="684"/>
      <c r="IK34" s="684"/>
      <c r="IL34" s="684"/>
      <c r="IM34" s="684"/>
      <c r="IN34" s="684"/>
      <c r="IO34" s="684"/>
      <c r="IP34" s="684"/>
      <c r="IQ34" s="684"/>
      <c r="IR34" s="684"/>
      <c r="IS34" s="684"/>
      <c r="IT34" s="684"/>
      <c r="IU34" s="684"/>
      <c r="IV34" s="684"/>
      <c r="IW34" s="684"/>
      <c r="IX34" s="684"/>
      <c r="IY34" s="684"/>
      <c r="IZ34" s="684"/>
      <c r="JA34" s="684"/>
      <c r="JB34" s="684"/>
      <c r="JC34" s="684"/>
      <c r="JD34" s="684"/>
      <c r="JE34" s="684"/>
      <c r="JF34" s="684"/>
      <c r="JG34" s="684"/>
      <c r="JH34" s="684"/>
      <c r="JI34" s="684"/>
      <c r="JJ34" s="684"/>
      <c r="JK34" s="684"/>
      <c r="JL34" s="684"/>
      <c r="JM34" s="684"/>
      <c r="JN34" s="684"/>
      <c r="JO34" s="684"/>
      <c r="JP34" s="684"/>
      <c r="JQ34" s="684"/>
      <c r="JR34" s="684"/>
      <c r="JS34" s="684"/>
      <c r="JT34" s="684"/>
      <c r="JU34" s="684"/>
      <c r="JV34" s="684"/>
      <c r="JW34" s="684"/>
      <c r="JX34" s="684"/>
      <c r="JY34" s="684"/>
      <c r="JZ34" s="684"/>
      <c r="KA34" s="684"/>
      <c r="KB34" s="684"/>
      <c r="KC34" s="684"/>
      <c r="KD34" s="684"/>
      <c r="KE34" s="684"/>
      <c r="KF34" s="684"/>
      <c r="KG34" s="684"/>
      <c r="KH34" s="684"/>
      <c r="KI34" s="684"/>
      <c r="KJ34" s="684"/>
      <c r="KK34" s="684"/>
      <c r="KL34" s="684"/>
      <c r="KM34" s="684"/>
      <c r="KN34" s="684"/>
      <c r="KO34" s="684"/>
      <c r="KP34" s="684"/>
      <c r="KQ34" s="684"/>
      <c r="KR34" s="684"/>
      <c r="KS34" s="684"/>
      <c r="KT34" s="684"/>
      <c r="KU34" s="684"/>
      <c r="KV34" s="684"/>
      <c r="KW34" s="684"/>
      <c r="KX34" s="684"/>
      <c r="KY34" s="684"/>
      <c r="KZ34" s="684"/>
      <c r="LA34" s="684"/>
      <c r="LB34" s="684"/>
      <c r="LC34" s="684"/>
      <c r="LD34" s="684"/>
      <c r="LE34" s="684"/>
      <c r="LF34" s="684"/>
      <c r="LG34" s="684"/>
      <c r="LH34" s="684"/>
      <c r="LI34" s="684"/>
      <c r="LJ34" s="684"/>
      <c r="LK34" s="684"/>
      <c r="LL34" s="684"/>
      <c r="LM34" s="684"/>
      <c r="LN34" s="684"/>
      <c r="LO34" s="684"/>
      <c r="LP34" s="684"/>
      <c r="LQ34" s="684"/>
      <c r="LR34" s="684"/>
      <c r="LS34" s="684"/>
      <c r="LT34" s="684"/>
      <c r="LU34" s="684"/>
      <c r="LV34" s="684"/>
      <c r="LW34" s="684"/>
      <c r="LX34" s="684"/>
      <c r="LY34" s="684"/>
      <c r="LZ34" s="684"/>
      <c r="MA34" s="684"/>
      <c r="MB34" s="684"/>
      <c r="MC34" s="684"/>
      <c r="MD34" s="684"/>
      <c r="ME34" s="684"/>
      <c r="MF34" s="684"/>
      <c r="MG34" s="684"/>
      <c r="MH34" s="684"/>
      <c r="MI34" s="684"/>
      <c r="MJ34" s="684"/>
      <c r="MK34" s="684"/>
      <c r="ML34" s="684"/>
      <c r="MM34" s="684"/>
      <c r="MN34" s="684"/>
      <c r="MO34" s="684"/>
      <c r="MP34" s="684"/>
      <c r="MQ34" s="684"/>
      <c r="MR34" s="684"/>
      <c r="MS34" s="684"/>
      <c r="MT34" s="684"/>
      <c r="MU34" s="684"/>
      <c r="MV34" s="684"/>
      <c r="MW34" s="684"/>
      <c r="MX34" s="684"/>
      <c r="MY34" s="684"/>
      <c r="MZ34" s="684"/>
      <c r="NA34" s="684"/>
      <c r="NB34" s="684"/>
      <c r="NC34" s="684"/>
      <c r="ND34" s="684"/>
      <c r="NE34" s="684"/>
      <c r="NF34" s="684"/>
      <c r="NG34" s="684"/>
      <c r="NH34" s="684"/>
      <c r="NI34" s="684"/>
      <c r="NJ34" s="684"/>
      <c r="NK34" s="684"/>
      <c r="NL34" s="684"/>
      <c r="NM34" s="684"/>
      <c r="NN34" s="684"/>
      <c r="NO34" s="684"/>
      <c r="NP34" s="684"/>
      <c r="NQ34" s="684"/>
      <c r="NR34" s="684"/>
      <c r="NS34" s="684"/>
      <c r="NT34" s="684"/>
      <c r="NU34" s="684"/>
      <c r="NV34" s="684"/>
      <c r="NW34" s="684"/>
      <c r="NX34" s="684"/>
      <c r="NY34" s="684"/>
      <c r="NZ34" s="684"/>
      <c r="OA34" s="684"/>
      <c r="OB34" s="684"/>
      <c r="OC34" s="684"/>
      <c r="OD34" s="684"/>
      <c r="OE34" s="684"/>
      <c r="OF34" s="684"/>
      <c r="OG34" s="684"/>
      <c r="OH34" s="684"/>
      <c r="OI34" s="684"/>
      <c r="OJ34" s="684"/>
      <c r="OK34" s="684"/>
      <c r="OL34" s="684"/>
      <c r="OM34" s="684"/>
      <c r="ON34" s="684"/>
      <c r="OO34" s="684"/>
      <c r="OP34" s="684"/>
      <c r="OQ34" s="684"/>
      <c r="OR34" s="684"/>
      <c r="OS34" s="684"/>
      <c r="OT34" s="684"/>
      <c r="OU34" s="684"/>
      <c r="OV34" s="684"/>
      <c r="OW34" s="684"/>
      <c r="OX34" s="684"/>
      <c r="OY34" s="684"/>
      <c r="OZ34" s="684"/>
      <c r="PA34" s="684"/>
      <c r="PB34" s="684"/>
      <c r="PC34" s="684"/>
      <c r="PD34" s="684"/>
      <c r="PE34" s="684"/>
      <c r="PF34" s="684"/>
      <c r="PG34" s="684"/>
      <c r="PH34" s="684"/>
      <c r="PI34" s="684"/>
      <c r="PJ34" s="684"/>
      <c r="PK34" s="684"/>
      <c r="PL34" s="684"/>
      <c r="PM34" s="684"/>
      <c r="PN34" s="684"/>
      <c r="PO34" s="684"/>
      <c r="PP34" s="684"/>
      <c r="PQ34" s="684"/>
      <c r="PR34" s="684"/>
      <c r="PS34" s="684"/>
      <c r="PT34" s="684"/>
      <c r="PU34" s="684"/>
      <c r="PV34" s="684"/>
      <c r="PW34" s="684"/>
      <c r="PX34" s="684"/>
      <c r="PY34" s="684"/>
      <c r="PZ34" s="684"/>
      <c r="QA34" s="684"/>
      <c r="QB34" s="684"/>
      <c r="QC34" s="684"/>
      <c r="QD34" s="684"/>
      <c r="QE34" s="684"/>
      <c r="QF34" s="684"/>
      <c r="QG34" s="684"/>
      <c r="QH34" s="684"/>
      <c r="QI34" s="684"/>
      <c r="QJ34" s="684"/>
      <c r="QK34" s="684"/>
      <c r="QL34" s="684"/>
      <c r="QM34" s="684"/>
      <c r="QN34" s="684"/>
      <c r="QO34" s="684"/>
      <c r="QP34" s="684"/>
      <c r="QQ34" s="684"/>
      <c r="QR34" s="684"/>
      <c r="QS34" s="684"/>
      <c r="QT34" s="684"/>
      <c r="QU34" s="684"/>
      <c r="QV34" s="684"/>
      <c r="QW34" s="684"/>
      <c r="QX34" s="684"/>
      <c r="QY34" s="684"/>
      <c r="QZ34" s="684"/>
      <c r="RA34" s="684"/>
      <c r="RB34" s="684"/>
      <c r="RC34" s="684"/>
      <c r="RD34" s="684"/>
      <c r="RE34" s="684"/>
      <c r="RF34" s="684"/>
      <c r="RG34" s="684"/>
      <c r="RH34" s="684"/>
      <c r="RI34" s="684"/>
      <c r="RJ34" s="684"/>
      <c r="RK34" s="684"/>
      <c r="RL34" s="684"/>
      <c r="RM34" s="684"/>
      <c r="RN34" s="684"/>
      <c r="RO34" s="684"/>
      <c r="RP34" s="684"/>
      <c r="RQ34" s="684"/>
      <c r="RR34" s="684"/>
      <c r="RS34" s="684"/>
      <c r="RT34" s="684"/>
      <c r="RU34" s="684"/>
      <c r="RV34" s="684"/>
      <c r="RW34" s="684"/>
      <c r="RX34" s="684"/>
      <c r="RY34" s="684"/>
      <c r="RZ34" s="684"/>
      <c r="SA34" s="684"/>
      <c r="SB34" s="684"/>
      <c r="SC34" s="684"/>
      <c r="SD34" s="684"/>
      <c r="SE34" s="684"/>
      <c r="SF34" s="684"/>
      <c r="SG34" s="684"/>
      <c r="SH34" s="684"/>
      <c r="SI34" s="684"/>
      <c r="SJ34" s="684"/>
      <c r="SK34" s="684"/>
      <c r="SL34" s="684"/>
      <c r="SM34" s="684"/>
      <c r="SN34" s="684"/>
      <c r="SO34" s="684"/>
      <c r="SP34" s="684"/>
      <c r="SQ34" s="684"/>
      <c r="SR34" s="684"/>
      <c r="SS34" s="684"/>
      <c r="ST34" s="684"/>
      <c r="SU34" s="684"/>
      <c r="SV34" s="684"/>
      <c r="SW34" s="684"/>
      <c r="SX34" s="684"/>
      <c r="SY34" s="684"/>
      <c r="SZ34" s="684"/>
      <c r="TA34" s="684"/>
      <c r="TB34" s="684"/>
      <c r="TC34" s="684"/>
      <c r="TD34" s="684"/>
      <c r="TE34" s="684"/>
      <c r="TF34" s="684"/>
      <c r="TG34" s="684"/>
      <c r="TH34" s="684"/>
      <c r="TI34" s="684"/>
      <c r="TJ34" s="684"/>
      <c r="TK34" s="684"/>
      <c r="TL34" s="684"/>
      <c r="TM34" s="684"/>
      <c r="TN34" s="684"/>
      <c r="TO34" s="684"/>
      <c r="TP34" s="684"/>
      <c r="TQ34" s="684"/>
      <c r="TR34" s="684"/>
      <c r="TS34" s="684"/>
      <c r="TT34" s="684"/>
      <c r="TU34" s="684"/>
      <c r="TV34" s="684"/>
      <c r="TW34" s="684"/>
      <c r="TX34" s="684"/>
      <c r="TY34" s="684"/>
      <c r="TZ34" s="684"/>
      <c r="UA34" s="684"/>
      <c r="UB34" s="684"/>
      <c r="UC34" s="684"/>
      <c r="UD34" s="684"/>
      <c r="UE34" s="684"/>
      <c r="UF34" s="684"/>
      <c r="UG34" s="684"/>
      <c r="UH34" s="684"/>
      <c r="UI34" s="684"/>
      <c r="UJ34" s="684"/>
      <c r="UK34" s="684"/>
      <c r="UL34" s="684"/>
      <c r="UM34" s="684"/>
      <c r="UN34" s="684"/>
      <c r="UO34" s="684"/>
      <c r="UP34" s="684"/>
      <c r="UQ34" s="684"/>
      <c r="UR34" s="684"/>
      <c r="US34" s="684"/>
      <c r="UT34" s="684"/>
      <c r="UU34" s="684"/>
      <c r="UV34" s="684"/>
      <c r="UW34" s="684"/>
      <c r="UX34" s="684"/>
      <c r="UY34" s="684"/>
      <c r="UZ34" s="684"/>
      <c r="VA34" s="684"/>
      <c r="VB34" s="684"/>
      <c r="VC34" s="684"/>
      <c r="VD34" s="684"/>
      <c r="VE34" s="684"/>
      <c r="VF34" s="684"/>
      <c r="VG34" s="684"/>
      <c r="VH34" s="684"/>
      <c r="VI34" s="684"/>
      <c r="VJ34" s="684"/>
      <c r="VK34" s="684"/>
      <c r="VL34" s="684"/>
      <c r="VM34" s="684"/>
      <c r="VN34" s="684"/>
      <c r="VO34" s="684"/>
      <c r="VP34" s="684"/>
      <c r="VQ34" s="684"/>
      <c r="VR34" s="684"/>
      <c r="VS34" s="684"/>
      <c r="VT34" s="684"/>
      <c r="VU34" s="684"/>
      <c r="VV34" s="684"/>
      <c r="VW34" s="684"/>
      <c r="VX34" s="684"/>
      <c r="VY34" s="684"/>
      <c r="VZ34" s="684"/>
      <c r="WA34" s="684"/>
      <c r="WB34" s="684"/>
      <c r="WC34" s="684"/>
      <c r="WD34" s="684"/>
      <c r="WE34" s="684"/>
      <c r="WF34" s="684"/>
      <c r="WG34" s="684"/>
      <c r="WH34" s="684"/>
      <c r="WI34" s="684"/>
      <c r="WJ34" s="684"/>
      <c r="WK34" s="684"/>
      <c r="WL34" s="684"/>
      <c r="WM34" s="684"/>
      <c r="WN34" s="684"/>
      <c r="WO34" s="684"/>
      <c r="WP34" s="684"/>
      <c r="WQ34" s="684"/>
      <c r="WR34" s="684"/>
      <c r="WS34" s="684"/>
      <c r="WT34" s="684"/>
      <c r="WU34" s="684"/>
      <c r="WV34" s="684"/>
      <c r="WW34" s="684"/>
      <c r="WX34" s="684"/>
      <c r="WY34" s="684"/>
      <c r="WZ34" s="684"/>
      <c r="XA34" s="684"/>
      <c r="XB34" s="684"/>
      <c r="XC34" s="684"/>
      <c r="XD34" s="684"/>
      <c r="XE34" s="684"/>
      <c r="XF34" s="684"/>
      <c r="XG34" s="684"/>
      <c r="XH34" s="684"/>
      <c r="XI34" s="684"/>
      <c r="XJ34" s="684"/>
      <c r="XK34" s="684"/>
      <c r="XL34" s="684"/>
      <c r="XM34" s="684"/>
      <c r="XN34" s="684"/>
      <c r="XO34" s="684"/>
      <c r="XP34" s="684"/>
      <c r="XQ34" s="684"/>
      <c r="XR34" s="684"/>
      <c r="XS34" s="684"/>
      <c r="XT34" s="684"/>
      <c r="XU34" s="684"/>
      <c r="XV34" s="684"/>
      <c r="XW34" s="684"/>
      <c r="XX34" s="684"/>
      <c r="XY34" s="684"/>
      <c r="XZ34" s="684"/>
      <c r="YA34" s="684"/>
      <c r="YB34" s="684"/>
      <c r="YC34" s="684"/>
      <c r="YD34" s="684"/>
      <c r="YE34" s="684"/>
      <c r="YF34" s="684"/>
      <c r="YG34" s="684"/>
      <c r="YH34" s="684"/>
      <c r="YI34" s="684"/>
      <c r="YJ34" s="684"/>
      <c r="YK34" s="684"/>
      <c r="YL34" s="684"/>
      <c r="YM34" s="684"/>
      <c r="YN34" s="684"/>
      <c r="YO34" s="684"/>
      <c r="YP34" s="684"/>
      <c r="YQ34" s="684"/>
      <c r="YR34" s="684"/>
      <c r="YS34" s="684"/>
      <c r="YT34" s="684"/>
      <c r="YU34" s="684"/>
      <c r="YV34" s="684"/>
      <c r="YW34" s="684"/>
      <c r="YX34" s="684"/>
      <c r="YY34" s="684"/>
      <c r="YZ34" s="684"/>
      <c r="ZA34" s="684"/>
      <c r="ZB34" s="684"/>
      <c r="ZC34" s="684"/>
      <c r="ZD34" s="684"/>
      <c r="ZE34" s="684"/>
      <c r="ZF34" s="684"/>
      <c r="ZG34" s="684"/>
      <c r="ZH34" s="684"/>
      <c r="ZI34" s="684"/>
      <c r="ZJ34" s="684"/>
      <c r="ZK34" s="684"/>
      <c r="ZL34" s="684"/>
      <c r="ZM34" s="684"/>
      <c r="ZN34" s="684"/>
      <c r="ZO34" s="684"/>
      <c r="ZP34" s="684"/>
      <c r="ZQ34" s="684"/>
      <c r="ZR34" s="684"/>
      <c r="ZS34" s="684"/>
      <c r="ZT34" s="684"/>
      <c r="ZU34" s="684"/>
      <c r="ZV34" s="684"/>
      <c r="ZW34" s="684"/>
      <c r="ZX34" s="684"/>
      <c r="ZY34" s="684"/>
      <c r="ZZ34" s="684"/>
      <c r="AAA34" s="684"/>
      <c r="AAB34" s="684"/>
      <c r="AAC34" s="684"/>
      <c r="AAD34" s="684"/>
      <c r="AAE34" s="684"/>
      <c r="AAF34" s="684"/>
      <c r="AAG34" s="684"/>
      <c r="AAH34" s="684"/>
      <c r="AAI34" s="684"/>
      <c r="AAJ34" s="684"/>
      <c r="AAK34" s="684"/>
      <c r="AAL34" s="684"/>
      <c r="AAM34" s="684"/>
      <c r="AAN34" s="684"/>
      <c r="AAO34" s="684"/>
      <c r="AAP34" s="684"/>
      <c r="AAQ34" s="684"/>
      <c r="AAR34" s="684"/>
      <c r="AAS34" s="684"/>
      <c r="AAT34" s="684"/>
      <c r="AAU34" s="684"/>
      <c r="AAV34" s="684"/>
      <c r="AAW34" s="684"/>
      <c r="AAX34" s="684"/>
      <c r="AAY34" s="684"/>
      <c r="AAZ34" s="684"/>
      <c r="ABA34" s="684"/>
      <c r="ABB34" s="684"/>
      <c r="ABC34" s="684"/>
      <c r="ABD34" s="684"/>
      <c r="ABE34" s="684"/>
      <c r="ABF34" s="684"/>
      <c r="ABG34" s="684"/>
      <c r="ABH34" s="684"/>
      <c r="ABI34" s="684"/>
      <c r="ABJ34" s="684"/>
      <c r="ABK34" s="684"/>
      <c r="ABL34" s="684"/>
      <c r="ABM34" s="684"/>
      <c r="ABN34" s="684"/>
      <c r="ABO34" s="684"/>
      <c r="ABP34" s="684"/>
      <c r="ABQ34" s="684"/>
      <c r="ABR34" s="684"/>
      <c r="ABS34" s="684"/>
      <c r="ABT34" s="684"/>
      <c r="ABU34" s="684"/>
      <c r="ABV34" s="684"/>
      <c r="ABW34" s="684"/>
      <c r="ABX34" s="684"/>
      <c r="ABY34" s="684"/>
      <c r="ABZ34" s="684"/>
      <c r="ACA34" s="684"/>
      <c r="ACB34" s="684"/>
      <c r="ACC34" s="684"/>
      <c r="ACD34" s="684"/>
      <c r="ACE34" s="684"/>
      <c r="ACF34" s="684"/>
      <c r="ACG34" s="684"/>
      <c r="ACH34" s="684"/>
      <c r="ACI34" s="684"/>
      <c r="ACJ34" s="684"/>
      <c r="ACK34" s="684"/>
      <c r="ACL34" s="684"/>
      <c r="ACM34" s="684"/>
      <c r="ACN34" s="684"/>
      <c r="ACO34" s="684"/>
      <c r="ACP34" s="684"/>
      <c r="ACQ34" s="684"/>
      <c r="ACR34" s="684"/>
      <c r="ACS34" s="684"/>
      <c r="ACT34" s="684"/>
      <c r="ACU34" s="684"/>
      <c r="ACV34" s="684"/>
      <c r="ACW34" s="684"/>
      <c r="ACX34" s="684"/>
      <c r="ACY34" s="684"/>
      <c r="ACZ34" s="684"/>
      <c r="ADA34" s="684"/>
      <c r="ADB34" s="684"/>
      <c r="ADC34" s="684"/>
      <c r="ADD34" s="684"/>
      <c r="ADE34" s="684"/>
      <c r="ADF34" s="684"/>
      <c r="ADG34" s="684"/>
      <c r="ADH34" s="684"/>
      <c r="ADI34" s="684"/>
      <c r="ADJ34" s="684"/>
      <c r="ADK34" s="684"/>
      <c r="ADL34" s="684"/>
      <c r="ADM34" s="684"/>
      <c r="ADN34" s="684"/>
      <c r="ADO34" s="684"/>
      <c r="ADP34" s="684"/>
      <c r="ADQ34" s="684"/>
      <c r="ADR34" s="684"/>
      <c r="ADS34" s="684"/>
      <c r="ADT34" s="684"/>
      <c r="ADU34" s="684"/>
      <c r="ADV34" s="684"/>
      <c r="ADW34" s="684"/>
      <c r="ADX34" s="684"/>
      <c r="ADY34" s="684"/>
      <c r="ADZ34" s="684"/>
      <c r="AEA34" s="684"/>
      <c r="AEB34" s="684"/>
      <c r="AEC34" s="684"/>
      <c r="AED34" s="684"/>
      <c r="AEE34" s="684"/>
      <c r="AEF34" s="684"/>
      <c r="AEG34" s="684"/>
      <c r="AEH34" s="684"/>
      <c r="AEI34" s="684"/>
      <c r="AEJ34" s="684"/>
      <c r="AEK34" s="684"/>
      <c r="AEL34" s="684"/>
      <c r="AEM34" s="684"/>
      <c r="AEN34" s="684"/>
      <c r="AEO34" s="684"/>
      <c r="AEP34" s="684"/>
      <c r="AEQ34" s="684"/>
      <c r="AER34" s="684"/>
      <c r="AES34" s="684"/>
      <c r="AET34" s="684"/>
      <c r="AEU34" s="684"/>
      <c r="AEV34" s="684"/>
      <c r="AEW34" s="684"/>
      <c r="AEX34" s="684"/>
      <c r="AEY34" s="684"/>
      <c r="AEZ34" s="684"/>
      <c r="AFA34" s="684"/>
      <c r="AFB34" s="684"/>
      <c r="AFC34" s="684"/>
      <c r="AFD34" s="684"/>
      <c r="AFE34" s="684"/>
      <c r="AFF34" s="684"/>
      <c r="AFG34" s="684"/>
      <c r="AFH34" s="684"/>
      <c r="AFI34" s="684"/>
      <c r="AFJ34" s="684"/>
      <c r="AFK34" s="684"/>
      <c r="AFL34" s="684"/>
      <c r="AFM34" s="684"/>
      <c r="AFN34" s="684"/>
      <c r="AFO34" s="684"/>
      <c r="AFP34" s="684"/>
      <c r="AFQ34" s="684"/>
      <c r="AFR34" s="684"/>
      <c r="AFS34" s="684"/>
      <c r="AFT34" s="684"/>
      <c r="AFU34" s="684"/>
      <c r="AFV34" s="684"/>
      <c r="AFW34" s="684"/>
      <c r="AFX34" s="684"/>
      <c r="AFY34" s="684"/>
      <c r="AFZ34" s="684"/>
      <c r="AGA34" s="684"/>
      <c r="AGB34" s="684"/>
      <c r="AGC34" s="684"/>
      <c r="AGD34" s="684"/>
      <c r="AGE34" s="684"/>
      <c r="AGF34" s="684"/>
      <c r="AGG34" s="684"/>
      <c r="AGH34" s="684"/>
      <c r="AGI34" s="684"/>
      <c r="AGJ34" s="684"/>
      <c r="AGK34" s="684"/>
      <c r="AGL34" s="684"/>
      <c r="AGM34" s="684"/>
      <c r="AGN34" s="684"/>
      <c r="AGO34" s="684"/>
      <c r="AGP34" s="684"/>
      <c r="AGQ34" s="684"/>
      <c r="AGR34" s="684"/>
      <c r="AGS34" s="684"/>
      <c r="AGT34" s="684"/>
      <c r="AGU34" s="684"/>
      <c r="AGV34" s="684"/>
      <c r="AGW34" s="684"/>
      <c r="AGX34" s="684"/>
      <c r="AGY34" s="684"/>
      <c r="AGZ34" s="684"/>
      <c r="AHA34" s="684"/>
      <c r="AHB34" s="684"/>
      <c r="AHC34" s="684"/>
      <c r="AHD34" s="684"/>
      <c r="AHE34" s="684"/>
      <c r="AHF34" s="684"/>
      <c r="AHG34" s="684"/>
      <c r="AHH34" s="684"/>
      <c r="AHI34" s="684"/>
      <c r="AHJ34" s="684"/>
      <c r="AHK34" s="684"/>
      <c r="AHL34" s="684"/>
      <c r="AHM34" s="684"/>
      <c r="AHN34" s="684"/>
      <c r="AHO34" s="684"/>
      <c r="AHP34" s="684"/>
      <c r="AHQ34" s="684"/>
      <c r="AHR34" s="684"/>
      <c r="AHS34" s="684"/>
      <c r="AHT34" s="684"/>
      <c r="AHU34" s="684"/>
      <c r="AHV34" s="684"/>
      <c r="AHW34" s="684"/>
      <c r="AHX34" s="684"/>
      <c r="AHY34" s="684"/>
      <c r="AHZ34" s="684"/>
      <c r="AIA34" s="684"/>
      <c r="AIB34" s="684"/>
      <c r="AIC34" s="684"/>
      <c r="AID34" s="684"/>
      <c r="AIE34" s="684"/>
      <c r="AIF34" s="684"/>
      <c r="AIG34" s="684"/>
      <c r="AIH34" s="684"/>
      <c r="AII34" s="684"/>
      <c r="AIJ34" s="684"/>
      <c r="AIK34" s="684"/>
      <c r="AIL34" s="684"/>
      <c r="AIM34" s="684"/>
      <c r="AIN34" s="684"/>
      <c r="AIO34" s="684"/>
      <c r="AIP34" s="684"/>
      <c r="AIQ34" s="684"/>
      <c r="AIR34" s="684"/>
      <c r="AIS34" s="684"/>
      <c r="AIT34" s="684"/>
      <c r="AIU34" s="684"/>
      <c r="AIV34" s="684"/>
      <c r="AIW34" s="684"/>
      <c r="AIX34" s="684"/>
      <c r="AIY34" s="684"/>
      <c r="AIZ34" s="684"/>
      <c r="AJA34" s="684"/>
      <c r="AJB34" s="684"/>
      <c r="AJC34" s="684"/>
      <c r="AJD34" s="684"/>
      <c r="AJE34" s="684"/>
      <c r="AJF34" s="684"/>
      <c r="AJG34" s="684"/>
      <c r="AJH34" s="684"/>
      <c r="AJI34" s="684"/>
      <c r="AJJ34" s="684"/>
      <c r="AJK34" s="684"/>
      <c r="AJL34" s="684"/>
      <c r="AJM34" s="684"/>
      <c r="AJN34" s="684"/>
      <c r="AJO34" s="684"/>
      <c r="AJP34" s="684"/>
      <c r="AJQ34" s="684"/>
      <c r="AJR34" s="684"/>
      <c r="AJS34" s="684"/>
      <c r="AJT34" s="684"/>
      <c r="AJU34" s="684"/>
      <c r="AJV34" s="684"/>
      <c r="AJW34" s="684"/>
      <c r="AJX34" s="684"/>
      <c r="AJY34" s="684"/>
      <c r="AJZ34" s="684"/>
      <c r="AKA34" s="684"/>
      <c r="AKB34" s="684"/>
      <c r="AKC34" s="684"/>
      <c r="AKD34" s="684"/>
      <c r="AKE34" s="684"/>
      <c r="AKF34" s="684"/>
      <c r="AKG34" s="684"/>
      <c r="AKH34" s="684"/>
      <c r="AKI34" s="684"/>
      <c r="AKJ34" s="684"/>
      <c r="AKK34" s="684"/>
      <c r="AKL34" s="684"/>
      <c r="AKM34" s="684"/>
      <c r="AKN34" s="684"/>
      <c r="AKO34" s="684"/>
      <c r="AKP34" s="684"/>
      <c r="AKQ34" s="684"/>
      <c r="AKR34" s="684"/>
      <c r="AKS34" s="684"/>
      <c r="AKT34" s="684"/>
      <c r="AKU34" s="684"/>
      <c r="AKV34" s="684"/>
      <c r="AKW34" s="684"/>
      <c r="AKX34" s="684"/>
      <c r="AKY34" s="684"/>
      <c r="AKZ34" s="684"/>
      <c r="ALA34" s="684"/>
      <c r="ALB34" s="684"/>
      <c r="ALC34" s="684"/>
      <c r="ALD34" s="684"/>
      <c r="ALE34" s="684"/>
      <c r="ALF34" s="684"/>
      <c r="ALG34" s="684"/>
      <c r="ALH34" s="684"/>
      <c r="ALI34" s="684"/>
      <c r="ALJ34" s="684"/>
      <c r="ALK34" s="684"/>
      <c r="ALL34" s="684"/>
      <c r="ALM34" s="684"/>
      <c r="ALN34" s="684"/>
      <c r="ALO34" s="684"/>
      <c r="ALP34" s="684"/>
      <c r="ALQ34" s="684"/>
      <c r="ALR34" s="684"/>
      <c r="ALS34" s="684"/>
      <c r="ALT34" s="684"/>
      <c r="ALU34" s="684"/>
      <c r="ALV34" s="684"/>
      <c r="ALW34" s="684"/>
      <c r="ALX34" s="684"/>
      <c r="ALY34" s="684"/>
      <c r="ALZ34" s="684"/>
      <c r="AMA34" s="684"/>
      <c r="AMB34" s="684"/>
      <c r="AMC34" s="684"/>
      <c r="AMD34" s="684"/>
      <c r="AME34" s="684"/>
      <c r="AMF34" s="684"/>
      <c r="AMG34" s="684"/>
      <c r="AMH34" s="684"/>
      <c r="AMI34" s="684"/>
      <c r="AMJ34" s="684"/>
      <c r="AMK34" s="684"/>
      <c r="AML34" s="684"/>
      <c r="AMM34" s="684"/>
      <c r="AMN34" s="684"/>
      <c r="AMO34" s="684"/>
      <c r="AMP34" s="684"/>
      <c r="AMQ34" s="684"/>
      <c r="AMR34" s="684"/>
      <c r="AMS34" s="684"/>
      <c r="AMT34" s="684"/>
      <c r="AMU34" s="684"/>
      <c r="AMV34" s="684"/>
      <c r="AMW34" s="684"/>
      <c r="AMX34" s="684"/>
      <c r="AMY34" s="684"/>
      <c r="AMZ34" s="684"/>
      <c r="ANA34" s="684"/>
      <c r="ANB34" s="684"/>
      <c r="ANC34" s="684"/>
      <c r="AND34" s="684"/>
      <c r="ANE34" s="684"/>
      <c r="ANF34" s="684"/>
      <c r="ANG34" s="684"/>
      <c r="ANH34" s="684"/>
      <c r="ANI34" s="684"/>
      <c r="ANJ34" s="684"/>
      <c r="ANK34" s="684"/>
      <c r="ANL34" s="684"/>
      <c r="ANM34" s="684"/>
      <c r="ANN34" s="684"/>
      <c r="ANO34" s="684"/>
      <c r="ANP34" s="684"/>
      <c r="ANQ34" s="684"/>
      <c r="ANR34" s="684"/>
      <c r="ANS34" s="684"/>
      <c r="ANT34" s="684"/>
      <c r="ANU34" s="684"/>
      <c r="ANV34" s="684"/>
      <c r="ANW34" s="684"/>
      <c r="ANX34" s="684"/>
      <c r="ANY34" s="684"/>
      <c r="ANZ34" s="684"/>
      <c r="AOA34" s="684"/>
      <c r="AOB34" s="684"/>
      <c r="AOC34" s="684"/>
      <c r="AOD34" s="684"/>
      <c r="AOE34" s="684"/>
      <c r="AOF34" s="684"/>
      <c r="AOG34" s="684"/>
      <c r="AOH34" s="684"/>
      <c r="AOI34" s="684"/>
      <c r="AOJ34" s="684"/>
      <c r="AOK34" s="684"/>
      <c r="AOL34" s="684"/>
      <c r="AOM34" s="684"/>
      <c r="AON34" s="684"/>
      <c r="AOO34" s="684"/>
      <c r="AOP34" s="684"/>
      <c r="AOQ34" s="684"/>
      <c r="AOR34" s="684"/>
      <c r="AOS34" s="684"/>
      <c r="AOT34" s="684"/>
      <c r="AOU34" s="684"/>
      <c r="AOV34" s="684"/>
      <c r="AOW34" s="684"/>
      <c r="AOX34" s="684"/>
      <c r="AOY34" s="684"/>
      <c r="AOZ34" s="684"/>
      <c r="APA34" s="684"/>
      <c r="APB34" s="684"/>
      <c r="APC34" s="684"/>
      <c r="APD34" s="684"/>
      <c r="APE34" s="684"/>
      <c r="APF34" s="684"/>
      <c r="APG34" s="684"/>
      <c r="APH34" s="684"/>
      <c r="API34" s="684"/>
      <c r="APJ34" s="684"/>
      <c r="APK34" s="684"/>
      <c r="APL34" s="684"/>
      <c r="APM34" s="684"/>
      <c r="APN34" s="684"/>
      <c r="APO34" s="684"/>
      <c r="APP34" s="684"/>
      <c r="APQ34" s="684"/>
      <c r="APR34" s="684"/>
      <c r="APS34" s="684"/>
      <c r="APT34" s="684"/>
      <c r="APU34" s="684"/>
      <c r="APV34" s="684"/>
      <c r="APW34" s="684"/>
      <c r="APX34" s="684"/>
      <c r="APY34" s="684"/>
      <c r="APZ34" s="684"/>
      <c r="AQA34" s="684"/>
      <c r="AQB34" s="684"/>
      <c r="AQC34" s="684"/>
      <c r="AQD34" s="684"/>
      <c r="AQE34" s="684"/>
      <c r="AQF34" s="684"/>
      <c r="AQG34" s="684"/>
      <c r="AQH34" s="684"/>
      <c r="AQI34" s="684"/>
      <c r="AQJ34" s="684"/>
      <c r="AQK34" s="684"/>
      <c r="AQL34" s="684"/>
      <c r="AQM34" s="684"/>
      <c r="AQN34" s="684"/>
      <c r="AQO34" s="684"/>
      <c r="AQP34" s="684"/>
      <c r="AQQ34" s="684"/>
      <c r="AQR34" s="684"/>
      <c r="AQS34" s="684"/>
      <c r="AQT34" s="684"/>
      <c r="AQU34" s="684"/>
      <c r="AQV34" s="684"/>
      <c r="AQW34" s="684"/>
      <c r="AQX34" s="684"/>
      <c r="AQY34" s="684"/>
      <c r="AQZ34" s="684"/>
      <c r="ARA34" s="684"/>
      <c r="ARB34" s="684"/>
      <c r="ARC34" s="684"/>
      <c r="ARD34" s="684"/>
      <c r="ARE34" s="684"/>
      <c r="ARF34" s="684"/>
      <c r="ARG34" s="684"/>
      <c r="ARH34" s="684"/>
      <c r="ARI34" s="684"/>
      <c r="ARJ34" s="684"/>
      <c r="ARK34" s="684"/>
      <c r="ARL34" s="684"/>
      <c r="ARM34" s="684"/>
      <c r="ARN34" s="684"/>
      <c r="ARO34" s="684"/>
      <c r="ARP34" s="684"/>
      <c r="ARQ34" s="684"/>
      <c r="ARR34" s="684"/>
      <c r="ARS34" s="684"/>
      <c r="ART34" s="684"/>
      <c r="ARU34" s="684"/>
      <c r="ARV34" s="684"/>
      <c r="ARW34" s="684"/>
      <c r="ARX34" s="684"/>
      <c r="ARY34" s="684"/>
      <c r="ARZ34" s="684"/>
      <c r="ASA34" s="684"/>
      <c r="ASB34" s="684"/>
      <c r="ASC34" s="684"/>
      <c r="ASD34" s="684"/>
      <c r="ASE34" s="684"/>
      <c r="ASF34" s="684"/>
      <c r="ASG34" s="684"/>
      <c r="ASH34" s="684"/>
      <c r="ASI34" s="684"/>
      <c r="ASJ34" s="684"/>
      <c r="ASK34" s="684"/>
      <c r="ASL34" s="684"/>
      <c r="ASM34" s="684"/>
      <c r="ASN34" s="684"/>
      <c r="ASO34" s="684"/>
      <c r="ASP34" s="684"/>
      <c r="ASQ34" s="684"/>
      <c r="ASR34" s="684"/>
      <c r="ASS34" s="684"/>
      <c r="AST34" s="684"/>
      <c r="ASU34" s="684"/>
      <c r="ASV34" s="684"/>
      <c r="ASW34" s="684"/>
      <c r="ASX34" s="684"/>
      <c r="ASY34" s="684"/>
      <c r="ASZ34" s="684"/>
      <c r="ATA34" s="684"/>
      <c r="ATB34" s="684"/>
      <c r="ATC34" s="684"/>
      <c r="ATD34" s="684"/>
      <c r="ATE34" s="684"/>
      <c r="ATF34" s="684"/>
      <c r="ATG34" s="684"/>
      <c r="ATH34" s="684"/>
      <c r="ATI34" s="684"/>
      <c r="ATJ34" s="684"/>
      <c r="ATK34" s="684"/>
      <c r="ATL34" s="684"/>
      <c r="ATM34" s="684"/>
      <c r="ATN34" s="684"/>
      <c r="ATO34" s="684"/>
      <c r="ATP34" s="684"/>
      <c r="ATQ34" s="684"/>
      <c r="ATR34" s="684"/>
      <c r="ATS34" s="684"/>
      <c r="ATT34" s="684"/>
      <c r="ATU34" s="684"/>
      <c r="ATV34" s="684"/>
      <c r="ATW34" s="684"/>
      <c r="ATX34" s="684"/>
      <c r="ATY34" s="684"/>
      <c r="ATZ34" s="684"/>
      <c r="AUA34" s="684"/>
      <c r="AUB34" s="684"/>
      <c r="AUC34" s="684"/>
      <c r="AUD34" s="684"/>
      <c r="AUE34" s="684"/>
      <c r="AUF34" s="684"/>
      <c r="AUG34" s="684"/>
      <c r="AUH34" s="684"/>
      <c r="AUI34" s="684"/>
      <c r="AUJ34" s="684"/>
      <c r="AUK34" s="684"/>
      <c r="AUL34" s="684"/>
      <c r="AUM34" s="684"/>
      <c r="AUN34" s="684"/>
      <c r="AUO34" s="684"/>
      <c r="AUP34" s="684"/>
      <c r="AUQ34" s="684"/>
      <c r="AUR34" s="684"/>
      <c r="AUS34" s="684"/>
      <c r="AUT34" s="684"/>
      <c r="AUU34" s="684"/>
      <c r="AUV34" s="684"/>
      <c r="AUW34" s="684"/>
      <c r="AUX34" s="684"/>
      <c r="AUY34" s="684"/>
      <c r="AUZ34" s="684"/>
      <c r="AVA34" s="684"/>
      <c r="AVB34" s="684"/>
      <c r="AVC34" s="684"/>
      <c r="AVD34" s="684"/>
      <c r="AVE34" s="684"/>
      <c r="AVF34" s="684"/>
      <c r="AVG34" s="684"/>
      <c r="AVH34" s="684"/>
      <c r="AVI34" s="684"/>
      <c r="AVJ34" s="684"/>
      <c r="AVK34" s="684"/>
      <c r="AVL34" s="684"/>
      <c r="AVM34" s="684"/>
      <c r="AVN34" s="684"/>
      <c r="AVO34" s="684"/>
      <c r="AVP34" s="684"/>
      <c r="AVQ34" s="684"/>
      <c r="AVR34" s="684"/>
      <c r="AVS34" s="684"/>
      <c r="AVT34" s="684"/>
      <c r="AVU34" s="684"/>
      <c r="AVV34" s="684"/>
      <c r="AVW34" s="684"/>
      <c r="AVX34" s="684"/>
      <c r="AVY34" s="684"/>
      <c r="AVZ34" s="684"/>
      <c r="AWA34" s="684"/>
      <c r="AWB34" s="684"/>
      <c r="AWC34" s="684"/>
      <c r="AWD34" s="684"/>
      <c r="AWE34" s="684"/>
      <c r="AWF34" s="684"/>
      <c r="AWG34" s="684"/>
      <c r="AWH34" s="684"/>
      <c r="AWI34" s="684"/>
      <c r="AWJ34" s="684"/>
      <c r="AWK34" s="684"/>
      <c r="AWL34" s="684"/>
      <c r="AWM34" s="684"/>
      <c r="AWN34" s="684"/>
      <c r="AWO34" s="684"/>
      <c r="AWP34" s="684"/>
      <c r="AWQ34" s="684"/>
      <c r="AWR34" s="684"/>
      <c r="AWS34" s="684"/>
      <c r="AWT34" s="684"/>
      <c r="AWU34" s="684"/>
      <c r="AWV34" s="684"/>
      <c r="AWW34" s="684"/>
      <c r="AWX34" s="684"/>
      <c r="AWY34" s="684"/>
      <c r="AWZ34" s="684"/>
      <c r="AXA34" s="684"/>
      <c r="AXB34" s="684"/>
      <c r="AXC34" s="684"/>
      <c r="AXD34" s="684"/>
      <c r="AXE34" s="684"/>
      <c r="AXF34" s="684"/>
      <c r="AXG34" s="684"/>
      <c r="AXH34" s="684"/>
      <c r="AXI34" s="684"/>
      <c r="AXJ34" s="684"/>
      <c r="AXK34" s="684"/>
      <c r="AXL34" s="684"/>
      <c r="AXM34" s="684"/>
      <c r="AXN34" s="684"/>
      <c r="AXO34" s="684"/>
      <c r="AXP34" s="684"/>
      <c r="AXQ34" s="684"/>
      <c r="AXR34" s="684"/>
      <c r="AXS34" s="684"/>
      <c r="AXT34" s="684"/>
      <c r="AXU34" s="684"/>
      <c r="AXV34" s="684"/>
      <c r="AXW34" s="684"/>
      <c r="AXX34" s="684"/>
      <c r="AXY34" s="684"/>
      <c r="AXZ34" s="684"/>
      <c r="AYA34" s="684"/>
      <c r="AYB34" s="684"/>
      <c r="AYC34" s="684"/>
      <c r="AYD34" s="684"/>
      <c r="AYE34" s="684"/>
      <c r="AYF34" s="684"/>
      <c r="AYG34" s="684"/>
      <c r="AYH34" s="684"/>
      <c r="AYI34" s="684"/>
      <c r="AYJ34" s="684"/>
      <c r="AYK34" s="684"/>
      <c r="AYL34" s="684"/>
      <c r="AYM34" s="684"/>
      <c r="AYN34" s="684"/>
      <c r="AYO34" s="684"/>
      <c r="AYP34" s="684"/>
      <c r="AYQ34" s="684"/>
      <c r="AYR34" s="684"/>
      <c r="AYS34" s="684"/>
      <c r="AYT34" s="684"/>
      <c r="AYU34" s="684"/>
      <c r="AYV34" s="684"/>
      <c r="AYW34" s="684"/>
      <c r="AYX34" s="684"/>
      <c r="AYY34" s="684"/>
      <c r="AYZ34" s="684"/>
      <c r="AZA34" s="684"/>
      <c r="AZB34" s="684"/>
      <c r="AZC34" s="684"/>
      <c r="AZD34" s="684"/>
      <c r="AZE34" s="684"/>
      <c r="AZF34" s="684"/>
      <c r="AZG34" s="684"/>
      <c r="AZH34" s="684"/>
      <c r="AZI34" s="684"/>
      <c r="AZJ34" s="684"/>
      <c r="AZK34" s="684"/>
      <c r="AZL34" s="684"/>
      <c r="AZM34" s="684"/>
      <c r="AZN34" s="684"/>
      <c r="AZO34" s="684"/>
      <c r="AZP34" s="684"/>
      <c r="AZQ34" s="684"/>
      <c r="AZR34" s="684"/>
      <c r="AZS34" s="684"/>
      <c r="AZT34" s="684"/>
      <c r="AZU34" s="684"/>
      <c r="AZV34" s="684"/>
      <c r="AZW34" s="684"/>
      <c r="AZX34" s="684"/>
      <c r="AZY34" s="684"/>
      <c r="AZZ34" s="684"/>
      <c r="BAA34" s="684"/>
      <c r="BAB34" s="684"/>
      <c r="BAC34" s="684"/>
      <c r="BAD34" s="684"/>
      <c r="BAE34" s="684"/>
      <c r="BAF34" s="684"/>
      <c r="BAG34" s="684"/>
      <c r="BAH34" s="684"/>
      <c r="BAI34" s="684"/>
      <c r="BAJ34" s="684"/>
      <c r="BAK34" s="684"/>
      <c r="BAL34" s="684"/>
      <c r="BAM34" s="684"/>
      <c r="BAN34" s="684"/>
      <c r="BAO34" s="684"/>
      <c r="BAP34" s="684"/>
      <c r="BAQ34" s="684"/>
      <c r="BAR34" s="684"/>
      <c r="BAS34" s="684"/>
      <c r="BAT34" s="684"/>
      <c r="BAU34" s="684"/>
      <c r="BAV34" s="684"/>
      <c r="BAW34" s="684"/>
      <c r="BAX34" s="684"/>
      <c r="BAY34" s="684"/>
      <c r="BAZ34" s="684"/>
      <c r="BBA34" s="684"/>
      <c r="BBB34" s="684"/>
      <c r="BBC34" s="684"/>
      <c r="BBD34" s="684"/>
      <c r="BBE34" s="684"/>
      <c r="BBF34" s="684"/>
      <c r="BBG34" s="684"/>
      <c r="BBH34" s="684"/>
      <c r="BBI34" s="684"/>
      <c r="BBJ34" s="684"/>
      <c r="BBK34" s="684"/>
      <c r="BBL34" s="684"/>
      <c r="BBM34" s="684"/>
      <c r="BBN34" s="684"/>
      <c r="BBO34" s="684"/>
      <c r="BBP34" s="684"/>
      <c r="BBQ34" s="684"/>
      <c r="BBR34" s="684"/>
      <c r="BBS34" s="684"/>
      <c r="BBT34" s="684"/>
      <c r="BBU34" s="684"/>
      <c r="BBV34" s="684"/>
      <c r="BBW34" s="684"/>
      <c r="BBX34" s="684"/>
      <c r="BBY34" s="684"/>
      <c r="BBZ34" s="684"/>
      <c r="BCA34" s="684"/>
      <c r="BCB34" s="684"/>
      <c r="BCC34" s="684"/>
      <c r="BCD34" s="684"/>
      <c r="BCE34" s="684"/>
      <c r="BCF34" s="684"/>
      <c r="BCG34" s="684"/>
      <c r="BCH34" s="684"/>
      <c r="BCI34" s="684"/>
      <c r="BCJ34" s="684"/>
      <c r="BCK34" s="684"/>
      <c r="BCL34" s="684"/>
      <c r="BCM34" s="684"/>
      <c r="BCN34" s="684"/>
      <c r="BCO34" s="684"/>
      <c r="BCP34" s="684"/>
      <c r="BCQ34" s="684"/>
      <c r="BCR34" s="684"/>
      <c r="BCS34" s="684"/>
      <c r="BCT34" s="684"/>
      <c r="BCU34" s="684"/>
      <c r="BCV34" s="684"/>
      <c r="BCW34" s="684"/>
      <c r="BCX34" s="684"/>
      <c r="BCY34" s="684"/>
      <c r="BCZ34" s="684"/>
      <c r="BDA34" s="684"/>
      <c r="BDB34" s="684"/>
      <c r="BDC34" s="684"/>
      <c r="BDD34" s="684"/>
      <c r="BDE34" s="684"/>
      <c r="BDF34" s="684"/>
      <c r="BDG34" s="684"/>
      <c r="BDH34" s="684"/>
      <c r="BDI34" s="684"/>
      <c r="BDJ34" s="684"/>
      <c r="BDK34" s="684"/>
      <c r="BDL34" s="684"/>
      <c r="BDM34" s="684"/>
      <c r="BDN34" s="684"/>
      <c r="BDO34" s="684"/>
      <c r="BDP34" s="684"/>
      <c r="BDQ34" s="684"/>
      <c r="BDR34" s="684"/>
      <c r="BDS34" s="684"/>
      <c r="BDT34" s="684"/>
      <c r="BDU34" s="684"/>
      <c r="BDV34" s="684"/>
      <c r="BDW34" s="684"/>
      <c r="BDX34" s="684"/>
      <c r="BDY34" s="684"/>
      <c r="BDZ34" s="684"/>
      <c r="BEA34" s="684"/>
      <c r="BEB34" s="684"/>
      <c r="BEC34" s="684"/>
      <c r="BED34" s="684"/>
      <c r="BEE34" s="684"/>
      <c r="BEF34" s="684"/>
      <c r="BEG34" s="684"/>
      <c r="BEH34" s="684"/>
      <c r="BEI34" s="684"/>
      <c r="BEJ34" s="684"/>
      <c r="BEK34" s="684"/>
      <c r="BEL34" s="684"/>
      <c r="BEM34" s="684"/>
      <c r="BEN34" s="684"/>
      <c r="BEO34" s="684"/>
      <c r="BEP34" s="684"/>
      <c r="BEQ34" s="684"/>
      <c r="BER34" s="684"/>
      <c r="BES34" s="684"/>
      <c r="BET34" s="684"/>
      <c r="BEU34" s="684"/>
      <c r="BEV34" s="684"/>
      <c r="BEW34" s="684"/>
      <c r="BEX34" s="684"/>
      <c r="BEY34" s="684"/>
      <c r="BEZ34" s="684"/>
      <c r="BFA34" s="684"/>
      <c r="BFB34" s="684"/>
      <c r="BFC34" s="684"/>
      <c r="BFD34" s="684"/>
      <c r="BFE34" s="684"/>
      <c r="BFF34" s="684"/>
      <c r="BFG34" s="684"/>
      <c r="BFH34" s="684"/>
      <c r="BFI34" s="684"/>
      <c r="BFJ34" s="684"/>
      <c r="BFK34" s="684"/>
      <c r="BFL34" s="684"/>
      <c r="BFM34" s="684"/>
      <c r="BFN34" s="684"/>
      <c r="BFO34" s="684"/>
      <c r="BFP34" s="684"/>
      <c r="BFQ34" s="684"/>
      <c r="BFR34" s="684"/>
      <c r="BFS34" s="684"/>
      <c r="BFT34" s="684"/>
      <c r="BFU34" s="684"/>
      <c r="BFV34" s="684"/>
      <c r="BFW34" s="684"/>
      <c r="BFX34" s="684"/>
      <c r="BFY34" s="684"/>
      <c r="BFZ34" s="684"/>
      <c r="BGA34" s="684"/>
      <c r="BGB34" s="684"/>
      <c r="BGC34" s="684"/>
      <c r="BGD34" s="684"/>
      <c r="BGE34" s="684"/>
      <c r="BGF34" s="684"/>
      <c r="BGG34" s="684"/>
      <c r="BGH34" s="684"/>
      <c r="BGI34" s="684"/>
      <c r="BGJ34" s="684"/>
      <c r="BGK34" s="684"/>
      <c r="BGL34" s="684"/>
      <c r="BGM34" s="684"/>
      <c r="BGN34" s="684"/>
      <c r="BGO34" s="684"/>
      <c r="BGP34" s="684"/>
      <c r="BGQ34" s="684"/>
      <c r="BGR34" s="684"/>
      <c r="BGS34" s="684"/>
      <c r="BGT34" s="684"/>
      <c r="BGU34" s="684"/>
      <c r="BGV34" s="684"/>
      <c r="BGW34" s="684"/>
      <c r="BGX34" s="684"/>
      <c r="BGY34" s="684"/>
      <c r="BGZ34" s="684"/>
      <c r="BHA34" s="684"/>
      <c r="BHB34" s="684"/>
      <c r="BHC34" s="684"/>
      <c r="BHD34" s="684"/>
      <c r="BHE34" s="684"/>
      <c r="BHF34" s="684"/>
      <c r="BHG34" s="684"/>
      <c r="BHH34" s="684"/>
      <c r="BHI34" s="684"/>
      <c r="BHJ34" s="684"/>
      <c r="BHK34" s="684"/>
      <c r="BHL34" s="684"/>
      <c r="BHM34" s="684"/>
      <c r="BHN34" s="684"/>
      <c r="BHO34" s="684"/>
      <c r="BHP34" s="684"/>
      <c r="BHQ34" s="684"/>
      <c r="BHR34" s="684"/>
      <c r="BHS34" s="684"/>
      <c r="BHT34" s="684"/>
      <c r="BHU34" s="684"/>
      <c r="BHV34" s="684"/>
      <c r="BHW34" s="684"/>
      <c r="BHX34" s="684"/>
      <c r="BHY34" s="684"/>
      <c r="BHZ34" s="684"/>
      <c r="BIA34" s="684"/>
      <c r="BIB34" s="684"/>
      <c r="BIC34" s="684"/>
      <c r="BID34" s="684"/>
      <c r="BIE34" s="684"/>
      <c r="BIF34" s="684"/>
      <c r="BIG34" s="684"/>
      <c r="BIH34" s="684"/>
      <c r="BII34" s="684"/>
      <c r="BIJ34" s="684"/>
      <c r="BIK34" s="684"/>
      <c r="BIL34" s="684"/>
      <c r="BIM34" s="684"/>
      <c r="BIN34" s="684"/>
      <c r="BIO34" s="684"/>
      <c r="BIP34" s="684"/>
      <c r="BIQ34" s="684"/>
      <c r="BIR34" s="684"/>
      <c r="BIS34" s="684"/>
      <c r="BIT34" s="684"/>
      <c r="BIU34" s="684"/>
      <c r="BIV34" s="684"/>
      <c r="BIW34" s="684"/>
      <c r="BIX34" s="684"/>
      <c r="BIY34" s="684"/>
      <c r="BIZ34" s="684"/>
      <c r="BJA34" s="684"/>
      <c r="BJB34" s="684"/>
      <c r="BJC34" s="684"/>
      <c r="BJD34" s="684"/>
      <c r="BJE34" s="684"/>
      <c r="BJF34" s="684"/>
      <c r="BJG34" s="684"/>
      <c r="BJH34" s="684"/>
      <c r="BJI34" s="684"/>
      <c r="BJJ34" s="684"/>
      <c r="BJK34" s="684"/>
      <c r="BJL34" s="684"/>
      <c r="BJM34" s="684"/>
      <c r="BJN34" s="684"/>
      <c r="BJO34" s="684"/>
      <c r="BJP34" s="684"/>
      <c r="BJQ34" s="684"/>
      <c r="BJR34" s="684"/>
      <c r="BJS34" s="684"/>
      <c r="BJT34" s="684"/>
      <c r="BJU34" s="684"/>
      <c r="BJV34" s="684"/>
      <c r="BJW34" s="684"/>
      <c r="BJX34" s="684"/>
      <c r="BJY34" s="684"/>
      <c r="BJZ34" s="684"/>
      <c r="BKA34" s="684"/>
      <c r="BKB34" s="684"/>
      <c r="BKC34" s="684"/>
      <c r="BKD34" s="684"/>
      <c r="BKE34" s="684"/>
      <c r="BKF34" s="684"/>
      <c r="BKG34" s="684"/>
      <c r="BKH34" s="684"/>
      <c r="BKI34" s="684"/>
      <c r="BKJ34" s="684"/>
      <c r="BKK34" s="684"/>
      <c r="BKL34" s="684"/>
      <c r="BKM34" s="684"/>
      <c r="BKN34" s="684"/>
      <c r="BKO34" s="684"/>
      <c r="BKP34" s="684"/>
      <c r="BKQ34" s="684"/>
      <c r="BKR34" s="684"/>
      <c r="BKS34" s="684"/>
      <c r="BKT34" s="684"/>
      <c r="BKU34" s="684"/>
      <c r="BKV34" s="684"/>
      <c r="BKW34" s="684"/>
      <c r="BKX34" s="684"/>
      <c r="BKY34" s="684"/>
      <c r="BKZ34" s="684"/>
      <c r="BLA34" s="684"/>
      <c r="BLB34" s="684"/>
      <c r="BLC34" s="684"/>
      <c r="BLD34" s="684"/>
      <c r="BLE34" s="684"/>
      <c r="BLF34" s="684"/>
      <c r="BLG34" s="684"/>
      <c r="BLH34" s="684"/>
      <c r="BLI34" s="684"/>
      <c r="BLJ34" s="684"/>
      <c r="BLK34" s="684"/>
      <c r="BLL34" s="684"/>
      <c r="BLM34" s="684"/>
      <c r="BLN34" s="684"/>
      <c r="BLO34" s="684"/>
      <c r="BLP34" s="684"/>
      <c r="BLQ34" s="684"/>
      <c r="BLR34" s="684"/>
      <c r="BLS34" s="684"/>
      <c r="BLT34" s="684"/>
      <c r="BLU34" s="684"/>
      <c r="BLV34" s="684"/>
      <c r="BLW34" s="684"/>
      <c r="BLX34" s="684"/>
      <c r="BLY34" s="684"/>
      <c r="BLZ34" s="684"/>
      <c r="BMA34" s="684"/>
      <c r="BMB34" s="684"/>
      <c r="BMC34" s="684"/>
      <c r="BMD34" s="684"/>
      <c r="BME34" s="684"/>
      <c r="BMF34" s="684"/>
      <c r="BMG34" s="684"/>
      <c r="BMH34" s="684"/>
      <c r="BMI34" s="684"/>
      <c r="BMJ34" s="684"/>
      <c r="BMK34" s="684"/>
      <c r="BML34" s="684"/>
      <c r="BMM34" s="684"/>
      <c r="BMN34" s="684"/>
      <c r="BMO34" s="684"/>
      <c r="BMP34" s="684"/>
      <c r="BMQ34" s="684"/>
      <c r="BMR34" s="684"/>
      <c r="BMS34" s="684"/>
      <c r="BMT34" s="684"/>
      <c r="BMU34" s="684"/>
      <c r="BMV34" s="684"/>
      <c r="BMW34" s="684"/>
      <c r="BMX34" s="684"/>
      <c r="BMY34" s="684"/>
      <c r="BMZ34" s="684"/>
      <c r="BNA34" s="684"/>
      <c r="BNB34" s="684"/>
      <c r="BNC34" s="684"/>
      <c r="BND34" s="684"/>
      <c r="BNE34" s="684"/>
      <c r="BNF34" s="684"/>
      <c r="BNG34" s="684"/>
      <c r="BNH34" s="684"/>
      <c r="BNI34" s="684"/>
      <c r="BNJ34" s="684"/>
      <c r="BNK34" s="684"/>
      <c r="BNL34" s="684"/>
      <c r="BNM34" s="684"/>
      <c r="BNN34" s="684"/>
      <c r="BNO34" s="684"/>
      <c r="BNP34" s="684"/>
      <c r="BNQ34" s="684"/>
      <c r="BNR34" s="684"/>
      <c r="BNS34" s="684"/>
      <c r="BNT34" s="684"/>
      <c r="BNU34" s="684"/>
      <c r="BNV34" s="684"/>
      <c r="BNW34" s="684"/>
      <c r="BNX34" s="684"/>
      <c r="BNY34" s="684"/>
      <c r="BNZ34" s="684"/>
      <c r="BOA34" s="684"/>
      <c r="BOB34" s="684"/>
      <c r="BOC34" s="684"/>
      <c r="BOD34" s="684"/>
      <c r="BOE34" s="684"/>
      <c r="BOF34" s="684"/>
      <c r="BOG34" s="684"/>
      <c r="BOH34" s="684"/>
      <c r="BOI34" s="684"/>
      <c r="BOJ34" s="684"/>
      <c r="BOK34" s="684"/>
      <c r="BOL34" s="684"/>
      <c r="BOM34" s="684"/>
      <c r="BON34" s="684"/>
      <c r="BOO34" s="684"/>
      <c r="BOP34" s="684"/>
      <c r="BOQ34" s="684"/>
      <c r="BOR34" s="684"/>
      <c r="BOS34" s="684"/>
      <c r="BOT34" s="684"/>
      <c r="BOU34" s="684"/>
      <c r="BOV34" s="684"/>
      <c r="BOW34" s="684"/>
      <c r="BOX34" s="684"/>
      <c r="BOY34" s="684"/>
      <c r="BOZ34" s="684"/>
      <c r="BPA34" s="684"/>
      <c r="BPB34" s="684"/>
      <c r="BPC34" s="684"/>
      <c r="BPD34" s="684"/>
      <c r="BPE34" s="684"/>
      <c r="BPF34" s="684"/>
      <c r="BPG34" s="684"/>
      <c r="BPH34" s="684"/>
      <c r="BPI34" s="684"/>
      <c r="BPJ34" s="684"/>
      <c r="BPK34" s="684"/>
      <c r="BPL34" s="684"/>
      <c r="BPM34" s="684"/>
      <c r="BPN34" s="684"/>
      <c r="BPO34" s="684"/>
      <c r="BPP34" s="684"/>
      <c r="BPQ34" s="684"/>
      <c r="BPR34" s="684"/>
      <c r="BPS34" s="684"/>
      <c r="BPT34" s="684"/>
      <c r="BPU34" s="684"/>
      <c r="BPV34" s="684"/>
      <c r="BPW34" s="684"/>
      <c r="BPX34" s="684"/>
      <c r="BPY34" s="684"/>
      <c r="BPZ34" s="684"/>
      <c r="BQA34" s="684"/>
      <c r="BQB34" s="684"/>
      <c r="BQC34" s="684"/>
      <c r="BQD34" s="684"/>
      <c r="BQE34" s="684"/>
      <c r="BQF34" s="684"/>
      <c r="BQG34" s="684"/>
      <c r="BQH34" s="684"/>
      <c r="BQI34" s="684"/>
      <c r="BQJ34" s="684"/>
      <c r="BQK34" s="684"/>
      <c r="BQL34" s="684"/>
      <c r="BQM34" s="684"/>
      <c r="BQN34" s="684"/>
      <c r="BQO34" s="684"/>
      <c r="BQP34" s="684"/>
      <c r="BQQ34" s="684"/>
      <c r="BQR34" s="684"/>
      <c r="BQS34" s="684"/>
      <c r="BQT34" s="684"/>
      <c r="BQU34" s="684"/>
      <c r="BQV34" s="684"/>
      <c r="BQW34" s="684"/>
      <c r="BQX34" s="684"/>
      <c r="BQY34" s="684"/>
      <c r="BQZ34" s="684"/>
      <c r="BRA34" s="684"/>
      <c r="BRB34" s="684"/>
      <c r="BRC34" s="684"/>
      <c r="BRD34" s="684"/>
      <c r="BRE34" s="684"/>
      <c r="BRF34" s="684"/>
      <c r="BRG34" s="684"/>
      <c r="BRH34" s="684"/>
      <c r="BRI34" s="684"/>
      <c r="BRJ34" s="684"/>
      <c r="BRK34" s="684"/>
      <c r="BRL34" s="684"/>
      <c r="BRM34" s="684"/>
      <c r="BRN34" s="684"/>
      <c r="BRO34" s="684"/>
      <c r="BRP34" s="684"/>
      <c r="BRQ34" s="684"/>
      <c r="BRR34" s="684"/>
      <c r="BRS34" s="684"/>
      <c r="BRT34" s="684"/>
      <c r="BRU34" s="684"/>
      <c r="BRV34" s="684"/>
      <c r="BRW34" s="684"/>
      <c r="BRX34" s="684"/>
      <c r="BRY34" s="684"/>
      <c r="BRZ34" s="684"/>
      <c r="BSA34" s="684"/>
      <c r="BSB34" s="684"/>
      <c r="BSC34" s="684"/>
      <c r="BSD34" s="684"/>
      <c r="BSE34" s="684"/>
      <c r="BSF34" s="684"/>
      <c r="BSG34" s="684"/>
      <c r="BSH34" s="684"/>
      <c r="BSI34" s="684"/>
      <c r="BSJ34" s="684"/>
      <c r="BSK34" s="684"/>
      <c r="BSL34" s="684"/>
      <c r="BSM34" s="684"/>
      <c r="BSN34" s="684"/>
      <c r="BSO34" s="684"/>
      <c r="BSP34" s="684"/>
      <c r="BSQ34" s="684"/>
      <c r="BSR34" s="684"/>
      <c r="BSS34" s="684"/>
      <c r="BST34" s="684"/>
      <c r="BSU34" s="684"/>
      <c r="BSV34" s="684"/>
      <c r="BSW34" s="684"/>
      <c r="BSX34" s="684"/>
      <c r="BSY34" s="684"/>
      <c r="BSZ34" s="684"/>
      <c r="BTA34" s="684"/>
      <c r="BTB34" s="684"/>
      <c r="BTC34" s="684"/>
      <c r="BTD34" s="684"/>
      <c r="BTE34" s="684"/>
      <c r="BTF34" s="684"/>
      <c r="BTG34" s="684"/>
      <c r="BTH34" s="684"/>
      <c r="BTI34" s="684"/>
      <c r="BTJ34" s="684"/>
      <c r="BTK34" s="684"/>
      <c r="BTL34" s="684"/>
      <c r="BTM34" s="684"/>
      <c r="BTN34" s="684"/>
      <c r="BTO34" s="684"/>
      <c r="BTP34" s="684"/>
      <c r="BTQ34" s="684"/>
      <c r="BTR34" s="684"/>
      <c r="BTS34" s="684"/>
      <c r="BTT34" s="684"/>
      <c r="BTU34" s="684"/>
      <c r="BTV34" s="684"/>
      <c r="BTW34" s="684"/>
      <c r="BTX34" s="684"/>
      <c r="BTY34" s="684"/>
      <c r="BTZ34" s="684"/>
      <c r="BUA34" s="684"/>
      <c r="BUB34" s="684"/>
      <c r="BUC34" s="684"/>
      <c r="BUD34" s="684"/>
      <c r="BUE34" s="684"/>
      <c r="BUF34" s="684"/>
      <c r="BUG34" s="684"/>
      <c r="BUH34" s="684"/>
      <c r="BUI34" s="684"/>
      <c r="BUJ34" s="684"/>
      <c r="BUK34" s="684"/>
      <c r="BUL34" s="684"/>
      <c r="BUM34" s="684"/>
      <c r="BUN34" s="684"/>
      <c r="BUO34" s="684"/>
      <c r="BUP34" s="684"/>
      <c r="BUQ34" s="684"/>
      <c r="BUR34" s="684"/>
      <c r="BUS34" s="684"/>
      <c r="BUT34" s="684"/>
      <c r="BUU34" s="684"/>
      <c r="BUV34" s="684"/>
      <c r="BUW34" s="684"/>
      <c r="BUX34" s="684"/>
      <c r="BUY34" s="684"/>
      <c r="BUZ34" s="684"/>
      <c r="BVA34" s="684"/>
      <c r="BVB34" s="684"/>
      <c r="BVC34" s="684"/>
      <c r="BVD34" s="684"/>
      <c r="BVE34" s="684"/>
      <c r="BVF34" s="684"/>
      <c r="BVG34" s="684"/>
      <c r="BVH34" s="684"/>
      <c r="BVI34" s="684"/>
      <c r="BVJ34" s="684"/>
      <c r="BVK34" s="684"/>
      <c r="BVL34" s="684"/>
      <c r="BVM34" s="684"/>
      <c r="BVN34" s="684"/>
      <c r="BVO34" s="684"/>
      <c r="BVP34" s="684"/>
      <c r="BVQ34" s="684"/>
      <c r="BVR34" s="684"/>
      <c r="BVS34" s="684"/>
      <c r="BVT34" s="684"/>
      <c r="BVU34" s="684"/>
      <c r="BVV34" s="684"/>
      <c r="BVW34" s="684"/>
      <c r="BVX34" s="684"/>
      <c r="BVY34" s="684"/>
      <c r="BVZ34" s="684"/>
      <c r="BWA34" s="684"/>
      <c r="BWB34" s="684"/>
      <c r="BWC34" s="684"/>
      <c r="BWD34" s="684"/>
      <c r="BWE34" s="684"/>
      <c r="BWF34" s="684"/>
      <c r="BWG34" s="684"/>
      <c r="BWH34" s="684"/>
      <c r="BWI34" s="684"/>
      <c r="BWJ34" s="684"/>
      <c r="BWK34" s="684"/>
      <c r="BWL34" s="684"/>
      <c r="BWM34" s="684"/>
      <c r="BWN34" s="684"/>
      <c r="BWO34" s="684"/>
      <c r="BWP34" s="684"/>
      <c r="BWQ34" s="684"/>
      <c r="BWR34" s="684"/>
      <c r="BWS34" s="684"/>
      <c r="BWT34" s="684"/>
      <c r="BWU34" s="684"/>
      <c r="BWV34" s="684"/>
      <c r="BWW34" s="684"/>
      <c r="BWX34" s="684"/>
      <c r="BWY34" s="684"/>
      <c r="BWZ34" s="684"/>
      <c r="BXA34" s="684"/>
      <c r="BXB34" s="684"/>
      <c r="BXC34" s="684"/>
      <c r="BXD34" s="684"/>
      <c r="BXE34" s="684"/>
      <c r="BXF34" s="684"/>
      <c r="BXG34" s="684"/>
      <c r="BXH34" s="684"/>
      <c r="BXI34" s="684"/>
      <c r="BXJ34" s="684"/>
      <c r="BXK34" s="684"/>
      <c r="BXL34" s="684"/>
      <c r="BXM34" s="684"/>
      <c r="BXN34" s="684"/>
      <c r="BXO34" s="684"/>
      <c r="BXP34" s="684"/>
      <c r="BXQ34" s="684"/>
      <c r="BXR34" s="684"/>
      <c r="BXS34" s="684"/>
      <c r="BXT34" s="684"/>
      <c r="BXU34" s="684"/>
      <c r="BXV34" s="684"/>
      <c r="BXW34" s="684"/>
      <c r="BXX34" s="684"/>
      <c r="BXY34" s="684"/>
      <c r="BXZ34" s="684"/>
      <c r="BYA34" s="684"/>
      <c r="BYB34" s="684"/>
      <c r="BYC34" s="684"/>
      <c r="BYD34" s="684"/>
      <c r="BYE34" s="684"/>
      <c r="BYF34" s="684"/>
      <c r="BYG34" s="684"/>
      <c r="BYH34" s="684"/>
      <c r="BYI34" s="684"/>
      <c r="BYJ34" s="684"/>
      <c r="BYK34" s="684"/>
      <c r="BYL34" s="684"/>
      <c r="BYM34" s="684"/>
      <c r="BYN34" s="684"/>
      <c r="BYO34" s="684"/>
      <c r="BYP34" s="684"/>
      <c r="BYQ34" s="684"/>
      <c r="BYR34" s="684"/>
      <c r="BYS34" s="684"/>
      <c r="BYT34" s="684"/>
      <c r="BYU34" s="684"/>
      <c r="BYV34" s="684"/>
      <c r="BYW34" s="684"/>
      <c r="BYX34" s="684"/>
      <c r="BYY34" s="684"/>
      <c r="BYZ34" s="684"/>
      <c r="BZA34" s="684"/>
      <c r="BZB34" s="684"/>
      <c r="BZC34" s="684"/>
      <c r="BZD34" s="684"/>
      <c r="BZE34" s="684"/>
      <c r="BZF34" s="684"/>
      <c r="BZG34" s="684"/>
      <c r="BZH34" s="684"/>
      <c r="BZI34" s="684"/>
      <c r="BZJ34" s="684"/>
      <c r="BZK34" s="684"/>
      <c r="BZL34" s="684"/>
      <c r="BZM34" s="684"/>
      <c r="BZN34" s="684"/>
      <c r="BZO34" s="684"/>
      <c r="BZP34" s="684"/>
      <c r="BZQ34" s="684"/>
      <c r="BZR34" s="684"/>
      <c r="BZS34" s="684"/>
      <c r="BZT34" s="684"/>
      <c r="BZU34" s="684"/>
      <c r="BZV34" s="684"/>
      <c r="BZW34" s="684"/>
      <c r="BZX34" s="684"/>
      <c r="BZY34" s="684"/>
      <c r="BZZ34" s="684"/>
      <c r="CAA34" s="684"/>
      <c r="CAB34" s="684"/>
      <c r="CAC34" s="684"/>
      <c r="CAD34" s="684"/>
      <c r="CAE34" s="684"/>
      <c r="CAF34" s="684"/>
      <c r="CAG34" s="684"/>
      <c r="CAH34" s="684"/>
      <c r="CAI34" s="684"/>
      <c r="CAJ34" s="684"/>
      <c r="CAK34" s="684"/>
      <c r="CAL34" s="684"/>
      <c r="CAM34" s="684"/>
      <c r="CAN34" s="684"/>
      <c r="CAO34" s="684"/>
      <c r="CAP34" s="684"/>
      <c r="CAQ34" s="684"/>
      <c r="CAR34" s="684"/>
      <c r="CAS34" s="684"/>
      <c r="CAT34" s="684"/>
      <c r="CAU34" s="684"/>
      <c r="CAV34" s="684"/>
      <c r="CAW34" s="684"/>
      <c r="CAX34" s="684"/>
      <c r="CAY34" s="684"/>
      <c r="CAZ34" s="684"/>
      <c r="CBA34" s="684"/>
      <c r="CBB34" s="684"/>
      <c r="CBC34" s="684"/>
      <c r="CBD34" s="684"/>
      <c r="CBE34" s="684"/>
      <c r="CBF34" s="684"/>
      <c r="CBG34" s="684"/>
      <c r="CBH34" s="684"/>
      <c r="CBI34" s="684"/>
      <c r="CBJ34" s="684"/>
      <c r="CBK34" s="684"/>
      <c r="CBL34" s="684"/>
      <c r="CBM34" s="684"/>
      <c r="CBN34" s="684"/>
      <c r="CBO34" s="684"/>
      <c r="CBP34" s="684"/>
      <c r="CBQ34" s="684"/>
      <c r="CBR34" s="684"/>
      <c r="CBS34" s="684"/>
      <c r="CBT34" s="684"/>
      <c r="CBU34" s="684"/>
      <c r="CBV34" s="684"/>
      <c r="CBW34" s="684"/>
      <c r="CBX34" s="684"/>
      <c r="CBY34" s="684"/>
      <c r="CBZ34" s="684"/>
      <c r="CCA34" s="684"/>
      <c r="CCB34" s="684"/>
      <c r="CCC34" s="684"/>
      <c r="CCD34" s="684"/>
      <c r="CCE34" s="684"/>
      <c r="CCF34" s="684"/>
      <c r="CCG34" s="684"/>
      <c r="CCH34" s="684"/>
      <c r="CCI34" s="684"/>
      <c r="CCJ34" s="684"/>
      <c r="CCK34" s="684"/>
      <c r="CCL34" s="684"/>
      <c r="CCM34" s="684"/>
      <c r="CCN34" s="684"/>
      <c r="CCO34" s="684"/>
      <c r="CCP34" s="684"/>
      <c r="CCQ34" s="684"/>
      <c r="CCR34" s="684"/>
      <c r="CCS34" s="684"/>
      <c r="CCT34" s="684"/>
      <c r="CCU34" s="684"/>
      <c r="CCV34" s="684"/>
      <c r="CCW34" s="684"/>
      <c r="CCX34" s="684"/>
      <c r="CCY34" s="684"/>
      <c r="CCZ34" s="684"/>
      <c r="CDA34" s="684"/>
      <c r="CDB34" s="684"/>
      <c r="CDC34" s="684"/>
      <c r="CDD34" s="684"/>
      <c r="CDE34" s="684"/>
      <c r="CDF34" s="684"/>
      <c r="CDG34" s="684"/>
      <c r="CDH34" s="684"/>
      <c r="CDI34" s="684"/>
      <c r="CDJ34" s="684"/>
      <c r="CDK34" s="684"/>
      <c r="CDL34" s="684"/>
      <c r="CDM34" s="684"/>
      <c r="CDN34" s="684"/>
      <c r="CDO34" s="684"/>
      <c r="CDP34" s="684"/>
      <c r="CDQ34" s="684"/>
      <c r="CDR34" s="684"/>
      <c r="CDS34" s="684"/>
      <c r="CDT34" s="684"/>
      <c r="CDU34" s="684"/>
      <c r="CDV34" s="684"/>
      <c r="CDW34" s="684"/>
      <c r="CDX34" s="684"/>
      <c r="CDY34" s="684"/>
      <c r="CDZ34" s="684"/>
      <c r="CEA34" s="684"/>
      <c r="CEB34" s="684"/>
      <c r="CEC34" s="684"/>
      <c r="CED34" s="684"/>
      <c r="CEE34" s="684"/>
      <c r="CEF34" s="684"/>
      <c r="CEG34" s="684"/>
      <c r="CEH34" s="684"/>
      <c r="CEI34" s="684"/>
      <c r="CEJ34" s="684"/>
      <c r="CEK34" s="684"/>
      <c r="CEL34" s="684"/>
      <c r="CEM34" s="684"/>
      <c r="CEN34" s="684"/>
      <c r="CEO34" s="684"/>
      <c r="CEP34" s="684"/>
      <c r="CEQ34" s="684"/>
      <c r="CER34" s="684"/>
      <c r="CES34" s="684"/>
      <c r="CET34" s="684"/>
      <c r="CEU34" s="684"/>
      <c r="CEV34" s="684"/>
      <c r="CEW34" s="684"/>
      <c r="CEX34" s="684"/>
      <c r="CEY34" s="684"/>
      <c r="CEZ34" s="684"/>
      <c r="CFA34" s="684"/>
      <c r="CFB34" s="684"/>
      <c r="CFC34" s="684"/>
      <c r="CFD34" s="684"/>
      <c r="CFE34" s="684"/>
      <c r="CFF34" s="684"/>
      <c r="CFG34" s="684"/>
      <c r="CFH34" s="684"/>
      <c r="CFI34" s="684"/>
      <c r="CFJ34" s="684"/>
      <c r="CFK34" s="684"/>
      <c r="CFL34" s="684"/>
      <c r="CFM34" s="684"/>
      <c r="CFN34" s="684"/>
      <c r="CFO34" s="684"/>
      <c r="CFP34" s="684"/>
      <c r="CFQ34" s="684"/>
      <c r="CFR34" s="684"/>
      <c r="CFS34" s="684"/>
      <c r="CFT34" s="684"/>
      <c r="CFU34" s="684"/>
      <c r="CFV34" s="684"/>
      <c r="CFW34" s="684"/>
      <c r="CFX34" s="684"/>
      <c r="CFY34" s="684"/>
      <c r="CFZ34" s="684"/>
      <c r="CGA34" s="684"/>
      <c r="CGB34" s="684"/>
      <c r="CGC34" s="684"/>
      <c r="CGD34" s="684"/>
      <c r="CGE34" s="684"/>
      <c r="CGF34" s="684"/>
      <c r="CGG34" s="684"/>
      <c r="CGH34" s="684"/>
      <c r="CGI34" s="684"/>
      <c r="CGJ34" s="684"/>
      <c r="CGK34" s="684"/>
      <c r="CGL34" s="684"/>
      <c r="CGM34" s="684"/>
      <c r="CGN34" s="684"/>
      <c r="CGO34" s="684"/>
      <c r="CGP34" s="684"/>
      <c r="CGQ34" s="684"/>
      <c r="CGR34" s="684"/>
      <c r="CGS34" s="684"/>
      <c r="CGT34" s="684"/>
      <c r="CGU34" s="684"/>
      <c r="CGV34" s="684"/>
      <c r="CGW34" s="684"/>
      <c r="CGX34" s="684"/>
      <c r="CGY34" s="684"/>
      <c r="CGZ34" s="684"/>
      <c r="CHA34" s="684"/>
      <c r="CHB34" s="684"/>
      <c r="CHC34" s="684"/>
      <c r="CHD34" s="684"/>
      <c r="CHE34" s="684"/>
      <c r="CHF34" s="684"/>
      <c r="CHG34" s="684"/>
      <c r="CHH34" s="684"/>
      <c r="CHI34" s="684"/>
      <c r="CHJ34" s="684"/>
      <c r="CHK34" s="684"/>
      <c r="CHL34" s="684"/>
      <c r="CHM34" s="684"/>
      <c r="CHN34" s="684"/>
      <c r="CHO34" s="684"/>
      <c r="CHP34" s="684"/>
      <c r="CHQ34" s="684"/>
      <c r="CHR34" s="684"/>
      <c r="CHS34" s="684"/>
      <c r="CHT34" s="684"/>
      <c r="CHU34" s="684"/>
      <c r="CHV34" s="684"/>
      <c r="CHW34" s="684"/>
      <c r="CHX34" s="684"/>
      <c r="CHY34" s="684"/>
      <c r="CHZ34" s="684"/>
      <c r="CIA34" s="684"/>
      <c r="CIB34" s="684"/>
      <c r="CIC34" s="684"/>
      <c r="CID34" s="684"/>
      <c r="CIE34" s="684"/>
      <c r="CIF34" s="684"/>
      <c r="CIG34" s="684"/>
      <c r="CIH34" s="684"/>
      <c r="CII34" s="684"/>
      <c r="CIJ34" s="684"/>
      <c r="CIK34" s="684"/>
      <c r="CIL34" s="684"/>
      <c r="CIM34" s="684"/>
      <c r="CIN34" s="684"/>
      <c r="CIO34" s="684"/>
      <c r="CIP34" s="684"/>
      <c r="CIQ34" s="684"/>
      <c r="CIR34" s="684"/>
      <c r="CIS34" s="684"/>
      <c r="CIT34" s="684"/>
      <c r="CIU34" s="684"/>
      <c r="CIV34" s="684"/>
      <c r="CIW34" s="684"/>
      <c r="CIX34" s="684"/>
      <c r="CIY34" s="684"/>
      <c r="CIZ34" s="684"/>
      <c r="CJA34" s="684"/>
      <c r="CJB34" s="684"/>
      <c r="CJC34" s="684"/>
      <c r="CJD34" s="684"/>
      <c r="CJE34" s="684"/>
      <c r="CJF34" s="684"/>
      <c r="CJG34" s="684"/>
      <c r="CJH34" s="684"/>
      <c r="CJI34" s="684"/>
      <c r="CJJ34" s="684"/>
      <c r="CJK34" s="684"/>
      <c r="CJL34" s="684"/>
      <c r="CJM34" s="684"/>
      <c r="CJN34" s="684"/>
      <c r="CJO34" s="684"/>
      <c r="CJP34" s="684"/>
      <c r="CJQ34" s="684"/>
      <c r="CJR34" s="684"/>
      <c r="CJS34" s="684"/>
      <c r="CJT34" s="684"/>
      <c r="CJU34" s="684"/>
      <c r="CJV34" s="684"/>
      <c r="CJW34" s="684"/>
      <c r="CJX34" s="684"/>
      <c r="CJY34" s="684"/>
      <c r="CJZ34" s="684"/>
      <c r="CKA34" s="684"/>
      <c r="CKB34" s="684"/>
      <c r="CKC34" s="684"/>
      <c r="CKD34" s="684"/>
      <c r="CKE34" s="684"/>
      <c r="CKF34" s="684"/>
      <c r="CKG34" s="684"/>
      <c r="CKH34" s="684"/>
      <c r="CKI34" s="684"/>
      <c r="CKJ34" s="684"/>
      <c r="CKK34" s="684"/>
      <c r="CKL34" s="684"/>
      <c r="CKM34" s="684"/>
      <c r="CKN34" s="684"/>
      <c r="CKO34" s="684"/>
      <c r="CKP34" s="684"/>
      <c r="CKQ34" s="684"/>
      <c r="CKR34" s="684"/>
      <c r="CKS34" s="684"/>
      <c r="CKT34" s="684"/>
      <c r="CKU34" s="684"/>
      <c r="CKV34" s="684"/>
      <c r="CKW34" s="684"/>
      <c r="CKX34" s="684"/>
      <c r="CKY34" s="684"/>
      <c r="CKZ34" s="684"/>
      <c r="CLA34" s="684"/>
      <c r="CLB34" s="684"/>
      <c r="CLC34" s="684"/>
      <c r="CLD34" s="684"/>
      <c r="CLE34" s="684"/>
      <c r="CLF34" s="684"/>
      <c r="CLG34" s="684"/>
      <c r="CLH34" s="684"/>
      <c r="CLI34" s="684"/>
      <c r="CLJ34" s="684"/>
      <c r="CLK34" s="684"/>
      <c r="CLL34" s="684"/>
      <c r="CLM34" s="684"/>
      <c r="CLN34" s="684"/>
      <c r="CLO34" s="684"/>
      <c r="CLP34" s="684"/>
      <c r="CLQ34" s="684"/>
      <c r="CLR34" s="684"/>
      <c r="CLS34" s="684"/>
      <c r="CLT34" s="684"/>
      <c r="CLU34" s="684"/>
      <c r="CLV34" s="684"/>
      <c r="CLW34" s="684"/>
      <c r="CLX34" s="684"/>
      <c r="CLY34" s="684"/>
      <c r="CLZ34" s="684"/>
      <c r="CMA34" s="684"/>
      <c r="CMB34" s="684"/>
      <c r="CMC34" s="684"/>
      <c r="CMD34" s="684"/>
      <c r="CME34" s="684"/>
      <c r="CMF34" s="684"/>
      <c r="CMG34" s="684"/>
      <c r="CMH34" s="684"/>
      <c r="CMI34" s="684"/>
      <c r="CMJ34" s="684"/>
      <c r="CMK34" s="684"/>
      <c r="CML34" s="684"/>
      <c r="CMM34" s="684"/>
      <c r="CMN34" s="684"/>
      <c r="CMO34" s="684"/>
      <c r="CMP34" s="684"/>
      <c r="CMQ34" s="684"/>
      <c r="CMR34" s="684"/>
      <c r="CMS34" s="684"/>
      <c r="CMT34" s="684"/>
      <c r="CMU34" s="684"/>
      <c r="CMV34" s="684"/>
      <c r="CMW34" s="684"/>
      <c r="CMX34" s="684"/>
      <c r="CMY34" s="684"/>
      <c r="CMZ34" s="684"/>
      <c r="CNA34" s="684"/>
      <c r="CNB34" s="684"/>
      <c r="CNC34" s="684"/>
      <c r="CND34" s="684"/>
      <c r="CNE34" s="684"/>
      <c r="CNF34" s="684"/>
      <c r="CNG34" s="684"/>
      <c r="CNH34" s="684"/>
      <c r="CNI34" s="684"/>
      <c r="CNJ34" s="684"/>
      <c r="CNK34" s="684"/>
      <c r="CNL34" s="684"/>
      <c r="CNM34" s="684"/>
      <c r="CNN34" s="684"/>
      <c r="CNO34" s="684"/>
      <c r="CNP34" s="684"/>
      <c r="CNQ34" s="684"/>
      <c r="CNR34" s="684"/>
      <c r="CNS34" s="684"/>
      <c r="CNT34" s="684"/>
      <c r="CNU34" s="684"/>
      <c r="CNV34" s="684"/>
      <c r="CNW34" s="684"/>
      <c r="CNX34" s="684"/>
      <c r="CNY34" s="684"/>
      <c r="CNZ34" s="684"/>
      <c r="COA34" s="684"/>
      <c r="COB34" s="684"/>
      <c r="COC34" s="684"/>
      <c r="COD34" s="684"/>
      <c r="COE34" s="684"/>
      <c r="COF34" s="684"/>
      <c r="COG34" s="684"/>
      <c r="COH34" s="684"/>
      <c r="COI34" s="684"/>
      <c r="COJ34" s="684"/>
      <c r="COK34" s="684"/>
      <c r="COL34" s="684"/>
      <c r="COM34" s="684"/>
      <c r="CON34" s="684"/>
      <c r="COO34" s="684"/>
      <c r="COP34" s="684"/>
      <c r="COQ34" s="684"/>
      <c r="COR34" s="684"/>
      <c r="COS34" s="684"/>
      <c r="COT34" s="684"/>
      <c r="COU34" s="684"/>
      <c r="COV34" s="684"/>
      <c r="COW34" s="684"/>
      <c r="COX34" s="684"/>
      <c r="COY34" s="684"/>
      <c r="COZ34" s="684"/>
      <c r="CPA34" s="684"/>
      <c r="CPB34" s="684"/>
      <c r="CPC34" s="684"/>
      <c r="CPD34" s="684"/>
      <c r="CPE34" s="684"/>
      <c r="CPF34" s="684"/>
      <c r="CPG34" s="684"/>
      <c r="CPH34" s="684"/>
      <c r="CPI34" s="684"/>
      <c r="CPJ34" s="684"/>
      <c r="CPK34" s="684"/>
      <c r="CPL34" s="684"/>
      <c r="CPM34" s="684"/>
      <c r="CPN34" s="684"/>
      <c r="CPO34" s="684"/>
      <c r="CPP34" s="684"/>
      <c r="CPQ34" s="684"/>
      <c r="CPR34" s="684"/>
      <c r="CPS34" s="684"/>
      <c r="CPT34" s="684"/>
      <c r="CPU34" s="684"/>
      <c r="CPV34" s="684"/>
      <c r="CPW34" s="684"/>
      <c r="CPX34" s="684"/>
      <c r="CPY34" s="684"/>
      <c r="CPZ34" s="684"/>
      <c r="CQA34" s="684"/>
      <c r="CQB34" s="684"/>
      <c r="CQC34" s="684"/>
      <c r="CQD34" s="684"/>
      <c r="CQE34" s="684"/>
      <c r="CQF34" s="684"/>
      <c r="CQG34" s="684"/>
      <c r="CQH34" s="684"/>
      <c r="CQI34" s="684"/>
      <c r="CQJ34" s="684"/>
      <c r="CQK34" s="684"/>
      <c r="CQL34" s="684"/>
      <c r="CQM34" s="684"/>
      <c r="CQN34" s="684"/>
      <c r="CQO34" s="684"/>
      <c r="CQP34" s="684"/>
      <c r="CQQ34" s="684"/>
      <c r="CQR34" s="684"/>
      <c r="CQS34" s="684"/>
      <c r="CQT34" s="684"/>
      <c r="CQU34" s="684"/>
      <c r="CQV34" s="684"/>
      <c r="CQW34" s="684"/>
      <c r="CQX34" s="684"/>
      <c r="CQY34" s="684"/>
      <c r="CQZ34" s="684"/>
      <c r="CRA34" s="684"/>
      <c r="CRB34" s="684"/>
      <c r="CRC34" s="684"/>
      <c r="CRD34" s="684"/>
      <c r="CRE34" s="684"/>
      <c r="CRF34" s="684"/>
      <c r="CRG34" s="684"/>
      <c r="CRH34" s="684"/>
      <c r="CRI34" s="684"/>
      <c r="CRJ34" s="684"/>
      <c r="CRK34" s="684"/>
      <c r="CRL34" s="684"/>
      <c r="CRM34" s="684"/>
      <c r="CRN34" s="684"/>
      <c r="CRO34" s="684"/>
      <c r="CRP34" s="684"/>
      <c r="CRQ34" s="684"/>
      <c r="CRR34" s="684"/>
      <c r="CRS34" s="684"/>
      <c r="CRT34" s="684"/>
      <c r="CRU34" s="684"/>
      <c r="CRV34" s="684"/>
      <c r="CRW34" s="684"/>
      <c r="CRX34" s="684"/>
      <c r="CRY34" s="684"/>
      <c r="CRZ34" s="684"/>
      <c r="CSA34" s="684"/>
      <c r="CSB34" s="684"/>
      <c r="CSC34" s="684"/>
      <c r="CSD34" s="684"/>
      <c r="CSE34" s="684"/>
      <c r="CSF34" s="684"/>
      <c r="CSG34" s="684"/>
      <c r="CSH34" s="684"/>
      <c r="CSI34" s="684"/>
      <c r="CSJ34" s="684"/>
      <c r="CSK34" s="684"/>
      <c r="CSL34" s="684"/>
      <c r="CSM34" s="684"/>
      <c r="CSN34" s="684"/>
      <c r="CSO34" s="684"/>
      <c r="CSP34" s="684"/>
      <c r="CSQ34" s="684"/>
      <c r="CSR34" s="684"/>
      <c r="CSS34" s="684"/>
      <c r="CST34" s="684"/>
      <c r="CSU34" s="684"/>
      <c r="CSV34" s="684"/>
      <c r="CSW34" s="684"/>
      <c r="CSX34" s="684"/>
      <c r="CSY34" s="684"/>
      <c r="CSZ34" s="684"/>
      <c r="CTA34" s="684"/>
      <c r="CTB34" s="684"/>
      <c r="CTC34" s="684"/>
      <c r="CTD34" s="684"/>
      <c r="CTE34" s="684"/>
      <c r="CTF34" s="684"/>
      <c r="CTG34" s="684"/>
      <c r="CTH34" s="684"/>
      <c r="CTI34" s="684"/>
      <c r="CTJ34" s="684"/>
      <c r="CTK34" s="684"/>
      <c r="CTL34" s="684"/>
      <c r="CTM34" s="684"/>
      <c r="CTN34" s="684"/>
      <c r="CTO34" s="684"/>
      <c r="CTP34" s="684"/>
      <c r="CTQ34" s="684"/>
      <c r="CTR34" s="684"/>
      <c r="CTS34" s="684"/>
      <c r="CTT34" s="684"/>
      <c r="CTU34" s="684"/>
      <c r="CTV34" s="684"/>
      <c r="CTW34" s="684"/>
      <c r="CTX34" s="684"/>
      <c r="CTY34" s="684"/>
      <c r="CTZ34" s="684"/>
      <c r="CUA34" s="684"/>
      <c r="CUB34" s="684"/>
      <c r="CUC34" s="684"/>
      <c r="CUD34" s="684"/>
      <c r="CUE34" s="684"/>
      <c r="CUF34" s="684"/>
      <c r="CUG34" s="684"/>
      <c r="CUH34" s="684"/>
      <c r="CUI34" s="684"/>
      <c r="CUJ34" s="684"/>
      <c r="CUK34" s="684"/>
      <c r="CUL34" s="684"/>
      <c r="CUM34" s="684"/>
      <c r="CUN34" s="684"/>
      <c r="CUO34" s="684"/>
      <c r="CUP34" s="684"/>
      <c r="CUQ34" s="684"/>
      <c r="CUR34" s="684"/>
      <c r="CUS34" s="684"/>
      <c r="CUT34" s="684"/>
      <c r="CUU34" s="684"/>
      <c r="CUV34" s="684"/>
      <c r="CUW34" s="684"/>
      <c r="CUX34" s="684"/>
      <c r="CUY34" s="684"/>
      <c r="CUZ34" s="684"/>
      <c r="CVA34" s="684"/>
      <c r="CVB34" s="684"/>
      <c r="CVC34" s="684"/>
      <c r="CVD34" s="684"/>
      <c r="CVE34" s="684"/>
      <c r="CVF34" s="684"/>
      <c r="CVG34" s="684"/>
      <c r="CVH34" s="684"/>
      <c r="CVI34" s="684"/>
      <c r="CVJ34" s="684"/>
      <c r="CVK34" s="684"/>
      <c r="CVL34" s="684"/>
      <c r="CVM34" s="684"/>
      <c r="CVN34" s="684"/>
      <c r="CVO34" s="684"/>
      <c r="CVP34" s="684"/>
      <c r="CVQ34" s="684"/>
      <c r="CVR34" s="684"/>
      <c r="CVS34" s="684"/>
      <c r="CVT34" s="684"/>
      <c r="CVU34" s="684"/>
      <c r="CVV34" s="684"/>
      <c r="CVW34" s="684"/>
      <c r="CVX34" s="684"/>
      <c r="CVY34" s="684"/>
      <c r="CVZ34" s="684"/>
      <c r="CWA34" s="684"/>
      <c r="CWB34" s="684"/>
      <c r="CWC34" s="684"/>
      <c r="CWD34" s="684"/>
      <c r="CWE34" s="684"/>
      <c r="CWF34" s="684"/>
      <c r="CWG34" s="684"/>
      <c r="CWH34" s="684"/>
      <c r="CWI34" s="684"/>
      <c r="CWJ34" s="684"/>
      <c r="CWK34" s="684"/>
      <c r="CWL34" s="684"/>
      <c r="CWM34" s="684"/>
      <c r="CWN34" s="684"/>
      <c r="CWO34" s="684"/>
      <c r="CWP34" s="684"/>
      <c r="CWQ34" s="684"/>
      <c r="CWR34" s="684"/>
      <c r="CWS34" s="684"/>
      <c r="CWT34" s="684"/>
      <c r="CWU34" s="684"/>
      <c r="CWV34" s="684"/>
      <c r="CWW34" s="684"/>
      <c r="CWX34" s="684"/>
      <c r="CWY34" s="684"/>
      <c r="CWZ34" s="684"/>
      <c r="CXA34" s="684"/>
      <c r="CXB34" s="684"/>
      <c r="CXC34" s="684"/>
      <c r="CXD34" s="684"/>
      <c r="CXE34" s="684"/>
      <c r="CXF34" s="684"/>
      <c r="CXG34" s="684"/>
      <c r="CXH34" s="684"/>
      <c r="CXI34" s="684"/>
      <c r="CXJ34" s="684"/>
      <c r="CXK34" s="684"/>
      <c r="CXL34" s="684"/>
      <c r="CXM34" s="684"/>
      <c r="CXN34" s="684"/>
      <c r="CXO34" s="684"/>
      <c r="CXP34" s="684"/>
      <c r="CXQ34" s="684"/>
      <c r="CXR34" s="684"/>
      <c r="CXS34" s="684"/>
      <c r="CXT34" s="684"/>
      <c r="CXU34" s="684"/>
      <c r="CXV34" s="684"/>
      <c r="CXW34" s="684"/>
      <c r="CXX34" s="684"/>
      <c r="CXY34" s="684"/>
      <c r="CXZ34" s="684"/>
      <c r="CYA34" s="684"/>
      <c r="CYB34" s="684"/>
      <c r="CYC34" s="684"/>
      <c r="CYD34" s="684"/>
      <c r="CYE34" s="684"/>
      <c r="CYF34" s="684"/>
      <c r="CYG34" s="684"/>
      <c r="CYH34" s="684"/>
      <c r="CYI34" s="684"/>
      <c r="CYJ34" s="684"/>
      <c r="CYK34" s="684"/>
      <c r="CYL34" s="684"/>
      <c r="CYM34" s="684"/>
      <c r="CYN34" s="684"/>
      <c r="CYO34" s="684"/>
      <c r="CYP34" s="684"/>
      <c r="CYQ34" s="684"/>
      <c r="CYR34" s="684"/>
      <c r="CYS34" s="684"/>
      <c r="CYT34" s="684"/>
      <c r="CYU34" s="684"/>
      <c r="CYV34" s="684"/>
      <c r="CYW34" s="684"/>
      <c r="CYX34" s="684"/>
      <c r="CYY34" s="684"/>
      <c r="CYZ34" s="684"/>
      <c r="CZA34" s="684"/>
      <c r="CZB34" s="684"/>
      <c r="CZC34" s="684"/>
      <c r="CZD34" s="684"/>
      <c r="CZE34" s="684"/>
      <c r="CZF34" s="684"/>
      <c r="CZG34" s="684"/>
      <c r="CZH34" s="684"/>
      <c r="CZI34" s="684"/>
      <c r="CZJ34" s="684"/>
      <c r="CZK34" s="684"/>
      <c r="CZL34" s="684"/>
      <c r="CZM34" s="684"/>
      <c r="CZN34" s="684"/>
      <c r="CZO34" s="684"/>
      <c r="CZP34" s="684"/>
      <c r="CZQ34" s="684"/>
      <c r="CZR34" s="684"/>
      <c r="CZS34" s="684"/>
      <c r="CZT34" s="684"/>
      <c r="CZU34" s="684"/>
      <c r="CZV34" s="684"/>
      <c r="CZW34" s="684"/>
      <c r="CZX34" s="684"/>
      <c r="CZY34" s="684"/>
      <c r="CZZ34" s="684"/>
      <c r="DAA34" s="684"/>
      <c r="DAB34" s="684"/>
      <c r="DAC34" s="684"/>
      <c r="DAD34" s="684"/>
      <c r="DAE34" s="684"/>
      <c r="DAF34" s="684"/>
      <c r="DAG34" s="684"/>
      <c r="DAH34" s="684"/>
      <c r="DAI34" s="684"/>
      <c r="DAJ34" s="684"/>
      <c r="DAK34" s="684"/>
      <c r="DAL34" s="684"/>
      <c r="DAM34" s="684"/>
      <c r="DAN34" s="684"/>
      <c r="DAO34" s="684"/>
      <c r="DAP34" s="684"/>
      <c r="DAQ34" s="684"/>
      <c r="DAR34" s="684"/>
      <c r="DAS34" s="684"/>
      <c r="DAT34" s="684"/>
      <c r="DAU34" s="684"/>
      <c r="DAV34" s="684"/>
      <c r="DAW34" s="684"/>
      <c r="DAX34" s="684"/>
      <c r="DAY34" s="684"/>
      <c r="DAZ34" s="684"/>
      <c r="DBA34" s="684"/>
      <c r="DBB34" s="684"/>
      <c r="DBC34" s="684"/>
      <c r="DBD34" s="684"/>
      <c r="DBE34" s="684"/>
      <c r="DBF34" s="684"/>
      <c r="DBG34" s="684"/>
      <c r="DBH34" s="684"/>
      <c r="DBI34" s="684"/>
      <c r="DBJ34" s="684"/>
      <c r="DBK34" s="684"/>
      <c r="DBL34" s="684"/>
      <c r="DBM34" s="684"/>
      <c r="DBN34" s="684"/>
      <c r="DBO34" s="684"/>
      <c r="DBP34" s="684"/>
      <c r="DBQ34" s="684"/>
      <c r="DBR34" s="684"/>
      <c r="DBS34" s="684"/>
      <c r="DBT34" s="684"/>
      <c r="DBU34" s="684"/>
      <c r="DBV34" s="684"/>
      <c r="DBW34" s="684"/>
      <c r="DBX34" s="684"/>
      <c r="DBY34" s="684"/>
      <c r="DBZ34" s="684"/>
      <c r="DCA34" s="684"/>
      <c r="DCB34" s="684"/>
      <c r="DCC34" s="684"/>
      <c r="DCD34" s="684"/>
      <c r="DCE34" s="684"/>
      <c r="DCF34" s="684"/>
      <c r="DCG34" s="684"/>
      <c r="DCH34" s="684"/>
      <c r="DCI34" s="684"/>
      <c r="DCJ34" s="684"/>
      <c r="DCK34" s="684"/>
      <c r="DCL34" s="684"/>
      <c r="DCM34" s="684"/>
      <c r="DCN34" s="684"/>
      <c r="DCO34" s="684"/>
      <c r="DCP34" s="684"/>
      <c r="DCQ34" s="684"/>
      <c r="DCR34" s="684"/>
      <c r="DCS34" s="684"/>
      <c r="DCT34" s="684"/>
      <c r="DCU34" s="684"/>
      <c r="DCV34" s="684"/>
      <c r="DCW34" s="684"/>
      <c r="DCX34" s="684"/>
      <c r="DCY34" s="684"/>
      <c r="DCZ34" s="684"/>
      <c r="DDA34" s="684"/>
      <c r="DDB34" s="684"/>
      <c r="DDC34" s="684"/>
      <c r="DDD34" s="684"/>
      <c r="DDE34" s="684"/>
      <c r="DDF34" s="684"/>
      <c r="DDG34" s="684"/>
      <c r="DDH34" s="684"/>
      <c r="DDI34" s="684"/>
      <c r="DDJ34" s="684"/>
      <c r="DDK34" s="684"/>
      <c r="DDL34" s="684"/>
      <c r="DDM34" s="684"/>
      <c r="DDN34" s="684"/>
      <c r="DDO34" s="684"/>
      <c r="DDP34" s="684"/>
      <c r="DDQ34" s="684"/>
      <c r="DDR34" s="684"/>
      <c r="DDS34" s="684"/>
      <c r="DDT34" s="684"/>
      <c r="DDU34" s="684"/>
      <c r="DDV34" s="684"/>
      <c r="DDW34" s="684"/>
      <c r="DDX34" s="684"/>
      <c r="DDY34" s="684"/>
      <c r="DDZ34" s="684"/>
      <c r="DEA34" s="684"/>
      <c r="DEB34" s="684"/>
      <c r="DEC34" s="684"/>
      <c r="DED34" s="684"/>
      <c r="DEE34" s="684"/>
      <c r="DEF34" s="684"/>
      <c r="DEG34" s="684"/>
      <c r="DEH34" s="684"/>
      <c r="DEI34" s="684"/>
      <c r="DEJ34" s="684"/>
      <c r="DEK34" s="684"/>
      <c r="DEL34" s="684"/>
      <c r="DEM34" s="684"/>
      <c r="DEN34" s="684"/>
      <c r="DEO34" s="684"/>
      <c r="DEP34" s="684"/>
      <c r="DEQ34" s="684"/>
      <c r="DER34" s="684"/>
      <c r="DES34" s="684"/>
      <c r="DET34" s="684"/>
      <c r="DEU34" s="684"/>
      <c r="DEV34" s="684"/>
      <c r="DEW34" s="684"/>
      <c r="DEX34" s="684"/>
      <c r="DEY34" s="684"/>
      <c r="DEZ34" s="684"/>
      <c r="DFA34" s="684"/>
      <c r="DFB34" s="684"/>
      <c r="DFC34" s="684"/>
      <c r="DFD34" s="684"/>
      <c r="DFE34" s="684"/>
      <c r="DFF34" s="684"/>
      <c r="DFG34" s="684"/>
      <c r="DFH34" s="684"/>
      <c r="DFI34" s="684"/>
      <c r="DFJ34" s="684"/>
      <c r="DFK34" s="684"/>
      <c r="DFL34" s="684"/>
      <c r="DFM34" s="684"/>
      <c r="DFN34" s="684"/>
      <c r="DFO34" s="684"/>
      <c r="DFP34" s="684"/>
      <c r="DFQ34" s="684"/>
      <c r="DFR34" s="684"/>
      <c r="DFS34" s="684"/>
      <c r="DFT34" s="684"/>
      <c r="DFU34" s="684"/>
      <c r="DFV34" s="684"/>
      <c r="DFW34" s="684"/>
      <c r="DFX34" s="684"/>
      <c r="DFY34" s="684"/>
      <c r="DFZ34" s="684"/>
      <c r="DGA34" s="684"/>
      <c r="DGB34" s="684"/>
      <c r="DGC34" s="684"/>
      <c r="DGD34" s="684"/>
      <c r="DGE34" s="684"/>
      <c r="DGF34" s="684"/>
      <c r="DGG34" s="684"/>
      <c r="DGH34" s="684"/>
      <c r="DGI34" s="684"/>
      <c r="DGJ34" s="684"/>
      <c r="DGK34" s="684"/>
      <c r="DGL34" s="684"/>
      <c r="DGM34" s="684"/>
      <c r="DGN34" s="684"/>
      <c r="DGO34" s="684"/>
      <c r="DGP34" s="684"/>
      <c r="DGQ34" s="684"/>
      <c r="DGR34" s="684"/>
      <c r="DGS34" s="684"/>
      <c r="DGT34" s="684"/>
      <c r="DGU34" s="684"/>
      <c r="DGV34" s="684"/>
      <c r="DGW34" s="684"/>
      <c r="DGX34" s="684"/>
      <c r="DGY34" s="684"/>
      <c r="DGZ34" s="684"/>
      <c r="DHA34" s="684"/>
      <c r="DHB34" s="684"/>
      <c r="DHC34" s="684"/>
      <c r="DHD34" s="684"/>
      <c r="DHE34" s="684"/>
      <c r="DHF34" s="684"/>
      <c r="DHG34" s="684"/>
      <c r="DHH34" s="684"/>
      <c r="DHI34" s="684"/>
      <c r="DHJ34" s="684"/>
      <c r="DHK34" s="684"/>
      <c r="DHL34" s="684"/>
      <c r="DHM34" s="684"/>
      <c r="DHN34" s="684"/>
      <c r="DHO34" s="684"/>
      <c r="DHP34" s="684"/>
      <c r="DHQ34" s="684"/>
      <c r="DHR34" s="684"/>
      <c r="DHS34" s="684"/>
      <c r="DHT34" s="684"/>
      <c r="DHU34" s="684"/>
      <c r="DHV34" s="684"/>
      <c r="DHW34" s="684"/>
      <c r="DHX34" s="684"/>
      <c r="DHY34" s="684"/>
      <c r="DHZ34" s="684"/>
      <c r="DIA34" s="684"/>
      <c r="DIB34" s="684"/>
      <c r="DIC34" s="684"/>
      <c r="DID34" s="684"/>
      <c r="DIE34" s="684"/>
      <c r="DIF34" s="684"/>
      <c r="DIG34" s="684"/>
      <c r="DIH34" s="684"/>
      <c r="DII34" s="684"/>
      <c r="DIJ34" s="684"/>
      <c r="DIK34" s="684"/>
      <c r="DIL34" s="684"/>
      <c r="DIM34" s="684"/>
      <c r="DIN34" s="684"/>
      <c r="DIO34" s="684"/>
      <c r="DIP34" s="684"/>
      <c r="DIQ34" s="684"/>
      <c r="DIR34" s="684"/>
      <c r="DIS34" s="684"/>
      <c r="DIT34" s="684"/>
      <c r="DIU34" s="684"/>
      <c r="DIV34" s="684"/>
      <c r="DIW34" s="684"/>
      <c r="DIX34" s="684"/>
      <c r="DIY34" s="684"/>
      <c r="DIZ34" s="684"/>
      <c r="DJA34" s="684"/>
      <c r="DJB34" s="684"/>
      <c r="DJC34" s="684"/>
      <c r="DJD34" s="684"/>
      <c r="DJE34" s="684"/>
      <c r="DJF34" s="684"/>
      <c r="DJG34" s="684"/>
      <c r="DJH34" s="684"/>
      <c r="DJI34" s="684"/>
      <c r="DJJ34" s="684"/>
      <c r="DJK34" s="684"/>
      <c r="DJL34" s="684"/>
      <c r="DJM34" s="684"/>
      <c r="DJN34" s="684"/>
      <c r="DJO34" s="684"/>
      <c r="DJP34" s="684"/>
      <c r="DJQ34" s="684"/>
      <c r="DJR34" s="684"/>
      <c r="DJS34" s="684"/>
      <c r="DJT34" s="684"/>
      <c r="DJU34" s="684"/>
      <c r="DJV34" s="684"/>
      <c r="DJW34" s="684"/>
      <c r="DJX34" s="684"/>
      <c r="DJY34" s="684"/>
      <c r="DJZ34" s="684"/>
      <c r="DKA34" s="684"/>
      <c r="DKB34" s="684"/>
      <c r="DKC34" s="684"/>
      <c r="DKD34" s="684"/>
      <c r="DKE34" s="684"/>
      <c r="DKF34" s="684"/>
      <c r="DKG34" s="684"/>
      <c r="DKH34" s="684"/>
      <c r="DKI34" s="684"/>
      <c r="DKJ34" s="684"/>
      <c r="DKK34" s="684"/>
      <c r="DKL34" s="684"/>
      <c r="DKM34" s="684"/>
      <c r="DKN34" s="684"/>
      <c r="DKO34" s="684"/>
      <c r="DKP34" s="684"/>
      <c r="DKQ34" s="684"/>
      <c r="DKR34" s="684"/>
      <c r="DKS34" s="684"/>
      <c r="DKT34" s="684"/>
      <c r="DKU34" s="684"/>
      <c r="DKV34" s="684"/>
      <c r="DKW34" s="684"/>
      <c r="DKX34" s="684"/>
      <c r="DKY34" s="684"/>
      <c r="DKZ34" s="684"/>
      <c r="DLA34" s="684"/>
      <c r="DLB34" s="684"/>
      <c r="DLC34" s="684"/>
      <c r="DLD34" s="684"/>
      <c r="DLE34" s="684"/>
      <c r="DLF34" s="684"/>
      <c r="DLG34" s="684"/>
      <c r="DLH34" s="684"/>
      <c r="DLI34" s="684"/>
      <c r="DLJ34" s="684"/>
      <c r="DLK34" s="684"/>
      <c r="DLL34" s="684"/>
      <c r="DLM34" s="684"/>
      <c r="DLN34" s="684"/>
      <c r="DLO34" s="684"/>
      <c r="DLP34" s="684"/>
      <c r="DLQ34" s="684"/>
      <c r="DLR34" s="684"/>
      <c r="DLS34" s="684"/>
      <c r="DLT34" s="684"/>
      <c r="DLU34" s="684"/>
      <c r="DLV34" s="684"/>
      <c r="DLW34" s="684"/>
      <c r="DLX34" s="684"/>
      <c r="DLY34" s="684"/>
      <c r="DLZ34" s="684"/>
      <c r="DMA34" s="684"/>
      <c r="DMB34" s="684"/>
      <c r="DMC34" s="684"/>
      <c r="DMD34" s="684"/>
      <c r="DME34" s="684"/>
      <c r="DMF34" s="684"/>
      <c r="DMG34" s="684"/>
      <c r="DMH34" s="684"/>
      <c r="DMI34" s="684"/>
      <c r="DMJ34" s="684"/>
      <c r="DMK34" s="684"/>
      <c r="DML34" s="684"/>
      <c r="DMM34" s="684"/>
      <c r="DMN34" s="684"/>
      <c r="DMO34" s="684"/>
      <c r="DMP34" s="684"/>
      <c r="DMQ34" s="684"/>
      <c r="DMR34" s="684"/>
      <c r="DMS34" s="684"/>
      <c r="DMT34" s="684"/>
      <c r="DMU34" s="684"/>
      <c r="DMV34" s="684"/>
      <c r="DMW34" s="684"/>
      <c r="DMX34" s="684"/>
      <c r="DMY34" s="684"/>
      <c r="DMZ34" s="684"/>
      <c r="DNA34" s="684"/>
      <c r="DNB34" s="684"/>
      <c r="DNC34" s="684"/>
      <c r="DND34" s="684"/>
      <c r="DNE34" s="684"/>
      <c r="DNF34" s="684"/>
      <c r="DNG34" s="684"/>
      <c r="DNH34" s="684"/>
      <c r="DNI34" s="684"/>
      <c r="DNJ34" s="684"/>
      <c r="DNK34" s="684"/>
      <c r="DNL34" s="684"/>
      <c r="DNM34" s="684"/>
      <c r="DNN34" s="684"/>
      <c r="DNO34" s="684"/>
      <c r="DNP34" s="684"/>
      <c r="DNQ34" s="684"/>
      <c r="DNR34" s="684"/>
      <c r="DNS34" s="684"/>
      <c r="DNT34" s="684"/>
      <c r="DNU34" s="684"/>
      <c r="DNV34" s="684"/>
      <c r="DNW34" s="684"/>
      <c r="DNX34" s="684"/>
      <c r="DNY34" s="684"/>
      <c r="DNZ34" s="684"/>
      <c r="DOA34" s="684"/>
      <c r="DOB34" s="684"/>
      <c r="DOC34" s="684"/>
      <c r="DOD34" s="684"/>
      <c r="DOE34" s="684"/>
      <c r="DOF34" s="684"/>
      <c r="DOG34" s="684"/>
      <c r="DOH34" s="684"/>
      <c r="DOI34" s="684"/>
      <c r="DOJ34" s="684"/>
      <c r="DOK34" s="684"/>
      <c r="DOL34" s="684"/>
      <c r="DOM34" s="684"/>
      <c r="DON34" s="684"/>
      <c r="DOO34" s="684"/>
      <c r="DOP34" s="684"/>
      <c r="DOQ34" s="684"/>
      <c r="DOR34" s="684"/>
      <c r="DOS34" s="684"/>
      <c r="DOT34" s="684"/>
      <c r="DOU34" s="684"/>
      <c r="DOV34" s="684"/>
      <c r="DOW34" s="684"/>
      <c r="DOX34" s="684"/>
      <c r="DOY34" s="684"/>
      <c r="DOZ34" s="684"/>
      <c r="DPA34" s="684"/>
      <c r="DPB34" s="684"/>
      <c r="DPC34" s="684"/>
      <c r="DPD34" s="684"/>
      <c r="DPE34" s="684"/>
      <c r="DPF34" s="684"/>
      <c r="DPG34" s="684"/>
      <c r="DPH34" s="684"/>
      <c r="DPI34" s="684"/>
      <c r="DPJ34" s="684"/>
      <c r="DPK34" s="684"/>
      <c r="DPL34" s="684"/>
      <c r="DPM34" s="684"/>
      <c r="DPN34" s="684"/>
      <c r="DPO34" s="684"/>
      <c r="DPP34" s="684"/>
      <c r="DPQ34" s="684"/>
      <c r="DPR34" s="684"/>
      <c r="DPS34" s="684"/>
      <c r="DPT34" s="684"/>
      <c r="DPU34" s="684"/>
      <c r="DPV34" s="684"/>
      <c r="DPW34" s="684"/>
      <c r="DPX34" s="684"/>
      <c r="DPY34" s="684"/>
      <c r="DPZ34" s="684"/>
      <c r="DQA34" s="684"/>
      <c r="DQB34" s="684"/>
      <c r="DQC34" s="684"/>
      <c r="DQD34" s="684"/>
      <c r="DQE34" s="684"/>
      <c r="DQF34" s="684"/>
      <c r="DQG34" s="684"/>
      <c r="DQH34" s="684"/>
      <c r="DQI34" s="684"/>
      <c r="DQJ34" s="684"/>
      <c r="DQK34" s="684"/>
      <c r="DQL34" s="684"/>
      <c r="DQM34" s="684"/>
      <c r="DQN34" s="684"/>
      <c r="DQO34" s="684"/>
      <c r="DQP34" s="684"/>
      <c r="DQQ34" s="684"/>
      <c r="DQR34" s="684"/>
      <c r="DQS34" s="684"/>
      <c r="DQT34" s="684"/>
      <c r="DQU34" s="684"/>
      <c r="DQV34" s="684"/>
      <c r="DQW34" s="684"/>
      <c r="DQX34" s="684"/>
      <c r="DQY34" s="684"/>
      <c r="DQZ34" s="684"/>
      <c r="DRA34" s="684"/>
      <c r="DRB34" s="684"/>
      <c r="DRC34" s="684"/>
      <c r="DRD34" s="684"/>
      <c r="DRE34" s="684"/>
      <c r="DRF34" s="684"/>
      <c r="DRG34" s="684"/>
      <c r="DRH34" s="684"/>
      <c r="DRI34" s="684"/>
      <c r="DRJ34" s="684"/>
      <c r="DRK34" s="684"/>
      <c r="DRL34" s="684"/>
      <c r="DRM34" s="684"/>
      <c r="DRN34" s="684"/>
      <c r="DRO34" s="684"/>
      <c r="DRP34" s="684"/>
      <c r="DRQ34" s="684"/>
      <c r="DRR34" s="684"/>
      <c r="DRS34" s="684"/>
      <c r="DRT34" s="684"/>
      <c r="DRU34" s="684"/>
      <c r="DRV34" s="684"/>
      <c r="DRW34" s="684"/>
      <c r="DRX34" s="684"/>
      <c r="DRY34" s="684"/>
      <c r="DRZ34" s="684"/>
      <c r="DSA34" s="684"/>
      <c r="DSB34" s="684"/>
      <c r="DSC34" s="684"/>
      <c r="DSD34" s="684"/>
      <c r="DSE34" s="684"/>
      <c r="DSF34" s="684"/>
      <c r="DSG34" s="684"/>
      <c r="DSH34" s="684"/>
      <c r="DSI34" s="684"/>
      <c r="DSJ34" s="684"/>
      <c r="DSK34" s="684"/>
      <c r="DSL34" s="684"/>
      <c r="DSM34" s="684"/>
      <c r="DSN34" s="684"/>
      <c r="DSO34" s="684"/>
      <c r="DSP34" s="684"/>
      <c r="DSQ34" s="684"/>
      <c r="DSR34" s="684"/>
      <c r="DSS34" s="684"/>
      <c r="DST34" s="684"/>
      <c r="DSU34" s="684"/>
      <c r="DSV34" s="684"/>
      <c r="DSW34" s="684"/>
      <c r="DSX34" s="684"/>
      <c r="DSY34" s="684"/>
      <c r="DSZ34" s="684"/>
      <c r="DTA34" s="684"/>
      <c r="DTB34" s="684"/>
      <c r="DTC34" s="684"/>
      <c r="DTD34" s="684"/>
      <c r="DTE34" s="684"/>
      <c r="DTF34" s="684"/>
      <c r="DTG34" s="684"/>
      <c r="DTH34" s="684"/>
      <c r="DTI34" s="684"/>
      <c r="DTJ34" s="684"/>
      <c r="DTK34" s="684"/>
      <c r="DTL34" s="684"/>
      <c r="DTM34" s="684"/>
      <c r="DTN34" s="684"/>
      <c r="DTO34" s="684"/>
      <c r="DTP34" s="684"/>
      <c r="DTQ34" s="684"/>
      <c r="DTR34" s="684"/>
      <c r="DTS34" s="684"/>
      <c r="DTT34" s="684"/>
      <c r="DTU34" s="684"/>
      <c r="DTV34" s="684"/>
      <c r="DTW34" s="684"/>
      <c r="DTX34" s="684"/>
      <c r="DTY34" s="684"/>
      <c r="DTZ34" s="684"/>
      <c r="DUA34" s="684"/>
      <c r="DUB34" s="684"/>
      <c r="DUC34" s="684"/>
      <c r="DUD34" s="684"/>
      <c r="DUE34" s="684"/>
      <c r="DUF34" s="684"/>
      <c r="DUG34" s="684"/>
      <c r="DUH34" s="684"/>
      <c r="DUI34" s="684"/>
      <c r="DUJ34" s="684"/>
      <c r="DUK34" s="684"/>
      <c r="DUL34" s="684"/>
      <c r="DUM34" s="684"/>
      <c r="DUN34" s="684"/>
      <c r="DUO34" s="684"/>
      <c r="DUP34" s="684"/>
      <c r="DUQ34" s="684"/>
      <c r="DUR34" s="684"/>
      <c r="DUS34" s="684"/>
      <c r="DUT34" s="684"/>
      <c r="DUU34" s="684"/>
      <c r="DUV34" s="684"/>
      <c r="DUW34" s="684"/>
      <c r="DUX34" s="684"/>
      <c r="DUY34" s="684"/>
      <c r="DUZ34" s="684"/>
      <c r="DVA34" s="684"/>
      <c r="DVB34" s="684"/>
      <c r="DVC34" s="684"/>
      <c r="DVD34" s="684"/>
      <c r="DVE34" s="684"/>
      <c r="DVF34" s="684"/>
      <c r="DVG34" s="684"/>
      <c r="DVH34" s="684"/>
      <c r="DVI34" s="684"/>
      <c r="DVJ34" s="684"/>
      <c r="DVK34" s="684"/>
      <c r="DVL34" s="684"/>
      <c r="DVM34" s="684"/>
      <c r="DVN34" s="684"/>
      <c r="DVO34" s="684"/>
      <c r="DVP34" s="684"/>
      <c r="DVQ34" s="684"/>
      <c r="DVR34" s="684"/>
      <c r="DVS34" s="684"/>
      <c r="DVT34" s="684"/>
      <c r="DVU34" s="684"/>
      <c r="DVV34" s="684"/>
      <c r="DVW34" s="684"/>
      <c r="DVX34" s="684"/>
      <c r="DVY34" s="684"/>
      <c r="DVZ34" s="684"/>
      <c r="DWA34" s="684"/>
      <c r="DWB34" s="684"/>
      <c r="DWC34" s="684"/>
      <c r="DWD34" s="684"/>
      <c r="DWE34" s="684"/>
      <c r="DWF34" s="684"/>
      <c r="DWG34" s="684"/>
      <c r="DWH34" s="684"/>
      <c r="DWI34" s="684"/>
      <c r="DWJ34" s="684"/>
      <c r="DWK34" s="684"/>
      <c r="DWL34" s="684"/>
      <c r="DWM34" s="684"/>
      <c r="DWN34" s="684"/>
      <c r="DWO34" s="684"/>
      <c r="DWP34" s="684"/>
      <c r="DWQ34" s="684"/>
      <c r="DWR34" s="684"/>
      <c r="DWS34" s="684"/>
      <c r="DWT34" s="684"/>
      <c r="DWU34" s="684"/>
      <c r="DWV34" s="684"/>
      <c r="DWW34" s="684"/>
      <c r="DWX34" s="684"/>
      <c r="DWY34" s="684"/>
      <c r="DWZ34" s="684"/>
      <c r="DXA34" s="684"/>
      <c r="DXB34" s="684"/>
      <c r="DXC34" s="684"/>
      <c r="DXD34" s="684"/>
      <c r="DXE34" s="684"/>
      <c r="DXF34" s="684"/>
      <c r="DXG34" s="684"/>
      <c r="DXH34" s="684"/>
      <c r="DXI34" s="684"/>
      <c r="DXJ34" s="684"/>
      <c r="DXK34" s="684"/>
      <c r="DXL34" s="684"/>
      <c r="DXM34" s="684"/>
      <c r="DXN34" s="684"/>
      <c r="DXO34" s="684"/>
      <c r="DXP34" s="684"/>
      <c r="DXQ34" s="684"/>
      <c r="DXR34" s="684"/>
      <c r="DXS34" s="684"/>
      <c r="DXT34" s="684"/>
      <c r="DXU34" s="684"/>
      <c r="DXV34" s="684"/>
      <c r="DXW34" s="684"/>
      <c r="DXX34" s="684"/>
      <c r="DXY34" s="684"/>
      <c r="DXZ34" s="684"/>
      <c r="DYA34" s="684"/>
      <c r="DYB34" s="684"/>
      <c r="DYC34" s="684"/>
      <c r="DYD34" s="684"/>
      <c r="DYE34" s="684"/>
      <c r="DYF34" s="684"/>
      <c r="DYG34" s="684"/>
      <c r="DYH34" s="684"/>
      <c r="DYI34" s="684"/>
      <c r="DYJ34" s="684"/>
      <c r="DYK34" s="684"/>
      <c r="DYL34" s="684"/>
      <c r="DYM34" s="684"/>
      <c r="DYN34" s="684"/>
      <c r="DYO34" s="684"/>
      <c r="DYP34" s="684"/>
      <c r="DYQ34" s="684"/>
      <c r="DYR34" s="684"/>
      <c r="DYS34" s="684"/>
      <c r="DYT34" s="684"/>
      <c r="DYU34" s="684"/>
      <c r="DYV34" s="684"/>
      <c r="DYW34" s="684"/>
      <c r="DYX34" s="684"/>
      <c r="DYY34" s="684"/>
      <c r="DYZ34" s="684"/>
      <c r="DZA34" s="684"/>
      <c r="DZB34" s="684"/>
      <c r="DZC34" s="684"/>
      <c r="DZD34" s="684"/>
      <c r="DZE34" s="684"/>
      <c r="DZF34" s="684"/>
      <c r="DZG34" s="684"/>
      <c r="DZH34" s="684"/>
      <c r="DZI34" s="684"/>
      <c r="DZJ34" s="684"/>
      <c r="DZK34" s="684"/>
      <c r="DZL34" s="684"/>
      <c r="DZM34" s="684"/>
      <c r="DZN34" s="684"/>
      <c r="DZO34" s="684"/>
      <c r="DZP34" s="684"/>
      <c r="DZQ34" s="684"/>
      <c r="DZR34" s="684"/>
      <c r="DZS34" s="684"/>
      <c r="DZT34" s="684"/>
      <c r="DZU34" s="684"/>
      <c r="DZV34" s="684"/>
      <c r="DZW34" s="684"/>
      <c r="DZX34" s="684"/>
      <c r="DZY34" s="684"/>
      <c r="DZZ34" s="684"/>
      <c r="EAA34" s="684"/>
      <c r="EAB34" s="684"/>
      <c r="EAC34" s="684"/>
      <c r="EAD34" s="684"/>
      <c r="EAE34" s="684"/>
      <c r="EAF34" s="684"/>
      <c r="EAG34" s="684"/>
      <c r="EAH34" s="684"/>
      <c r="EAI34" s="684"/>
      <c r="EAJ34" s="684"/>
      <c r="EAK34" s="684"/>
      <c r="EAL34" s="684"/>
      <c r="EAM34" s="684"/>
      <c r="EAN34" s="684"/>
      <c r="EAO34" s="684"/>
      <c r="EAP34" s="684"/>
      <c r="EAQ34" s="684"/>
      <c r="EAR34" s="684"/>
      <c r="EAS34" s="684"/>
      <c r="EAT34" s="684"/>
      <c r="EAU34" s="684"/>
      <c r="EAV34" s="684"/>
      <c r="EAW34" s="684"/>
      <c r="EAX34" s="684"/>
      <c r="EAY34" s="684"/>
      <c r="EAZ34" s="684"/>
      <c r="EBA34" s="684"/>
      <c r="EBB34" s="684"/>
      <c r="EBC34" s="684"/>
      <c r="EBD34" s="684"/>
      <c r="EBE34" s="684"/>
      <c r="EBF34" s="684"/>
      <c r="EBG34" s="684"/>
      <c r="EBH34" s="684"/>
      <c r="EBI34" s="684"/>
      <c r="EBJ34" s="684"/>
      <c r="EBK34" s="684"/>
      <c r="EBL34" s="684"/>
      <c r="EBM34" s="684"/>
      <c r="EBN34" s="684"/>
      <c r="EBO34" s="684"/>
      <c r="EBP34" s="684"/>
      <c r="EBQ34" s="684"/>
      <c r="EBR34" s="684"/>
      <c r="EBS34" s="684"/>
      <c r="EBT34" s="684"/>
      <c r="EBU34" s="684"/>
      <c r="EBV34" s="684"/>
      <c r="EBW34" s="684"/>
      <c r="EBX34" s="684"/>
      <c r="EBY34" s="684"/>
      <c r="EBZ34" s="684"/>
      <c r="ECA34" s="684"/>
      <c r="ECB34" s="684"/>
      <c r="ECC34" s="684"/>
      <c r="ECD34" s="684"/>
      <c r="ECE34" s="684"/>
      <c r="ECF34" s="684"/>
      <c r="ECG34" s="684"/>
      <c r="ECH34" s="684"/>
      <c r="ECI34" s="684"/>
      <c r="ECJ34" s="684"/>
      <c r="ECK34" s="684"/>
      <c r="ECL34" s="684"/>
      <c r="ECM34" s="684"/>
      <c r="ECN34" s="684"/>
      <c r="ECO34" s="684"/>
      <c r="ECP34" s="684"/>
      <c r="ECQ34" s="684"/>
      <c r="ECR34" s="684"/>
      <c r="ECS34" s="684"/>
      <c r="ECT34" s="684"/>
      <c r="ECU34" s="684"/>
      <c r="ECV34" s="684"/>
      <c r="ECW34" s="684"/>
      <c r="ECX34" s="684"/>
      <c r="ECY34" s="684"/>
      <c r="ECZ34" s="684"/>
      <c r="EDA34" s="684"/>
      <c r="EDB34" s="684"/>
      <c r="EDC34" s="684"/>
      <c r="EDD34" s="684"/>
      <c r="EDE34" s="684"/>
      <c r="EDF34" s="684"/>
      <c r="EDG34" s="684"/>
      <c r="EDH34" s="684"/>
      <c r="EDI34" s="684"/>
      <c r="EDJ34" s="684"/>
      <c r="EDK34" s="684"/>
      <c r="EDL34" s="684"/>
      <c r="EDM34" s="684"/>
      <c r="EDN34" s="684"/>
      <c r="EDO34" s="684"/>
      <c r="EDP34" s="684"/>
      <c r="EDQ34" s="684"/>
      <c r="EDR34" s="684"/>
      <c r="EDS34" s="684"/>
      <c r="EDT34" s="684"/>
      <c r="EDU34" s="684"/>
      <c r="EDV34" s="684"/>
      <c r="EDW34" s="684"/>
      <c r="EDX34" s="684"/>
      <c r="EDY34" s="684"/>
      <c r="EDZ34" s="684"/>
      <c r="EEA34" s="684"/>
      <c r="EEB34" s="684"/>
      <c r="EEC34" s="684"/>
      <c r="EED34" s="684"/>
      <c r="EEE34" s="684"/>
      <c r="EEF34" s="684"/>
      <c r="EEG34" s="684"/>
      <c r="EEH34" s="684"/>
      <c r="EEI34" s="684"/>
      <c r="EEJ34" s="684"/>
      <c r="EEK34" s="684"/>
      <c r="EEL34" s="684"/>
      <c r="EEM34" s="684"/>
      <c r="EEN34" s="684"/>
      <c r="EEO34" s="684"/>
      <c r="EEP34" s="684"/>
      <c r="EEQ34" s="684"/>
      <c r="EER34" s="684"/>
      <c r="EES34" s="684"/>
      <c r="EET34" s="684"/>
      <c r="EEU34" s="684"/>
      <c r="EEV34" s="684"/>
      <c r="EEW34" s="684"/>
      <c r="EEX34" s="684"/>
      <c r="EEY34" s="684"/>
      <c r="EEZ34" s="684"/>
      <c r="EFA34" s="684"/>
      <c r="EFB34" s="684"/>
      <c r="EFC34" s="684"/>
      <c r="EFD34" s="684"/>
      <c r="EFE34" s="684"/>
      <c r="EFF34" s="684"/>
      <c r="EFG34" s="684"/>
      <c r="EFH34" s="684"/>
      <c r="EFI34" s="684"/>
      <c r="EFJ34" s="684"/>
      <c r="EFK34" s="684"/>
      <c r="EFL34" s="684"/>
      <c r="EFM34" s="684"/>
      <c r="EFN34" s="684"/>
      <c r="EFO34" s="684"/>
      <c r="EFP34" s="684"/>
      <c r="EFQ34" s="684"/>
      <c r="EFR34" s="684"/>
      <c r="EFS34" s="684"/>
      <c r="EFT34" s="684"/>
      <c r="EFU34" s="684"/>
      <c r="EFV34" s="684"/>
      <c r="EFW34" s="684"/>
      <c r="EFX34" s="684"/>
      <c r="EFY34" s="684"/>
      <c r="EFZ34" s="684"/>
      <c r="EGA34" s="684"/>
      <c r="EGB34" s="684"/>
      <c r="EGC34" s="684"/>
      <c r="EGD34" s="684"/>
      <c r="EGE34" s="684"/>
      <c r="EGF34" s="684"/>
      <c r="EGG34" s="684"/>
      <c r="EGH34" s="684"/>
      <c r="EGI34" s="684"/>
      <c r="EGJ34" s="684"/>
      <c r="EGK34" s="684"/>
      <c r="EGL34" s="684"/>
      <c r="EGM34" s="684"/>
      <c r="EGN34" s="684"/>
      <c r="EGO34" s="684"/>
      <c r="EGP34" s="684"/>
      <c r="EGQ34" s="684"/>
      <c r="EGR34" s="684"/>
      <c r="EGS34" s="684"/>
      <c r="EGT34" s="684"/>
      <c r="EGU34" s="684"/>
      <c r="EGV34" s="684"/>
      <c r="EGW34" s="684"/>
      <c r="EGX34" s="684"/>
      <c r="EGY34" s="684"/>
      <c r="EGZ34" s="684"/>
      <c r="EHA34" s="684"/>
      <c r="EHB34" s="684"/>
      <c r="EHC34" s="684"/>
      <c r="EHD34" s="684"/>
      <c r="EHE34" s="684"/>
      <c r="EHF34" s="684"/>
      <c r="EHG34" s="684"/>
      <c r="EHH34" s="684"/>
      <c r="EHI34" s="684"/>
      <c r="EHJ34" s="684"/>
      <c r="EHK34" s="684"/>
      <c r="EHL34" s="684"/>
      <c r="EHM34" s="684"/>
      <c r="EHN34" s="684"/>
      <c r="EHO34" s="684"/>
      <c r="EHP34" s="684"/>
      <c r="EHQ34" s="684"/>
      <c r="EHR34" s="684"/>
      <c r="EHS34" s="684"/>
      <c r="EHT34" s="684"/>
      <c r="EHU34" s="684"/>
      <c r="EHV34" s="684"/>
      <c r="EHW34" s="684"/>
      <c r="EHX34" s="684"/>
      <c r="EHY34" s="684"/>
      <c r="EHZ34" s="684"/>
      <c r="EIA34" s="684"/>
      <c r="EIB34" s="684"/>
      <c r="EIC34" s="684"/>
      <c r="EID34" s="684"/>
      <c r="EIE34" s="684"/>
      <c r="EIF34" s="684"/>
      <c r="EIG34" s="684"/>
      <c r="EIH34" s="684"/>
      <c r="EII34" s="684"/>
      <c r="EIJ34" s="684"/>
      <c r="EIK34" s="684"/>
      <c r="EIL34" s="684"/>
      <c r="EIM34" s="684"/>
      <c r="EIN34" s="684"/>
      <c r="EIO34" s="684"/>
      <c r="EIP34" s="684"/>
      <c r="EIQ34" s="684"/>
      <c r="EIR34" s="684"/>
      <c r="EIS34" s="684"/>
      <c r="EIT34" s="684"/>
      <c r="EIU34" s="684"/>
      <c r="EIV34" s="684"/>
      <c r="EIW34" s="684"/>
      <c r="EIX34" s="684"/>
      <c r="EIY34" s="684"/>
      <c r="EIZ34" s="684"/>
      <c r="EJA34" s="684"/>
      <c r="EJB34" s="684"/>
      <c r="EJC34" s="684"/>
      <c r="EJD34" s="684"/>
      <c r="EJE34" s="684"/>
      <c r="EJF34" s="684"/>
      <c r="EJG34" s="684"/>
      <c r="EJH34" s="684"/>
      <c r="EJI34" s="684"/>
      <c r="EJJ34" s="684"/>
      <c r="EJK34" s="684"/>
      <c r="EJL34" s="684"/>
      <c r="EJM34" s="684"/>
      <c r="EJN34" s="684"/>
      <c r="EJO34" s="684"/>
      <c r="EJP34" s="684"/>
      <c r="EJQ34" s="684"/>
      <c r="EJR34" s="684"/>
      <c r="EJS34" s="684"/>
      <c r="EJT34" s="684"/>
      <c r="EJU34" s="684"/>
      <c r="EJV34" s="684"/>
      <c r="EJW34" s="684"/>
      <c r="EJX34" s="684"/>
      <c r="EJY34" s="684"/>
      <c r="EJZ34" s="684"/>
      <c r="EKA34" s="684"/>
      <c r="EKB34" s="684"/>
      <c r="EKC34" s="684"/>
      <c r="EKD34" s="684"/>
      <c r="EKE34" s="684"/>
      <c r="EKF34" s="684"/>
      <c r="EKG34" s="684"/>
      <c r="EKH34" s="684"/>
      <c r="EKI34" s="684"/>
      <c r="EKJ34" s="684"/>
      <c r="EKK34" s="684"/>
      <c r="EKL34" s="684"/>
      <c r="EKM34" s="684"/>
      <c r="EKN34" s="684"/>
      <c r="EKO34" s="684"/>
      <c r="EKP34" s="684"/>
      <c r="EKQ34" s="684"/>
      <c r="EKR34" s="684"/>
      <c r="EKS34" s="684"/>
      <c r="EKT34" s="684"/>
      <c r="EKU34" s="684"/>
      <c r="EKV34" s="684"/>
      <c r="EKW34" s="684"/>
      <c r="EKX34" s="684"/>
      <c r="EKY34" s="684"/>
      <c r="EKZ34" s="684"/>
      <c r="ELA34" s="684"/>
      <c r="ELB34" s="684"/>
      <c r="ELC34" s="684"/>
      <c r="ELD34" s="684"/>
      <c r="ELE34" s="684"/>
      <c r="ELF34" s="684"/>
      <c r="ELG34" s="684"/>
      <c r="ELH34" s="684"/>
      <c r="ELI34" s="684"/>
      <c r="ELJ34" s="684"/>
      <c r="ELK34" s="684"/>
      <c r="ELL34" s="684"/>
      <c r="ELM34" s="684"/>
      <c r="ELN34" s="684"/>
      <c r="ELO34" s="684"/>
      <c r="ELP34" s="684"/>
      <c r="ELQ34" s="684"/>
      <c r="ELR34" s="684"/>
      <c r="ELS34" s="684"/>
      <c r="ELT34" s="684"/>
      <c r="ELU34" s="684"/>
      <c r="ELV34" s="684"/>
      <c r="ELW34" s="684"/>
      <c r="ELX34" s="684"/>
      <c r="ELY34" s="684"/>
      <c r="ELZ34" s="684"/>
      <c r="EMA34" s="684"/>
      <c r="EMB34" s="684"/>
      <c r="EMC34" s="684"/>
      <c r="EMD34" s="684"/>
      <c r="EME34" s="684"/>
      <c r="EMF34" s="684"/>
      <c r="EMG34" s="684"/>
      <c r="EMH34" s="684"/>
      <c r="EMI34" s="684"/>
      <c r="EMJ34" s="684"/>
      <c r="EMK34" s="684"/>
      <c r="EML34" s="684"/>
      <c r="EMM34" s="684"/>
      <c r="EMN34" s="684"/>
      <c r="EMO34" s="684"/>
      <c r="EMP34" s="684"/>
      <c r="EMQ34" s="684"/>
      <c r="EMR34" s="684"/>
      <c r="EMS34" s="684"/>
      <c r="EMT34" s="684"/>
      <c r="EMU34" s="684"/>
      <c r="EMV34" s="684"/>
      <c r="EMW34" s="684"/>
      <c r="EMX34" s="684"/>
      <c r="EMY34" s="684"/>
      <c r="EMZ34" s="684"/>
      <c r="ENA34" s="684"/>
      <c r="ENB34" s="684"/>
      <c r="ENC34" s="684"/>
      <c r="END34" s="684"/>
      <c r="ENE34" s="684"/>
      <c r="ENF34" s="684"/>
      <c r="ENG34" s="684"/>
      <c r="ENH34" s="684"/>
      <c r="ENI34" s="684"/>
      <c r="ENJ34" s="684"/>
      <c r="ENK34" s="684"/>
      <c r="ENL34" s="684"/>
      <c r="ENM34" s="684"/>
      <c r="ENN34" s="684"/>
      <c r="ENO34" s="684"/>
      <c r="ENP34" s="684"/>
      <c r="ENQ34" s="684"/>
      <c r="ENR34" s="684"/>
      <c r="ENS34" s="684"/>
      <c r="ENT34" s="684"/>
      <c r="ENU34" s="684"/>
      <c r="ENV34" s="684"/>
      <c r="ENW34" s="684"/>
      <c r="ENX34" s="684"/>
      <c r="ENY34" s="684"/>
      <c r="ENZ34" s="684"/>
      <c r="EOA34" s="684"/>
      <c r="EOB34" s="684"/>
      <c r="EOC34" s="684"/>
      <c r="EOD34" s="684"/>
      <c r="EOE34" s="684"/>
      <c r="EOF34" s="684"/>
      <c r="EOG34" s="684"/>
      <c r="EOH34" s="684"/>
      <c r="EOI34" s="684"/>
      <c r="EOJ34" s="684"/>
      <c r="EOK34" s="684"/>
      <c r="EOL34" s="684"/>
      <c r="EOM34" s="684"/>
      <c r="EON34" s="684"/>
      <c r="EOO34" s="684"/>
      <c r="EOP34" s="684"/>
      <c r="EOQ34" s="684"/>
      <c r="EOR34" s="684"/>
      <c r="EOS34" s="684"/>
      <c r="EOT34" s="684"/>
      <c r="EOU34" s="684"/>
      <c r="EOV34" s="684"/>
      <c r="EOW34" s="684"/>
      <c r="EOX34" s="684"/>
      <c r="EOY34" s="684"/>
      <c r="EOZ34" s="684"/>
      <c r="EPA34" s="684"/>
      <c r="EPB34" s="684"/>
      <c r="EPC34" s="684"/>
      <c r="EPD34" s="684"/>
      <c r="EPE34" s="684"/>
      <c r="EPF34" s="684"/>
      <c r="EPG34" s="684"/>
      <c r="EPH34" s="684"/>
      <c r="EPI34" s="684"/>
      <c r="EPJ34" s="684"/>
      <c r="EPK34" s="684"/>
      <c r="EPL34" s="684"/>
      <c r="EPM34" s="684"/>
      <c r="EPN34" s="684"/>
      <c r="EPO34" s="684"/>
      <c r="EPP34" s="684"/>
      <c r="EPQ34" s="684"/>
      <c r="EPR34" s="684"/>
      <c r="EPS34" s="684"/>
      <c r="EPT34" s="684"/>
      <c r="EPU34" s="684"/>
      <c r="EPV34" s="684"/>
      <c r="EPW34" s="684"/>
      <c r="EPX34" s="684"/>
      <c r="EPY34" s="684"/>
      <c r="EPZ34" s="684"/>
      <c r="EQA34" s="684"/>
      <c r="EQB34" s="684"/>
      <c r="EQC34" s="684"/>
      <c r="EQD34" s="684"/>
      <c r="EQE34" s="684"/>
      <c r="EQF34" s="684"/>
      <c r="EQG34" s="684"/>
      <c r="EQH34" s="684"/>
      <c r="EQI34" s="684"/>
      <c r="EQJ34" s="684"/>
      <c r="EQK34" s="684"/>
      <c r="EQL34" s="684"/>
      <c r="EQM34" s="684"/>
      <c r="EQN34" s="684"/>
      <c r="EQO34" s="684"/>
      <c r="EQP34" s="684"/>
      <c r="EQQ34" s="684"/>
      <c r="EQR34" s="684"/>
      <c r="EQS34" s="684"/>
      <c r="EQT34" s="684"/>
      <c r="EQU34" s="684"/>
      <c r="EQV34" s="684"/>
      <c r="EQW34" s="684"/>
      <c r="EQX34" s="684"/>
      <c r="EQY34" s="684"/>
      <c r="EQZ34" s="684"/>
      <c r="ERA34" s="684"/>
      <c r="ERB34" s="684"/>
      <c r="ERC34" s="684"/>
      <c r="ERD34" s="684"/>
      <c r="ERE34" s="684"/>
      <c r="ERF34" s="684"/>
      <c r="ERG34" s="684"/>
      <c r="ERH34" s="684"/>
      <c r="ERI34" s="684"/>
      <c r="ERJ34" s="684"/>
      <c r="ERK34" s="684"/>
      <c r="ERL34" s="684"/>
      <c r="ERM34" s="684"/>
      <c r="ERN34" s="684"/>
      <c r="ERO34" s="684"/>
      <c r="ERP34" s="684"/>
      <c r="ERQ34" s="684"/>
      <c r="ERR34" s="684"/>
      <c r="ERS34" s="684"/>
      <c r="ERT34" s="684"/>
      <c r="ERU34" s="684"/>
      <c r="ERV34" s="684"/>
      <c r="ERW34" s="684"/>
      <c r="ERX34" s="684"/>
      <c r="ERY34" s="684"/>
      <c r="ERZ34" s="684"/>
      <c r="ESA34" s="684"/>
      <c r="ESB34" s="684"/>
      <c r="ESC34" s="684"/>
      <c r="ESD34" s="684"/>
      <c r="ESE34" s="684"/>
      <c r="ESF34" s="684"/>
      <c r="ESG34" s="684"/>
      <c r="ESH34" s="684"/>
      <c r="ESI34" s="684"/>
      <c r="ESJ34" s="684"/>
      <c r="ESK34" s="684"/>
      <c r="ESL34" s="684"/>
      <c r="ESM34" s="684"/>
      <c r="ESN34" s="684"/>
      <c r="ESO34" s="684"/>
      <c r="ESP34" s="684"/>
      <c r="ESQ34" s="684"/>
      <c r="ESR34" s="684"/>
      <c r="ESS34" s="684"/>
      <c r="EST34" s="684"/>
      <c r="ESU34" s="684"/>
      <c r="ESV34" s="684"/>
      <c r="ESW34" s="684"/>
      <c r="ESX34" s="684"/>
      <c r="ESY34" s="684"/>
      <c r="ESZ34" s="684"/>
      <c r="ETA34" s="684"/>
      <c r="ETB34" s="684"/>
      <c r="ETC34" s="684"/>
      <c r="ETD34" s="684"/>
      <c r="ETE34" s="684"/>
      <c r="ETF34" s="684"/>
      <c r="ETG34" s="684"/>
      <c r="ETH34" s="684"/>
      <c r="ETI34" s="684"/>
      <c r="ETJ34" s="684"/>
      <c r="ETK34" s="684"/>
      <c r="ETL34" s="684"/>
      <c r="ETM34" s="684"/>
      <c r="ETN34" s="684"/>
      <c r="ETO34" s="684"/>
      <c r="ETP34" s="684"/>
      <c r="ETQ34" s="684"/>
      <c r="ETR34" s="684"/>
      <c r="ETS34" s="684"/>
      <c r="ETT34" s="684"/>
      <c r="ETU34" s="684"/>
      <c r="ETV34" s="684"/>
      <c r="ETW34" s="684"/>
      <c r="ETX34" s="684"/>
      <c r="ETY34" s="684"/>
      <c r="ETZ34" s="684"/>
      <c r="EUA34" s="684"/>
      <c r="EUB34" s="684"/>
      <c r="EUC34" s="684"/>
      <c r="EUD34" s="684"/>
      <c r="EUE34" s="684"/>
      <c r="EUF34" s="684"/>
      <c r="EUG34" s="684"/>
      <c r="EUH34" s="684"/>
      <c r="EUI34" s="684"/>
      <c r="EUJ34" s="684"/>
      <c r="EUK34" s="684"/>
      <c r="EUL34" s="684"/>
      <c r="EUM34" s="684"/>
      <c r="EUN34" s="684"/>
      <c r="EUO34" s="684"/>
      <c r="EUP34" s="684"/>
      <c r="EUQ34" s="684"/>
      <c r="EUR34" s="684"/>
      <c r="EUS34" s="684"/>
      <c r="EUT34" s="684"/>
      <c r="EUU34" s="684"/>
      <c r="EUV34" s="684"/>
      <c r="EUW34" s="684"/>
      <c r="EUX34" s="684"/>
      <c r="EUY34" s="684"/>
      <c r="EUZ34" s="684"/>
      <c r="EVA34" s="684"/>
      <c r="EVB34" s="684"/>
      <c r="EVC34" s="684"/>
      <c r="EVD34" s="684"/>
      <c r="EVE34" s="684"/>
      <c r="EVF34" s="684"/>
      <c r="EVG34" s="684"/>
      <c r="EVH34" s="684"/>
      <c r="EVI34" s="684"/>
      <c r="EVJ34" s="684"/>
      <c r="EVK34" s="684"/>
      <c r="EVL34" s="684"/>
      <c r="EVM34" s="684"/>
      <c r="EVN34" s="684"/>
      <c r="EVO34" s="684"/>
      <c r="EVP34" s="684"/>
      <c r="EVQ34" s="684"/>
      <c r="EVR34" s="684"/>
      <c r="EVS34" s="684"/>
      <c r="EVT34" s="684"/>
      <c r="EVU34" s="684"/>
      <c r="EVV34" s="684"/>
      <c r="EVW34" s="684"/>
      <c r="EVX34" s="684"/>
      <c r="EVY34" s="684"/>
      <c r="EVZ34" s="684"/>
      <c r="EWA34" s="684"/>
      <c r="EWB34" s="684"/>
      <c r="EWC34" s="684"/>
      <c r="EWD34" s="684"/>
      <c r="EWE34" s="684"/>
      <c r="EWF34" s="684"/>
      <c r="EWG34" s="684"/>
      <c r="EWH34" s="684"/>
      <c r="EWI34" s="684"/>
      <c r="EWJ34" s="684"/>
      <c r="EWK34" s="684"/>
      <c r="EWL34" s="684"/>
      <c r="EWM34" s="684"/>
      <c r="EWN34" s="684"/>
      <c r="EWO34" s="684"/>
      <c r="EWP34" s="684"/>
      <c r="EWQ34" s="684"/>
      <c r="EWR34" s="684"/>
      <c r="EWS34" s="684"/>
      <c r="EWT34" s="684"/>
      <c r="EWU34" s="684"/>
      <c r="EWV34" s="684"/>
      <c r="EWW34" s="684"/>
      <c r="EWX34" s="684"/>
      <c r="EWY34" s="684"/>
      <c r="EWZ34" s="684"/>
      <c r="EXA34" s="684"/>
      <c r="EXB34" s="684"/>
      <c r="EXC34" s="684"/>
      <c r="EXD34" s="684"/>
      <c r="EXE34" s="684"/>
      <c r="EXF34" s="684"/>
      <c r="EXG34" s="684"/>
      <c r="EXH34" s="684"/>
      <c r="EXI34" s="684"/>
      <c r="EXJ34" s="684"/>
      <c r="EXK34" s="684"/>
      <c r="EXL34" s="684"/>
      <c r="EXM34" s="684"/>
      <c r="EXN34" s="684"/>
      <c r="EXO34" s="684"/>
      <c r="EXP34" s="684"/>
      <c r="EXQ34" s="684"/>
      <c r="EXR34" s="684"/>
      <c r="EXS34" s="684"/>
      <c r="EXT34" s="684"/>
      <c r="EXU34" s="684"/>
      <c r="EXV34" s="684"/>
      <c r="EXW34" s="684"/>
      <c r="EXX34" s="684"/>
      <c r="EXY34" s="684"/>
      <c r="EXZ34" s="684"/>
      <c r="EYA34" s="684"/>
      <c r="EYB34" s="684"/>
      <c r="EYC34" s="684"/>
      <c r="EYD34" s="684"/>
      <c r="EYE34" s="684"/>
      <c r="EYF34" s="684"/>
      <c r="EYG34" s="684"/>
      <c r="EYH34" s="684"/>
      <c r="EYI34" s="684"/>
      <c r="EYJ34" s="684"/>
      <c r="EYK34" s="684"/>
      <c r="EYL34" s="684"/>
      <c r="EYM34" s="684"/>
      <c r="EYN34" s="684"/>
      <c r="EYO34" s="684"/>
      <c r="EYP34" s="684"/>
      <c r="EYQ34" s="684"/>
      <c r="EYR34" s="684"/>
      <c r="EYS34" s="684"/>
      <c r="EYT34" s="684"/>
      <c r="EYU34" s="684"/>
      <c r="EYV34" s="684"/>
      <c r="EYW34" s="684"/>
      <c r="EYX34" s="684"/>
      <c r="EYY34" s="684"/>
      <c r="EYZ34" s="684"/>
      <c r="EZA34" s="684"/>
      <c r="EZB34" s="684"/>
      <c r="EZC34" s="684"/>
      <c r="EZD34" s="684"/>
      <c r="EZE34" s="684"/>
      <c r="EZF34" s="684"/>
      <c r="EZG34" s="684"/>
      <c r="EZH34" s="684"/>
      <c r="EZI34" s="684"/>
      <c r="EZJ34" s="684"/>
      <c r="EZK34" s="684"/>
      <c r="EZL34" s="684"/>
      <c r="EZM34" s="684"/>
      <c r="EZN34" s="684"/>
      <c r="EZO34" s="684"/>
      <c r="EZP34" s="684"/>
      <c r="EZQ34" s="684"/>
      <c r="EZR34" s="684"/>
      <c r="EZS34" s="684"/>
      <c r="EZT34" s="684"/>
      <c r="EZU34" s="684"/>
      <c r="EZV34" s="684"/>
      <c r="EZW34" s="684"/>
      <c r="EZX34" s="684"/>
      <c r="EZY34" s="684"/>
      <c r="EZZ34" s="684"/>
      <c r="FAA34" s="684"/>
      <c r="FAB34" s="684"/>
      <c r="FAC34" s="684"/>
      <c r="FAD34" s="684"/>
      <c r="FAE34" s="684"/>
      <c r="FAF34" s="684"/>
      <c r="FAG34" s="684"/>
      <c r="FAH34" s="684"/>
      <c r="FAI34" s="684"/>
      <c r="FAJ34" s="684"/>
      <c r="FAK34" s="684"/>
      <c r="FAL34" s="684"/>
      <c r="FAM34" s="684"/>
      <c r="FAN34" s="684"/>
      <c r="FAO34" s="684"/>
      <c r="FAP34" s="684"/>
      <c r="FAQ34" s="684"/>
      <c r="FAR34" s="684"/>
      <c r="FAS34" s="684"/>
      <c r="FAT34" s="684"/>
      <c r="FAU34" s="684"/>
      <c r="FAV34" s="684"/>
      <c r="FAW34" s="684"/>
      <c r="FAX34" s="684"/>
      <c r="FAY34" s="684"/>
      <c r="FAZ34" s="684"/>
      <c r="FBA34" s="684"/>
      <c r="FBB34" s="684"/>
      <c r="FBC34" s="684"/>
      <c r="FBD34" s="684"/>
      <c r="FBE34" s="684"/>
      <c r="FBF34" s="684"/>
      <c r="FBG34" s="684"/>
      <c r="FBH34" s="684"/>
      <c r="FBI34" s="684"/>
      <c r="FBJ34" s="684"/>
      <c r="FBK34" s="684"/>
      <c r="FBL34" s="684"/>
      <c r="FBM34" s="684"/>
      <c r="FBN34" s="684"/>
      <c r="FBO34" s="684"/>
      <c r="FBP34" s="684"/>
      <c r="FBQ34" s="684"/>
      <c r="FBR34" s="684"/>
      <c r="FBS34" s="684"/>
      <c r="FBT34" s="684"/>
      <c r="FBU34" s="684"/>
      <c r="FBV34" s="684"/>
      <c r="FBW34" s="684"/>
      <c r="FBX34" s="684"/>
      <c r="FBY34" s="684"/>
      <c r="FBZ34" s="684"/>
      <c r="FCA34" s="684"/>
      <c r="FCB34" s="684"/>
      <c r="FCC34" s="684"/>
      <c r="FCD34" s="684"/>
      <c r="FCE34" s="684"/>
      <c r="FCF34" s="684"/>
      <c r="FCG34" s="684"/>
      <c r="FCH34" s="684"/>
      <c r="FCI34" s="684"/>
      <c r="FCJ34" s="684"/>
      <c r="FCK34" s="684"/>
      <c r="FCL34" s="684"/>
      <c r="FCM34" s="684"/>
      <c r="FCN34" s="684"/>
      <c r="FCO34" s="684"/>
      <c r="FCP34" s="684"/>
      <c r="FCQ34" s="684"/>
      <c r="FCR34" s="684"/>
      <c r="FCS34" s="684"/>
      <c r="FCT34" s="684"/>
      <c r="FCU34" s="684"/>
      <c r="FCV34" s="684"/>
      <c r="FCW34" s="684"/>
      <c r="FCX34" s="684"/>
      <c r="FCY34" s="684"/>
      <c r="FCZ34" s="684"/>
      <c r="FDA34" s="684"/>
      <c r="FDB34" s="684"/>
      <c r="FDC34" s="684"/>
      <c r="FDD34" s="684"/>
      <c r="FDE34" s="684"/>
      <c r="FDF34" s="684"/>
      <c r="FDG34" s="684"/>
      <c r="FDH34" s="684"/>
      <c r="FDI34" s="684"/>
      <c r="FDJ34" s="684"/>
      <c r="FDK34" s="684"/>
      <c r="FDL34" s="684"/>
      <c r="FDM34" s="684"/>
      <c r="FDN34" s="684"/>
      <c r="FDO34" s="684"/>
      <c r="FDP34" s="684"/>
      <c r="FDQ34" s="684"/>
      <c r="FDR34" s="684"/>
      <c r="FDS34" s="684"/>
      <c r="FDT34" s="684"/>
      <c r="FDU34" s="684"/>
      <c r="FDV34" s="684"/>
      <c r="FDW34" s="684"/>
      <c r="FDX34" s="684"/>
      <c r="FDY34" s="684"/>
      <c r="FDZ34" s="684"/>
      <c r="FEA34" s="684"/>
      <c r="FEB34" s="684"/>
      <c r="FEC34" s="684"/>
      <c r="FED34" s="684"/>
      <c r="FEE34" s="684"/>
      <c r="FEF34" s="684"/>
      <c r="FEG34" s="684"/>
      <c r="FEH34" s="684"/>
      <c r="FEI34" s="684"/>
      <c r="FEJ34" s="684"/>
      <c r="FEK34" s="684"/>
      <c r="FEL34" s="684"/>
      <c r="FEM34" s="684"/>
      <c r="FEN34" s="684"/>
      <c r="FEO34" s="684"/>
      <c r="FEP34" s="684"/>
      <c r="FEQ34" s="684"/>
      <c r="FER34" s="684"/>
      <c r="FES34" s="684"/>
      <c r="FET34" s="684"/>
      <c r="FEU34" s="684"/>
      <c r="FEV34" s="684"/>
      <c r="FEW34" s="684"/>
      <c r="FEX34" s="684"/>
      <c r="FEY34" s="684"/>
      <c r="FEZ34" s="684"/>
      <c r="FFA34" s="684"/>
      <c r="FFB34" s="684"/>
      <c r="FFC34" s="684"/>
      <c r="FFD34" s="684"/>
      <c r="FFE34" s="684"/>
      <c r="FFF34" s="684"/>
      <c r="FFG34" s="684"/>
      <c r="FFH34" s="684"/>
      <c r="FFI34" s="684"/>
      <c r="FFJ34" s="684"/>
      <c r="FFK34" s="684"/>
      <c r="FFL34" s="684"/>
      <c r="FFM34" s="684"/>
      <c r="FFN34" s="684"/>
      <c r="FFO34" s="684"/>
      <c r="FFP34" s="684"/>
      <c r="FFQ34" s="684"/>
      <c r="FFR34" s="684"/>
      <c r="FFS34" s="684"/>
      <c r="FFT34" s="684"/>
      <c r="FFU34" s="684"/>
      <c r="FFV34" s="684"/>
      <c r="FFW34" s="684"/>
      <c r="FFX34" s="684"/>
      <c r="FFY34" s="684"/>
      <c r="FFZ34" s="684"/>
      <c r="FGA34" s="684"/>
      <c r="FGB34" s="684"/>
      <c r="FGC34" s="684"/>
      <c r="FGD34" s="684"/>
      <c r="FGE34" s="684"/>
      <c r="FGF34" s="684"/>
      <c r="FGG34" s="684"/>
      <c r="FGH34" s="684"/>
      <c r="FGI34" s="684"/>
      <c r="FGJ34" s="684"/>
      <c r="FGK34" s="684"/>
      <c r="FGL34" s="684"/>
      <c r="FGM34" s="684"/>
      <c r="FGN34" s="684"/>
      <c r="FGO34" s="684"/>
      <c r="FGP34" s="684"/>
      <c r="FGQ34" s="684"/>
      <c r="FGR34" s="684"/>
      <c r="FGS34" s="684"/>
      <c r="FGT34" s="684"/>
      <c r="FGU34" s="684"/>
      <c r="FGV34" s="684"/>
      <c r="FGW34" s="684"/>
      <c r="FGX34" s="684"/>
      <c r="FGY34" s="684"/>
      <c r="FGZ34" s="684"/>
      <c r="FHA34" s="684"/>
      <c r="FHB34" s="684"/>
      <c r="FHC34" s="684"/>
      <c r="FHD34" s="684"/>
      <c r="FHE34" s="684"/>
      <c r="FHF34" s="684"/>
      <c r="FHG34" s="684"/>
      <c r="FHH34" s="684"/>
      <c r="FHI34" s="684"/>
      <c r="FHJ34" s="684"/>
      <c r="FHK34" s="684"/>
      <c r="FHL34" s="684"/>
      <c r="FHM34" s="684"/>
      <c r="FHN34" s="684"/>
      <c r="FHO34" s="684"/>
      <c r="FHP34" s="684"/>
      <c r="FHQ34" s="684"/>
      <c r="FHR34" s="684"/>
      <c r="FHS34" s="684"/>
      <c r="FHT34" s="684"/>
      <c r="FHU34" s="684"/>
      <c r="FHV34" s="684"/>
      <c r="FHW34" s="684"/>
      <c r="FHX34" s="684"/>
      <c r="FHY34" s="684"/>
      <c r="FHZ34" s="684"/>
      <c r="FIA34" s="684"/>
      <c r="FIB34" s="684"/>
      <c r="FIC34" s="684"/>
      <c r="FID34" s="684"/>
      <c r="FIE34" s="684"/>
      <c r="FIF34" s="684"/>
      <c r="FIG34" s="684"/>
      <c r="FIH34" s="684"/>
      <c r="FII34" s="684"/>
      <c r="FIJ34" s="684"/>
      <c r="FIK34" s="684"/>
      <c r="FIL34" s="684"/>
      <c r="FIM34" s="684"/>
      <c r="FIN34" s="684"/>
      <c r="FIO34" s="684"/>
      <c r="FIP34" s="684"/>
      <c r="FIQ34" s="684"/>
      <c r="FIR34" s="684"/>
      <c r="FIS34" s="684"/>
      <c r="FIT34" s="684"/>
      <c r="FIU34" s="684"/>
      <c r="FIV34" s="684"/>
      <c r="FIW34" s="684"/>
      <c r="FIX34" s="684"/>
      <c r="FIY34" s="684"/>
      <c r="FIZ34" s="684"/>
      <c r="FJA34" s="684"/>
      <c r="FJB34" s="684"/>
      <c r="FJC34" s="684"/>
      <c r="FJD34" s="684"/>
      <c r="FJE34" s="684"/>
      <c r="FJF34" s="684"/>
      <c r="FJG34" s="684"/>
      <c r="FJH34" s="684"/>
      <c r="FJI34" s="684"/>
      <c r="FJJ34" s="684"/>
      <c r="FJK34" s="684"/>
      <c r="FJL34" s="684"/>
      <c r="FJM34" s="684"/>
      <c r="FJN34" s="684"/>
      <c r="FJO34" s="684"/>
      <c r="FJP34" s="684"/>
      <c r="FJQ34" s="684"/>
      <c r="FJR34" s="684"/>
      <c r="FJS34" s="684"/>
      <c r="FJT34" s="684"/>
      <c r="FJU34" s="684"/>
      <c r="FJV34" s="684"/>
      <c r="FJW34" s="684"/>
      <c r="FJX34" s="684"/>
      <c r="FJY34" s="684"/>
      <c r="FJZ34" s="684"/>
      <c r="FKA34" s="684"/>
      <c r="FKB34" s="684"/>
      <c r="FKC34" s="684"/>
      <c r="FKD34" s="684"/>
      <c r="FKE34" s="684"/>
      <c r="FKF34" s="684"/>
      <c r="FKG34" s="684"/>
      <c r="FKH34" s="684"/>
      <c r="FKI34" s="684"/>
      <c r="FKJ34" s="684"/>
      <c r="FKK34" s="684"/>
      <c r="FKL34" s="684"/>
      <c r="FKM34" s="684"/>
      <c r="FKN34" s="684"/>
      <c r="FKO34" s="684"/>
      <c r="FKP34" s="684"/>
      <c r="FKQ34" s="684"/>
      <c r="FKR34" s="684"/>
      <c r="FKS34" s="684"/>
      <c r="FKT34" s="684"/>
      <c r="FKU34" s="684"/>
      <c r="FKV34" s="684"/>
      <c r="FKW34" s="684"/>
      <c r="FKX34" s="684"/>
      <c r="FKY34" s="684"/>
      <c r="FKZ34" s="684"/>
      <c r="FLA34" s="684"/>
      <c r="FLB34" s="684"/>
      <c r="FLC34" s="684"/>
      <c r="FLD34" s="684"/>
      <c r="FLE34" s="684"/>
      <c r="FLF34" s="684"/>
      <c r="FLG34" s="684"/>
      <c r="FLH34" s="684"/>
      <c r="FLI34" s="684"/>
      <c r="FLJ34" s="684"/>
      <c r="FLK34" s="684"/>
      <c r="FLL34" s="684"/>
      <c r="FLM34" s="684"/>
      <c r="FLN34" s="684"/>
      <c r="FLO34" s="684"/>
      <c r="FLP34" s="684"/>
      <c r="FLQ34" s="684"/>
      <c r="FLR34" s="684"/>
      <c r="FLS34" s="684"/>
      <c r="FLT34" s="684"/>
      <c r="FLU34" s="684"/>
      <c r="FLV34" s="684"/>
      <c r="FLW34" s="684"/>
      <c r="FLX34" s="684"/>
      <c r="FLY34" s="684"/>
      <c r="FLZ34" s="684"/>
      <c r="FMA34" s="684"/>
      <c r="FMB34" s="684"/>
      <c r="FMC34" s="684"/>
      <c r="FMD34" s="684"/>
      <c r="FME34" s="684"/>
      <c r="FMF34" s="684"/>
      <c r="FMG34" s="684"/>
      <c r="FMH34" s="684"/>
      <c r="FMI34" s="684"/>
      <c r="FMJ34" s="684"/>
      <c r="FMK34" s="684"/>
      <c r="FML34" s="684"/>
      <c r="FMM34" s="684"/>
      <c r="FMN34" s="684"/>
      <c r="FMO34" s="684"/>
      <c r="FMP34" s="684"/>
      <c r="FMQ34" s="684"/>
      <c r="FMR34" s="684"/>
      <c r="FMS34" s="684"/>
      <c r="FMT34" s="684"/>
      <c r="FMU34" s="684"/>
      <c r="FMV34" s="684"/>
      <c r="FMW34" s="684"/>
      <c r="FMX34" s="684"/>
      <c r="FMY34" s="684"/>
      <c r="FMZ34" s="684"/>
      <c r="FNA34" s="684"/>
      <c r="FNB34" s="684"/>
      <c r="FNC34" s="684"/>
      <c r="FND34" s="684"/>
      <c r="FNE34" s="684"/>
      <c r="FNF34" s="684"/>
      <c r="FNG34" s="684"/>
      <c r="FNH34" s="684"/>
      <c r="FNI34" s="684"/>
      <c r="FNJ34" s="684"/>
      <c r="FNK34" s="684"/>
      <c r="FNL34" s="684"/>
      <c r="FNM34" s="684"/>
      <c r="FNN34" s="684"/>
      <c r="FNO34" s="684"/>
      <c r="FNP34" s="684"/>
      <c r="FNQ34" s="684"/>
      <c r="FNR34" s="684"/>
      <c r="FNS34" s="684"/>
      <c r="FNT34" s="684"/>
      <c r="FNU34" s="684"/>
      <c r="FNV34" s="684"/>
      <c r="FNW34" s="684"/>
      <c r="FNX34" s="684"/>
      <c r="FNY34" s="684"/>
      <c r="FNZ34" s="684"/>
      <c r="FOA34" s="684"/>
      <c r="FOB34" s="684"/>
      <c r="FOC34" s="684"/>
      <c r="FOD34" s="684"/>
      <c r="FOE34" s="684"/>
      <c r="FOF34" s="684"/>
      <c r="FOG34" s="684"/>
      <c r="FOH34" s="684"/>
      <c r="FOI34" s="684"/>
      <c r="FOJ34" s="684"/>
      <c r="FOK34" s="684"/>
      <c r="FOL34" s="684"/>
      <c r="FOM34" s="684"/>
      <c r="FON34" s="684"/>
      <c r="FOO34" s="684"/>
      <c r="FOP34" s="684"/>
      <c r="FOQ34" s="684"/>
      <c r="FOR34" s="684"/>
      <c r="FOS34" s="684"/>
      <c r="FOT34" s="684"/>
      <c r="FOU34" s="684"/>
      <c r="FOV34" s="684"/>
      <c r="FOW34" s="684"/>
      <c r="FOX34" s="684"/>
      <c r="FOY34" s="684"/>
      <c r="FOZ34" s="684"/>
      <c r="FPA34" s="684"/>
      <c r="FPB34" s="684"/>
      <c r="FPC34" s="684"/>
      <c r="FPD34" s="684"/>
      <c r="FPE34" s="684"/>
      <c r="FPF34" s="684"/>
      <c r="FPG34" s="684"/>
      <c r="FPH34" s="684"/>
      <c r="FPI34" s="684"/>
      <c r="FPJ34" s="684"/>
      <c r="FPK34" s="684"/>
      <c r="FPL34" s="684"/>
      <c r="FPM34" s="684"/>
      <c r="FPN34" s="684"/>
      <c r="FPO34" s="684"/>
      <c r="FPP34" s="684"/>
      <c r="FPQ34" s="684"/>
      <c r="FPR34" s="684"/>
      <c r="FPS34" s="684"/>
      <c r="FPT34" s="684"/>
      <c r="FPU34" s="684"/>
      <c r="FPV34" s="684"/>
      <c r="FPW34" s="684"/>
      <c r="FPX34" s="684"/>
      <c r="FPY34" s="684"/>
      <c r="FPZ34" s="684"/>
      <c r="FQA34" s="684"/>
      <c r="FQB34" s="684"/>
      <c r="FQC34" s="684"/>
      <c r="FQD34" s="684"/>
      <c r="FQE34" s="684"/>
      <c r="FQF34" s="684"/>
      <c r="FQG34" s="684"/>
      <c r="FQH34" s="684"/>
      <c r="FQI34" s="684"/>
      <c r="FQJ34" s="684"/>
      <c r="FQK34" s="684"/>
      <c r="FQL34" s="684"/>
      <c r="FQM34" s="684"/>
      <c r="FQN34" s="684"/>
      <c r="FQO34" s="684"/>
      <c r="FQP34" s="684"/>
      <c r="FQQ34" s="684"/>
      <c r="FQR34" s="684"/>
      <c r="FQS34" s="684"/>
      <c r="FQT34" s="684"/>
      <c r="FQU34" s="684"/>
      <c r="FQV34" s="684"/>
      <c r="FQW34" s="684"/>
      <c r="FQX34" s="684"/>
      <c r="FQY34" s="684"/>
      <c r="FQZ34" s="684"/>
      <c r="FRA34" s="684"/>
      <c r="FRB34" s="684"/>
      <c r="FRC34" s="684"/>
      <c r="FRD34" s="684"/>
      <c r="FRE34" s="684"/>
      <c r="FRF34" s="684"/>
      <c r="FRG34" s="684"/>
      <c r="FRH34" s="684"/>
      <c r="FRI34" s="684"/>
      <c r="FRJ34" s="684"/>
      <c r="FRK34" s="684"/>
      <c r="FRL34" s="684"/>
      <c r="FRM34" s="684"/>
      <c r="FRN34" s="684"/>
      <c r="FRO34" s="684"/>
      <c r="FRP34" s="684"/>
      <c r="FRQ34" s="684"/>
      <c r="FRR34" s="684"/>
      <c r="FRS34" s="684"/>
      <c r="FRT34" s="684"/>
      <c r="FRU34" s="684"/>
      <c r="FRV34" s="684"/>
      <c r="FRW34" s="684"/>
      <c r="FRX34" s="684"/>
      <c r="FRY34" s="684"/>
      <c r="FRZ34" s="684"/>
      <c r="FSA34" s="684"/>
      <c r="FSB34" s="684"/>
      <c r="FSC34" s="684"/>
      <c r="FSD34" s="684"/>
      <c r="FSE34" s="684"/>
      <c r="FSF34" s="684"/>
      <c r="FSG34" s="684"/>
      <c r="FSH34" s="684"/>
      <c r="FSI34" s="684"/>
      <c r="FSJ34" s="684"/>
      <c r="FSK34" s="684"/>
      <c r="FSL34" s="684"/>
      <c r="FSM34" s="684"/>
      <c r="FSN34" s="684"/>
      <c r="FSO34" s="684"/>
      <c r="FSP34" s="684"/>
      <c r="FSQ34" s="684"/>
      <c r="FSR34" s="684"/>
      <c r="FSS34" s="684"/>
      <c r="FST34" s="684"/>
      <c r="FSU34" s="684"/>
      <c r="FSV34" s="684"/>
      <c r="FSW34" s="684"/>
      <c r="FSX34" s="684"/>
      <c r="FSY34" s="684"/>
      <c r="FSZ34" s="684"/>
      <c r="FTA34" s="684"/>
      <c r="FTB34" s="684"/>
      <c r="FTC34" s="684"/>
      <c r="FTD34" s="684"/>
      <c r="FTE34" s="684"/>
      <c r="FTF34" s="684"/>
      <c r="FTG34" s="684"/>
      <c r="FTH34" s="684"/>
      <c r="FTI34" s="684"/>
      <c r="FTJ34" s="684"/>
      <c r="FTK34" s="684"/>
      <c r="FTL34" s="684"/>
      <c r="FTM34" s="684"/>
      <c r="FTN34" s="684"/>
      <c r="FTO34" s="684"/>
      <c r="FTP34" s="684"/>
      <c r="FTQ34" s="684"/>
      <c r="FTR34" s="684"/>
      <c r="FTS34" s="684"/>
      <c r="FTT34" s="684"/>
      <c r="FTU34" s="684"/>
      <c r="FTV34" s="684"/>
      <c r="FTW34" s="684"/>
      <c r="FTX34" s="684"/>
      <c r="FTY34" s="684"/>
      <c r="FTZ34" s="684"/>
      <c r="FUA34" s="684"/>
      <c r="FUB34" s="684"/>
      <c r="FUC34" s="684"/>
      <c r="FUD34" s="684"/>
      <c r="FUE34" s="684"/>
      <c r="FUF34" s="684"/>
      <c r="FUG34" s="684"/>
      <c r="FUH34" s="684"/>
      <c r="FUI34" s="684"/>
      <c r="FUJ34" s="684"/>
      <c r="FUK34" s="684"/>
      <c r="FUL34" s="684"/>
      <c r="FUM34" s="684"/>
      <c r="FUN34" s="684"/>
      <c r="FUO34" s="684"/>
      <c r="FUP34" s="684"/>
      <c r="FUQ34" s="684"/>
      <c r="FUR34" s="684"/>
      <c r="FUS34" s="684"/>
      <c r="FUT34" s="684"/>
      <c r="FUU34" s="684"/>
      <c r="FUV34" s="684"/>
      <c r="FUW34" s="684"/>
      <c r="FUX34" s="684"/>
      <c r="FUY34" s="684"/>
      <c r="FUZ34" s="684"/>
      <c r="FVA34" s="684"/>
      <c r="FVB34" s="684"/>
      <c r="FVC34" s="684"/>
      <c r="FVD34" s="684"/>
      <c r="FVE34" s="684"/>
      <c r="FVF34" s="684"/>
      <c r="FVG34" s="684"/>
      <c r="FVH34" s="684"/>
      <c r="FVI34" s="684"/>
      <c r="FVJ34" s="684"/>
      <c r="FVK34" s="684"/>
      <c r="FVL34" s="684"/>
      <c r="FVM34" s="684"/>
      <c r="FVN34" s="684"/>
      <c r="FVO34" s="684"/>
      <c r="FVP34" s="684"/>
      <c r="FVQ34" s="684"/>
      <c r="FVR34" s="684"/>
      <c r="FVS34" s="684"/>
      <c r="FVT34" s="684"/>
      <c r="FVU34" s="684"/>
      <c r="FVV34" s="684"/>
      <c r="FVW34" s="684"/>
      <c r="FVX34" s="684"/>
      <c r="FVY34" s="684"/>
      <c r="FVZ34" s="684"/>
      <c r="FWA34" s="684"/>
      <c r="FWB34" s="684"/>
      <c r="FWC34" s="684"/>
      <c r="FWD34" s="684"/>
      <c r="FWE34" s="684"/>
      <c r="FWF34" s="684"/>
      <c r="FWG34" s="684"/>
      <c r="FWH34" s="684"/>
      <c r="FWI34" s="684"/>
      <c r="FWJ34" s="684"/>
      <c r="FWK34" s="684"/>
      <c r="FWL34" s="684"/>
      <c r="FWM34" s="684"/>
      <c r="FWN34" s="684"/>
      <c r="FWO34" s="684"/>
      <c r="FWP34" s="684"/>
      <c r="FWQ34" s="684"/>
      <c r="FWR34" s="684"/>
      <c r="FWS34" s="684"/>
      <c r="FWT34" s="684"/>
      <c r="FWU34" s="684"/>
      <c r="FWV34" s="684"/>
      <c r="FWW34" s="684"/>
      <c r="FWX34" s="684"/>
      <c r="FWY34" s="684"/>
      <c r="FWZ34" s="684"/>
      <c r="FXA34" s="684"/>
      <c r="FXB34" s="684"/>
      <c r="FXC34" s="684"/>
      <c r="FXD34" s="684"/>
      <c r="FXE34" s="684"/>
      <c r="FXF34" s="684"/>
      <c r="FXG34" s="684"/>
      <c r="FXH34" s="684"/>
      <c r="FXI34" s="684"/>
      <c r="FXJ34" s="684"/>
      <c r="FXK34" s="684"/>
      <c r="FXL34" s="684"/>
      <c r="FXM34" s="684"/>
      <c r="FXN34" s="684"/>
      <c r="FXO34" s="684"/>
      <c r="FXP34" s="684"/>
      <c r="FXQ34" s="684"/>
      <c r="FXR34" s="684"/>
      <c r="FXS34" s="684"/>
      <c r="FXT34" s="684"/>
      <c r="FXU34" s="684"/>
      <c r="FXV34" s="684"/>
      <c r="FXW34" s="684"/>
      <c r="FXX34" s="684"/>
      <c r="FXY34" s="684"/>
      <c r="FXZ34" s="684"/>
      <c r="FYA34" s="684"/>
      <c r="FYB34" s="684"/>
      <c r="FYC34" s="684"/>
      <c r="FYD34" s="684"/>
      <c r="FYE34" s="684"/>
      <c r="FYF34" s="684"/>
      <c r="FYG34" s="684"/>
      <c r="FYH34" s="684"/>
      <c r="FYI34" s="684"/>
      <c r="FYJ34" s="684"/>
      <c r="FYK34" s="684"/>
      <c r="FYL34" s="684"/>
      <c r="FYM34" s="684"/>
      <c r="FYN34" s="684"/>
      <c r="FYO34" s="684"/>
      <c r="FYP34" s="684"/>
      <c r="FYQ34" s="684"/>
      <c r="FYR34" s="684"/>
      <c r="FYS34" s="684"/>
      <c r="FYT34" s="684"/>
      <c r="FYU34" s="684"/>
      <c r="FYV34" s="684"/>
      <c r="FYW34" s="684"/>
      <c r="FYX34" s="684"/>
      <c r="FYY34" s="684"/>
      <c r="FYZ34" s="684"/>
      <c r="FZA34" s="684"/>
      <c r="FZB34" s="684"/>
      <c r="FZC34" s="684"/>
      <c r="FZD34" s="684"/>
      <c r="FZE34" s="684"/>
      <c r="FZF34" s="684"/>
      <c r="FZG34" s="684"/>
      <c r="FZH34" s="684"/>
      <c r="FZI34" s="684"/>
      <c r="FZJ34" s="684"/>
      <c r="FZK34" s="684"/>
      <c r="FZL34" s="684"/>
      <c r="FZM34" s="684"/>
      <c r="FZN34" s="684"/>
      <c r="FZO34" s="684"/>
      <c r="FZP34" s="684"/>
      <c r="FZQ34" s="684"/>
      <c r="FZR34" s="684"/>
      <c r="FZS34" s="684"/>
      <c r="FZT34" s="684"/>
      <c r="FZU34" s="684"/>
      <c r="FZV34" s="684"/>
      <c r="FZW34" s="684"/>
      <c r="FZX34" s="684"/>
      <c r="FZY34" s="684"/>
      <c r="FZZ34" s="684"/>
      <c r="GAA34" s="684"/>
      <c r="GAB34" s="684"/>
      <c r="GAC34" s="684"/>
      <c r="GAD34" s="684"/>
      <c r="GAE34" s="684"/>
      <c r="GAF34" s="684"/>
      <c r="GAG34" s="684"/>
      <c r="GAH34" s="684"/>
      <c r="GAI34" s="684"/>
      <c r="GAJ34" s="684"/>
      <c r="GAK34" s="684"/>
      <c r="GAL34" s="684"/>
      <c r="GAM34" s="684"/>
      <c r="GAN34" s="684"/>
      <c r="GAO34" s="684"/>
      <c r="GAP34" s="684"/>
      <c r="GAQ34" s="684"/>
      <c r="GAR34" s="684"/>
      <c r="GAS34" s="684"/>
      <c r="GAT34" s="684"/>
      <c r="GAU34" s="684"/>
      <c r="GAV34" s="684"/>
      <c r="GAW34" s="684"/>
      <c r="GAX34" s="684"/>
      <c r="GAY34" s="684"/>
      <c r="GAZ34" s="684"/>
      <c r="GBA34" s="684"/>
      <c r="GBB34" s="684"/>
      <c r="GBC34" s="684"/>
      <c r="GBD34" s="684"/>
      <c r="GBE34" s="684"/>
      <c r="GBF34" s="684"/>
      <c r="GBG34" s="684"/>
      <c r="GBH34" s="684"/>
      <c r="GBI34" s="684"/>
      <c r="GBJ34" s="684"/>
      <c r="GBK34" s="684"/>
      <c r="GBL34" s="684"/>
      <c r="GBM34" s="684"/>
      <c r="GBN34" s="684"/>
      <c r="GBO34" s="684"/>
      <c r="GBP34" s="684"/>
      <c r="GBQ34" s="684"/>
      <c r="GBR34" s="684"/>
      <c r="GBS34" s="684"/>
      <c r="GBT34" s="684"/>
      <c r="GBU34" s="684"/>
      <c r="GBV34" s="684"/>
      <c r="GBW34" s="684"/>
      <c r="GBX34" s="684"/>
      <c r="GBY34" s="684"/>
      <c r="GBZ34" s="684"/>
      <c r="GCA34" s="684"/>
      <c r="GCB34" s="684"/>
      <c r="GCC34" s="684"/>
      <c r="GCD34" s="684"/>
      <c r="GCE34" s="684"/>
      <c r="GCF34" s="684"/>
      <c r="GCG34" s="684"/>
      <c r="GCH34" s="684"/>
      <c r="GCI34" s="684"/>
      <c r="GCJ34" s="684"/>
      <c r="GCK34" s="684"/>
      <c r="GCL34" s="684"/>
      <c r="GCM34" s="684"/>
      <c r="GCN34" s="684"/>
      <c r="GCO34" s="684"/>
      <c r="GCP34" s="684"/>
      <c r="GCQ34" s="684"/>
      <c r="GCR34" s="684"/>
      <c r="GCS34" s="684"/>
      <c r="GCT34" s="684"/>
      <c r="GCU34" s="684"/>
      <c r="GCV34" s="684"/>
      <c r="GCW34" s="684"/>
      <c r="GCX34" s="684"/>
      <c r="GCY34" s="684"/>
      <c r="GCZ34" s="684"/>
      <c r="GDA34" s="684"/>
      <c r="GDB34" s="684"/>
      <c r="GDC34" s="684"/>
      <c r="GDD34" s="684"/>
      <c r="GDE34" s="684"/>
      <c r="GDF34" s="684"/>
      <c r="GDG34" s="684"/>
      <c r="GDH34" s="684"/>
      <c r="GDI34" s="684"/>
      <c r="GDJ34" s="684"/>
      <c r="GDK34" s="684"/>
      <c r="GDL34" s="684"/>
      <c r="GDM34" s="684"/>
      <c r="GDN34" s="684"/>
      <c r="GDO34" s="684"/>
      <c r="GDP34" s="684"/>
      <c r="GDQ34" s="684"/>
      <c r="GDR34" s="684"/>
      <c r="GDS34" s="684"/>
      <c r="GDT34" s="684"/>
      <c r="GDU34" s="684"/>
      <c r="GDV34" s="684"/>
      <c r="GDW34" s="684"/>
      <c r="GDX34" s="684"/>
      <c r="GDY34" s="684"/>
      <c r="GDZ34" s="684"/>
      <c r="GEA34" s="684"/>
      <c r="GEB34" s="684"/>
      <c r="GEC34" s="684"/>
      <c r="GED34" s="684"/>
      <c r="GEE34" s="684"/>
      <c r="GEF34" s="684"/>
      <c r="GEG34" s="684"/>
      <c r="GEH34" s="684"/>
      <c r="GEI34" s="684"/>
      <c r="GEJ34" s="684"/>
      <c r="GEK34" s="684"/>
      <c r="GEL34" s="684"/>
      <c r="GEM34" s="684"/>
      <c r="GEN34" s="684"/>
      <c r="GEO34" s="684"/>
      <c r="GEP34" s="684"/>
      <c r="GEQ34" s="684"/>
      <c r="GER34" s="684"/>
      <c r="GES34" s="684"/>
      <c r="GET34" s="684"/>
      <c r="GEU34" s="684"/>
      <c r="GEV34" s="684"/>
      <c r="GEW34" s="684"/>
      <c r="GEX34" s="684"/>
      <c r="GEY34" s="684"/>
      <c r="GEZ34" s="684"/>
      <c r="GFA34" s="684"/>
      <c r="GFB34" s="684"/>
      <c r="GFC34" s="684"/>
      <c r="GFD34" s="684"/>
      <c r="GFE34" s="684"/>
      <c r="GFF34" s="684"/>
      <c r="GFG34" s="684"/>
      <c r="GFH34" s="684"/>
      <c r="GFI34" s="684"/>
      <c r="GFJ34" s="684"/>
      <c r="GFK34" s="684"/>
      <c r="GFL34" s="684"/>
      <c r="GFM34" s="684"/>
      <c r="GFN34" s="684"/>
      <c r="GFO34" s="684"/>
      <c r="GFP34" s="684"/>
      <c r="GFQ34" s="684"/>
      <c r="GFR34" s="684"/>
      <c r="GFS34" s="684"/>
      <c r="GFT34" s="684"/>
      <c r="GFU34" s="684"/>
      <c r="GFV34" s="684"/>
      <c r="GFW34" s="684"/>
      <c r="GFX34" s="684"/>
      <c r="GFY34" s="684"/>
      <c r="GFZ34" s="684"/>
      <c r="GGA34" s="684"/>
      <c r="GGB34" s="684"/>
      <c r="GGC34" s="684"/>
      <c r="GGD34" s="684"/>
      <c r="GGE34" s="684"/>
      <c r="GGF34" s="684"/>
      <c r="GGG34" s="684"/>
      <c r="GGH34" s="684"/>
      <c r="GGI34" s="684"/>
      <c r="GGJ34" s="684"/>
      <c r="GGK34" s="684"/>
      <c r="GGL34" s="684"/>
      <c r="GGM34" s="684"/>
      <c r="GGN34" s="684"/>
      <c r="GGO34" s="684"/>
      <c r="GGP34" s="684"/>
      <c r="GGQ34" s="684"/>
      <c r="GGR34" s="684"/>
      <c r="GGS34" s="684"/>
      <c r="GGT34" s="684"/>
      <c r="GGU34" s="684"/>
      <c r="GGV34" s="684"/>
      <c r="GGW34" s="684"/>
      <c r="GGX34" s="684"/>
      <c r="GGY34" s="684"/>
      <c r="GGZ34" s="684"/>
      <c r="GHA34" s="684"/>
      <c r="GHB34" s="684"/>
      <c r="GHC34" s="684"/>
      <c r="GHD34" s="684"/>
      <c r="GHE34" s="684"/>
      <c r="GHF34" s="684"/>
      <c r="GHG34" s="684"/>
      <c r="GHH34" s="684"/>
      <c r="GHI34" s="684"/>
      <c r="GHJ34" s="684"/>
      <c r="GHK34" s="684"/>
      <c r="GHL34" s="684"/>
      <c r="GHM34" s="684"/>
      <c r="GHN34" s="684"/>
      <c r="GHO34" s="684"/>
      <c r="GHP34" s="684"/>
      <c r="GHQ34" s="684"/>
      <c r="GHR34" s="684"/>
      <c r="GHS34" s="684"/>
      <c r="GHT34" s="684"/>
      <c r="GHU34" s="684"/>
      <c r="GHV34" s="684"/>
      <c r="GHW34" s="684"/>
      <c r="GHX34" s="684"/>
      <c r="GHY34" s="684"/>
      <c r="GHZ34" s="684"/>
      <c r="GIA34" s="684"/>
      <c r="GIB34" s="684"/>
      <c r="GIC34" s="684"/>
      <c r="GID34" s="684"/>
      <c r="GIE34" s="684"/>
      <c r="GIF34" s="684"/>
      <c r="GIG34" s="684"/>
      <c r="GIH34" s="684"/>
      <c r="GII34" s="684"/>
      <c r="GIJ34" s="684"/>
      <c r="GIK34" s="684"/>
      <c r="GIL34" s="684"/>
      <c r="GIM34" s="684"/>
      <c r="GIN34" s="684"/>
      <c r="GIO34" s="684"/>
      <c r="GIP34" s="684"/>
      <c r="GIQ34" s="684"/>
      <c r="GIR34" s="684"/>
      <c r="GIS34" s="684"/>
      <c r="GIT34" s="684"/>
      <c r="GIU34" s="684"/>
      <c r="GIV34" s="684"/>
      <c r="GIW34" s="684"/>
      <c r="GIX34" s="684"/>
      <c r="GIY34" s="684"/>
      <c r="GIZ34" s="684"/>
      <c r="GJA34" s="684"/>
      <c r="GJB34" s="684"/>
      <c r="GJC34" s="684"/>
      <c r="GJD34" s="684"/>
      <c r="GJE34" s="684"/>
      <c r="GJF34" s="684"/>
      <c r="GJG34" s="684"/>
      <c r="GJH34" s="684"/>
      <c r="GJI34" s="684"/>
      <c r="GJJ34" s="684"/>
      <c r="GJK34" s="684"/>
      <c r="GJL34" s="684"/>
      <c r="GJM34" s="684"/>
      <c r="GJN34" s="684"/>
      <c r="GJO34" s="684"/>
      <c r="GJP34" s="684"/>
      <c r="GJQ34" s="684"/>
      <c r="GJR34" s="684"/>
      <c r="GJS34" s="684"/>
      <c r="GJT34" s="684"/>
      <c r="GJU34" s="684"/>
      <c r="GJV34" s="684"/>
      <c r="GJW34" s="684"/>
      <c r="GJX34" s="684"/>
      <c r="GJY34" s="684"/>
      <c r="GJZ34" s="684"/>
      <c r="GKA34" s="684"/>
      <c r="GKB34" s="684"/>
      <c r="GKC34" s="684"/>
      <c r="GKD34" s="684"/>
      <c r="GKE34" s="684"/>
      <c r="GKF34" s="684"/>
      <c r="GKG34" s="684"/>
      <c r="GKH34" s="684"/>
      <c r="GKI34" s="684"/>
      <c r="GKJ34" s="684"/>
      <c r="GKK34" s="684"/>
      <c r="GKL34" s="684"/>
      <c r="GKM34" s="684"/>
      <c r="GKN34" s="684"/>
      <c r="GKO34" s="684"/>
      <c r="GKP34" s="684"/>
      <c r="GKQ34" s="684"/>
      <c r="GKR34" s="684"/>
      <c r="GKS34" s="684"/>
      <c r="GKT34" s="684"/>
      <c r="GKU34" s="684"/>
      <c r="GKV34" s="684"/>
      <c r="GKW34" s="684"/>
      <c r="GKX34" s="684"/>
      <c r="GKY34" s="684"/>
      <c r="GKZ34" s="684"/>
      <c r="GLA34" s="684"/>
      <c r="GLB34" s="684"/>
      <c r="GLC34" s="684"/>
      <c r="GLD34" s="684"/>
      <c r="GLE34" s="684"/>
      <c r="GLF34" s="684"/>
      <c r="GLG34" s="684"/>
      <c r="GLH34" s="684"/>
      <c r="GLI34" s="684"/>
      <c r="GLJ34" s="684"/>
      <c r="GLK34" s="684"/>
      <c r="GLL34" s="684"/>
      <c r="GLM34" s="684"/>
      <c r="GLN34" s="684"/>
      <c r="GLO34" s="684"/>
      <c r="GLP34" s="684"/>
      <c r="GLQ34" s="684"/>
      <c r="GLR34" s="684"/>
      <c r="GLS34" s="684"/>
      <c r="GLT34" s="684"/>
      <c r="GLU34" s="684"/>
      <c r="GLV34" s="684"/>
      <c r="GLW34" s="684"/>
      <c r="GLX34" s="684"/>
      <c r="GLY34" s="684"/>
      <c r="GLZ34" s="684"/>
      <c r="GMA34" s="684"/>
      <c r="GMB34" s="684"/>
      <c r="GMC34" s="684"/>
      <c r="GMD34" s="684"/>
      <c r="GME34" s="684"/>
      <c r="GMF34" s="684"/>
      <c r="GMG34" s="684"/>
      <c r="GMH34" s="684"/>
      <c r="GMI34" s="684"/>
      <c r="GMJ34" s="684"/>
      <c r="GMK34" s="684"/>
      <c r="GML34" s="684"/>
      <c r="GMM34" s="684"/>
      <c r="GMN34" s="684"/>
      <c r="GMO34" s="684"/>
      <c r="GMP34" s="684"/>
      <c r="GMQ34" s="684"/>
      <c r="GMR34" s="684"/>
      <c r="GMS34" s="684"/>
      <c r="GMT34" s="684"/>
      <c r="GMU34" s="684"/>
      <c r="GMV34" s="684"/>
      <c r="GMW34" s="684"/>
      <c r="GMX34" s="684"/>
      <c r="GMY34" s="684"/>
      <c r="GMZ34" s="684"/>
      <c r="GNA34" s="684"/>
      <c r="GNB34" s="684"/>
      <c r="GNC34" s="684"/>
      <c r="GND34" s="684"/>
      <c r="GNE34" s="684"/>
      <c r="GNF34" s="684"/>
      <c r="GNG34" s="684"/>
      <c r="GNH34" s="684"/>
      <c r="GNI34" s="684"/>
      <c r="GNJ34" s="684"/>
      <c r="GNK34" s="684"/>
      <c r="GNL34" s="684"/>
      <c r="GNM34" s="684"/>
      <c r="GNN34" s="684"/>
      <c r="GNO34" s="684"/>
      <c r="GNP34" s="684"/>
      <c r="GNQ34" s="684"/>
      <c r="GNR34" s="684"/>
      <c r="GNS34" s="684"/>
      <c r="GNT34" s="684"/>
      <c r="GNU34" s="684"/>
      <c r="GNV34" s="684"/>
      <c r="GNW34" s="684"/>
      <c r="GNX34" s="684"/>
      <c r="GNY34" s="684"/>
      <c r="GNZ34" s="684"/>
      <c r="GOA34" s="684"/>
      <c r="GOB34" s="684"/>
      <c r="GOC34" s="684"/>
      <c r="GOD34" s="684"/>
      <c r="GOE34" s="684"/>
      <c r="GOF34" s="684"/>
      <c r="GOG34" s="684"/>
      <c r="GOH34" s="684"/>
      <c r="GOI34" s="684"/>
      <c r="GOJ34" s="684"/>
      <c r="GOK34" s="684"/>
      <c r="GOL34" s="684"/>
      <c r="GOM34" s="684"/>
      <c r="GON34" s="684"/>
      <c r="GOO34" s="684"/>
      <c r="GOP34" s="684"/>
      <c r="GOQ34" s="684"/>
      <c r="GOR34" s="684"/>
      <c r="GOS34" s="684"/>
      <c r="GOT34" s="684"/>
      <c r="GOU34" s="684"/>
      <c r="GOV34" s="684"/>
      <c r="GOW34" s="684"/>
      <c r="GOX34" s="684"/>
      <c r="GOY34" s="684"/>
      <c r="GOZ34" s="684"/>
      <c r="GPA34" s="684"/>
      <c r="GPB34" s="684"/>
      <c r="GPC34" s="684"/>
      <c r="GPD34" s="684"/>
      <c r="GPE34" s="684"/>
      <c r="GPF34" s="684"/>
      <c r="GPG34" s="684"/>
      <c r="GPH34" s="684"/>
      <c r="GPI34" s="684"/>
      <c r="GPJ34" s="684"/>
      <c r="GPK34" s="684"/>
      <c r="GPL34" s="684"/>
      <c r="GPM34" s="684"/>
      <c r="GPN34" s="684"/>
      <c r="GPO34" s="684"/>
      <c r="GPP34" s="684"/>
      <c r="GPQ34" s="684"/>
      <c r="GPR34" s="684"/>
      <c r="GPS34" s="684"/>
      <c r="GPT34" s="684"/>
      <c r="GPU34" s="684"/>
      <c r="GPV34" s="684"/>
      <c r="GPW34" s="684"/>
      <c r="GPX34" s="684"/>
      <c r="GPY34" s="684"/>
      <c r="GPZ34" s="684"/>
      <c r="GQA34" s="684"/>
      <c r="GQB34" s="684"/>
      <c r="GQC34" s="684"/>
      <c r="GQD34" s="684"/>
      <c r="GQE34" s="684"/>
      <c r="GQF34" s="684"/>
      <c r="GQG34" s="684"/>
      <c r="GQH34" s="684"/>
      <c r="GQI34" s="684"/>
      <c r="GQJ34" s="684"/>
      <c r="GQK34" s="684"/>
      <c r="GQL34" s="684"/>
      <c r="GQM34" s="684"/>
      <c r="GQN34" s="684"/>
      <c r="GQO34" s="684"/>
      <c r="GQP34" s="684"/>
      <c r="GQQ34" s="684"/>
      <c r="GQR34" s="684"/>
      <c r="GQS34" s="684"/>
      <c r="GQT34" s="684"/>
      <c r="GQU34" s="684"/>
      <c r="GQV34" s="684"/>
      <c r="GQW34" s="684"/>
      <c r="GQX34" s="684"/>
      <c r="GQY34" s="684"/>
      <c r="GQZ34" s="684"/>
      <c r="GRA34" s="684"/>
      <c r="GRB34" s="684"/>
      <c r="GRC34" s="684"/>
      <c r="GRD34" s="684"/>
      <c r="GRE34" s="684"/>
      <c r="GRF34" s="684"/>
      <c r="GRG34" s="684"/>
      <c r="GRH34" s="684"/>
      <c r="GRI34" s="684"/>
      <c r="GRJ34" s="684"/>
      <c r="GRK34" s="684"/>
      <c r="GRL34" s="684"/>
      <c r="GRM34" s="684"/>
      <c r="GRN34" s="684"/>
      <c r="GRO34" s="684"/>
      <c r="GRP34" s="684"/>
      <c r="GRQ34" s="684"/>
      <c r="GRR34" s="684"/>
      <c r="GRS34" s="684"/>
      <c r="GRT34" s="684"/>
      <c r="GRU34" s="684"/>
      <c r="GRV34" s="684"/>
      <c r="GRW34" s="684"/>
      <c r="GRX34" s="684"/>
      <c r="GRY34" s="684"/>
      <c r="GRZ34" s="684"/>
      <c r="GSA34" s="684"/>
      <c r="GSB34" s="684"/>
      <c r="GSC34" s="684"/>
      <c r="GSD34" s="684"/>
      <c r="GSE34" s="684"/>
      <c r="GSF34" s="684"/>
      <c r="GSG34" s="684"/>
      <c r="GSH34" s="684"/>
      <c r="GSI34" s="684"/>
      <c r="GSJ34" s="684"/>
      <c r="GSK34" s="684"/>
      <c r="GSL34" s="684"/>
      <c r="GSM34" s="684"/>
      <c r="GSN34" s="684"/>
      <c r="GSO34" s="684"/>
      <c r="GSP34" s="684"/>
      <c r="GSQ34" s="684"/>
      <c r="GSR34" s="684"/>
      <c r="GSS34" s="684"/>
      <c r="GST34" s="684"/>
      <c r="GSU34" s="684"/>
      <c r="GSV34" s="684"/>
      <c r="GSW34" s="684"/>
      <c r="GSX34" s="684"/>
      <c r="GSY34" s="684"/>
      <c r="GSZ34" s="684"/>
      <c r="GTA34" s="684"/>
      <c r="GTB34" s="684"/>
      <c r="GTC34" s="684"/>
      <c r="GTD34" s="684"/>
      <c r="GTE34" s="684"/>
      <c r="GTF34" s="684"/>
      <c r="GTG34" s="684"/>
      <c r="GTH34" s="684"/>
      <c r="GTI34" s="684"/>
      <c r="GTJ34" s="684"/>
      <c r="GTK34" s="684"/>
      <c r="GTL34" s="684"/>
      <c r="GTM34" s="684"/>
      <c r="GTN34" s="684"/>
      <c r="GTO34" s="684"/>
      <c r="GTP34" s="684"/>
      <c r="GTQ34" s="684"/>
      <c r="GTR34" s="684"/>
      <c r="GTS34" s="684"/>
      <c r="GTT34" s="684"/>
      <c r="GTU34" s="684"/>
      <c r="GTV34" s="684"/>
      <c r="GTW34" s="684"/>
      <c r="GTX34" s="684"/>
      <c r="GTY34" s="684"/>
      <c r="GTZ34" s="684"/>
      <c r="GUA34" s="684"/>
      <c r="GUB34" s="684"/>
      <c r="GUC34" s="684"/>
      <c r="GUD34" s="684"/>
      <c r="GUE34" s="684"/>
      <c r="GUF34" s="684"/>
      <c r="GUG34" s="684"/>
      <c r="GUH34" s="684"/>
      <c r="GUI34" s="684"/>
      <c r="GUJ34" s="684"/>
      <c r="GUK34" s="684"/>
      <c r="GUL34" s="684"/>
      <c r="GUM34" s="684"/>
      <c r="GUN34" s="684"/>
      <c r="GUO34" s="684"/>
      <c r="GUP34" s="684"/>
      <c r="GUQ34" s="684"/>
      <c r="GUR34" s="684"/>
      <c r="GUS34" s="684"/>
      <c r="GUT34" s="684"/>
      <c r="GUU34" s="684"/>
      <c r="GUV34" s="684"/>
      <c r="GUW34" s="684"/>
      <c r="GUX34" s="684"/>
      <c r="GUY34" s="684"/>
      <c r="GUZ34" s="684"/>
      <c r="GVA34" s="684"/>
      <c r="GVB34" s="684"/>
      <c r="GVC34" s="684"/>
      <c r="GVD34" s="684"/>
      <c r="GVE34" s="684"/>
      <c r="GVF34" s="684"/>
      <c r="GVG34" s="684"/>
      <c r="GVH34" s="684"/>
      <c r="GVI34" s="684"/>
      <c r="GVJ34" s="684"/>
      <c r="GVK34" s="684"/>
      <c r="GVL34" s="684"/>
      <c r="GVM34" s="684"/>
      <c r="GVN34" s="684"/>
      <c r="GVO34" s="684"/>
      <c r="GVP34" s="684"/>
      <c r="GVQ34" s="684"/>
      <c r="GVR34" s="684"/>
      <c r="GVS34" s="684"/>
      <c r="GVT34" s="684"/>
      <c r="GVU34" s="684"/>
      <c r="GVV34" s="684"/>
      <c r="GVW34" s="684"/>
      <c r="GVX34" s="684"/>
      <c r="GVY34" s="684"/>
      <c r="GVZ34" s="684"/>
      <c r="GWA34" s="684"/>
      <c r="GWB34" s="684"/>
      <c r="GWC34" s="684"/>
      <c r="GWD34" s="684"/>
      <c r="GWE34" s="684"/>
      <c r="GWF34" s="684"/>
      <c r="GWG34" s="684"/>
      <c r="GWH34" s="684"/>
      <c r="GWI34" s="684"/>
      <c r="GWJ34" s="684"/>
      <c r="GWK34" s="684"/>
      <c r="GWL34" s="684"/>
      <c r="GWM34" s="684"/>
      <c r="GWN34" s="684"/>
      <c r="GWO34" s="684"/>
      <c r="GWP34" s="684"/>
      <c r="GWQ34" s="684"/>
      <c r="GWR34" s="684"/>
      <c r="GWS34" s="684"/>
      <c r="GWT34" s="684"/>
      <c r="GWU34" s="684"/>
      <c r="GWV34" s="684"/>
      <c r="GWW34" s="684"/>
      <c r="GWX34" s="684"/>
      <c r="GWY34" s="684"/>
      <c r="GWZ34" s="684"/>
      <c r="GXA34" s="684"/>
      <c r="GXB34" s="684"/>
      <c r="GXC34" s="684"/>
      <c r="GXD34" s="684"/>
      <c r="GXE34" s="684"/>
      <c r="GXF34" s="684"/>
      <c r="GXG34" s="684"/>
      <c r="GXH34" s="684"/>
      <c r="GXI34" s="684"/>
      <c r="GXJ34" s="684"/>
      <c r="GXK34" s="684"/>
      <c r="GXL34" s="684"/>
      <c r="GXM34" s="684"/>
      <c r="GXN34" s="684"/>
      <c r="GXO34" s="684"/>
      <c r="GXP34" s="684"/>
      <c r="GXQ34" s="684"/>
      <c r="GXR34" s="684"/>
      <c r="GXS34" s="684"/>
      <c r="GXT34" s="684"/>
      <c r="GXU34" s="684"/>
      <c r="GXV34" s="684"/>
      <c r="GXW34" s="684"/>
      <c r="GXX34" s="684"/>
      <c r="GXY34" s="684"/>
      <c r="GXZ34" s="684"/>
      <c r="GYA34" s="684"/>
      <c r="GYB34" s="684"/>
      <c r="GYC34" s="684"/>
      <c r="GYD34" s="684"/>
      <c r="GYE34" s="684"/>
      <c r="GYF34" s="684"/>
      <c r="GYG34" s="684"/>
      <c r="GYH34" s="684"/>
      <c r="GYI34" s="684"/>
      <c r="GYJ34" s="684"/>
      <c r="GYK34" s="684"/>
      <c r="GYL34" s="684"/>
      <c r="GYM34" s="684"/>
      <c r="GYN34" s="684"/>
      <c r="GYO34" s="684"/>
      <c r="GYP34" s="684"/>
      <c r="GYQ34" s="684"/>
      <c r="GYR34" s="684"/>
      <c r="GYS34" s="684"/>
      <c r="GYT34" s="684"/>
      <c r="GYU34" s="684"/>
      <c r="GYV34" s="684"/>
      <c r="GYW34" s="684"/>
      <c r="GYX34" s="684"/>
      <c r="GYY34" s="684"/>
      <c r="GYZ34" s="684"/>
      <c r="GZA34" s="684"/>
      <c r="GZB34" s="684"/>
      <c r="GZC34" s="684"/>
      <c r="GZD34" s="684"/>
      <c r="GZE34" s="684"/>
      <c r="GZF34" s="684"/>
      <c r="GZG34" s="684"/>
      <c r="GZH34" s="684"/>
      <c r="GZI34" s="684"/>
      <c r="GZJ34" s="684"/>
      <c r="GZK34" s="684"/>
      <c r="GZL34" s="684"/>
      <c r="GZM34" s="684"/>
      <c r="GZN34" s="684"/>
      <c r="GZO34" s="684"/>
      <c r="GZP34" s="684"/>
      <c r="GZQ34" s="684"/>
      <c r="GZR34" s="684"/>
      <c r="GZS34" s="684"/>
      <c r="GZT34" s="684"/>
      <c r="GZU34" s="684"/>
      <c r="GZV34" s="684"/>
      <c r="GZW34" s="684"/>
      <c r="GZX34" s="684"/>
      <c r="GZY34" s="684"/>
      <c r="GZZ34" s="684"/>
      <c r="HAA34" s="684"/>
      <c r="HAB34" s="684"/>
      <c r="HAC34" s="684"/>
      <c r="HAD34" s="684"/>
      <c r="HAE34" s="684"/>
      <c r="HAF34" s="684"/>
      <c r="HAG34" s="684"/>
      <c r="HAH34" s="684"/>
      <c r="HAI34" s="684"/>
      <c r="HAJ34" s="684"/>
      <c r="HAK34" s="684"/>
      <c r="HAL34" s="684"/>
      <c r="HAM34" s="684"/>
      <c r="HAN34" s="684"/>
      <c r="HAO34" s="684"/>
      <c r="HAP34" s="684"/>
      <c r="HAQ34" s="684"/>
      <c r="HAR34" s="684"/>
      <c r="HAS34" s="684"/>
      <c r="HAT34" s="684"/>
      <c r="HAU34" s="684"/>
      <c r="HAV34" s="684"/>
      <c r="HAW34" s="684"/>
      <c r="HAX34" s="684"/>
      <c r="HAY34" s="684"/>
      <c r="HAZ34" s="684"/>
      <c r="HBA34" s="684"/>
      <c r="HBB34" s="684"/>
      <c r="HBC34" s="684"/>
      <c r="HBD34" s="684"/>
      <c r="HBE34" s="684"/>
      <c r="HBF34" s="684"/>
      <c r="HBG34" s="684"/>
      <c r="HBH34" s="684"/>
      <c r="HBI34" s="684"/>
      <c r="HBJ34" s="684"/>
      <c r="HBK34" s="684"/>
      <c r="HBL34" s="684"/>
      <c r="HBM34" s="684"/>
      <c r="HBN34" s="684"/>
      <c r="HBO34" s="684"/>
      <c r="HBP34" s="684"/>
      <c r="HBQ34" s="684"/>
      <c r="HBR34" s="684"/>
      <c r="HBS34" s="684"/>
      <c r="HBT34" s="684"/>
      <c r="HBU34" s="684"/>
      <c r="HBV34" s="684"/>
      <c r="HBW34" s="684"/>
      <c r="HBX34" s="684"/>
      <c r="HBY34" s="684"/>
      <c r="HBZ34" s="684"/>
      <c r="HCA34" s="684"/>
      <c r="HCB34" s="684"/>
      <c r="HCC34" s="684"/>
      <c r="HCD34" s="684"/>
      <c r="HCE34" s="684"/>
      <c r="HCF34" s="684"/>
      <c r="HCG34" s="684"/>
      <c r="HCH34" s="684"/>
      <c r="HCI34" s="684"/>
      <c r="HCJ34" s="684"/>
      <c r="HCK34" s="684"/>
      <c r="HCL34" s="684"/>
      <c r="HCM34" s="684"/>
      <c r="HCN34" s="684"/>
      <c r="HCO34" s="684"/>
      <c r="HCP34" s="684"/>
      <c r="HCQ34" s="684"/>
      <c r="HCR34" s="684"/>
      <c r="HCS34" s="684"/>
      <c r="HCT34" s="684"/>
      <c r="HCU34" s="684"/>
      <c r="HCV34" s="684"/>
      <c r="HCW34" s="684"/>
      <c r="HCX34" s="684"/>
      <c r="HCY34" s="684"/>
      <c r="HCZ34" s="684"/>
      <c r="HDA34" s="684"/>
      <c r="HDB34" s="684"/>
      <c r="HDC34" s="684"/>
      <c r="HDD34" s="684"/>
      <c r="HDE34" s="684"/>
      <c r="HDF34" s="684"/>
      <c r="HDG34" s="684"/>
      <c r="HDH34" s="684"/>
      <c r="HDI34" s="684"/>
      <c r="HDJ34" s="684"/>
      <c r="HDK34" s="684"/>
      <c r="HDL34" s="684"/>
      <c r="HDM34" s="684"/>
      <c r="HDN34" s="684"/>
      <c r="HDO34" s="684"/>
      <c r="HDP34" s="684"/>
      <c r="HDQ34" s="684"/>
      <c r="HDR34" s="684"/>
      <c r="HDS34" s="684"/>
      <c r="HDT34" s="684"/>
      <c r="HDU34" s="684"/>
      <c r="HDV34" s="684"/>
      <c r="HDW34" s="684"/>
      <c r="HDX34" s="684"/>
      <c r="HDY34" s="684"/>
      <c r="HDZ34" s="684"/>
      <c r="HEA34" s="684"/>
      <c r="HEB34" s="684"/>
      <c r="HEC34" s="684"/>
      <c r="HED34" s="684"/>
      <c r="HEE34" s="684"/>
      <c r="HEF34" s="684"/>
      <c r="HEG34" s="684"/>
      <c r="HEH34" s="684"/>
      <c r="HEI34" s="684"/>
      <c r="HEJ34" s="684"/>
      <c r="HEK34" s="684"/>
      <c r="HEL34" s="684"/>
      <c r="HEM34" s="684"/>
      <c r="HEN34" s="684"/>
      <c r="HEO34" s="684"/>
      <c r="HEP34" s="684"/>
      <c r="HEQ34" s="684"/>
      <c r="HER34" s="684"/>
      <c r="HES34" s="684"/>
      <c r="HET34" s="684"/>
      <c r="HEU34" s="684"/>
      <c r="HEV34" s="684"/>
      <c r="HEW34" s="684"/>
      <c r="HEX34" s="684"/>
      <c r="HEY34" s="684"/>
      <c r="HEZ34" s="684"/>
      <c r="HFA34" s="684"/>
      <c r="HFB34" s="684"/>
      <c r="HFC34" s="684"/>
      <c r="HFD34" s="684"/>
      <c r="HFE34" s="684"/>
      <c r="HFF34" s="684"/>
      <c r="HFG34" s="684"/>
      <c r="HFH34" s="684"/>
      <c r="HFI34" s="684"/>
      <c r="HFJ34" s="684"/>
      <c r="HFK34" s="684"/>
      <c r="HFL34" s="684"/>
      <c r="HFM34" s="684"/>
      <c r="HFN34" s="684"/>
      <c r="HFO34" s="684"/>
      <c r="HFP34" s="684"/>
      <c r="HFQ34" s="684"/>
      <c r="HFR34" s="684"/>
      <c r="HFS34" s="684"/>
      <c r="HFT34" s="684"/>
      <c r="HFU34" s="684"/>
      <c r="HFV34" s="684"/>
      <c r="HFW34" s="684"/>
      <c r="HFX34" s="684"/>
      <c r="HFY34" s="684"/>
      <c r="HFZ34" s="684"/>
      <c r="HGA34" s="684"/>
      <c r="HGB34" s="684"/>
      <c r="HGC34" s="684"/>
      <c r="HGD34" s="684"/>
      <c r="HGE34" s="684"/>
      <c r="HGF34" s="684"/>
      <c r="HGG34" s="684"/>
      <c r="HGH34" s="684"/>
      <c r="HGI34" s="684"/>
      <c r="HGJ34" s="684"/>
      <c r="HGK34" s="684"/>
      <c r="HGL34" s="684"/>
      <c r="HGM34" s="684"/>
      <c r="HGN34" s="684"/>
      <c r="HGO34" s="684"/>
      <c r="HGP34" s="684"/>
      <c r="HGQ34" s="684"/>
      <c r="HGR34" s="684"/>
      <c r="HGS34" s="684"/>
      <c r="HGT34" s="684"/>
      <c r="HGU34" s="684"/>
      <c r="HGV34" s="684"/>
      <c r="HGW34" s="684"/>
      <c r="HGX34" s="684"/>
      <c r="HGY34" s="684"/>
      <c r="HGZ34" s="684"/>
      <c r="HHA34" s="684"/>
      <c r="HHB34" s="684"/>
      <c r="HHC34" s="684"/>
      <c r="HHD34" s="684"/>
      <c r="HHE34" s="684"/>
      <c r="HHF34" s="684"/>
      <c r="HHG34" s="684"/>
      <c r="HHH34" s="684"/>
      <c r="HHI34" s="684"/>
      <c r="HHJ34" s="684"/>
      <c r="HHK34" s="684"/>
      <c r="HHL34" s="684"/>
      <c r="HHM34" s="684"/>
      <c r="HHN34" s="684"/>
      <c r="HHO34" s="684"/>
      <c r="HHP34" s="684"/>
      <c r="HHQ34" s="684"/>
      <c r="HHR34" s="684"/>
      <c r="HHS34" s="684"/>
      <c r="HHT34" s="684"/>
      <c r="HHU34" s="684"/>
      <c r="HHV34" s="684"/>
      <c r="HHW34" s="684"/>
      <c r="HHX34" s="684"/>
      <c r="HHY34" s="684"/>
      <c r="HHZ34" s="684"/>
      <c r="HIA34" s="684"/>
      <c r="HIB34" s="684"/>
      <c r="HIC34" s="684"/>
      <c r="HID34" s="684"/>
      <c r="HIE34" s="684"/>
      <c r="HIF34" s="684"/>
      <c r="HIG34" s="684"/>
      <c r="HIH34" s="684"/>
      <c r="HII34" s="684"/>
      <c r="HIJ34" s="684"/>
      <c r="HIK34" s="684"/>
      <c r="HIL34" s="684"/>
      <c r="HIM34" s="684"/>
      <c r="HIN34" s="684"/>
      <c r="HIO34" s="684"/>
      <c r="HIP34" s="684"/>
      <c r="HIQ34" s="684"/>
      <c r="HIR34" s="684"/>
      <c r="HIS34" s="684"/>
      <c r="HIT34" s="684"/>
      <c r="HIU34" s="684"/>
      <c r="HIV34" s="684"/>
      <c r="HIW34" s="684"/>
      <c r="HIX34" s="684"/>
      <c r="HIY34" s="684"/>
      <c r="HIZ34" s="684"/>
      <c r="HJA34" s="684"/>
      <c r="HJB34" s="684"/>
      <c r="HJC34" s="684"/>
      <c r="HJD34" s="684"/>
      <c r="HJE34" s="684"/>
      <c r="HJF34" s="684"/>
      <c r="HJG34" s="684"/>
      <c r="HJH34" s="684"/>
      <c r="HJI34" s="684"/>
      <c r="HJJ34" s="684"/>
      <c r="HJK34" s="684"/>
      <c r="HJL34" s="684"/>
      <c r="HJM34" s="684"/>
      <c r="HJN34" s="684"/>
      <c r="HJO34" s="684"/>
      <c r="HJP34" s="684"/>
      <c r="HJQ34" s="684"/>
      <c r="HJR34" s="684"/>
      <c r="HJS34" s="684"/>
      <c r="HJT34" s="684"/>
      <c r="HJU34" s="684"/>
      <c r="HJV34" s="684"/>
      <c r="HJW34" s="684"/>
      <c r="HJX34" s="684"/>
      <c r="HJY34" s="684"/>
      <c r="HJZ34" s="684"/>
      <c r="HKA34" s="684"/>
      <c r="HKB34" s="684"/>
      <c r="HKC34" s="684"/>
      <c r="HKD34" s="684"/>
      <c r="HKE34" s="684"/>
      <c r="HKF34" s="684"/>
      <c r="HKG34" s="684"/>
      <c r="HKH34" s="684"/>
      <c r="HKI34" s="684"/>
      <c r="HKJ34" s="684"/>
      <c r="HKK34" s="684"/>
      <c r="HKL34" s="684"/>
      <c r="HKM34" s="684"/>
      <c r="HKN34" s="684"/>
      <c r="HKO34" s="684"/>
      <c r="HKP34" s="684"/>
      <c r="HKQ34" s="684"/>
      <c r="HKR34" s="684"/>
      <c r="HKS34" s="684"/>
      <c r="HKT34" s="684"/>
      <c r="HKU34" s="684"/>
      <c r="HKV34" s="684"/>
      <c r="HKW34" s="684"/>
      <c r="HKX34" s="684"/>
      <c r="HKY34" s="684"/>
      <c r="HKZ34" s="684"/>
      <c r="HLA34" s="684"/>
      <c r="HLB34" s="684"/>
      <c r="HLC34" s="684"/>
      <c r="HLD34" s="684"/>
      <c r="HLE34" s="684"/>
      <c r="HLF34" s="684"/>
      <c r="HLG34" s="684"/>
      <c r="HLH34" s="684"/>
      <c r="HLI34" s="684"/>
      <c r="HLJ34" s="684"/>
      <c r="HLK34" s="684"/>
      <c r="HLL34" s="684"/>
      <c r="HLM34" s="684"/>
      <c r="HLN34" s="684"/>
      <c r="HLO34" s="684"/>
      <c r="HLP34" s="684"/>
      <c r="HLQ34" s="684"/>
      <c r="HLR34" s="684"/>
      <c r="HLS34" s="684"/>
      <c r="HLT34" s="684"/>
      <c r="HLU34" s="684"/>
      <c r="HLV34" s="684"/>
      <c r="HLW34" s="684"/>
      <c r="HLX34" s="684"/>
      <c r="HLY34" s="684"/>
      <c r="HLZ34" s="684"/>
      <c r="HMA34" s="684"/>
      <c r="HMB34" s="684"/>
      <c r="HMC34" s="684"/>
      <c r="HMD34" s="684"/>
      <c r="HME34" s="684"/>
      <c r="HMF34" s="684"/>
      <c r="HMG34" s="684"/>
      <c r="HMH34" s="684"/>
      <c r="HMI34" s="684"/>
      <c r="HMJ34" s="684"/>
      <c r="HMK34" s="684"/>
      <c r="HML34" s="684"/>
      <c r="HMM34" s="684"/>
      <c r="HMN34" s="684"/>
      <c r="HMO34" s="684"/>
      <c r="HMP34" s="684"/>
      <c r="HMQ34" s="684"/>
      <c r="HMR34" s="684"/>
      <c r="HMS34" s="684"/>
      <c r="HMT34" s="684"/>
      <c r="HMU34" s="684"/>
      <c r="HMV34" s="684"/>
      <c r="HMW34" s="684"/>
      <c r="HMX34" s="684"/>
      <c r="HMY34" s="684"/>
      <c r="HMZ34" s="684"/>
      <c r="HNA34" s="684"/>
      <c r="HNB34" s="684"/>
      <c r="HNC34" s="684"/>
      <c r="HND34" s="684"/>
      <c r="HNE34" s="684"/>
      <c r="HNF34" s="684"/>
      <c r="HNG34" s="684"/>
      <c r="HNH34" s="684"/>
      <c r="HNI34" s="684"/>
      <c r="HNJ34" s="684"/>
      <c r="HNK34" s="684"/>
      <c r="HNL34" s="684"/>
      <c r="HNM34" s="684"/>
      <c r="HNN34" s="684"/>
      <c r="HNO34" s="684"/>
      <c r="HNP34" s="684"/>
      <c r="HNQ34" s="684"/>
      <c r="HNR34" s="684"/>
      <c r="HNS34" s="684"/>
      <c r="HNT34" s="684"/>
      <c r="HNU34" s="684"/>
      <c r="HNV34" s="684"/>
      <c r="HNW34" s="684"/>
      <c r="HNX34" s="684"/>
      <c r="HNY34" s="684"/>
      <c r="HNZ34" s="684"/>
      <c r="HOA34" s="684"/>
      <c r="HOB34" s="684"/>
      <c r="HOC34" s="684"/>
      <c r="HOD34" s="684"/>
      <c r="HOE34" s="684"/>
      <c r="HOF34" s="684"/>
      <c r="HOG34" s="684"/>
      <c r="HOH34" s="684"/>
      <c r="HOI34" s="684"/>
      <c r="HOJ34" s="684"/>
      <c r="HOK34" s="684"/>
      <c r="HOL34" s="684"/>
      <c r="HOM34" s="684"/>
      <c r="HON34" s="684"/>
      <c r="HOO34" s="684"/>
      <c r="HOP34" s="684"/>
      <c r="HOQ34" s="684"/>
      <c r="HOR34" s="684"/>
      <c r="HOS34" s="684"/>
      <c r="HOT34" s="684"/>
      <c r="HOU34" s="684"/>
      <c r="HOV34" s="684"/>
      <c r="HOW34" s="684"/>
      <c r="HOX34" s="684"/>
      <c r="HOY34" s="684"/>
      <c r="HOZ34" s="684"/>
      <c r="HPA34" s="684"/>
      <c r="HPB34" s="684"/>
      <c r="HPC34" s="684"/>
      <c r="HPD34" s="684"/>
      <c r="HPE34" s="684"/>
      <c r="HPF34" s="684"/>
      <c r="HPG34" s="684"/>
      <c r="HPH34" s="684"/>
      <c r="HPI34" s="684"/>
      <c r="HPJ34" s="684"/>
      <c r="HPK34" s="684"/>
      <c r="HPL34" s="684"/>
      <c r="HPM34" s="684"/>
      <c r="HPN34" s="684"/>
      <c r="HPO34" s="684"/>
      <c r="HPP34" s="684"/>
      <c r="HPQ34" s="684"/>
      <c r="HPR34" s="684"/>
      <c r="HPS34" s="684"/>
      <c r="HPT34" s="684"/>
      <c r="HPU34" s="684"/>
      <c r="HPV34" s="684"/>
      <c r="HPW34" s="684"/>
      <c r="HPX34" s="684"/>
      <c r="HPY34" s="684"/>
      <c r="HPZ34" s="684"/>
      <c r="HQA34" s="684"/>
      <c r="HQB34" s="684"/>
      <c r="HQC34" s="684"/>
      <c r="HQD34" s="684"/>
      <c r="HQE34" s="684"/>
      <c r="HQF34" s="684"/>
      <c r="HQG34" s="684"/>
      <c r="HQH34" s="684"/>
      <c r="HQI34" s="684"/>
      <c r="HQJ34" s="684"/>
      <c r="HQK34" s="684"/>
      <c r="HQL34" s="684"/>
      <c r="HQM34" s="684"/>
      <c r="HQN34" s="684"/>
      <c r="HQO34" s="684"/>
      <c r="HQP34" s="684"/>
      <c r="HQQ34" s="684"/>
      <c r="HQR34" s="684"/>
      <c r="HQS34" s="684"/>
      <c r="HQT34" s="684"/>
      <c r="HQU34" s="684"/>
      <c r="HQV34" s="684"/>
      <c r="HQW34" s="684"/>
      <c r="HQX34" s="684"/>
      <c r="HQY34" s="684"/>
      <c r="HQZ34" s="684"/>
      <c r="HRA34" s="684"/>
      <c r="HRB34" s="684"/>
      <c r="HRC34" s="684"/>
      <c r="HRD34" s="684"/>
      <c r="HRE34" s="684"/>
      <c r="HRF34" s="684"/>
      <c r="HRG34" s="684"/>
      <c r="HRH34" s="684"/>
      <c r="HRI34" s="684"/>
      <c r="HRJ34" s="684"/>
      <c r="HRK34" s="684"/>
      <c r="HRL34" s="684"/>
      <c r="HRM34" s="684"/>
      <c r="HRN34" s="684"/>
      <c r="HRO34" s="684"/>
      <c r="HRP34" s="684"/>
      <c r="HRQ34" s="684"/>
      <c r="HRR34" s="684"/>
      <c r="HRS34" s="684"/>
      <c r="HRT34" s="684"/>
      <c r="HRU34" s="684"/>
      <c r="HRV34" s="684"/>
      <c r="HRW34" s="684"/>
      <c r="HRX34" s="684"/>
      <c r="HRY34" s="684"/>
      <c r="HRZ34" s="684"/>
      <c r="HSA34" s="684"/>
      <c r="HSB34" s="684"/>
      <c r="HSC34" s="684"/>
      <c r="HSD34" s="684"/>
      <c r="HSE34" s="684"/>
      <c r="HSF34" s="684"/>
      <c r="HSG34" s="684"/>
      <c r="HSH34" s="684"/>
      <c r="HSI34" s="684"/>
      <c r="HSJ34" s="684"/>
      <c r="HSK34" s="684"/>
      <c r="HSL34" s="684"/>
      <c r="HSM34" s="684"/>
      <c r="HSN34" s="684"/>
      <c r="HSO34" s="684"/>
      <c r="HSP34" s="684"/>
      <c r="HSQ34" s="684"/>
      <c r="HSR34" s="684"/>
      <c r="HSS34" s="684"/>
      <c r="HST34" s="684"/>
      <c r="HSU34" s="684"/>
      <c r="HSV34" s="684"/>
      <c r="HSW34" s="684"/>
      <c r="HSX34" s="684"/>
      <c r="HSY34" s="684"/>
      <c r="HSZ34" s="684"/>
      <c r="HTA34" s="684"/>
      <c r="HTB34" s="684"/>
      <c r="HTC34" s="684"/>
      <c r="HTD34" s="684"/>
      <c r="HTE34" s="684"/>
      <c r="HTF34" s="684"/>
      <c r="HTG34" s="684"/>
      <c r="HTH34" s="684"/>
      <c r="HTI34" s="684"/>
      <c r="HTJ34" s="684"/>
      <c r="HTK34" s="684"/>
      <c r="HTL34" s="684"/>
      <c r="HTM34" s="684"/>
      <c r="HTN34" s="684"/>
      <c r="HTO34" s="684"/>
      <c r="HTP34" s="684"/>
      <c r="HTQ34" s="684"/>
      <c r="HTR34" s="684"/>
      <c r="HTS34" s="684"/>
      <c r="HTT34" s="684"/>
      <c r="HTU34" s="684"/>
      <c r="HTV34" s="684"/>
      <c r="HTW34" s="684"/>
      <c r="HTX34" s="684"/>
      <c r="HTY34" s="684"/>
      <c r="HTZ34" s="684"/>
      <c r="HUA34" s="684"/>
      <c r="HUB34" s="684"/>
      <c r="HUC34" s="684"/>
      <c r="HUD34" s="684"/>
      <c r="HUE34" s="684"/>
      <c r="HUF34" s="684"/>
      <c r="HUG34" s="684"/>
      <c r="HUH34" s="684"/>
      <c r="HUI34" s="684"/>
      <c r="HUJ34" s="684"/>
      <c r="HUK34" s="684"/>
      <c r="HUL34" s="684"/>
      <c r="HUM34" s="684"/>
      <c r="HUN34" s="684"/>
      <c r="HUO34" s="684"/>
      <c r="HUP34" s="684"/>
      <c r="HUQ34" s="684"/>
      <c r="HUR34" s="684"/>
      <c r="HUS34" s="684"/>
      <c r="HUT34" s="684"/>
      <c r="HUU34" s="684"/>
      <c r="HUV34" s="684"/>
      <c r="HUW34" s="684"/>
      <c r="HUX34" s="684"/>
      <c r="HUY34" s="684"/>
      <c r="HUZ34" s="684"/>
      <c r="HVA34" s="684"/>
      <c r="HVB34" s="684"/>
      <c r="HVC34" s="684"/>
      <c r="HVD34" s="684"/>
      <c r="HVE34" s="684"/>
      <c r="HVF34" s="684"/>
      <c r="HVG34" s="684"/>
      <c r="HVH34" s="684"/>
      <c r="HVI34" s="684"/>
      <c r="HVJ34" s="684"/>
      <c r="HVK34" s="684"/>
      <c r="HVL34" s="684"/>
      <c r="HVM34" s="684"/>
      <c r="HVN34" s="684"/>
      <c r="HVO34" s="684"/>
      <c r="HVP34" s="684"/>
      <c r="HVQ34" s="684"/>
      <c r="HVR34" s="684"/>
      <c r="HVS34" s="684"/>
      <c r="HVT34" s="684"/>
      <c r="HVU34" s="684"/>
      <c r="HVV34" s="684"/>
      <c r="HVW34" s="684"/>
      <c r="HVX34" s="684"/>
      <c r="HVY34" s="684"/>
      <c r="HVZ34" s="684"/>
      <c r="HWA34" s="684"/>
      <c r="HWB34" s="684"/>
      <c r="HWC34" s="684"/>
      <c r="HWD34" s="684"/>
      <c r="HWE34" s="684"/>
      <c r="HWF34" s="684"/>
      <c r="HWG34" s="684"/>
      <c r="HWH34" s="684"/>
      <c r="HWI34" s="684"/>
      <c r="HWJ34" s="684"/>
      <c r="HWK34" s="684"/>
      <c r="HWL34" s="684"/>
      <c r="HWM34" s="684"/>
      <c r="HWN34" s="684"/>
      <c r="HWO34" s="684"/>
      <c r="HWP34" s="684"/>
      <c r="HWQ34" s="684"/>
      <c r="HWR34" s="684"/>
      <c r="HWS34" s="684"/>
      <c r="HWT34" s="684"/>
      <c r="HWU34" s="684"/>
      <c r="HWV34" s="684"/>
      <c r="HWW34" s="684"/>
      <c r="HWX34" s="684"/>
      <c r="HWY34" s="684"/>
      <c r="HWZ34" s="684"/>
      <c r="HXA34" s="684"/>
      <c r="HXB34" s="684"/>
      <c r="HXC34" s="684"/>
      <c r="HXD34" s="684"/>
      <c r="HXE34" s="684"/>
      <c r="HXF34" s="684"/>
      <c r="HXG34" s="684"/>
      <c r="HXH34" s="684"/>
      <c r="HXI34" s="684"/>
      <c r="HXJ34" s="684"/>
      <c r="HXK34" s="684"/>
      <c r="HXL34" s="684"/>
      <c r="HXM34" s="684"/>
      <c r="HXN34" s="684"/>
      <c r="HXO34" s="684"/>
      <c r="HXP34" s="684"/>
      <c r="HXQ34" s="684"/>
      <c r="HXR34" s="684"/>
      <c r="HXS34" s="684"/>
      <c r="HXT34" s="684"/>
      <c r="HXU34" s="684"/>
      <c r="HXV34" s="684"/>
      <c r="HXW34" s="684"/>
      <c r="HXX34" s="684"/>
      <c r="HXY34" s="684"/>
      <c r="HXZ34" s="684"/>
      <c r="HYA34" s="684"/>
      <c r="HYB34" s="684"/>
      <c r="HYC34" s="684"/>
      <c r="HYD34" s="684"/>
      <c r="HYE34" s="684"/>
      <c r="HYF34" s="684"/>
      <c r="HYG34" s="684"/>
      <c r="HYH34" s="684"/>
      <c r="HYI34" s="684"/>
      <c r="HYJ34" s="684"/>
      <c r="HYK34" s="684"/>
      <c r="HYL34" s="684"/>
      <c r="HYM34" s="684"/>
      <c r="HYN34" s="684"/>
      <c r="HYO34" s="684"/>
      <c r="HYP34" s="684"/>
      <c r="HYQ34" s="684"/>
      <c r="HYR34" s="684"/>
      <c r="HYS34" s="684"/>
      <c r="HYT34" s="684"/>
      <c r="HYU34" s="684"/>
      <c r="HYV34" s="684"/>
      <c r="HYW34" s="684"/>
      <c r="HYX34" s="684"/>
      <c r="HYY34" s="684"/>
      <c r="HYZ34" s="684"/>
      <c r="HZA34" s="684"/>
      <c r="HZB34" s="684"/>
      <c r="HZC34" s="684"/>
      <c r="HZD34" s="684"/>
      <c r="HZE34" s="684"/>
      <c r="HZF34" s="684"/>
      <c r="HZG34" s="684"/>
      <c r="HZH34" s="684"/>
      <c r="HZI34" s="684"/>
      <c r="HZJ34" s="684"/>
      <c r="HZK34" s="684"/>
      <c r="HZL34" s="684"/>
      <c r="HZM34" s="684"/>
      <c r="HZN34" s="684"/>
      <c r="HZO34" s="684"/>
      <c r="HZP34" s="684"/>
      <c r="HZQ34" s="684"/>
      <c r="HZR34" s="684"/>
      <c r="HZS34" s="684"/>
      <c r="HZT34" s="684"/>
      <c r="HZU34" s="684"/>
      <c r="HZV34" s="684"/>
      <c r="HZW34" s="684"/>
      <c r="HZX34" s="684"/>
      <c r="HZY34" s="684"/>
      <c r="HZZ34" s="684"/>
      <c r="IAA34" s="684"/>
      <c r="IAB34" s="684"/>
      <c r="IAC34" s="684"/>
      <c r="IAD34" s="684"/>
      <c r="IAE34" s="684"/>
      <c r="IAF34" s="684"/>
      <c r="IAG34" s="684"/>
      <c r="IAH34" s="684"/>
      <c r="IAI34" s="684"/>
      <c r="IAJ34" s="684"/>
      <c r="IAK34" s="684"/>
      <c r="IAL34" s="684"/>
      <c r="IAM34" s="684"/>
      <c r="IAN34" s="684"/>
      <c r="IAO34" s="684"/>
      <c r="IAP34" s="684"/>
      <c r="IAQ34" s="684"/>
      <c r="IAR34" s="684"/>
      <c r="IAS34" s="684"/>
      <c r="IAT34" s="684"/>
      <c r="IAU34" s="684"/>
      <c r="IAV34" s="684"/>
      <c r="IAW34" s="684"/>
      <c r="IAX34" s="684"/>
      <c r="IAY34" s="684"/>
      <c r="IAZ34" s="684"/>
      <c r="IBA34" s="684"/>
      <c r="IBB34" s="684"/>
      <c r="IBC34" s="684"/>
      <c r="IBD34" s="684"/>
      <c r="IBE34" s="684"/>
      <c r="IBF34" s="684"/>
      <c r="IBG34" s="684"/>
      <c r="IBH34" s="684"/>
      <c r="IBI34" s="684"/>
      <c r="IBJ34" s="684"/>
      <c r="IBK34" s="684"/>
      <c r="IBL34" s="684"/>
      <c r="IBM34" s="684"/>
      <c r="IBN34" s="684"/>
      <c r="IBO34" s="684"/>
      <c r="IBP34" s="684"/>
      <c r="IBQ34" s="684"/>
      <c r="IBR34" s="684"/>
      <c r="IBS34" s="684"/>
      <c r="IBT34" s="684"/>
      <c r="IBU34" s="684"/>
      <c r="IBV34" s="684"/>
      <c r="IBW34" s="684"/>
      <c r="IBX34" s="684"/>
      <c r="IBY34" s="684"/>
      <c r="IBZ34" s="684"/>
      <c r="ICA34" s="684"/>
      <c r="ICB34" s="684"/>
      <c r="ICC34" s="684"/>
      <c r="ICD34" s="684"/>
      <c r="ICE34" s="684"/>
      <c r="ICF34" s="684"/>
      <c r="ICG34" s="684"/>
      <c r="ICH34" s="684"/>
      <c r="ICI34" s="684"/>
      <c r="ICJ34" s="684"/>
      <c r="ICK34" s="684"/>
      <c r="ICL34" s="684"/>
      <c r="ICM34" s="684"/>
      <c r="ICN34" s="684"/>
      <c r="ICO34" s="684"/>
      <c r="ICP34" s="684"/>
      <c r="ICQ34" s="684"/>
      <c r="ICR34" s="684"/>
      <c r="ICS34" s="684"/>
      <c r="ICT34" s="684"/>
      <c r="ICU34" s="684"/>
      <c r="ICV34" s="684"/>
      <c r="ICW34" s="684"/>
      <c r="ICX34" s="684"/>
      <c r="ICY34" s="684"/>
      <c r="ICZ34" s="684"/>
      <c r="IDA34" s="684"/>
      <c r="IDB34" s="684"/>
      <c r="IDC34" s="684"/>
      <c r="IDD34" s="684"/>
      <c r="IDE34" s="684"/>
      <c r="IDF34" s="684"/>
      <c r="IDG34" s="684"/>
      <c r="IDH34" s="684"/>
      <c r="IDI34" s="684"/>
      <c r="IDJ34" s="684"/>
      <c r="IDK34" s="684"/>
      <c r="IDL34" s="684"/>
      <c r="IDM34" s="684"/>
      <c r="IDN34" s="684"/>
      <c r="IDO34" s="684"/>
      <c r="IDP34" s="684"/>
      <c r="IDQ34" s="684"/>
      <c r="IDR34" s="684"/>
      <c r="IDS34" s="684"/>
      <c r="IDT34" s="684"/>
      <c r="IDU34" s="684"/>
      <c r="IDV34" s="684"/>
      <c r="IDW34" s="684"/>
      <c r="IDX34" s="684"/>
      <c r="IDY34" s="684"/>
      <c r="IDZ34" s="684"/>
      <c r="IEA34" s="684"/>
      <c r="IEB34" s="684"/>
      <c r="IEC34" s="684"/>
      <c r="IED34" s="684"/>
      <c r="IEE34" s="684"/>
      <c r="IEF34" s="684"/>
      <c r="IEG34" s="684"/>
      <c r="IEH34" s="684"/>
      <c r="IEI34" s="684"/>
      <c r="IEJ34" s="684"/>
      <c r="IEK34" s="684"/>
      <c r="IEL34" s="684"/>
      <c r="IEM34" s="684"/>
      <c r="IEN34" s="684"/>
      <c r="IEO34" s="684"/>
      <c r="IEP34" s="684"/>
      <c r="IEQ34" s="684"/>
      <c r="IER34" s="684"/>
      <c r="IES34" s="684"/>
      <c r="IET34" s="684"/>
      <c r="IEU34" s="684"/>
      <c r="IEV34" s="684"/>
      <c r="IEW34" s="684"/>
      <c r="IEX34" s="684"/>
      <c r="IEY34" s="684"/>
      <c r="IEZ34" s="684"/>
      <c r="IFA34" s="684"/>
      <c r="IFB34" s="684"/>
      <c r="IFC34" s="684"/>
      <c r="IFD34" s="684"/>
      <c r="IFE34" s="684"/>
      <c r="IFF34" s="684"/>
      <c r="IFG34" s="684"/>
      <c r="IFH34" s="684"/>
      <c r="IFI34" s="684"/>
      <c r="IFJ34" s="684"/>
      <c r="IFK34" s="684"/>
      <c r="IFL34" s="684"/>
      <c r="IFM34" s="684"/>
      <c r="IFN34" s="684"/>
      <c r="IFO34" s="684"/>
      <c r="IFP34" s="684"/>
      <c r="IFQ34" s="684"/>
      <c r="IFR34" s="684"/>
      <c r="IFS34" s="684"/>
      <c r="IFT34" s="684"/>
      <c r="IFU34" s="684"/>
      <c r="IFV34" s="684"/>
      <c r="IFW34" s="684"/>
      <c r="IFX34" s="684"/>
      <c r="IFY34" s="684"/>
      <c r="IFZ34" s="684"/>
      <c r="IGA34" s="684"/>
      <c r="IGB34" s="684"/>
      <c r="IGC34" s="684"/>
      <c r="IGD34" s="684"/>
      <c r="IGE34" s="684"/>
      <c r="IGF34" s="684"/>
      <c r="IGG34" s="684"/>
      <c r="IGH34" s="684"/>
      <c r="IGI34" s="684"/>
      <c r="IGJ34" s="684"/>
      <c r="IGK34" s="684"/>
      <c r="IGL34" s="684"/>
      <c r="IGM34" s="684"/>
      <c r="IGN34" s="684"/>
      <c r="IGO34" s="684"/>
      <c r="IGP34" s="684"/>
      <c r="IGQ34" s="684"/>
      <c r="IGR34" s="684"/>
      <c r="IGS34" s="684"/>
      <c r="IGT34" s="684"/>
      <c r="IGU34" s="684"/>
      <c r="IGV34" s="684"/>
      <c r="IGW34" s="684"/>
      <c r="IGX34" s="684"/>
      <c r="IGY34" s="684"/>
      <c r="IGZ34" s="684"/>
      <c r="IHA34" s="684"/>
      <c r="IHB34" s="684"/>
      <c r="IHC34" s="684"/>
      <c r="IHD34" s="684"/>
      <c r="IHE34" s="684"/>
      <c r="IHF34" s="684"/>
      <c r="IHG34" s="684"/>
      <c r="IHH34" s="684"/>
      <c r="IHI34" s="684"/>
      <c r="IHJ34" s="684"/>
      <c r="IHK34" s="684"/>
      <c r="IHL34" s="684"/>
      <c r="IHM34" s="684"/>
      <c r="IHN34" s="684"/>
      <c r="IHO34" s="684"/>
      <c r="IHP34" s="684"/>
      <c r="IHQ34" s="684"/>
      <c r="IHR34" s="684"/>
      <c r="IHS34" s="684"/>
      <c r="IHT34" s="684"/>
      <c r="IHU34" s="684"/>
      <c r="IHV34" s="684"/>
      <c r="IHW34" s="684"/>
      <c r="IHX34" s="684"/>
      <c r="IHY34" s="684"/>
      <c r="IHZ34" s="684"/>
      <c r="IIA34" s="684"/>
      <c r="IIB34" s="684"/>
      <c r="IIC34" s="684"/>
      <c r="IID34" s="684"/>
      <c r="IIE34" s="684"/>
      <c r="IIF34" s="684"/>
      <c r="IIG34" s="684"/>
      <c r="IIH34" s="684"/>
      <c r="III34" s="684"/>
      <c r="IIJ34" s="684"/>
      <c r="IIK34" s="684"/>
      <c r="IIL34" s="684"/>
      <c r="IIM34" s="684"/>
      <c r="IIN34" s="684"/>
      <c r="IIO34" s="684"/>
      <c r="IIP34" s="684"/>
      <c r="IIQ34" s="684"/>
      <c r="IIR34" s="684"/>
      <c r="IIS34" s="684"/>
      <c r="IIT34" s="684"/>
      <c r="IIU34" s="684"/>
      <c r="IIV34" s="684"/>
      <c r="IIW34" s="684"/>
      <c r="IIX34" s="684"/>
      <c r="IIY34" s="684"/>
      <c r="IIZ34" s="684"/>
      <c r="IJA34" s="684"/>
      <c r="IJB34" s="684"/>
      <c r="IJC34" s="684"/>
      <c r="IJD34" s="684"/>
      <c r="IJE34" s="684"/>
      <c r="IJF34" s="684"/>
      <c r="IJG34" s="684"/>
      <c r="IJH34" s="684"/>
      <c r="IJI34" s="684"/>
      <c r="IJJ34" s="684"/>
      <c r="IJK34" s="684"/>
      <c r="IJL34" s="684"/>
      <c r="IJM34" s="684"/>
      <c r="IJN34" s="684"/>
      <c r="IJO34" s="684"/>
      <c r="IJP34" s="684"/>
      <c r="IJQ34" s="684"/>
      <c r="IJR34" s="684"/>
      <c r="IJS34" s="684"/>
      <c r="IJT34" s="684"/>
      <c r="IJU34" s="684"/>
      <c r="IJV34" s="684"/>
      <c r="IJW34" s="684"/>
      <c r="IJX34" s="684"/>
      <c r="IJY34" s="684"/>
      <c r="IJZ34" s="684"/>
      <c r="IKA34" s="684"/>
      <c r="IKB34" s="684"/>
      <c r="IKC34" s="684"/>
      <c r="IKD34" s="684"/>
      <c r="IKE34" s="684"/>
      <c r="IKF34" s="684"/>
      <c r="IKG34" s="684"/>
      <c r="IKH34" s="684"/>
      <c r="IKI34" s="684"/>
      <c r="IKJ34" s="684"/>
      <c r="IKK34" s="684"/>
      <c r="IKL34" s="684"/>
      <c r="IKM34" s="684"/>
      <c r="IKN34" s="684"/>
      <c r="IKO34" s="684"/>
      <c r="IKP34" s="684"/>
      <c r="IKQ34" s="684"/>
      <c r="IKR34" s="684"/>
      <c r="IKS34" s="684"/>
      <c r="IKT34" s="684"/>
      <c r="IKU34" s="684"/>
      <c r="IKV34" s="684"/>
      <c r="IKW34" s="684"/>
      <c r="IKX34" s="684"/>
      <c r="IKY34" s="684"/>
      <c r="IKZ34" s="684"/>
      <c r="ILA34" s="684"/>
      <c r="ILB34" s="684"/>
      <c r="ILC34" s="684"/>
      <c r="ILD34" s="684"/>
      <c r="ILE34" s="684"/>
      <c r="ILF34" s="684"/>
      <c r="ILG34" s="684"/>
      <c r="ILH34" s="684"/>
      <c r="ILI34" s="684"/>
      <c r="ILJ34" s="684"/>
      <c r="ILK34" s="684"/>
      <c r="ILL34" s="684"/>
      <c r="ILM34" s="684"/>
      <c r="ILN34" s="684"/>
      <c r="ILO34" s="684"/>
      <c r="ILP34" s="684"/>
      <c r="ILQ34" s="684"/>
      <c r="ILR34" s="684"/>
      <c r="ILS34" s="684"/>
      <c r="ILT34" s="684"/>
      <c r="ILU34" s="684"/>
      <c r="ILV34" s="684"/>
      <c r="ILW34" s="684"/>
      <c r="ILX34" s="684"/>
      <c r="ILY34" s="684"/>
      <c r="ILZ34" s="684"/>
      <c r="IMA34" s="684"/>
      <c r="IMB34" s="684"/>
      <c r="IMC34" s="684"/>
      <c r="IMD34" s="684"/>
      <c r="IME34" s="684"/>
      <c r="IMF34" s="684"/>
      <c r="IMG34" s="684"/>
      <c r="IMH34" s="684"/>
      <c r="IMI34" s="684"/>
      <c r="IMJ34" s="684"/>
      <c r="IMK34" s="684"/>
      <c r="IML34" s="684"/>
      <c r="IMM34" s="684"/>
      <c r="IMN34" s="684"/>
      <c r="IMO34" s="684"/>
      <c r="IMP34" s="684"/>
      <c r="IMQ34" s="684"/>
      <c r="IMR34" s="684"/>
      <c r="IMS34" s="684"/>
      <c r="IMT34" s="684"/>
      <c r="IMU34" s="684"/>
      <c r="IMV34" s="684"/>
      <c r="IMW34" s="684"/>
      <c r="IMX34" s="684"/>
      <c r="IMY34" s="684"/>
      <c r="IMZ34" s="684"/>
      <c r="INA34" s="684"/>
      <c r="INB34" s="684"/>
      <c r="INC34" s="684"/>
      <c r="IND34" s="684"/>
      <c r="INE34" s="684"/>
      <c r="INF34" s="684"/>
      <c r="ING34" s="684"/>
      <c r="INH34" s="684"/>
      <c r="INI34" s="684"/>
      <c r="INJ34" s="684"/>
      <c r="INK34" s="684"/>
      <c r="INL34" s="684"/>
      <c r="INM34" s="684"/>
      <c r="INN34" s="684"/>
      <c r="INO34" s="684"/>
      <c r="INP34" s="684"/>
      <c r="INQ34" s="684"/>
      <c r="INR34" s="684"/>
      <c r="INS34" s="684"/>
      <c r="INT34" s="684"/>
      <c r="INU34" s="684"/>
      <c r="INV34" s="684"/>
      <c r="INW34" s="684"/>
      <c r="INX34" s="684"/>
      <c r="INY34" s="684"/>
      <c r="INZ34" s="684"/>
      <c r="IOA34" s="684"/>
      <c r="IOB34" s="684"/>
      <c r="IOC34" s="684"/>
      <c r="IOD34" s="684"/>
      <c r="IOE34" s="684"/>
      <c r="IOF34" s="684"/>
      <c r="IOG34" s="684"/>
      <c r="IOH34" s="684"/>
      <c r="IOI34" s="684"/>
      <c r="IOJ34" s="684"/>
      <c r="IOK34" s="684"/>
      <c r="IOL34" s="684"/>
      <c r="IOM34" s="684"/>
      <c r="ION34" s="684"/>
      <c r="IOO34" s="684"/>
      <c r="IOP34" s="684"/>
      <c r="IOQ34" s="684"/>
      <c r="IOR34" s="684"/>
      <c r="IOS34" s="684"/>
      <c r="IOT34" s="684"/>
      <c r="IOU34" s="684"/>
      <c r="IOV34" s="684"/>
      <c r="IOW34" s="684"/>
      <c r="IOX34" s="684"/>
      <c r="IOY34" s="684"/>
      <c r="IOZ34" s="684"/>
      <c r="IPA34" s="684"/>
      <c r="IPB34" s="684"/>
      <c r="IPC34" s="684"/>
      <c r="IPD34" s="684"/>
      <c r="IPE34" s="684"/>
      <c r="IPF34" s="684"/>
      <c r="IPG34" s="684"/>
      <c r="IPH34" s="684"/>
      <c r="IPI34" s="684"/>
      <c r="IPJ34" s="684"/>
      <c r="IPK34" s="684"/>
      <c r="IPL34" s="684"/>
      <c r="IPM34" s="684"/>
      <c r="IPN34" s="684"/>
      <c r="IPO34" s="684"/>
      <c r="IPP34" s="684"/>
      <c r="IPQ34" s="684"/>
      <c r="IPR34" s="684"/>
      <c r="IPS34" s="684"/>
      <c r="IPT34" s="684"/>
      <c r="IPU34" s="684"/>
      <c r="IPV34" s="684"/>
      <c r="IPW34" s="684"/>
      <c r="IPX34" s="684"/>
      <c r="IPY34" s="684"/>
      <c r="IPZ34" s="684"/>
      <c r="IQA34" s="684"/>
      <c r="IQB34" s="684"/>
      <c r="IQC34" s="684"/>
      <c r="IQD34" s="684"/>
      <c r="IQE34" s="684"/>
      <c r="IQF34" s="684"/>
      <c r="IQG34" s="684"/>
      <c r="IQH34" s="684"/>
      <c r="IQI34" s="684"/>
      <c r="IQJ34" s="684"/>
      <c r="IQK34" s="684"/>
      <c r="IQL34" s="684"/>
      <c r="IQM34" s="684"/>
      <c r="IQN34" s="684"/>
      <c r="IQO34" s="684"/>
      <c r="IQP34" s="684"/>
      <c r="IQQ34" s="684"/>
      <c r="IQR34" s="684"/>
      <c r="IQS34" s="684"/>
      <c r="IQT34" s="684"/>
      <c r="IQU34" s="684"/>
      <c r="IQV34" s="684"/>
      <c r="IQW34" s="684"/>
      <c r="IQX34" s="684"/>
      <c r="IQY34" s="684"/>
      <c r="IQZ34" s="684"/>
      <c r="IRA34" s="684"/>
      <c r="IRB34" s="684"/>
      <c r="IRC34" s="684"/>
      <c r="IRD34" s="684"/>
      <c r="IRE34" s="684"/>
      <c r="IRF34" s="684"/>
      <c r="IRG34" s="684"/>
      <c r="IRH34" s="684"/>
      <c r="IRI34" s="684"/>
      <c r="IRJ34" s="684"/>
      <c r="IRK34" s="684"/>
      <c r="IRL34" s="684"/>
      <c r="IRM34" s="684"/>
      <c r="IRN34" s="684"/>
      <c r="IRO34" s="684"/>
      <c r="IRP34" s="684"/>
      <c r="IRQ34" s="684"/>
      <c r="IRR34" s="684"/>
      <c r="IRS34" s="684"/>
      <c r="IRT34" s="684"/>
      <c r="IRU34" s="684"/>
      <c r="IRV34" s="684"/>
      <c r="IRW34" s="684"/>
      <c r="IRX34" s="684"/>
      <c r="IRY34" s="684"/>
      <c r="IRZ34" s="684"/>
      <c r="ISA34" s="684"/>
      <c r="ISB34" s="684"/>
      <c r="ISC34" s="684"/>
      <c r="ISD34" s="684"/>
      <c r="ISE34" s="684"/>
      <c r="ISF34" s="684"/>
      <c r="ISG34" s="684"/>
      <c r="ISH34" s="684"/>
      <c r="ISI34" s="684"/>
      <c r="ISJ34" s="684"/>
      <c r="ISK34" s="684"/>
      <c r="ISL34" s="684"/>
      <c r="ISM34" s="684"/>
      <c r="ISN34" s="684"/>
      <c r="ISO34" s="684"/>
      <c r="ISP34" s="684"/>
      <c r="ISQ34" s="684"/>
      <c r="ISR34" s="684"/>
      <c r="ISS34" s="684"/>
      <c r="IST34" s="684"/>
      <c r="ISU34" s="684"/>
      <c r="ISV34" s="684"/>
      <c r="ISW34" s="684"/>
      <c r="ISX34" s="684"/>
      <c r="ISY34" s="684"/>
      <c r="ISZ34" s="684"/>
      <c r="ITA34" s="684"/>
      <c r="ITB34" s="684"/>
      <c r="ITC34" s="684"/>
      <c r="ITD34" s="684"/>
      <c r="ITE34" s="684"/>
      <c r="ITF34" s="684"/>
      <c r="ITG34" s="684"/>
      <c r="ITH34" s="684"/>
      <c r="ITI34" s="684"/>
      <c r="ITJ34" s="684"/>
      <c r="ITK34" s="684"/>
      <c r="ITL34" s="684"/>
      <c r="ITM34" s="684"/>
      <c r="ITN34" s="684"/>
      <c r="ITO34" s="684"/>
      <c r="ITP34" s="684"/>
      <c r="ITQ34" s="684"/>
      <c r="ITR34" s="684"/>
      <c r="ITS34" s="684"/>
      <c r="ITT34" s="684"/>
      <c r="ITU34" s="684"/>
      <c r="ITV34" s="684"/>
      <c r="ITW34" s="684"/>
      <c r="ITX34" s="684"/>
      <c r="ITY34" s="684"/>
      <c r="ITZ34" s="684"/>
      <c r="IUA34" s="684"/>
      <c r="IUB34" s="684"/>
      <c r="IUC34" s="684"/>
      <c r="IUD34" s="684"/>
      <c r="IUE34" s="684"/>
      <c r="IUF34" s="684"/>
      <c r="IUG34" s="684"/>
      <c r="IUH34" s="684"/>
      <c r="IUI34" s="684"/>
      <c r="IUJ34" s="684"/>
      <c r="IUK34" s="684"/>
      <c r="IUL34" s="684"/>
      <c r="IUM34" s="684"/>
      <c r="IUN34" s="684"/>
      <c r="IUO34" s="684"/>
      <c r="IUP34" s="684"/>
      <c r="IUQ34" s="684"/>
      <c r="IUR34" s="684"/>
      <c r="IUS34" s="684"/>
      <c r="IUT34" s="684"/>
      <c r="IUU34" s="684"/>
      <c r="IUV34" s="684"/>
      <c r="IUW34" s="684"/>
      <c r="IUX34" s="684"/>
      <c r="IUY34" s="684"/>
      <c r="IUZ34" s="684"/>
      <c r="IVA34" s="684"/>
      <c r="IVB34" s="684"/>
      <c r="IVC34" s="684"/>
      <c r="IVD34" s="684"/>
      <c r="IVE34" s="684"/>
      <c r="IVF34" s="684"/>
      <c r="IVG34" s="684"/>
      <c r="IVH34" s="684"/>
      <c r="IVI34" s="684"/>
      <c r="IVJ34" s="684"/>
      <c r="IVK34" s="684"/>
      <c r="IVL34" s="684"/>
      <c r="IVM34" s="684"/>
      <c r="IVN34" s="684"/>
      <c r="IVO34" s="684"/>
      <c r="IVP34" s="684"/>
      <c r="IVQ34" s="684"/>
      <c r="IVR34" s="684"/>
      <c r="IVS34" s="684"/>
      <c r="IVT34" s="684"/>
      <c r="IVU34" s="684"/>
      <c r="IVV34" s="684"/>
      <c r="IVW34" s="684"/>
      <c r="IVX34" s="684"/>
      <c r="IVY34" s="684"/>
      <c r="IVZ34" s="684"/>
      <c r="IWA34" s="684"/>
      <c r="IWB34" s="684"/>
      <c r="IWC34" s="684"/>
      <c r="IWD34" s="684"/>
      <c r="IWE34" s="684"/>
      <c r="IWF34" s="684"/>
      <c r="IWG34" s="684"/>
      <c r="IWH34" s="684"/>
      <c r="IWI34" s="684"/>
      <c r="IWJ34" s="684"/>
      <c r="IWK34" s="684"/>
      <c r="IWL34" s="684"/>
      <c r="IWM34" s="684"/>
      <c r="IWN34" s="684"/>
      <c r="IWO34" s="684"/>
      <c r="IWP34" s="684"/>
      <c r="IWQ34" s="684"/>
      <c r="IWR34" s="684"/>
      <c r="IWS34" s="684"/>
      <c r="IWT34" s="684"/>
      <c r="IWU34" s="684"/>
      <c r="IWV34" s="684"/>
      <c r="IWW34" s="684"/>
      <c r="IWX34" s="684"/>
      <c r="IWY34" s="684"/>
      <c r="IWZ34" s="684"/>
      <c r="IXA34" s="684"/>
      <c r="IXB34" s="684"/>
      <c r="IXC34" s="684"/>
      <c r="IXD34" s="684"/>
      <c r="IXE34" s="684"/>
      <c r="IXF34" s="684"/>
      <c r="IXG34" s="684"/>
      <c r="IXH34" s="684"/>
      <c r="IXI34" s="684"/>
      <c r="IXJ34" s="684"/>
      <c r="IXK34" s="684"/>
      <c r="IXL34" s="684"/>
      <c r="IXM34" s="684"/>
      <c r="IXN34" s="684"/>
      <c r="IXO34" s="684"/>
      <c r="IXP34" s="684"/>
      <c r="IXQ34" s="684"/>
      <c r="IXR34" s="684"/>
      <c r="IXS34" s="684"/>
      <c r="IXT34" s="684"/>
      <c r="IXU34" s="684"/>
      <c r="IXV34" s="684"/>
      <c r="IXW34" s="684"/>
      <c r="IXX34" s="684"/>
      <c r="IXY34" s="684"/>
      <c r="IXZ34" s="684"/>
      <c r="IYA34" s="684"/>
      <c r="IYB34" s="684"/>
      <c r="IYC34" s="684"/>
      <c r="IYD34" s="684"/>
      <c r="IYE34" s="684"/>
      <c r="IYF34" s="684"/>
      <c r="IYG34" s="684"/>
      <c r="IYH34" s="684"/>
      <c r="IYI34" s="684"/>
      <c r="IYJ34" s="684"/>
      <c r="IYK34" s="684"/>
      <c r="IYL34" s="684"/>
      <c r="IYM34" s="684"/>
      <c r="IYN34" s="684"/>
      <c r="IYO34" s="684"/>
      <c r="IYP34" s="684"/>
      <c r="IYQ34" s="684"/>
      <c r="IYR34" s="684"/>
      <c r="IYS34" s="684"/>
      <c r="IYT34" s="684"/>
      <c r="IYU34" s="684"/>
      <c r="IYV34" s="684"/>
      <c r="IYW34" s="684"/>
      <c r="IYX34" s="684"/>
      <c r="IYY34" s="684"/>
      <c r="IYZ34" s="684"/>
      <c r="IZA34" s="684"/>
      <c r="IZB34" s="684"/>
      <c r="IZC34" s="684"/>
      <c r="IZD34" s="684"/>
      <c r="IZE34" s="684"/>
      <c r="IZF34" s="684"/>
      <c r="IZG34" s="684"/>
      <c r="IZH34" s="684"/>
      <c r="IZI34" s="684"/>
      <c r="IZJ34" s="684"/>
      <c r="IZK34" s="684"/>
      <c r="IZL34" s="684"/>
      <c r="IZM34" s="684"/>
      <c r="IZN34" s="684"/>
      <c r="IZO34" s="684"/>
      <c r="IZP34" s="684"/>
      <c r="IZQ34" s="684"/>
      <c r="IZR34" s="684"/>
      <c r="IZS34" s="684"/>
      <c r="IZT34" s="684"/>
      <c r="IZU34" s="684"/>
      <c r="IZV34" s="684"/>
      <c r="IZW34" s="684"/>
      <c r="IZX34" s="684"/>
      <c r="IZY34" s="684"/>
      <c r="IZZ34" s="684"/>
      <c r="JAA34" s="684"/>
      <c r="JAB34" s="684"/>
      <c r="JAC34" s="684"/>
      <c r="JAD34" s="684"/>
      <c r="JAE34" s="684"/>
      <c r="JAF34" s="684"/>
      <c r="JAG34" s="684"/>
      <c r="JAH34" s="684"/>
      <c r="JAI34" s="684"/>
      <c r="JAJ34" s="684"/>
      <c r="JAK34" s="684"/>
      <c r="JAL34" s="684"/>
      <c r="JAM34" s="684"/>
      <c r="JAN34" s="684"/>
      <c r="JAO34" s="684"/>
      <c r="JAP34" s="684"/>
      <c r="JAQ34" s="684"/>
      <c r="JAR34" s="684"/>
      <c r="JAS34" s="684"/>
      <c r="JAT34" s="684"/>
      <c r="JAU34" s="684"/>
      <c r="JAV34" s="684"/>
      <c r="JAW34" s="684"/>
      <c r="JAX34" s="684"/>
      <c r="JAY34" s="684"/>
      <c r="JAZ34" s="684"/>
      <c r="JBA34" s="684"/>
      <c r="JBB34" s="684"/>
      <c r="JBC34" s="684"/>
      <c r="JBD34" s="684"/>
      <c r="JBE34" s="684"/>
      <c r="JBF34" s="684"/>
      <c r="JBG34" s="684"/>
      <c r="JBH34" s="684"/>
      <c r="JBI34" s="684"/>
      <c r="JBJ34" s="684"/>
      <c r="JBK34" s="684"/>
      <c r="JBL34" s="684"/>
      <c r="JBM34" s="684"/>
      <c r="JBN34" s="684"/>
      <c r="JBO34" s="684"/>
      <c r="JBP34" s="684"/>
      <c r="JBQ34" s="684"/>
      <c r="JBR34" s="684"/>
      <c r="JBS34" s="684"/>
      <c r="JBT34" s="684"/>
      <c r="JBU34" s="684"/>
      <c r="JBV34" s="684"/>
      <c r="JBW34" s="684"/>
      <c r="JBX34" s="684"/>
      <c r="JBY34" s="684"/>
      <c r="JBZ34" s="684"/>
      <c r="JCA34" s="684"/>
      <c r="JCB34" s="684"/>
      <c r="JCC34" s="684"/>
      <c r="JCD34" s="684"/>
      <c r="JCE34" s="684"/>
      <c r="JCF34" s="684"/>
      <c r="JCG34" s="684"/>
      <c r="JCH34" s="684"/>
      <c r="JCI34" s="684"/>
      <c r="JCJ34" s="684"/>
      <c r="JCK34" s="684"/>
      <c r="JCL34" s="684"/>
      <c r="JCM34" s="684"/>
      <c r="JCN34" s="684"/>
      <c r="JCO34" s="684"/>
      <c r="JCP34" s="684"/>
      <c r="JCQ34" s="684"/>
      <c r="JCR34" s="684"/>
      <c r="JCS34" s="684"/>
      <c r="JCT34" s="684"/>
      <c r="JCU34" s="684"/>
      <c r="JCV34" s="684"/>
      <c r="JCW34" s="684"/>
      <c r="JCX34" s="684"/>
      <c r="JCY34" s="684"/>
      <c r="JCZ34" s="684"/>
      <c r="JDA34" s="684"/>
      <c r="JDB34" s="684"/>
      <c r="JDC34" s="684"/>
      <c r="JDD34" s="684"/>
      <c r="JDE34" s="684"/>
      <c r="JDF34" s="684"/>
      <c r="JDG34" s="684"/>
      <c r="JDH34" s="684"/>
      <c r="JDI34" s="684"/>
      <c r="JDJ34" s="684"/>
      <c r="JDK34" s="684"/>
      <c r="JDL34" s="684"/>
      <c r="JDM34" s="684"/>
      <c r="JDN34" s="684"/>
      <c r="JDO34" s="684"/>
      <c r="JDP34" s="684"/>
      <c r="JDQ34" s="684"/>
      <c r="JDR34" s="684"/>
      <c r="JDS34" s="684"/>
      <c r="JDT34" s="684"/>
      <c r="JDU34" s="684"/>
      <c r="JDV34" s="684"/>
      <c r="JDW34" s="684"/>
      <c r="JDX34" s="684"/>
      <c r="JDY34" s="684"/>
      <c r="JDZ34" s="684"/>
      <c r="JEA34" s="684"/>
      <c r="JEB34" s="684"/>
      <c r="JEC34" s="684"/>
      <c r="JED34" s="684"/>
      <c r="JEE34" s="684"/>
      <c r="JEF34" s="684"/>
      <c r="JEG34" s="684"/>
      <c r="JEH34" s="684"/>
      <c r="JEI34" s="684"/>
      <c r="JEJ34" s="684"/>
      <c r="JEK34" s="684"/>
      <c r="JEL34" s="684"/>
      <c r="JEM34" s="684"/>
      <c r="JEN34" s="684"/>
      <c r="JEO34" s="684"/>
      <c r="JEP34" s="684"/>
      <c r="JEQ34" s="684"/>
      <c r="JER34" s="684"/>
      <c r="JES34" s="684"/>
      <c r="JET34" s="684"/>
      <c r="JEU34" s="684"/>
      <c r="JEV34" s="684"/>
      <c r="JEW34" s="684"/>
      <c r="JEX34" s="684"/>
      <c r="JEY34" s="684"/>
      <c r="JEZ34" s="684"/>
      <c r="JFA34" s="684"/>
      <c r="JFB34" s="684"/>
      <c r="JFC34" s="684"/>
      <c r="JFD34" s="684"/>
      <c r="JFE34" s="684"/>
      <c r="JFF34" s="684"/>
      <c r="JFG34" s="684"/>
      <c r="JFH34" s="684"/>
      <c r="JFI34" s="684"/>
      <c r="JFJ34" s="684"/>
      <c r="JFK34" s="684"/>
      <c r="JFL34" s="684"/>
      <c r="JFM34" s="684"/>
      <c r="JFN34" s="684"/>
      <c r="JFO34" s="684"/>
      <c r="JFP34" s="684"/>
      <c r="JFQ34" s="684"/>
      <c r="JFR34" s="684"/>
      <c r="JFS34" s="684"/>
      <c r="JFT34" s="684"/>
      <c r="JFU34" s="684"/>
      <c r="JFV34" s="684"/>
      <c r="JFW34" s="684"/>
      <c r="JFX34" s="684"/>
      <c r="JFY34" s="684"/>
      <c r="JFZ34" s="684"/>
      <c r="JGA34" s="684"/>
      <c r="JGB34" s="684"/>
      <c r="JGC34" s="684"/>
      <c r="JGD34" s="684"/>
      <c r="JGE34" s="684"/>
      <c r="JGF34" s="684"/>
      <c r="JGG34" s="684"/>
      <c r="JGH34" s="684"/>
      <c r="JGI34" s="684"/>
      <c r="JGJ34" s="684"/>
      <c r="JGK34" s="684"/>
      <c r="JGL34" s="684"/>
      <c r="JGM34" s="684"/>
      <c r="JGN34" s="684"/>
      <c r="JGO34" s="684"/>
      <c r="JGP34" s="684"/>
      <c r="JGQ34" s="684"/>
      <c r="JGR34" s="684"/>
      <c r="JGS34" s="684"/>
      <c r="JGT34" s="684"/>
      <c r="JGU34" s="684"/>
      <c r="JGV34" s="684"/>
      <c r="JGW34" s="684"/>
      <c r="JGX34" s="684"/>
      <c r="JGY34" s="684"/>
      <c r="JGZ34" s="684"/>
      <c r="JHA34" s="684"/>
      <c r="JHB34" s="684"/>
      <c r="JHC34" s="684"/>
      <c r="JHD34" s="684"/>
      <c r="JHE34" s="684"/>
      <c r="JHF34" s="684"/>
      <c r="JHG34" s="684"/>
      <c r="JHH34" s="684"/>
      <c r="JHI34" s="684"/>
      <c r="JHJ34" s="684"/>
      <c r="JHK34" s="684"/>
      <c r="JHL34" s="684"/>
      <c r="JHM34" s="684"/>
      <c r="JHN34" s="684"/>
      <c r="JHO34" s="684"/>
      <c r="JHP34" s="684"/>
      <c r="JHQ34" s="684"/>
      <c r="JHR34" s="684"/>
      <c r="JHS34" s="684"/>
      <c r="JHT34" s="684"/>
      <c r="JHU34" s="684"/>
      <c r="JHV34" s="684"/>
      <c r="JHW34" s="684"/>
      <c r="JHX34" s="684"/>
      <c r="JHY34" s="684"/>
      <c r="JHZ34" s="684"/>
      <c r="JIA34" s="684"/>
      <c r="JIB34" s="684"/>
      <c r="JIC34" s="684"/>
      <c r="JID34" s="684"/>
      <c r="JIE34" s="684"/>
      <c r="JIF34" s="684"/>
      <c r="JIG34" s="684"/>
      <c r="JIH34" s="684"/>
      <c r="JII34" s="684"/>
      <c r="JIJ34" s="684"/>
      <c r="JIK34" s="684"/>
      <c r="JIL34" s="684"/>
      <c r="JIM34" s="684"/>
      <c r="JIN34" s="684"/>
      <c r="JIO34" s="684"/>
      <c r="JIP34" s="684"/>
      <c r="JIQ34" s="684"/>
      <c r="JIR34" s="684"/>
      <c r="JIS34" s="684"/>
      <c r="JIT34" s="684"/>
      <c r="JIU34" s="684"/>
      <c r="JIV34" s="684"/>
      <c r="JIW34" s="684"/>
      <c r="JIX34" s="684"/>
      <c r="JIY34" s="684"/>
      <c r="JIZ34" s="684"/>
      <c r="JJA34" s="684"/>
      <c r="JJB34" s="684"/>
      <c r="JJC34" s="684"/>
      <c r="JJD34" s="684"/>
      <c r="JJE34" s="684"/>
      <c r="JJF34" s="684"/>
      <c r="JJG34" s="684"/>
      <c r="JJH34" s="684"/>
      <c r="JJI34" s="684"/>
      <c r="JJJ34" s="684"/>
      <c r="JJK34" s="684"/>
      <c r="JJL34" s="684"/>
      <c r="JJM34" s="684"/>
      <c r="JJN34" s="684"/>
      <c r="JJO34" s="684"/>
      <c r="JJP34" s="684"/>
      <c r="JJQ34" s="684"/>
      <c r="JJR34" s="684"/>
      <c r="JJS34" s="684"/>
      <c r="JJT34" s="684"/>
      <c r="JJU34" s="684"/>
      <c r="JJV34" s="684"/>
      <c r="JJW34" s="684"/>
      <c r="JJX34" s="684"/>
      <c r="JJY34" s="684"/>
      <c r="JJZ34" s="684"/>
      <c r="JKA34" s="684"/>
      <c r="JKB34" s="684"/>
      <c r="JKC34" s="684"/>
      <c r="JKD34" s="684"/>
      <c r="JKE34" s="684"/>
      <c r="JKF34" s="684"/>
      <c r="JKG34" s="684"/>
      <c r="JKH34" s="684"/>
      <c r="JKI34" s="684"/>
      <c r="JKJ34" s="684"/>
      <c r="JKK34" s="684"/>
      <c r="JKL34" s="684"/>
      <c r="JKM34" s="684"/>
      <c r="JKN34" s="684"/>
      <c r="JKO34" s="684"/>
      <c r="JKP34" s="684"/>
      <c r="JKQ34" s="684"/>
      <c r="JKR34" s="684"/>
      <c r="JKS34" s="684"/>
      <c r="JKT34" s="684"/>
      <c r="JKU34" s="684"/>
      <c r="JKV34" s="684"/>
      <c r="JKW34" s="684"/>
      <c r="JKX34" s="684"/>
      <c r="JKY34" s="684"/>
      <c r="JKZ34" s="684"/>
      <c r="JLA34" s="684"/>
      <c r="JLB34" s="684"/>
      <c r="JLC34" s="684"/>
      <c r="JLD34" s="684"/>
      <c r="JLE34" s="684"/>
      <c r="JLF34" s="684"/>
      <c r="JLG34" s="684"/>
      <c r="JLH34" s="684"/>
      <c r="JLI34" s="684"/>
      <c r="JLJ34" s="684"/>
      <c r="JLK34" s="684"/>
      <c r="JLL34" s="684"/>
      <c r="JLM34" s="684"/>
      <c r="JLN34" s="684"/>
      <c r="JLO34" s="684"/>
      <c r="JLP34" s="684"/>
      <c r="JLQ34" s="684"/>
      <c r="JLR34" s="684"/>
      <c r="JLS34" s="684"/>
      <c r="JLT34" s="684"/>
      <c r="JLU34" s="684"/>
      <c r="JLV34" s="684"/>
      <c r="JLW34" s="684"/>
      <c r="JLX34" s="684"/>
      <c r="JLY34" s="684"/>
      <c r="JLZ34" s="684"/>
      <c r="JMA34" s="684"/>
      <c r="JMB34" s="684"/>
      <c r="JMC34" s="684"/>
      <c r="JMD34" s="684"/>
      <c r="JME34" s="684"/>
      <c r="JMF34" s="684"/>
      <c r="JMG34" s="684"/>
      <c r="JMH34" s="684"/>
      <c r="JMI34" s="684"/>
      <c r="JMJ34" s="684"/>
      <c r="JMK34" s="684"/>
      <c r="JML34" s="684"/>
      <c r="JMM34" s="684"/>
      <c r="JMN34" s="684"/>
      <c r="JMO34" s="684"/>
      <c r="JMP34" s="684"/>
      <c r="JMQ34" s="684"/>
      <c r="JMR34" s="684"/>
      <c r="JMS34" s="684"/>
      <c r="JMT34" s="684"/>
      <c r="JMU34" s="684"/>
      <c r="JMV34" s="684"/>
      <c r="JMW34" s="684"/>
      <c r="JMX34" s="684"/>
      <c r="JMY34" s="684"/>
      <c r="JMZ34" s="684"/>
      <c r="JNA34" s="684"/>
      <c r="JNB34" s="684"/>
      <c r="JNC34" s="684"/>
      <c r="JND34" s="684"/>
      <c r="JNE34" s="684"/>
      <c r="JNF34" s="684"/>
      <c r="JNG34" s="684"/>
      <c r="JNH34" s="684"/>
      <c r="JNI34" s="684"/>
      <c r="JNJ34" s="684"/>
      <c r="JNK34" s="684"/>
      <c r="JNL34" s="684"/>
      <c r="JNM34" s="684"/>
      <c r="JNN34" s="684"/>
      <c r="JNO34" s="684"/>
      <c r="JNP34" s="684"/>
      <c r="JNQ34" s="684"/>
      <c r="JNR34" s="684"/>
      <c r="JNS34" s="684"/>
      <c r="JNT34" s="684"/>
      <c r="JNU34" s="684"/>
      <c r="JNV34" s="684"/>
      <c r="JNW34" s="684"/>
      <c r="JNX34" s="684"/>
      <c r="JNY34" s="684"/>
      <c r="JNZ34" s="684"/>
      <c r="JOA34" s="684"/>
      <c r="JOB34" s="684"/>
      <c r="JOC34" s="684"/>
      <c r="JOD34" s="684"/>
      <c r="JOE34" s="684"/>
      <c r="JOF34" s="684"/>
      <c r="JOG34" s="684"/>
      <c r="JOH34" s="684"/>
      <c r="JOI34" s="684"/>
      <c r="JOJ34" s="684"/>
      <c r="JOK34" s="684"/>
      <c r="JOL34" s="684"/>
      <c r="JOM34" s="684"/>
      <c r="JON34" s="684"/>
      <c r="JOO34" s="684"/>
      <c r="JOP34" s="684"/>
      <c r="JOQ34" s="684"/>
      <c r="JOR34" s="684"/>
      <c r="JOS34" s="684"/>
      <c r="JOT34" s="684"/>
      <c r="JOU34" s="684"/>
      <c r="JOV34" s="684"/>
      <c r="JOW34" s="684"/>
      <c r="JOX34" s="684"/>
      <c r="JOY34" s="684"/>
      <c r="JOZ34" s="684"/>
      <c r="JPA34" s="684"/>
      <c r="JPB34" s="684"/>
      <c r="JPC34" s="684"/>
      <c r="JPD34" s="684"/>
      <c r="JPE34" s="684"/>
      <c r="JPF34" s="684"/>
      <c r="JPG34" s="684"/>
      <c r="JPH34" s="684"/>
      <c r="JPI34" s="684"/>
      <c r="JPJ34" s="684"/>
      <c r="JPK34" s="684"/>
      <c r="JPL34" s="684"/>
      <c r="JPM34" s="684"/>
      <c r="JPN34" s="684"/>
      <c r="JPO34" s="684"/>
      <c r="JPP34" s="684"/>
      <c r="JPQ34" s="684"/>
      <c r="JPR34" s="684"/>
      <c r="JPS34" s="684"/>
      <c r="JPT34" s="684"/>
      <c r="JPU34" s="684"/>
      <c r="JPV34" s="684"/>
      <c r="JPW34" s="684"/>
      <c r="JPX34" s="684"/>
      <c r="JPY34" s="684"/>
      <c r="JPZ34" s="684"/>
      <c r="JQA34" s="684"/>
      <c r="JQB34" s="684"/>
      <c r="JQC34" s="684"/>
      <c r="JQD34" s="684"/>
      <c r="JQE34" s="684"/>
      <c r="JQF34" s="684"/>
      <c r="JQG34" s="684"/>
      <c r="JQH34" s="684"/>
      <c r="JQI34" s="684"/>
      <c r="JQJ34" s="684"/>
      <c r="JQK34" s="684"/>
      <c r="JQL34" s="684"/>
      <c r="JQM34" s="684"/>
      <c r="JQN34" s="684"/>
      <c r="JQO34" s="684"/>
      <c r="JQP34" s="684"/>
      <c r="JQQ34" s="684"/>
      <c r="JQR34" s="684"/>
      <c r="JQS34" s="684"/>
      <c r="JQT34" s="684"/>
      <c r="JQU34" s="684"/>
      <c r="JQV34" s="684"/>
      <c r="JQW34" s="684"/>
      <c r="JQX34" s="684"/>
      <c r="JQY34" s="684"/>
      <c r="JQZ34" s="684"/>
      <c r="JRA34" s="684"/>
      <c r="JRB34" s="684"/>
      <c r="JRC34" s="684"/>
      <c r="JRD34" s="684"/>
      <c r="JRE34" s="684"/>
      <c r="JRF34" s="684"/>
      <c r="JRG34" s="684"/>
      <c r="JRH34" s="684"/>
      <c r="JRI34" s="684"/>
      <c r="JRJ34" s="684"/>
      <c r="JRK34" s="684"/>
      <c r="JRL34" s="684"/>
      <c r="JRM34" s="684"/>
      <c r="JRN34" s="684"/>
      <c r="JRO34" s="684"/>
      <c r="JRP34" s="684"/>
      <c r="JRQ34" s="684"/>
      <c r="JRR34" s="684"/>
      <c r="JRS34" s="684"/>
      <c r="JRT34" s="684"/>
      <c r="JRU34" s="684"/>
      <c r="JRV34" s="684"/>
      <c r="JRW34" s="684"/>
      <c r="JRX34" s="684"/>
      <c r="JRY34" s="684"/>
      <c r="JRZ34" s="684"/>
      <c r="JSA34" s="684"/>
      <c r="JSB34" s="684"/>
      <c r="JSC34" s="684"/>
      <c r="JSD34" s="684"/>
      <c r="JSE34" s="684"/>
      <c r="JSF34" s="684"/>
      <c r="JSG34" s="684"/>
      <c r="JSH34" s="684"/>
      <c r="JSI34" s="684"/>
      <c r="JSJ34" s="684"/>
      <c r="JSK34" s="684"/>
      <c r="JSL34" s="684"/>
      <c r="JSM34" s="684"/>
      <c r="JSN34" s="684"/>
      <c r="JSO34" s="684"/>
      <c r="JSP34" s="684"/>
      <c r="JSQ34" s="684"/>
      <c r="JSR34" s="684"/>
      <c r="JSS34" s="684"/>
      <c r="JST34" s="684"/>
      <c r="JSU34" s="684"/>
      <c r="JSV34" s="684"/>
      <c r="JSW34" s="684"/>
      <c r="JSX34" s="684"/>
      <c r="JSY34" s="684"/>
      <c r="JSZ34" s="684"/>
      <c r="JTA34" s="684"/>
      <c r="JTB34" s="684"/>
      <c r="JTC34" s="684"/>
      <c r="JTD34" s="684"/>
      <c r="JTE34" s="684"/>
      <c r="JTF34" s="684"/>
      <c r="JTG34" s="684"/>
      <c r="JTH34" s="684"/>
      <c r="JTI34" s="684"/>
      <c r="JTJ34" s="684"/>
      <c r="JTK34" s="684"/>
      <c r="JTL34" s="684"/>
      <c r="JTM34" s="684"/>
      <c r="JTN34" s="684"/>
      <c r="JTO34" s="684"/>
      <c r="JTP34" s="684"/>
      <c r="JTQ34" s="684"/>
      <c r="JTR34" s="684"/>
      <c r="JTS34" s="684"/>
      <c r="JTT34" s="684"/>
      <c r="JTU34" s="684"/>
      <c r="JTV34" s="684"/>
      <c r="JTW34" s="684"/>
      <c r="JTX34" s="684"/>
      <c r="JTY34" s="684"/>
      <c r="JTZ34" s="684"/>
      <c r="JUA34" s="684"/>
      <c r="JUB34" s="684"/>
      <c r="JUC34" s="684"/>
      <c r="JUD34" s="684"/>
      <c r="JUE34" s="684"/>
      <c r="JUF34" s="684"/>
      <c r="JUG34" s="684"/>
      <c r="JUH34" s="684"/>
      <c r="JUI34" s="684"/>
      <c r="JUJ34" s="684"/>
      <c r="JUK34" s="684"/>
      <c r="JUL34" s="684"/>
      <c r="JUM34" s="684"/>
      <c r="JUN34" s="684"/>
      <c r="JUO34" s="684"/>
      <c r="JUP34" s="684"/>
      <c r="JUQ34" s="684"/>
      <c r="JUR34" s="684"/>
      <c r="JUS34" s="684"/>
      <c r="JUT34" s="684"/>
      <c r="JUU34" s="684"/>
      <c r="JUV34" s="684"/>
      <c r="JUW34" s="684"/>
      <c r="JUX34" s="684"/>
      <c r="JUY34" s="684"/>
      <c r="JUZ34" s="684"/>
      <c r="JVA34" s="684"/>
      <c r="JVB34" s="684"/>
      <c r="JVC34" s="684"/>
      <c r="JVD34" s="684"/>
      <c r="JVE34" s="684"/>
      <c r="JVF34" s="684"/>
      <c r="JVG34" s="684"/>
      <c r="JVH34" s="684"/>
      <c r="JVI34" s="684"/>
      <c r="JVJ34" s="684"/>
      <c r="JVK34" s="684"/>
      <c r="JVL34" s="684"/>
      <c r="JVM34" s="684"/>
      <c r="JVN34" s="684"/>
      <c r="JVO34" s="684"/>
      <c r="JVP34" s="684"/>
      <c r="JVQ34" s="684"/>
      <c r="JVR34" s="684"/>
      <c r="JVS34" s="684"/>
      <c r="JVT34" s="684"/>
      <c r="JVU34" s="684"/>
      <c r="JVV34" s="684"/>
      <c r="JVW34" s="684"/>
      <c r="JVX34" s="684"/>
      <c r="JVY34" s="684"/>
      <c r="JVZ34" s="684"/>
      <c r="JWA34" s="684"/>
      <c r="JWB34" s="684"/>
      <c r="JWC34" s="684"/>
      <c r="JWD34" s="684"/>
      <c r="JWE34" s="684"/>
      <c r="JWF34" s="684"/>
      <c r="JWG34" s="684"/>
      <c r="JWH34" s="684"/>
      <c r="JWI34" s="684"/>
      <c r="JWJ34" s="684"/>
      <c r="JWK34" s="684"/>
      <c r="JWL34" s="684"/>
      <c r="JWM34" s="684"/>
      <c r="JWN34" s="684"/>
      <c r="JWO34" s="684"/>
      <c r="JWP34" s="684"/>
      <c r="JWQ34" s="684"/>
      <c r="JWR34" s="684"/>
      <c r="JWS34" s="684"/>
      <c r="JWT34" s="684"/>
      <c r="JWU34" s="684"/>
      <c r="JWV34" s="684"/>
      <c r="JWW34" s="684"/>
      <c r="JWX34" s="684"/>
      <c r="JWY34" s="684"/>
      <c r="JWZ34" s="684"/>
      <c r="JXA34" s="684"/>
      <c r="JXB34" s="684"/>
      <c r="JXC34" s="684"/>
      <c r="JXD34" s="684"/>
      <c r="JXE34" s="684"/>
      <c r="JXF34" s="684"/>
      <c r="JXG34" s="684"/>
      <c r="JXH34" s="684"/>
      <c r="JXI34" s="684"/>
      <c r="JXJ34" s="684"/>
      <c r="JXK34" s="684"/>
      <c r="JXL34" s="684"/>
      <c r="JXM34" s="684"/>
      <c r="JXN34" s="684"/>
      <c r="JXO34" s="684"/>
      <c r="JXP34" s="684"/>
      <c r="JXQ34" s="684"/>
      <c r="JXR34" s="684"/>
      <c r="JXS34" s="684"/>
      <c r="JXT34" s="684"/>
      <c r="JXU34" s="684"/>
      <c r="JXV34" s="684"/>
      <c r="JXW34" s="684"/>
      <c r="JXX34" s="684"/>
      <c r="JXY34" s="684"/>
      <c r="JXZ34" s="684"/>
      <c r="JYA34" s="684"/>
      <c r="JYB34" s="684"/>
      <c r="JYC34" s="684"/>
      <c r="JYD34" s="684"/>
      <c r="JYE34" s="684"/>
      <c r="JYF34" s="684"/>
      <c r="JYG34" s="684"/>
      <c r="JYH34" s="684"/>
      <c r="JYI34" s="684"/>
      <c r="JYJ34" s="684"/>
      <c r="JYK34" s="684"/>
      <c r="JYL34" s="684"/>
      <c r="JYM34" s="684"/>
      <c r="JYN34" s="684"/>
      <c r="JYO34" s="684"/>
      <c r="JYP34" s="684"/>
      <c r="JYQ34" s="684"/>
      <c r="JYR34" s="684"/>
      <c r="JYS34" s="684"/>
      <c r="JYT34" s="684"/>
      <c r="JYU34" s="684"/>
      <c r="JYV34" s="684"/>
      <c r="JYW34" s="684"/>
      <c r="JYX34" s="684"/>
      <c r="JYY34" s="684"/>
      <c r="JYZ34" s="684"/>
      <c r="JZA34" s="684"/>
      <c r="JZB34" s="684"/>
      <c r="JZC34" s="684"/>
      <c r="JZD34" s="684"/>
      <c r="JZE34" s="684"/>
      <c r="JZF34" s="684"/>
      <c r="JZG34" s="684"/>
      <c r="JZH34" s="684"/>
      <c r="JZI34" s="684"/>
      <c r="JZJ34" s="684"/>
      <c r="JZK34" s="684"/>
      <c r="JZL34" s="684"/>
      <c r="JZM34" s="684"/>
      <c r="JZN34" s="684"/>
      <c r="JZO34" s="684"/>
      <c r="JZP34" s="684"/>
      <c r="JZQ34" s="684"/>
      <c r="JZR34" s="684"/>
      <c r="JZS34" s="684"/>
      <c r="JZT34" s="684"/>
      <c r="JZU34" s="684"/>
      <c r="JZV34" s="684"/>
      <c r="JZW34" s="684"/>
      <c r="JZX34" s="684"/>
      <c r="JZY34" s="684"/>
      <c r="JZZ34" s="684"/>
      <c r="KAA34" s="684"/>
      <c r="KAB34" s="684"/>
      <c r="KAC34" s="684"/>
      <c r="KAD34" s="684"/>
      <c r="KAE34" s="684"/>
      <c r="KAF34" s="684"/>
      <c r="KAG34" s="684"/>
      <c r="KAH34" s="684"/>
      <c r="KAI34" s="684"/>
      <c r="KAJ34" s="684"/>
      <c r="KAK34" s="684"/>
      <c r="KAL34" s="684"/>
      <c r="KAM34" s="684"/>
      <c r="KAN34" s="684"/>
      <c r="KAO34" s="684"/>
      <c r="KAP34" s="684"/>
      <c r="KAQ34" s="684"/>
      <c r="KAR34" s="684"/>
      <c r="KAS34" s="684"/>
      <c r="KAT34" s="684"/>
      <c r="KAU34" s="684"/>
      <c r="KAV34" s="684"/>
      <c r="KAW34" s="684"/>
      <c r="KAX34" s="684"/>
      <c r="KAY34" s="684"/>
      <c r="KAZ34" s="684"/>
      <c r="KBA34" s="684"/>
      <c r="KBB34" s="684"/>
      <c r="KBC34" s="684"/>
      <c r="KBD34" s="684"/>
      <c r="KBE34" s="684"/>
      <c r="KBF34" s="684"/>
      <c r="KBG34" s="684"/>
      <c r="KBH34" s="684"/>
      <c r="KBI34" s="684"/>
      <c r="KBJ34" s="684"/>
      <c r="KBK34" s="684"/>
      <c r="KBL34" s="684"/>
      <c r="KBM34" s="684"/>
      <c r="KBN34" s="684"/>
      <c r="KBO34" s="684"/>
      <c r="KBP34" s="684"/>
      <c r="KBQ34" s="684"/>
      <c r="KBR34" s="684"/>
      <c r="KBS34" s="684"/>
      <c r="KBT34" s="684"/>
      <c r="KBU34" s="684"/>
      <c r="KBV34" s="684"/>
      <c r="KBW34" s="684"/>
      <c r="KBX34" s="684"/>
      <c r="KBY34" s="684"/>
      <c r="KBZ34" s="684"/>
      <c r="KCA34" s="684"/>
      <c r="KCB34" s="684"/>
      <c r="KCC34" s="684"/>
      <c r="KCD34" s="684"/>
      <c r="KCE34" s="684"/>
      <c r="KCF34" s="684"/>
      <c r="KCG34" s="684"/>
      <c r="KCH34" s="684"/>
      <c r="KCI34" s="684"/>
      <c r="KCJ34" s="684"/>
      <c r="KCK34" s="684"/>
      <c r="KCL34" s="684"/>
      <c r="KCM34" s="684"/>
      <c r="KCN34" s="684"/>
      <c r="KCO34" s="684"/>
      <c r="KCP34" s="684"/>
      <c r="KCQ34" s="684"/>
      <c r="KCR34" s="684"/>
      <c r="KCS34" s="684"/>
      <c r="KCT34" s="684"/>
      <c r="KCU34" s="684"/>
      <c r="KCV34" s="684"/>
      <c r="KCW34" s="684"/>
      <c r="KCX34" s="684"/>
      <c r="KCY34" s="684"/>
      <c r="KCZ34" s="684"/>
      <c r="KDA34" s="684"/>
      <c r="KDB34" s="684"/>
      <c r="KDC34" s="684"/>
      <c r="KDD34" s="684"/>
      <c r="KDE34" s="684"/>
      <c r="KDF34" s="684"/>
      <c r="KDG34" s="684"/>
      <c r="KDH34" s="684"/>
      <c r="KDI34" s="684"/>
      <c r="KDJ34" s="684"/>
      <c r="KDK34" s="684"/>
      <c r="KDL34" s="684"/>
      <c r="KDM34" s="684"/>
      <c r="KDN34" s="684"/>
      <c r="KDO34" s="684"/>
      <c r="KDP34" s="684"/>
      <c r="KDQ34" s="684"/>
      <c r="KDR34" s="684"/>
      <c r="KDS34" s="684"/>
      <c r="KDT34" s="684"/>
      <c r="KDU34" s="684"/>
      <c r="KDV34" s="684"/>
      <c r="KDW34" s="684"/>
      <c r="KDX34" s="684"/>
      <c r="KDY34" s="684"/>
      <c r="KDZ34" s="684"/>
      <c r="KEA34" s="684"/>
      <c r="KEB34" s="684"/>
      <c r="KEC34" s="684"/>
      <c r="KED34" s="684"/>
      <c r="KEE34" s="684"/>
      <c r="KEF34" s="684"/>
      <c r="KEG34" s="684"/>
      <c r="KEH34" s="684"/>
      <c r="KEI34" s="684"/>
      <c r="KEJ34" s="684"/>
      <c r="KEK34" s="684"/>
      <c r="KEL34" s="684"/>
      <c r="KEM34" s="684"/>
      <c r="KEN34" s="684"/>
      <c r="KEO34" s="684"/>
      <c r="KEP34" s="684"/>
      <c r="KEQ34" s="684"/>
      <c r="KER34" s="684"/>
      <c r="KES34" s="684"/>
      <c r="KET34" s="684"/>
      <c r="KEU34" s="684"/>
      <c r="KEV34" s="684"/>
      <c r="KEW34" s="684"/>
      <c r="KEX34" s="684"/>
      <c r="KEY34" s="684"/>
      <c r="KEZ34" s="684"/>
      <c r="KFA34" s="684"/>
      <c r="KFB34" s="684"/>
      <c r="KFC34" s="684"/>
      <c r="KFD34" s="684"/>
      <c r="KFE34" s="684"/>
      <c r="KFF34" s="684"/>
      <c r="KFG34" s="684"/>
      <c r="KFH34" s="684"/>
      <c r="KFI34" s="684"/>
      <c r="KFJ34" s="684"/>
      <c r="KFK34" s="684"/>
      <c r="KFL34" s="684"/>
      <c r="KFM34" s="684"/>
      <c r="KFN34" s="684"/>
      <c r="KFO34" s="684"/>
      <c r="KFP34" s="684"/>
      <c r="KFQ34" s="684"/>
      <c r="KFR34" s="684"/>
      <c r="KFS34" s="684"/>
      <c r="KFT34" s="684"/>
      <c r="KFU34" s="684"/>
      <c r="KFV34" s="684"/>
      <c r="KFW34" s="684"/>
      <c r="KFX34" s="684"/>
      <c r="KFY34" s="684"/>
      <c r="KFZ34" s="684"/>
      <c r="KGA34" s="684"/>
      <c r="KGB34" s="684"/>
      <c r="KGC34" s="684"/>
      <c r="KGD34" s="684"/>
      <c r="KGE34" s="684"/>
      <c r="KGF34" s="684"/>
      <c r="KGG34" s="684"/>
      <c r="KGH34" s="684"/>
      <c r="KGI34" s="684"/>
      <c r="KGJ34" s="684"/>
      <c r="KGK34" s="684"/>
      <c r="KGL34" s="684"/>
      <c r="KGM34" s="684"/>
      <c r="KGN34" s="684"/>
      <c r="KGO34" s="684"/>
      <c r="KGP34" s="684"/>
      <c r="KGQ34" s="684"/>
      <c r="KGR34" s="684"/>
      <c r="KGS34" s="684"/>
      <c r="KGT34" s="684"/>
      <c r="KGU34" s="684"/>
      <c r="KGV34" s="684"/>
      <c r="KGW34" s="684"/>
      <c r="KGX34" s="684"/>
      <c r="KGY34" s="684"/>
      <c r="KGZ34" s="684"/>
      <c r="KHA34" s="684"/>
      <c r="KHB34" s="684"/>
      <c r="KHC34" s="684"/>
      <c r="KHD34" s="684"/>
      <c r="KHE34" s="684"/>
      <c r="KHF34" s="684"/>
      <c r="KHG34" s="684"/>
      <c r="KHH34" s="684"/>
      <c r="KHI34" s="684"/>
      <c r="KHJ34" s="684"/>
      <c r="KHK34" s="684"/>
      <c r="KHL34" s="684"/>
      <c r="KHM34" s="684"/>
      <c r="KHN34" s="684"/>
      <c r="KHO34" s="684"/>
      <c r="KHP34" s="684"/>
      <c r="KHQ34" s="684"/>
      <c r="KHR34" s="684"/>
      <c r="KHS34" s="684"/>
      <c r="KHT34" s="684"/>
      <c r="KHU34" s="684"/>
      <c r="KHV34" s="684"/>
      <c r="KHW34" s="684"/>
      <c r="KHX34" s="684"/>
      <c r="KHY34" s="684"/>
      <c r="KHZ34" s="684"/>
      <c r="KIA34" s="684"/>
      <c r="KIB34" s="684"/>
      <c r="KIC34" s="684"/>
      <c r="KID34" s="684"/>
      <c r="KIE34" s="684"/>
      <c r="KIF34" s="684"/>
      <c r="KIG34" s="684"/>
      <c r="KIH34" s="684"/>
      <c r="KII34" s="684"/>
      <c r="KIJ34" s="684"/>
      <c r="KIK34" s="684"/>
      <c r="KIL34" s="684"/>
      <c r="KIM34" s="684"/>
      <c r="KIN34" s="684"/>
      <c r="KIO34" s="684"/>
      <c r="KIP34" s="684"/>
      <c r="KIQ34" s="684"/>
      <c r="KIR34" s="684"/>
      <c r="KIS34" s="684"/>
      <c r="KIT34" s="684"/>
      <c r="KIU34" s="684"/>
      <c r="KIV34" s="684"/>
      <c r="KIW34" s="684"/>
      <c r="KIX34" s="684"/>
      <c r="KIY34" s="684"/>
      <c r="KIZ34" s="684"/>
      <c r="KJA34" s="684"/>
      <c r="KJB34" s="684"/>
      <c r="KJC34" s="684"/>
      <c r="KJD34" s="684"/>
      <c r="KJE34" s="684"/>
      <c r="KJF34" s="684"/>
      <c r="KJG34" s="684"/>
      <c r="KJH34" s="684"/>
      <c r="KJI34" s="684"/>
      <c r="KJJ34" s="684"/>
      <c r="KJK34" s="684"/>
      <c r="KJL34" s="684"/>
      <c r="KJM34" s="684"/>
      <c r="KJN34" s="684"/>
      <c r="KJO34" s="684"/>
      <c r="KJP34" s="684"/>
      <c r="KJQ34" s="684"/>
      <c r="KJR34" s="684"/>
      <c r="KJS34" s="684"/>
      <c r="KJT34" s="684"/>
      <c r="KJU34" s="684"/>
      <c r="KJV34" s="684"/>
      <c r="KJW34" s="684"/>
      <c r="KJX34" s="684"/>
      <c r="KJY34" s="684"/>
      <c r="KJZ34" s="684"/>
      <c r="KKA34" s="684"/>
      <c r="KKB34" s="684"/>
      <c r="KKC34" s="684"/>
      <c r="KKD34" s="684"/>
      <c r="KKE34" s="684"/>
      <c r="KKF34" s="684"/>
      <c r="KKG34" s="684"/>
      <c r="KKH34" s="684"/>
      <c r="KKI34" s="684"/>
      <c r="KKJ34" s="684"/>
      <c r="KKK34" s="684"/>
      <c r="KKL34" s="684"/>
      <c r="KKM34" s="684"/>
      <c r="KKN34" s="684"/>
      <c r="KKO34" s="684"/>
      <c r="KKP34" s="684"/>
      <c r="KKQ34" s="684"/>
      <c r="KKR34" s="684"/>
      <c r="KKS34" s="684"/>
      <c r="KKT34" s="684"/>
      <c r="KKU34" s="684"/>
      <c r="KKV34" s="684"/>
      <c r="KKW34" s="684"/>
      <c r="KKX34" s="684"/>
      <c r="KKY34" s="684"/>
      <c r="KKZ34" s="684"/>
      <c r="KLA34" s="684"/>
      <c r="KLB34" s="684"/>
      <c r="KLC34" s="684"/>
      <c r="KLD34" s="684"/>
      <c r="KLE34" s="684"/>
      <c r="KLF34" s="684"/>
      <c r="KLG34" s="684"/>
      <c r="KLH34" s="684"/>
      <c r="KLI34" s="684"/>
      <c r="KLJ34" s="684"/>
      <c r="KLK34" s="684"/>
      <c r="KLL34" s="684"/>
      <c r="KLM34" s="684"/>
      <c r="KLN34" s="684"/>
      <c r="KLO34" s="684"/>
      <c r="KLP34" s="684"/>
      <c r="KLQ34" s="684"/>
      <c r="KLR34" s="684"/>
      <c r="KLS34" s="684"/>
      <c r="KLT34" s="684"/>
      <c r="KLU34" s="684"/>
      <c r="KLV34" s="684"/>
      <c r="KLW34" s="684"/>
      <c r="KLX34" s="684"/>
      <c r="KLY34" s="684"/>
      <c r="KLZ34" s="684"/>
      <c r="KMA34" s="684"/>
      <c r="KMB34" s="684"/>
      <c r="KMC34" s="684"/>
      <c r="KMD34" s="684"/>
      <c r="KME34" s="684"/>
      <c r="KMF34" s="684"/>
      <c r="KMG34" s="684"/>
      <c r="KMH34" s="684"/>
      <c r="KMI34" s="684"/>
      <c r="KMJ34" s="684"/>
      <c r="KMK34" s="684"/>
      <c r="KML34" s="684"/>
      <c r="KMM34" s="684"/>
      <c r="KMN34" s="684"/>
      <c r="KMO34" s="684"/>
      <c r="KMP34" s="684"/>
      <c r="KMQ34" s="684"/>
      <c r="KMR34" s="684"/>
      <c r="KMS34" s="684"/>
      <c r="KMT34" s="684"/>
      <c r="KMU34" s="684"/>
      <c r="KMV34" s="684"/>
      <c r="KMW34" s="684"/>
      <c r="KMX34" s="684"/>
      <c r="KMY34" s="684"/>
      <c r="KMZ34" s="684"/>
      <c r="KNA34" s="684"/>
      <c r="KNB34" s="684"/>
      <c r="KNC34" s="684"/>
      <c r="KND34" s="684"/>
      <c r="KNE34" s="684"/>
      <c r="KNF34" s="684"/>
      <c r="KNG34" s="684"/>
      <c r="KNH34" s="684"/>
      <c r="KNI34" s="684"/>
      <c r="KNJ34" s="684"/>
      <c r="KNK34" s="684"/>
      <c r="KNL34" s="684"/>
      <c r="KNM34" s="684"/>
      <c r="KNN34" s="684"/>
      <c r="KNO34" s="684"/>
      <c r="KNP34" s="684"/>
      <c r="KNQ34" s="684"/>
      <c r="KNR34" s="684"/>
      <c r="KNS34" s="684"/>
      <c r="KNT34" s="684"/>
      <c r="KNU34" s="684"/>
      <c r="KNV34" s="684"/>
      <c r="KNW34" s="684"/>
      <c r="KNX34" s="684"/>
      <c r="KNY34" s="684"/>
      <c r="KNZ34" s="684"/>
      <c r="KOA34" s="684"/>
      <c r="KOB34" s="684"/>
      <c r="KOC34" s="684"/>
      <c r="KOD34" s="684"/>
      <c r="KOE34" s="684"/>
      <c r="KOF34" s="684"/>
      <c r="KOG34" s="684"/>
      <c r="KOH34" s="684"/>
      <c r="KOI34" s="684"/>
      <c r="KOJ34" s="684"/>
      <c r="KOK34" s="684"/>
      <c r="KOL34" s="684"/>
      <c r="KOM34" s="684"/>
      <c r="KON34" s="684"/>
      <c r="KOO34" s="684"/>
      <c r="KOP34" s="684"/>
      <c r="KOQ34" s="684"/>
      <c r="KOR34" s="684"/>
      <c r="KOS34" s="684"/>
      <c r="KOT34" s="684"/>
      <c r="KOU34" s="684"/>
      <c r="KOV34" s="684"/>
      <c r="KOW34" s="684"/>
      <c r="KOX34" s="684"/>
      <c r="KOY34" s="684"/>
      <c r="KOZ34" s="684"/>
      <c r="KPA34" s="684"/>
      <c r="KPB34" s="684"/>
      <c r="KPC34" s="684"/>
      <c r="KPD34" s="684"/>
      <c r="KPE34" s="684"/>
      <c r="KPF34" s="684"/>
      <c r="KPG34" s="684"/>
      <c r="KPH34" s="684"/>
      <c r="KPI34" s="684"/>
      <c r="KPJ34" s="684"/>
      <c r="KPK34" s="684"/>
      <c r="KPL34" s="684"/>
      <c r="KPM34" s="684"/>
      <c r="KPN34" s="684"/>
      <c r="KPO34" s="684"/>
      <c r="KPP34" s="684"/>
      <c r="KPQ34" s="684"/>
      <c r="KPR34" s="684"/>
      <c r="KPS34" s="684"/>
      <c r="KPT34" s="684"/>
      <c r="KPU34" s="684"/>
      <c r="KPV34" s="684"/>
      <c r="KPW34" s="684"/>
      <c r="KPX34" s="684"/>
      <c r="KPY34" s="684"/>
      <c r="KPZ34" s="684"/>
      <c r="KQA34" s="684"/>
      <c r="KQB34" s="684"/>
      <c r="KQC34" s="684"/>
      <c r="KQD34" s="684"/>
      <c r="KQE34" s="684"/>
      <c r="KQF34" s="684"/>
      <c r="KQG34" s="684"/>
      <c r="KQH34" s="684"/>
      <c r="KQI34" s="684"/>
      <c r="KQJ34" s="684"/>
      <c r="KQK34" s="684"/>
      <c r="KQL34" s="684"/>
      <c r="KQM34" s="684"/>
      <c r="KQN34" s="684"/>
      <c r="KQO34" s="684"/>
      <c r="KQP34" s="684"/>
      <c r="KQQ34" s="684"/>
      <c r="KQR34" s="684"/>
      <c r="KQS34" s="684"/>
      <c r="KQT34" s="684"/>
      <c r="KQU34" s="684"/>
      <c r="KQV34" s="684"/>
      <c r="KQW34" s="684"/>
      <c r="KQX34" s="684"/>
      <c r="KQY34" s="684"/>
      <c r="KQZ34" s="684"/>
      <c r="KRA34" s="684"/>
      <c r="KRB34" s="684"/>
      <c r="KRC34" s="684"/>
      <c r="KRD34" s="684"/>
      <c r="KRE34" s="684"/>
      <c r="KRF34" s="684"/>
      <c r="KRG34" s="684"/>
      <c r="KRH34" s="684"/>
      <c r="KRI34" s="684"/>
      <c r="KRJ34" s="684"/>
      <c r="KRK34" s="684"/>
      <c r="KRL34" s="684"/>
      <c r="KRM34" s="684"/>
      <c r="KRN34" s="684"/>
      <c r="KRO34" s="684"/>
      <c r="KRP34" s="684"/>
      <c r="KRQ34" s="684"/>
      <c r="KRR34" s="684"/>
      <c r="KRS34" s="684"/>
      <c r="KRT34" s="684"/>
      <c r="KRU34" s="684"/>
      <c r="KRV34" s="684"/>
      <c r="KRW34" s="684"/>
      <c r="KRX34" s="684"/>
      <c r="KRY34" s="684"/>
      <c r="KRZ34" s="684"/>
      <c r="KSA34" s="684"/>
      <c r="KSB34" s="684"/>
      <c r="KSC34" s="684"/>
      <c r="KSD34" s="684"/>
      <c r="KSE34" s="684"/>
      <c r="KSF34" s="684"/>
      <c r="KSG34" s="684"/>
      <c r="KSH34" s="684"/>
      <c r="KSI34" s="684"/>
      <c r="KSJ34" s="684"/>
      <c r="KSK34" s="684"/>
      <c r="KSL34" s="684"/>
      <c r="KSM34" s="684"/>
      <c r="KSN34" s="684"/>
      <c r="KSO34" s="684"/>
      <c r="KSP34" s="684"/>
      <c r="KSQ34" s="684"/>
      <c r="KSR34" s="684"/>
      <c r="KSS34" s="684"/>
      <c r="KST34" s="684"/>
      <c r="KSU34" s="684"/>
      <c r="KSV34" s="684"/>
      <c r="KSW34" s="684"/>
      <c r="KSX34" s="684"/>
      <c r="KSY34" s="684"/>
      <c r="KSZ34" s="684"/>
      <c r="KTA34" s="684"/>
      <c r="KTB34" s="684"/>
      <c r="KTC34" s="684"/>
      <c r="KTD34" s="684"/>
      <c r="KTE34" s="684"/>
      <c r="KTF34" s="684"/>
      <c r="KTG34" s="684"/>
      <c r="KTH34" s="684"/>
      <c r="KTI34" s="684"/>
      <c r="KTJ34" s="684"/>
      <c r="KTK34" s="684"/>
      <c r="KTL34" s="684"/>
      <c r="KTM34" s="684"/>
      <c r="KTN34" s="684"/>
      <c r="KTO34" s="684"/>
      <c r="KTP34" s="684"/>
      <c r="KTQ34" s="684"/>
      <c r="KTR34" s="684"/>
      <c r="KTS34" s="684"/>
      <c r="KTT34" s="684"/>
      <c r="KTU34" s="684"/>
      <c r="KTV34" s="684"/>
      <c r="KTW34" s="684"/>
      <c r="KTX34" s="684"/>
      <c r="KTY34" s="684"/>
      <c r="KTZ34" s="684"/>
      <c r="KUA34" s="684"/>
      <c r="KUB34" s="684"/>
      <c r="KUC34" s="684"/>
      <c r="KUD34" s="684"/>
      <c r="KUE34" s="684"/>
      <c r="KUF34" s="684"/>
      <c r="KUG34" s="684"/>
      <c r="KUH34" s="684"/>
      <c r="KUI34" s="684"/>
      <c r="KUJ34" s="684"/>
      <c r="KUK34" s="684"/>
      <c r="KUL34" s="684"/>
      <c r="KUM34" s="684"/>
      <c r="KUN34" s="684"/>
      <c r="KUO34" s="684"/>
      <c r="KUP34" s="684"/>
      <c r="KUQ34" s="684"/>
      <c r="KUR34" s="684"/>
      <c r="KUS34" s="684"/>
      <c r="KUT34" s="684"/>
      <c r="KUU34" s="684"/>
      <c r="KUV34" s="684"/>
      <c r="KUW34" s="684"/>
      <c r="KUX34" s="684"/>
      <c r="KUY34" s="684"/>
      <c r="KUZ34" s="684"/>
      <c r="KVA34" s="684"/>
      <c r="KVB34" s="684"/>
      <c r="KVC34" s="684"/>
      <c r="KVD34" s="684"/>
      <c r="KVE34" s="684"/>
      <c r="KVF34" s="684"/>
      <c r="KVG34" s="684"/>
      <c r="KVH34" s="684"/>
      <c r="KVI34" s="684"/>
      <c r="KVJ34" s="684"/>
      <c r="KVK34" s="684"/>
      <c r="KVL34" s="684"/>
      <c r="KVM34" s="684"/>
      <c r="KVN34" s="684"/>
      <c r="KVO34" s="684"/>
      <c r="KVP34" s="684"/>
      <c r="KVQ34" s="684"/>
      <c r="KVR34" s="684"/>
      <c r="KVS34" s="684"/>
      <c r="KVT34" s="684"/>
      <c r="KVU34" s="684"/>
      <c r="KVV34" s="684"/>
      <c r="KVW34" s="684"/>
      <c r="KVX34" s="684"/>
      <c r="KVY34" s="684"/>
      <c r="KVZ34" s="684"/>
      <c r="KWA34" s="684"/>
      <c r="KWB34" s="684"/>
      <c r="KWC34" s="684"/>
      <c r="KWD34" s="684"/>
      <c r="KWE34" s="684"/>
      <c r="KWF34" s="684"/>
      <c r="KWG34" s="684"/>
      <c r="KWH34" s="684"/>
      <c r="KWI34" s="684"/>
      <c r="KWJ34" s="684"/>
      <c r="KWK34" s="684"/>
      <c r="KWL34" s="684"/>
      <c r="KWM34" s="684"/>
      <c r="KWN34" s="684"/>
      <c r="KWO34" s="684"/>
      <c r="KWP34" s="684"/>
      <c r="KWQ34" s="684"/>
      <c r="KWR34" s="684"/>
      <c r="KWS34" s="684"/>
      <c r="KWT34" s="684"/>
      <c r="KWU34" s="684"/>
      <c r="KWV34" s="684"/>
      <c r="KWW34" s="684"/>
      <c r="KWX34" s="684"/>
      <c r="KWY34" s="684"/>
      <c r="KWZ34" s="684"/>
      <c r="KXA34" s="684"/>
      <c r="KXB34" s="684"/>
      <c r="KXC34" s="684"/>
      <c r="KXD34" s="684"/>
      <c r="KXE34" s="684"/>
      <c r="KXF34" s="684"/>
      <c r="KXG34" s="684"/>
      <c r="KXH34" s="684"/>
      <c r="KXI34" s="684"/>
      <c r="KXJ34" s="684"/>
      <c r="KXK34" s="684"/>
      <c r="KXL34" s="684"/>
      <c r="KXM34" s="684"/>
      <c r="KXN34" s="684"/>
      <c r="KXO34" s="684"/>
      <c r="KXP34" s="684"/>
      <c r="KXQ34" s="684"/>
      <c r="KXR34" s="684"/>
      <c r="KXS34" s="684"/>
      <c r="KXT34" s="684"/>
      <c r="KXU34" s="684"/>
      <c r="KXV34" s="684"/>
      <c r="KXW34" s="684"/>
      <c r="KXX34" s="684"/>
      <c r="KXY34" s="684"/>
      <c r="KXZ34" s="684"/>
      <c r="KYA34" s="684"/>
      <c r="KYB34" s="684"/>
      <c r="KYC34" s="684"/>
      <c r="KYD34" s="684"/>
      <c r="KYE34" s="684"/>
      <c r="KYF34" s="684"/>
      <c r="KYG34" s="684"/>
      <c r="KYH34" s="684"/>
      <c r="KYI34" s="684"/>
      <c r="KYJ34" s="684"/>
      <c r="KYK34" s="684"/>
      <c r="KYL34" s="684"/>
      <c r="KYM34" s="684"/>
      <c r="KYN34" s="684"/>
      <c r="KYO34" s="684"/>
      <c r="KYP34" s="684"/>
      <c r="KYQ34" s="684"/>
      <c r="KYR34" s="684"/>
      <c r="KYS34" s="684"/>
      <c r="KYT34" s="684"/>
      <c r="KYU34" s="684"/>
      <c r="KYV34" s="684"/>
      <c r="KYW34" s="684"/>
      <c r="KYX34" s="684"/>
      <c r="KYY34" s="684"/>
      <c r="KYZ34" s="684"/>
      <c r="KZA34" s="684"/>
      <c r="KZB34" s="684"/>
      <c r="KZC34" s="684"/>
      <c r="KZD34" s="684"/>
      <c r="KZE34" s="684"/>
      <c r="KZF34" s="684"/>
      <c r="KZG34" s="684"/>
      <c r="KZH34" s="684"/>
      <c r="KZI34" s="684"/>
      <c r="KZJ34" s="684"/>
      <c r="KZK34" s="684"/>
      <c r="KZL34" s="684"/>
      <c r="KZM34" s="684"/>
      <c r="KZN34" s="684"/>
      <c r="KZO34" s="684"/>
      <c r="KZP34" s="684"/>
      <c r="KZQ34" s="684"/>
      <c r="KZR34" s="684"/>
      <c r="KZS34" s="684"/>
      <c r="KZT34" s="684"/>
      <c r="KZU34" s="684"/>
      <c r="KZV34" s="684"/>
      <c r="KZW34" s="684"/>
      <c r="KZX34" s="684"/>
      <c r="KZY34" s="684"/>
      <c r="KZZ34" s="684"/>
      <c r="LAA34" s="684"/>
      <c r="LAB34" s="684"/>
      <c r="LAC34" s="684"/>
      <c r="LAD34" s="684"/>
      <c r="LAE34" s="684"/>
      <c r="LAF34" s="684"/>
      <c r="LAG34" s="684"/>
      <c r="LAH34" s="684"/>
      <c r="LAI34" s="684"/>
      <c r="LAJ34" s="684"/>
      <c r="LAK34" s="684"/>
      <c r="LAL34" s="684"/>
      <c r="LAM34" s="684"/>
      <c r="LAN34" s="684"/>
      <c r="LAO34" s="684"/>
      <c r="LAP34" s="684"/>
      <c r="LAQ34" s="684"/>
      <c r="LAR34" s="684"/>
      <c r="LAS34" s="684"/>
      <c r="LAT34" s="684"/>
      <c r="LAU34" s="684"/>
      <c r="LAV34" s="684"/>
      <c r="LAW34" s="684"/>
      <c r="LAX34" s="684"/>
      <c r="LAY34" s="684"/>
      <c r="LAZ34" s="684"/>
      <c r="LBA34" s="684"/>
      <c r="LBB34" s="684"/>
      <c r="LBC34" s="684"/>
      <c r="LBD34" s="684"/>
      <c r="LBE34" s="684"/>
      <c r="LBF34" s="684"/>
      <c r="LBG34" s="684"/>
      <c r="LBH34" s="684"/>
      <c r="LBI34" s="684"/>
      <c r="LBJ34" s="684"/>
      <c r="LBK34" s="684"/>
      <c r="LBL34" s="684"/>
      <c r="LBM34" s="684"/>
      <c r="LBN34" s="684"/>
      <c r="LBO34" s="684"/>
      <c r="LBP34" s="684"/>
      <c r="LBQ34" s="684"/>
      <c r="LBR34" s="684"/>
      <c r="LBS34" s="684"/>
      <c r="LBT34" s="684"/>
      <c r="LBU34" s="684"/>
      <c r="LBV34" s="684"/>
      <c r="LBW34" s="684"/>
      <c r="LBX34" s="684"/>
      <c r="LBY34" s="684"/>
      <c r="LBZ34" s="684"/>
      <c r="LCA34" s="684"/>
      <c r="LCB34" s="684"/>
      <c r="LCC34" s="684"/>
      <c r="LCD34" s="684"/>
      <c r="LCE34" s="684"/>
      <c r="LCF34" s="684"/>
      <c r="LCG34" s="684"/>
      <c r="LCH34" s="684"/>
      <c r="LCI34" s="684"/>
      <c r="LCJ34" s="684"/>
      <c r="LCK34" s="684"/>
      <c r="LCL34" s="684"/>
      <c r="LCM34" s="684"/>
      <c r="LCN34" s="684"/>
      <c r="LCO34" s="684"/>
      <c r="LCP34" s="684"/>
      <c r="LCQ34" s="684"/>
      <c r="LCR34" s="684"/>
      <c r="LCS34" s="684"/>
      <c r="LCT34" s="684"/>
      <c r="LCU34" s="684"/>
      <c r="LCV34" s="684"/>
      <c r="LCW34" s="684"/>
      <c r="LCX34" s="684"/>
      <c r="LCY34" s="684"/>
      <c r="LCZ34" s="684"/>
      <c r="LDA34" s="684"/>
      <c r="LDB34" s="684"/>
      <c r="LDC34" s="684"/>
      <c r="LDD34" s="684"/>
      <c r="LDE34" s="684"/>
      <c r="LDF34" s="684"/>
      <c r="LDG34" s="684"/>
      <c r="LDH34" s="684"/>
      <c r="LDI34" s="684"/>
      <c r="LDJ34" s="684"/>
      <c r="LDK34" s="684"/>
      <c r="LDL34" s="684"/>
      <c r="LDM34" s="684"/>
      <c r="LDN34" s="684"/>
      <c r="LDO34" s="684"/>
      <c r="LDP34" s="684"/>
      <c r="LDQ34" s="684"/>
      <c r="LDR34" s="684"/>
      <c r="LDS34" s="684"/>
      <c r="LDT34" s="684"/>
      <c r="LDU34" s="684"/>
      <c r="LDV34" s="684"/>
      <c r="LDW34" s="684"/>
      <c r="LDX34" s="684"/>
      <c r="LDY34" s="684"/>
      <c r="LDZ34" s="684"/>
      <c r="LEA34" s="684"/>
      <c r="LEB34" s="684"/>
      <c r="LEC34" s="684"/>
      <c r="LED34" s="684"/>
      <c r="LEE34" s="684"/>
      <c r="LEF34" s="684"/>
      <c r="LEG34" s="684"/>
      <c r="LEH34" s="684"/>
      <c r="LEI34" s="684"/>
      <c r="LEJ34" s="684"/>
      <c r="LEK34" s="684"/>
      <c r="LEL34" s="684"/>
      <c r="LEM34" s="684"/>
      <c r="LEN34" s="684"/>
      <c r="LEO34" s="684"/>
      <c r="LEP34" s="684"/>
      <c r="LEQ34" s="684"/>
      <c r="LER34" s="684"/>
      <c r="LES34" s="684"/>
      <c r="LET34" s="684"/>
      <c r="LEU34" s="684"/>
      <c r="LEV34" s="684"/>
      <c r="LEW34" s="684"/>
      <c r="LEX34" s="684"/>
      <c r="LEY34" s="684"/>
      <c r="LEZ34" s="684"/>
      <c r="LFA34" s="684"/>
      <c r="LFB34" s="684"/>
      <c r="LFC34" s="684"/>
      <c r="LFD34" s="684"/>
      <c r="LFE34" s="684"/>
      <c r="LFF34" s="684"/>
      <c r="LFG34" s="684"/>
      <c r="LFH34" s="684"/>
      <c r="LFI34" s="684"/>
      <c r="LFJ34" s="684"/>
      <c r="LFK34" s="684"/>
      <c r="LFL34" s="684"/>
      <c r="LFM34" s="684"/>
      <c r="LFN34" s="684"/>
      <c r="LFO34" s="684"/>
      <c r="LFP34" s="684"/>
      <c r="LFQ34" s="684"/>
      <c r="LFR34" s="684"/>
      <c r="LFS34" s="684"/>
      <c r="LFT34" s="684"/>
      <c r="LFU34" s="684"/>
      <c r="LFV34" s="684"/>
      <c r="LFW34" s="684"/>
      <c r="LFX34" s="684"/>
      <c r="LFY34" s="684"/>
      <c r="LFZ34" s="684"/>
      <c r="LGA34" s="684"/>
      <c r="LGB34" s="684"/>
      <c r="LGC34" s="684"/>
      <c r="LGD34" s="684"/>
      <c r="LGE34" s="684"/>
      <c r="LGF34" s="684"/>
      <c r="LGG34" s="684"/>
      <c r="LGH34" s="684"/>
      <c r="LGI34" s="684"/>
      <c r="LGJ34" s="684"/>
      <c r="LGK34" s="684"/>
      <c r="LGL34" s="684"/>
      <c r="LGM34" s="684"/>
      <c r="LGN34" s="684"/>
      <c r="LGO34" s="684"/>
      <c r="LGP34" s="684"/>
      <c r="LGQ34" s="684"/>
      <c r="LGR34" s="684"/>
      <c r="LGS34" s="684"/>
      <c r="LGT34" s="684"/>
      <c r="LGU34" s="684"/>
      <c r="LGV34" s="684"/>
      <c r="LGW34" s="684"/>
      <c r="LGX34" s="684"/>
      <c r="LGY34" s="684"/>
      <c r="LGZ34" s="684"/>
      <c r="LHA34" s="684"/>
      <c r="LHB34" s="684"/>
      <c r="LHC34" s="684"/>
      <c r="LHD34" s="684"/>
      <c r="LHE34" s="684"/>
      <c r="LHF34" s="684"/>
      <c r="LHG34" s="684"/>
      <c r="LHH34" s="684"/>
      <c r="LHI34" s="684"/>
      <c r="LHJ34" s="684"/>
      <c r="LHK34" s="684"/>
      <c r="LHL34" s="684"/>
      <c r="LHM34" s="684"/>
      <c r="LHN34" s="684"/>
      <c r="LHO34" s="684"/>
      <c r="LHP34" s="684"/>
      <c r="LHQ34" s="684"/>
      <c r="LHR34" s="684"/>
      <c r="LHS34" s="684"/>
      <c r="LHT34" s="684"/>
      <c r="LHU34" s="684"/>
      <c r="LHV34" s="684"/>
      <c r="LHW34" s="684"/>
      <c r="LHX34" s="684"/>
      <c r="LHY34" s="684"/>
      <c r="LHZ34" s="684"/>
      <c r="LIA34" s="684"/>
      <c r="LIB34" s="684"/>
      <c r="LIC34" s="684"/>
      <c r="LID34" s="684"/>
      <c r="LIE34" s="684"/>
      <c r="LIF34" s="684"/>
      <c r="LIG34" s="684"/>
      <c r="LIH34" s="684"/>
      <c r="LII34" s="684"/>
      <c r="LIJ34" s="684"/>
      <c r="LIK34" s="684"/>
      <c r="LIL34" s="684"/>
      <c r="LIM34" s="684"/>
      <c r="LIN34" s="684"/>
      <c r="LIO34" s="684"/>
      <c r="LIP34" s="684"/>
      <c r="LIQ34" s="684"/>
      <c r="LIR34" s="684"/>
      <c r="LIS34" s="684"/>
      <c r="LIT34" s="684"/>
      <c r="LIU34" s="684"/>
      <c r="LIV34" s="684"/>
      <c r="LIW34" s="684"/>
      <c r="LIX34" s="684"/>
      <c r="LIY34" s="684"/>
      <c r="LIZ34" s="684"/>
      <c r="LJA34" s="684"/>
      <c r="LJB34" s="684"/>
      <c r="LJC34" s="684"/>
      <c r="LJD34" s="684"/>
      <c r="LJE34" s="684"/>
      <c r="LJF34" s="684"/>
      <c r="LJG34" s="684"/>
      <c r="LJH34" s="684"/>
      <c r="LJI34" s="684"/>
      <c r="LJJ34" s="684"/>
      <c r="LJK34" s="684"/>
      <c r="LJL34" s="684"/>
      <c r="LJM34" s="684"/>
      <c r="LJN34" s="684"/>
      <c r="LJO34" s="684"/>
      <c r="LJP34" s="684"/>
      <c r="LJQ34" s="684"/>
      <c r="LJR34" s="684"/>
      <c r="LJS34" s="684"/>
      <c r="LJT34" s="684"/>
      <c r="LJU34" s="684"/>
      <c r="LJV34" s="684"/>
      <c r="LJW34" s="684"/>
      <c r="LJX34" s="684"/>
      <c r="LJY34" s="684"/>
      <c r="LJZ34" s="684"/>
      <c r="LKA34" s="684"/>
      <c r="LKB34" s="684"/>
      <c r="LKC34" s="684"/>
      <c r="LKD34" s="684"/>
      <c r="LKE34" s="684"/>
      <c r="LKF34" s="684"/>
      <c r="LKG34" s="684"/>
      <c r="LKH34" s="684"/>
      <c r="LKI34" s="684"/>
      <c r="LKJ34" s="684"/>
      <c r="LKK34" s="684"/>
      <c r="LKL34" s="684"/>
      <c r="LKM34" s="684"/>
      <c r="LKN34" s="684"/>
      <c r="LKO34" s="684"/>
      <c r="LKP34" s="684"/>
      <c r="LKQ34" s="684"/>
      <c r="LKR34" s="684"/>
      <c r="LKS34" s="684"/>
      <c r="LKT34" s="684"/>
      <c r="LKU34" s="684"/>
      <c r="LKV34" s="684"/>
      <c r="LKW34" s="684"/>
      <c r="LKX34" s="684"/>
      <c r="LKY34" s="684"/>
      <c r="LKZ34" s="684"/>
      <c r="LLA34" s="684"/>
      <c r="LLB34" s="684"/>
      <c r="LLC34" s="684"/>
      <c r="LLD34" s="684"/>
      <c r="LLE34" s="684"/>
      <c r="LLF34" s="684"/>
      <c r="LLG34" s="684"/>
      <c r="LLH34" s="684"/>
      <c r="LLI34" s="684"/>
      <c r="LLJ34" s="684"/>
      <c r="LLK34" s="684"/>
      <c r="LLL34" s="684"/>
      <c r="LLM34" s="684"/>
      <c r="LLN34" s="684"/>
      <c r="LLO34" s="684"/>
      <c r="LLP34" s="684"/>
      <c r="LLQ34" s="684"/>
      <c r="LLR34" s="684"/>
      <c r="LLS34" s="684"/>
      <c r="LLT34" s="684"/>
      <c r="LLU34" s="684"/>
      <c r="LLV34" s="684"/>
      <c r="LLW34" s="684"/>
      <c r="LLX34" s="684"/>
      <c r="LLY34" s="684"/>
      <c r="LLZ34" s="684"/>
      <c r="LMA34" s="684"/>
      <c r="LMB34" s="684"/>
      <c r="LMC34" s="684"/>
      <c r="LMD34" s="684"/>
      <c r="LME34" s="684"/>
      <c r="LMF34" s="684"/>
      <c r="LMG34" s="684"/>
      <c r="LMH34" s="684"/>
      <c r="LMI34" s="684"/>
      <c r="LMJ34" s="684"/>
      <c r="LMK34" s="684"/>
      <c r="LML34" s="684"/>
      <c r="LMM34" s="684"/>
      <c r="LMN34" s="684"/>
      <c r="LMO34" s="684"/>
      <c r="LMP34" s="684"/>
      <c r="LMQ34" s="684"/>
      <c r="LMR34" s="684"/>
      <c r="LMS34" s="684"/>
      <c r="LMT34" s="684"/>
      <c r="LMU34" s="684"/>
      <c r="LMV34" s="684"/>
      <c r="LMW34" s="684"/>
      <c r="LMX34" s="684"/>
      <c r="LMY34" s="684"/>
      <c r="LMZ34" s="684"/>
      <c r="LNA34" s="684"/>
      <c r="LNB34" s="684"/>
      <c r="LNC34" s="684"/>
      <c r="LND34" s="684"/>
      <c r="LNE34" s="684"/>
      <c r="LNF34" s="684"/>
      <c r="LNG34" s="684"/>
      <c r="LNH34" s="684"/>
      <c r="LNI34" s="684"/>
      <c r="LNJ34" s="684"/>
      <c r="LNK34" s="684"/>
      <c r="LNL34" s="684"/>
      <c r="LNM34" s="684"/>
      <c r="LNN34" s="684"/>
      <c r="LNO34" s="684"/>
      <c r="LNP34" s="684"/>
      <c r="LNQ34" s="684"/>
      <c r="LNR34" s="684"/>
      <c r="LNS34" s="684"/>
      <c r="LNT34" s="684"/>
      <c r="LNU34" s="684"/>
      <c r="LNV34" s="684"/>
      <c r="LNW34" s="684"/>
      <c r="LNX34" s="684"/>
      <c r="LNY34" s="684"/>
      <c r="LNZ34" s="684"/>
      <c r="LOA34" s="684"/>
      <c r="LOB34" s="684"/>
      <c r="LOC34" s="684"/>
      <c r="LOD34" s="684"/>
      <c r="LOE34" s="684"/>
      <c r="LOF34" s="684"/>
      <c r="LOG34" s="684"/>
      <c r="LOH34" s="684"/>
      <c r="LOI34" s="684"/>
      <c r="LOJ34" s="684"/>
      <c r="LOK34" s="684"/>
      <c r="LOL34" s="684"/>
      <c r="LOM34" s="684"/>
      <c r="LON34" s="684"/>
      <c r="LOO34" s="684"/>
      <c r="LOP34" s="684"/>
      <c r="LOQ34" s="684"/>
      <c r="LOR34" s="684"/>
      <c r="LOS34" s="684"/>
      <c r="LOT34" s="684"/>
      <c r="LOU34" s="684"/>
      <c r="LOV34" s="684"/>
      <c r="LOW34" s="684"/>
      <c r="LOX34" s="684"/>
      <c r="LOY34" s="684"/>
      <c r="LOZ34" s="684"/>
      <c r="LPA34" s="684"/>
      <c r="LPB34" s="684"/>
      <c r="LPC34" s="684"/>
      <c r="LPD34" s="684"/>
      <c r="LPE34" s="684"/>
      <c r="LPF34" s="684"/>
      <c r="LPG34" s="684"/>
      <c r="LPH34" s="684"/>
      <c r="LPI34" s="684"/>
      <c r="LPJ34" s="684"/>
      <c r="LPK34" s="684"/>
      <c r="LPL34" s="684"/>
      <c r="LPM34" s="684"/>
      <c r="LPN34" s="684"/>
      <c r="LPO34" s="684"/>
      <c r="LPP34" s="684"/>
      <c r="LPQ34" s="684"/>
      <c r="LPR34" s="684"/>
      <c r="LPS34" s="684"/>
      <c r="LPT34" s="684"/>
      <c r="LPU34" s="684"/>
      <c r="LPV34" s="684"/>
      <c r="LPW34" s="684"/>
      <c r="LPX34" s="684"/>
      <c r="LPY34" s="684"/>
      <c r="LPZ34" s="684"/>
      <c r="LQA34" s="684"/>
      <c r="LQB34" s="684"/>
      <c r="LQC34" s="684"/>
      <c r="LQD34" s="684"/>
      <c r="LQE34" s="684"/>
      <c r="LQF34" s="684"/>
      <c r="LQG34" s="684"/>
      <c r="LQH34" s="684"/>
      <c r="LQI34" s="684"/>
      <c r="LQJ34" s="684"/>
      <c r="LQK34" s="684"/>
      <c r="LQL34" s="684"/>
      <c r="LQM34" s="684"/>
      <c r="LQN34" s="684"/>
      <c r="LQO34" s="684"/>
      <c r="LQP34" s="684"/>
      <c r="LQQ34" s="684"/>
      <c r="LQR34" s="684"/>
      <c r="LQS34" s="684"/>
      <c r="LQT34" s="684"/>
      <c r="LQU34" s="684"/>
      <c r="LQV34" s="684"/>
      <c r="LQW34" s="684"/>
      <c r="LQX34" s="684"/>
      <c r="LQY34" s="684"/>
      <c r="LQZ34" s="684"/>
      <c r="LRA34" s="684"/>
      <c r="LRB34" s="684"/>
      <c r="LRC34" s="684"/>
      <c r="LRD34" s="684"/>
      <c r="LRE34" s="684"/>
      <c r="LRF34" s="684"/>
      <c r="LRG34" s="684"/>
      <c r="LRH34" s="684"/>
      <c r="LRI34" s="684"/>
      <c r="LRJ34" s="684"/>
      <c r="LRK34" s="684"/>
      <c r="LRL34" s="684"/>
      <c r="LRM34" s="684"/>
      <c r="LRN34" s="684"/>
      <c r="LRO34" s="684"/>
      <c r="LRP34" s="684"/>
      <c r="LRQ34" s="684"/>
      <c r="LRR34" s="684"/>
      <c r="LRS34" s="684"/>
      <c r="LRT34" s="684"/>
      <c r="LRU34" s="684"/>
      <c r="LRV34" s="684"/>
      <c r="LRW34" s="684"/>
      <c r="LRX34" s="684"/>
      <c r="LRY34" s="684"/>
      <c r="LRZ34" s="684"/>
      <c r="LSA34" s="684"/>
      <c r="LSB34" s="684"/>
      <c r="LSC34" s="684"/>
      <c r="LSD34" s="684"/>
      <c r="LSE34" s="684"/>
      <c r="LSF34" s="684"/>
      <c r="LSG34" s="684"/>
      <c r="LSH34" s="684"/>
      <c r="LSI34" s="684"/>
      <c r="LSJ34" s="684"/>
      <c r="LSK34" s="684"/>
      <c r="LSL34" s="684"/>
      <c r="LSM34" s="684"/>
      <c r="LSN34" s="684"/>
      <c r="LSO34" s="684"/>
      <c r="LSP34" s="684"/>
      <c r="LSQ34" s="684"/>
      <c r="LSR34" s="684"/>
      <c r="LSS34" s="684"/>
      <c r="LST34" s="684"/>
      <c r="LSU34" s="684"/>
      <c r="LSV34" s="684"/>
      <c r="LSW34" s="684"/>
      <c r="LSX34" s="684"/>
      <c r="LSY34" s="684"/>
      <c r="LSZ34" s="684"/>
      <c r="LTA34" s="684"/>
      <c r="LTB34" s="684"/>
      <c r="LTC34" s="684"/>
      <c r="LTD34" s="684"/>
      <c r="LTE34" s="684"/>
      <c r="LTF34" s="684"/>
      <c r="LTG34" s="684"/>
      <c r="LTH34" s="684"/>
      <c r="LTI34" s="684"/>
      <c r="LTJ34" s="684"/>
      <c r="LTK34" s="684"/>
      <c r="LTL34" s="684"/>
      <c r="LTM34" s="684"/>
      <c r="LTN34" s="684"/>
      <c r="LTO34" s="684"/>
      <c r="LTP34" s="684"/>
      <c r="LTQ34" s="684"/>
      <c r="LTR34" s="684"/>
      <c r="LTS34" s="684"/>
      <c r="LTT34" s="684"/>
      <c r="LTU34" s="684"/>
      <c r="LTV34" s="684"/>
      <c r="LTW34" s="684"/>
      <c r="LTX34" s="684"/>
      <c r="LTY34" s="684"/>
      <c r="LTZ34" s="684"/>
      <c r="LUA34" s="684"/>
      <c r="LUB34" s="684"/>
      <c r="LUC34" s="684"/>
      <c r="LUD34" s="684"/>
      <c r="LUE34" s="684"/>
      <c r="LUF34" s="684"/>
      <c r="LUG34" s="684"/>
      <c r="LUH34" s="684"/>
      <c r="LUI34" s="684"/>
      <c r="LUJ34" s="684"/>
      <c r="LUK34" s="684"/>
      <c r="LUL34" s="684"/>
      <c r="LUM34" s="684"/>
      <c r="LUN34" s="684"/>
      <c r="LUO34" s="684"/>
      <c r="LUP34" s="684"/>
      <c r="LUQ34" s="684"/>
      <c r="LUR34" s="684"/>
      <c r="LUS34" s="684"/>
      <c r="LUT34" s="684"/>
      <c r="LUU34" s="684"/>
      <c r="LUV34" s="684"/>
      <c r="LUW34" s="684"/>
      <c r="LUX34" s="684"/>
      <c r="LUY34" s="684"/>
      <c r="LUZ34" s="684"/>
      <c r="LVA34" s="684"/>
      <c r="LVB34" s="684"/>
      <c r="LVC34" s="684"/>
      <c r="LVD34" s="684"/>
      <c r="LVE34" s="684"/>
      <c r="LVF34" s="684"/>
      <c r="LVG34" s="684"/>
      <c r="LVH34" s="684"/>
      <c r="LVI34" s="684"/>
      <c r="LVJ34" s="684"/>
      <c r="LVK34" s="684"/>
      <c r="LVL34" s="684"/>
      <c r="LVM34" s="684"/>
      <c r="LVN34" s="684"/>
      <c r="LVO34" s="684"/>
      <c r="LVP34" s="684"/>
      <c r="LVQ34" s="684"/>
      <c r="LVR34" s="684"/>
      <c r="LVS34" s="684"/>
      <c r="LVT34" s="684"/>
      <c r="LVU34" s="684"/>
      <c r="LVV34" s="684"/>
      <c r="LVW34" s="684"/>
      <c r="LVX34" s="684"/>
      <c r="LVY34" s="684"/>
      <c r="LVZ34" s="684"/>
      <c r="LWA34" s="684"/>
      <c r="LWB34" s="684"/>
      <c r="LWC34" s="684"/>
      <c r="LWD34" s="684"/>
      <c r="LWE34" s="684"/>
      <c r="LWF34" s="684"/>
      <c r="LWG34" s="684"/>
      <c r="LWH34" s="684"/>
      <c r="LWI34" s="684"/>
      <c r="LWJ34" s="684"/>
      <c r="LWK34" s="684"/>
      <c r="LWL34" s="684"/>
      <c r="LWM34" s="684"/>
      <c r="LWN34" s="684"/>
      <c r="LWO34" s="684"/>
      <c r="LWP34" s="684"/>
      <c r="LWQ34" s="684"/>
      <c r="LWR34" s="684"/>
      <c r="LWS34" s="684"/>
      <c r="LWT34" s="684"/>
      <c r="LWU34" s="684"/>
      <c r="LWV34" s="684"/>
      <c r="LWW34" s="684"/>
      <c r="LWX34" s="684"/>
      <c r="LWY34" s="684"/>
      <c r="LWZ34" s="684"/>
      <c r="LXA34" s="684"/>
      <c r="LXB34" s="684"/>
      <c r="LXC34" s="684"/>
      <c r="LXD34" s="684"/>
      <c r="LXE34" s="684"/>
      <c r="LXF34" s="684"/>
      <c r="LXG34" s="684"/>
      <c r="LXH34" s="684"/>
      <c r="LXI34" s="684"/>
      <c r="LXJ34" s="684"/>
      <c r="LXK34" s="684"/>
      <c r="LXL34" s="684"/>
      <c r="LXM34" s="684"/>
      <c r="LXN34" s="684"/>
      <c r="LXO34" s="684"/>
      <c r="LXP34" s="684"/>
      <c r="LXQ34" s="684"/>
      <c r="LXR34" s="684"/>
      <c r="LXS34" s="684"/>
      <c r="LXT34" s="684"/>
      <c r="LXU34" s="684"/>
      <c r="LXV34" s="684"/>
      <c r="LXW34" s="684"/>
      <c r="LXX34" s="684"/>
      <c r="LXY34" s="684"/>
      <c r="LXZ34" s="684"/>
      <c r="LYA34" s="684"/>
      <c r="LYB34" s="684"/>
      <c r="LYC34" s="684"/>
      <c r="LYD34" s="684"/>
      <c r="LYE34" s="684"/>
      <c r="LYF34" s="684"/>
      <c r="LYG34" s="684"/>
      <c r="LYH34" s="684"/>
      <c r="LYI34" s="684"/>
      <c r="LYJ34" s="684"/>
      <c r="LYK34" s="684"/>
      <c r="LYL34" s="684"/>
      <c r="LYM34" s="684"/>
      <c r="LYN34" s="684"/>
      <c r="LYO34" s="684"/>
      <c r="LYP34" s="684"/>
      <c r="LYQ34" s="684"/>
      <c r="LYR34" s="684"/>
      <c r="LYS34" s="684"/>
      <c r="LYT34" s="684"/>
      <c r="LYU34" s="684"/>
      <c r="LYV34" s="684"/>
      <c r="LYW34" s="684"/>
      <c r="LYX34" s="684"/>
      <c r="LYY34" s="684"/>
      <c r="LYZ34" s="684"/>
      <c r="LZA34" s="684"/>
      <c r="LZB34" s="684"/>
      <c r="LZC34" s="684"/>
      <c r="LZD34" s="684"/>
      <c r="LZE34" s="684"/>
      <c r="LZF34" s="684"/>
      <c r="LZG34" s="684"/>
      <c r="LZH34" s="684"/>
      <c r="LZI34" s="684"/>
      <c r="LZJ34" s="684"/>
      <c r="LZK34" s="684"/>
      <c r="LZL34" s="684"/>
      <c r="LZM34" s="684"/>
      <c r="LZN34" s="684"/>
      <c r="LZO34" s="684"/>
      <c r="LZP34" s="684"/>
      <c r="LZQ34" s="684"/>
      <c r="LZR34" s="684"/>
      <c r="LZS34" s="684"/>
      <c r="LZT34" s="684"/>
      <c r="LZU34" s="684"/>
      <c r="LZV34" s="684"/>
      <c r="LZW34" s="684"/>
      <c r="LZX34" s="684"/>
      <c r="LZY34" s="684"/>
      <c r="LZZ34" s="684"/>
      <c r="MAA34" s="684"/>
      <c r="MAB34" s="684"/>
      <c r="MAC34" s="684"/>
      <c r="MAD34" s="684"/>
      <c r="MAE34" s="684"/>
      <c r="MAF34" s="684"/>
      <c r="MAG34" s="684"/>
      <c r="MAH34" s="684"/>
      <c r="MAI34" s="684"/>
      <c r="MAJ34" s="684"/>
      <c r="MAK34" s="684"/>
      <c r="MAL34" s="684"/>
      <c r="MAM34" s="684"/>
      <c r="MAN34" s="684"/>
      <c r="MAO34" s="684"/>
      <c r="MAP34" s="684"/>
      <c r="MAQ34" s="684"/>
      <c r="MAR34" s="684"/>
      <c r="MAS34" s="684"/>
      <c r="MAT34" s="684"/>
      <c r="MAU34" s="684"/>
      <c r="MAV34" s="684"/>
      <c r="MAW34" s="684"/>
      <c r="MAX34" s="684"/>
      <c r="MAY34" s="684"/>
      <c r="MAZ34" s="684"/>
      <c r="MBA34" s="684"/>
      <c r="MBB34" s="684"/>
      <c r="MBC34" s="684"/>
      <c r="MBD34" s="684"/>
      <c r="MBE34" s="684"/>
      <c r="MBF34" s="684"/>
      <c r="MBG34" s="684"/>
      <c r="MBH34" s="684"/>
      <c r="MBI34" s="684"/>
      <c r="MBJ34" s="684"/>
      <c r="MBK34" s="684"/>
      <c r="MBL34" s="684"/>
      <c r="MBM34" s="684"/>
      <c r="MBN34" s="684"/>
      <c r="MBO34" s="684"/>
      <c r="MBP34" s="684"/>
      <c r="MBQ34" s="684"/>
      <c r="MBR34" s="684"/>
      <c r="MBS34" s="684"/>
      <c r="MBT34" s="684"/>
      <c r="MBU34" s="684"/>
      <c r="MBV34" s="684"/>
      <c r="MBW34" s="684"/>
      <c r="MBX34" s="684"/>
      <c r="MBY34" s="684"/>
      <c r="MBZ34" s="684"/>
      <c r="MCA34" s="684"/>
      <c r="MCB34" s="684"/>
      <c r="MCC34" s="684"/>
      <c r="MCD34" s="684"/>
      <c r="MCE34" s="684"/>
      <c r="MCF34" s="684"/>
      <c r="MCG34" s="684"/>
      <c r="MCH34" s="684"/>
      <c r="MCI34" s="684"/>
      <c r="MCJ34" s="684"/>
      <c r="MCK34" s="684"/>
      <c r="MCL34" s="684"/>
      <c r="MCM34" s="684"/>
      <c r="MCN34" s="684"/>
      <c r="MCO34" s="684"/>
      <c r="MCP34" s="684"/>
      <c r="MCQ34" s="684"/>
      <c r="MCR34" s="684"/>
      <c r="MCS34" s="684"/>
      <c r="MCT34" s="684"/>
      <c r="MCU34" s="684"/>
      <c r="MCV34" s="684"/>
      <c r="MCW34" s="684"/>
      <c r="MCX34" s="684"/>
      <c r="MCY34" s="684"/>
      <c r="MCZ34" s="684"/>
      <c r="MDA34" s="684"/>
      <c r="MDB34" s="684"/>
      <c r="MDC34" s="684"/>
      <c r="MDD34" s="684"/>
      <c r="MDE34" s="684"/>
      <c r="MDF34" s="684"/>
      <c r="MDG34" s="684"/>
      <c r="MDH34" s="684"/>
      <c r="MDI34" s="684"/>
      <c r="MDJ34" s="684"/>
      <c r="MDK34" s="684"/>
      <c r="MDL34" s="684"/>
      <c r="MDM34" s="684"/>
      <c r="MDN34" s="684"/>
      <c r="MDO34" s="684"/>
      <c r="MDP34" s="684"/>
      <c r="MDQ34" s="684"/>
      <c r="MDR34" s="684"/>
      <c r="MDS34" s="684"/>
      <c r="MDT34" s="684"/>
      <c r="MDU34" s="684"/>
      <c r="MDV34" s="684"/>
      <c r="MDW34" s="684"/>
      <c r="MDX34" s="684"/>
      <c r="MDY34" s="684"/>
      <c r="MDZ34" s="684"/>
      <c r="MEA34" s="684"/>
      <c r="MEB34" s="684"/>
      <c r="MEC34" s="684"/>
      <c r="MED34" s="684"/>
      <c r="MEE34" s="684"/>
      <c r="MEF34" s="684"/>
      <c r="MEG34" s="684"/>
      <c r="MEH34" s="684"/>
      <c r="MEI34" s="684"/>
      <c r="MEJ34" s="684"/>
      <c r="MEK34" s="684"/>
      <c r="MEL34" s="684"/>
      <c r="MEM34" s="684"/>
      <c r="MEN34" s="684"/>
      <c r="MEO34" s="684"/>
      <c r="MEP34" s="684"/>
      <c r="MEQ34" s="684"/>
      <c r="MER34" s="684"/>
      <c r="MES34" s="684"/>
      <c r="MET34" s="684"/>
      <c r="MEU34" s="684"/>
      <c r="MEV34" s="684"/>
      <c r="MEW34" s="684"/>
      <c r="MEX34" s="684"/>
      <c r="MEY34" s="684"/>
      <c r="MEZ34" s="684"/>
      <c r="MFA34" s="684"/>
      <c r="MFB34" s="684"/>
      <c r="MFC34" s="684"/>
      <c r="MFD34" s="684"/>
      <c r="MFE34" s="684"/>
      <c r="MFF34" s="684"/>
      <c r="MFG34" s="684"/>
      <c r="MFH34" s="684"/>
      <c r="MFI34" s="684"/>
      <c r="MFJ34" s="684"/>
      <c r="MFK34" s="684"/>
      <c r="MFL34" s="684"/>
      <c r="MFM34" s="684"/>
      <c r="MFN34" s="684"/>
      <c r="MFO34" s="684"/>
      <c r="MFP34" s="684"/>
      <c r="MFQ34" s="684"/>
      <c r="MFR34" s="684"/>
      <c r="MFS34" s="684"/>
      <c r="MFT34" s="684"/>
      <c r="MFU34" s="684"/>
      <c r="MFV34" s="684"/>
      <c r="MFW34" s="684"/>
      <c r="MFX34" s="684"/>
      <c r="MFY34" s="684"/>
      <c r="MFZ34" s="684"/>
      <c r="MGA34" s="684"/>
      <c r="MGB34" s="684"/>
      <c r="MGC34" s="684"/>
      <c r="MGD34" s="684"/>
      <c r="MGE34" s="684"/>
      <c r="MGF34" s="684"/>
      <c r="MGG34" s="684"/>
      <c r="MGH34" s="684"/>
      <c r="MGI34" s="684"/>
      <c r="MGJ34" s="684"/>
      <c r="MGK34" s="684"/>
      <c r="MGL34" s="684"/>
      <c r="MGM34" s="684"/>
      <c r="MGN34" s="684"/>
      <c r="MGO34" s="684"/>
      <c r="MGP34" s="684"/>
      <c r="MGQ34" s="684"/>
      <c r="MGR34" s="684"/>
      <c r="MGS34" s="684"/>
      <c r="MGT34" s="684"/>
      <c r="MGU34" s="684"/>
      <c r="MGV34" s="684"/>
      <c r="MGW34" s="684"/>
      <c r="MGX34" s="684"/>
      <c r="MGY34" s="684"/>
      <c r="MGZ34" s="684"/>
      <c r="MHA34" s="684"/>
      <c r="MHB34" s="684"/>
      <c r="MHC34" s="684"/>
      <c r="MHD34" s="684"/>
      <c r="MHE34" s="684"/>
      <c r="MHF34" s="684"/>
      <c r="MHG34" s="684"/>
      <c r="MHH34" s="684"/>
      <c r="MHI34" s="684"/>
      <c r="MHJ34" s="684"/>
      <c r="MHK34" s="684"/>
      <c r="MHL34" s="684"/>
      <c r="MHM34" s="684"/>
      <c r="MHN34" s="684"/>
      <c r="MHO34" s="684"/>
      <c r="MHP34" s="684"/>
      <c r="MHQ34" s="684"/>
      <c r="MHR34" s="684"/>
      <c r="MHS34" s="684"/>
      <c r="MHT34" s="684"/>
      <c r="MHU34" s="684"/>
      <c r="MHV34" s="684"/>
      <c r="MHW34" s="684"/>
      <c r="MHX34" s="684"/>
      <c r="MHY34" s="684"/>
      <c r="MHZ34" s="684"/>
      <c r="MIA34" s="684"/>
      <c r="MIB34" s="684"/>
      <c r="MIC34" s="684"/>
      <c r="MID34" s="684"/>
      <c r="MIE34" s="684"/>
      <c r="MIF34" s="684"/>
      <c r="MIG34" s="684"/>
      <c r="MIH34" s="684"/>
      <c r="MII34" s="684"/>
      <c r="MIJ34" s="684"/>
      <c r="MIK34" s="684"/>
      <c r="MIL34" s="684"/>
      <c r="MIM34" s="684"/>
      <c r="MIN34" s="684"/>
      <c r="MIO34" s="684"/>
      <c r="MIP34" s="684"/>
      <c r="MIQ34" s="684"/>
      <c r="MIR34" s="684"/>
      <c r="MIS34" s="684"/>
      <c r="MIT34" s="684"/>
      <c r="MIU34" s="684"/>
      <c r="MIV34" s="684"/>
      <c r="MIW34" s="684"/>
      <c r="MIX34" s="684"/>
      <c r="MIY34" s="684"/>
      <c r="MIZ34" s="684"/>
      <c r="MJA34" s="684"/>
      <c r="MJB34" s="684"/>
      <c r="MJC34" s="684"/>
      <c r="MJD34" s="684"/>
      <c r="MJE34" s="684"/>
      <c r="MJF34" s="684"/>
      <c r="MJG34" s="684"/>
      <c r="MJH34" s="684"/>
      <c r="MJI34" s="684"/>
      <c r="MJJ34" s="684"/>
      <c r="MJK34" s="684"/>
      <c r="MJL34" s="684"/>
      <c r="MJM34" s="684"/>
      <c r="MJN34" s="684"/>
      <c r="MJO34" s="684"/>
      <c r="MJP34" s="684"/>
      <c r="MJQ34" s="684"/>
      <c r="MJR34" s="684"/>
      <c r="MJS34" s="684"/>
      <c r="MJT34" s="684"/>
      <c r="MJU34" s="684"/>
      <c r="MJV34" s="684"/>
      <c r="MJW34" s="684"/>
      <c r="MJX34" s="684"/>
      <c r="MJY34" s="684"/>
      <c r="MJZ34" s="684"/>
      <c r="MKA34" s="684"/>
      <c r="MKB34" s="684"/>
      <c r="MKC34" s="684"/>
      <c r="MKD34" s="684"/>
      <c r="MKE34" s="684"/>
      <c r="MKF34" s="684"/>
      <c r="MKG34" s="684"/>
      <c r="MKH34" s="684"/>
      <c r="MKI34" s="684"/>
      <c r="MKJ34" s="684"/>
      <c r="MKK34" s="684"/>
      <c r="MKL34" s="684"/>
      <c r="MKM34" s="684"/>
      <c r="MKN34" s="684"/>
      <c r="MKO34" s="684"/>
      <c r="MKP34" s="684"/>
      <c r="MKQ34" s="684"/>
      <c r="MKR34" s="684"/>
      <c r="MKS34" s="684"/>
      <c r="MKT34" s="684"/>
      <c r="MKU34" s="684"/>
      <c r="MKV34" s="684"/>
      <c r="MKW34" s="684"/>
      <c r="MKX34" s="684"/>
      <c r="MKY34" s="684"/>
      <c r="MKZ34" s="684"/>
      <c r="MLA34" s="684"/>
      <c r="MLB34" s="684"/>
      <c r="MLC34" s="684"/>
      <c r="MLD34" s="684"/>
      <c r="MLE34" s="684"/>
      <c r="MLF34" s="684"/>
      <c r="MLG34" s="684"/>
      <c r="MLH34" s="684"/>
      <c r="MLI34" s="684"/>
      <c r="MLJ34" s="684"/>
      <c r="MLK34" s="684"/>
      <c r="MLL34" s="684"/>
      <c r="MLM34" s="684"/>
      <c r="MLN34" s="684"/>
      <c r="MLO34" s="684"/>
      <c r="MLP34" s="684"/>
      <c r="MLQ34" s="684"/>
      <c r="MLR34" s="684"/>
      <c r="MLS34" s="684"/>
      <c r="MLT34" s="684"/>
      <c r="MLU34" s="684"/>
      <c r="MLV34" s="684"/>
      <c r="MLW34" s="684"/>
      <c r="MLX34" s="684"/>
      <c r="MLY34" s="684"/>
      <c r="MLZ34" s="684"/>
      <c r="MMA34" s="684"/>
      <c r="MMB34" s="684"/>
      <c r="MMC34" s="684"/>
      <c r="MMD34" s="684"/>
      <c r="MME34" s="684"/>
      <c r="MMF34" s="684"/>
      <c r="MMG34" s="684"/>
      <c r="MMH34" s="684"/>
      <c r="MMI34" s="684"/>
      <c r="MMJ34" s="684"/>
      <c r="MMK34" s="684"/>
      <c r="MML34" s="684"/>
      <c r="MMM34" s="684"/>
      <c r="MMN34" s="684"/>
      <c r="MMO34" s="684"/>
      <c r="MMP34" s="684"/>
      <c r="MMQ34" s="684"/>
      <c r="MMR34" s="684"/>
      <c r="MMS34" s="684"/>
      <c r="MMT34" s="684"/>
      <c r="MMU34" s="684"/>
      <c r="MMV34" s="684"/>
      <c r="MMW34" s="684"/>
      <c r="MMX34" s="684"/>
      <c r="MMY34" s="684"/>
      <c r="MMZ34" s="684"/>
      <c r="MNA34" s="684"/>
      <c r="MNB34" s="684"/>
      <c r="MNC34" s="684"/>
      <c r="MND34" s="684"/>
      <c r="MNE34" s="684"/>
      <c r="MNF34" s="684"/>
      <c r="MNG34" s="684"/>
      <c r="MNH34" s="684"/>
      <c r="MNI34" s="684"/>
      <c r="MNJ34" s="684"/>
      <c r="MNK34" s="684"/>
      <c r="MNL34" s="684"/>
      <c r="MNM34" s="684"/>
      <c r="MNN34" s="684"/>
      <c r="MNO34" s="684"/>
      <c r="MNP34" s="684"/>
      <c r="MNQ34" s="684"/>
      <c r="MNR34" s="684"/>
      <c r="MNS34" s="684"/>
      <c r="MNT34" s="684"/>
      <c r="MNU34" s="684"/>
      <c r="MNV34" s="684"/>
      <c r="MNW34" s="684"/>
      <c r="MNX34" s="684"/>
      <c r="MNY34" s="684"/>
      <c r="MNZ34" s="684"/>
      <c r="MOA34" s="684"/>
      <c r="MOB34" s="684"/>
      <c r="MOC34" s="684"/>
      <c r="MOD34" s="684"/>
      <c r="MOE34" s="684"/>
      <c r="MOF34" s="684"/>
      <c r="MOG34" s="684"/>
      <c r="MOH34" s="684"/>
      <c r="MOI34" s="684"/>
      <c r="MOJ34" s="684"/>
      <c r="MOK34" s="684"/>
      <c r="MOL34" s="684"/>
      <c r="MOM34" s="684"/>
      <c r="MON34" s="684"/>
      <c r="MOO34" s="684"/>
      <c r="MOP34" s="684"/>
      <c r="MOQ34" s="684"/>
      <c r="MOR34" s="684"/>
      <c r="MOS34" s="684"/>
      <c r="MOT34" s="684"/>
      <c r="MOU34" s="684"/>
      <c r="MOV34" s="684"/>
      <c r="MOW34" s="684"/>
      <c r="MOX34" s="684"/>
      <c r="MOY34" s="684"/>
      <c r="MOZ34" s="684"/>
      <c r="MPA34" s="684"/>
      <c r="MPB34" s="684"/>
      <c r="MPC34" s="684"/>
      <c r="MPD34" s="684"/>
      <c r="MPE34" s="684"/>
      <c r="MPF34" s="684"/>
      <c r="MPG34" s="684"/>
      <c r="MPH34" s="684"/>
      <c r="MPI34" s="684"/>
      <c r="MPJ34" s="684"/>
      <c r="MPK34" s="684"/>
      <c r="MPL34" s="684"/>
      <c r="MPM34" s="684"/>
      <c r="MPN34" s="684"/>
      <c r="MPO34" s="684"/>
      <c r="MPP34" s="684"/>
      <c r="MPQ34" s="684"/>
      <c r="MPR34" s="684"/>
      <c r="MPS34" s="684"/>
      <c r="MPT34" s="684"/>
      <c r="MPU34" s="684"/>
      <c r="MPV34" s="684"/>
      <c r="MPW34" s="684"/>
      <c r="MPX34" s="684"/>
      <c r="MPY34" s="684"/>
      <c r="MPZ34" s="684"/>
      <c r="MQA34" s="684"/>
      <c r="MQB34" s="684"/>
      <c r="MQC34" s="684"/>
      <c r="MQD34" s="684"/>
      <c r="MQE34" s="684"/>
      <c r="MQF34" s="684"/>
      <c r="MQG34" s="684"/>
      <c r="MQH34" s="684"/>
      <c r="MQI34" s="684"/>
      <c r="MQJ34" s="684"/>
      <c r="MQK34" s="684"/>
      <c r="MQL34" s="684"/>
      <c r="MQM34" s="684"/>
      <c r="MQN34" s="684"/>
      <c r="MQO34" s="684"/>
      <c r="MQP34" s="684"/>
      <c r="MQQ34" s="684"/>
      <c r="MQR34" s="684"/>
      <c r="MQS34" s="684"/>
      <c r="MQT34" s="684"/>
      <c r="MQU34" s="684"/>
      <c r="MQV34" s="684"/>
      <c r="MQW34" s="684"/>
      <c r="MQX34" s="684"/>
      <c r="MQY34" s="684"/>
      <c r="MQZ34" s="684"/>
      <c r="MRA34" s="684"/>
      <c r="MRB34" s="684"/>
      <c r="MRC34" s="684"/>
      <c r="MRD34" s="684"/>
      <c r="MRE34" s="684"/>
      <c r="MRF34" s="684"/>
      <c r="MRG34" s="684"/>
      <c r="MRH34" s="684"/>
      <c r="MRI34" s="684"/>
      <c r="MRJ34" s="684"/>
      <c r="MRK34" s="684"/>
      <c r="MRL34" s="684"/>
      <c r="MRM34" s="684"/>
      <c r="MRN34" s="684"/>
      <c r="MRO34" s="684"/>
      <c r="MRP34" s="684"/>
      <c r="MRQ34" s="684"/>
      <c r="MRR34" s="684"/>
      <c r="MRS34" s="684"/>
      <c r="MRT34" s="684"/>
      <c r="MRU34" s="684"/>
      <c r="MRV34" s="684"/>
      <c r="MRW34" s="684"/>
      <c r="MRX34" s="684"/>
      <c r="MRY34" s="684"/>
      <c r="MRZ34" s="684"/>
      <c r="MSA34" s="684"/>
      <c r="MSB34" s="684"/>
      <c r="MSC34" s="684"/>
      <c r="MSD34" s="684"/>
      <c r="MSE34" s="684"/>
      <c r="MSF34" s="684"/>
      <c r="MSG34" s="684"/>
      <c r="MSH34" s="684"/>
      <c r="MSI34" s="684"/>
      <c r="MSJ34" s="684"/>
      <c r="MSK34" s="684"/>
      <c r="MSL34" s="684"/>
      <c r="MSM34" s="684"/>
      <c r="MSN34" s="684"/>
      <c r="MSO34" s="684"/>
      <c r="MSP34" s="684"/>
      <c r="MSQ34" s="684"/>
      <c r="MSR34" s="684"/>
      <c r="MSS34" s="684"/>
      <c r="MST34" s="684"/>
      <c r="MSU34" s="684"/>
      <c r="MSV34" s="684"/>
      <c r="MSW34" s="684"/>
      <c r="MSX34" s="684"/>
      <c r="MSY34" s="684"/>
      <c r="MSZ34" s="684"/>
      <c r="MTA34" s="684"/>
      <c r="MTB34" s="684"/>
      <c r="MTC34" s="684"/>
      <c r="MTD34" s="684"/>
      <c r="MTE34" s="684"/>
      <c r="MTF34" s="684"/>
      <c r="MTG34" s="684"/>
      <c r="MTH34" s="684"/>
      <c r="MTI34" s="684"/>
      <c r="MTJ34" s="684"/>
      <c r="MTK34" s="684"/>
      <c r="MTL34" s="684"/>
      <c r="MTM34" s="684"/>
      <c r="MTN34" s="684"/>
      <c r="MTO34" s="684"/>
      <c r="MTP34" s="684"/>
      <c r="MTQ34" s="684"/>
      <c r="MTR34" s="684"/>
      <c r="MTS34" s="684"/>
      <c r="MTT34" s="684"/>
      <c r="MTU34" s="684"/>
      <c r="MTV34" s="684"/>
      <c r="MTW34" s="684"/>
      <c r="MTX34" s="684"/>
      <c r="MTY34" s="684"/>
      <c r="MTZ34" s="684"/>
      <c r="MUA34" s="684"/>
      <c r="MUB34" s="684"/>
      <c r="MUC34" s="684"/>
      <c r="MUD34" s="684"/>
      <c r="MUE34" s="684"/>
      <c r="MUF34" s="684"/>
      <c r="MUG34" s="684"/>
      <c r="MUH34" s="684"/>
      <c r="MUI34" s="684"/>
      <c r="MUJ34" s="684"/>
      <c r="MUK34" s="684"/>
      <c r="MUL34" s="684"/>
      <c r="MUM34" s="684"/>
      <c r="MUN34" s="684"/>
      <c r="MUO34" s="684"/>
      <c r="MUP34" s="684"/>
      <c r="MUQ34" s="684"/>
      <c r="MUR34" s="684"/>
      <c r="MUS34" s="684"/>
      <c r="MUT34" s="684"/>
      <c r="MUU34" s="684"/>
      <c r="MUV34" s="684"/>
      <c r="MUW34" s="684"/>
      <c r="MUX34" s="684"/>
      <c r="MUY34" s="684"/>
      <c r="MUZ34" s="684"/>
      <c r="MVA34" s="684"/>
      <c r="MVB34" s="684"/>
      <c r="MVC34" s="684"/>
      <c r="MVD34" s="684"/>
      <c r="MVE34" s="684"/>
      <c r="MVF34" s="684"/>
      <c r="MVG34" s="684"/>
      <c r="MVH34" s="684"/>
      <c r="MVI34" s="684"/>
      <c r="MVJ34" s="684"/>
      <c r="MVK34" s="684"/>
      <c r="MVL34" s="684"/>
      <c r="MVM34" s="684"/>
      <c r="MVN34" s="684"/>
      <c r="MVO34" s="684"/>
      <c r="MVP34" s="684"/>
      <c r="MVQ34" s="684"/>
      <c r="MVR34" s="684"/>
      <c r="MVS34" s="684"/>
      <c r="MVT34" s="684"/>
      <c r="MVU34" s="684"/>
      <c r="MVV34" s="684"/>
      <c r="MVW34" s="684"/>
      <c r="MVX34" s="684"/>
      <c r="MVY34" s="684"/>
      <c r="MVZ34" s="684"/>
      <c r="MWA34" s="684"/>
      <c r="MWB34" s="684"/>
      <c r="MWC34" s="684"/>
      <c r="MWD34" s="684"/>
      <c r="MWE34" s="684"/>
      <c r="MWF34" s="684"/>
      <c r="MWG34" s="684"/>
      <c r="MWH34" s="684"/>
      <c r="MWI34" s="684"/>
      <c r="MWJ34" s="684"/>
      <c r="MWK34" s="684"/>
      <c r="MWL34" s="684"/>
      <c r="MWM34" s="684"/>
      <c r="MWN34" s="684"/>
      <c r="MWO34" s="684"/>
      <c r="MWP34" s="684"/>
      <c r="MWQ34" s="684"/>
      <c r="MWR34" s="684"/>
      <c r="MWS34" s="684"/>
      <c r="MWT34" s="684"/>
      <c r="MWU34" s="684"/>
      <c r="MWV34" s="684"/>
      <c r="MWW34" s="684"/>
      <c r="MWX34" s="684"/>
      <c r="MWY34" s="684"/>
      <c r="MWZ34" s="684"/>
      <c r="MXA34" s="684"/>
      <c r="MXB34" s="684"/>
      <c r="MXC34" s="684"/>
      <c r="MXD34" s="684"/>
      <c r="MXE34" s="684"/>
      <c r="MXF34" s="684"/>
      <c r="MXG34" s="684"/>
      <c r="MXH34" s="684"/>
      <c r="MXI34" s="684"/>
      <c r="MXJ34" s="684"/>
      <c r="MXK34" s="684"/>
      <c r="MXL34" s="684"/>
      <c r="MXM34" s="684"/>
      <c r="MXN34" s="684"/>
      <c r="MXO34" s="684"/>
      <c r="MXP34" s="684"/>
      <c r="MXQ34" s="684"/>
      <c r="MXR34" s="684"/>
      <c r="MXS34" s="684"/>
      <c r="MXT34" s="684"/>
      <c r="MXU34" s="684"/>
      <c r="MXV34" s="684"/>
      <c r="MXW34" s="684"/>
      <c r="MXX34" s="684"/>
      <c r="MXY34" s="684"/>
      <c r="MXZ34" s="684"/>
      <c r="MYA34" s="684"/>
      <c r="MYB34" s="684"/>
      <c r="MYC34" s="684"/>
      <c r="MYD34" s="684"/>
      <c r="MYE34" s="684"/>
      <c r="MYF34" s="684"/>
      <c r="MYG34" s="684"/>
      <c r="MYH34" s="684"/>
      <c r="MYI34" s="684"/>
      <c r="MYJ34" s="684"/>
      <c r="MYK34" s="684"/>
      <c r="MYL34" s="684"/>
      <c r="MYM34" s="684"/>
      <c r="MYN34" s="684"/>
      <c r="MYO34" s="684"/>
      <c r="MYP34" s="684"/>
      <c r="MYQ34" s="684"/>
      <c r="MYR34" s="684"/>
      <c r="MYS34" s="684"/>
      <c r="MYT34" s="684"/>
      <c r="MYU34" s="684"/>
      <c r="MYV34" s="684"/>
      <c r="MYW34" s="684"/>
      <c r="MYX34" s="684"/>
      <c r="MYY34" s="684"/>
      <c r="MYZ34" s="684"/>
      <c r="MZA34" s="684"/>
      <c r="MZB34" s="684"/>
      <c r="MZC34" s="684"/>
      <c r="MZD34" s="684"/>
      <c r="MZE34" s="684"/>
      <c r="MZF34" s="684"/>
      <c r="MZG34" s="684"/>
      <c r="MZH34" s="684"/>
      <c r="MZI34" s="684"/>
      <c r="MZJ34" s="684"/>
      <c r="MZK34" s="684"/>
      <c r="MZL34" s="684"/>
      <c r="MZM34" s="684"/>
      <c r="MZN34" s="684"/>
      <c r="MZO34" s="684"/>
      <c r="MZP34" s="684"/>
      <c r="MZQ34" s="684"/>
      <c r="MZR34" s="684"/>
      <c r="MZS34" s="684"/>
      <c r="MZT34" s="684"/>
      <c r="MZU34" s="684"/>
      <c r="MZV34" s="684"/>
      <c r="MZW34" s="684"/>
      <c r="MZX34" s="684"/>
      <c r="MZY34" s="684"/>
      <c r="MZZ34" s="684"/>
      <c r="NAA34" s="684"/>
      <c r="NAB34" s="684"/>
      <c r="NAC34" s="684"/>
      <c r="NAD34" s="684"/>
      <c r="NAE34" s="684"/>
      <c r="NAF34" s="684"/>
      <c r="NAG34" s="684"/>
      <c r="NAH34" s="684"/>
      <c r="NAI34" s="684"/>
      <c r="NAJ34" s="684"/>
      <c r="NAK34" s="684"/>
      <c r="NAL34" s="684"/>
      <c r="NAM34" s="684"/>
      <c r="NAN34" s="684"/>
      <c r="NAO34" s="684"/>
      <c r="NAP34" s="684"/>
      <c r="NAQ34" s="684"/>
      <c r="NAR34" s="684"/>
      <c r="NAS34" s="684"/>
      <c r="NAT34" s="684"/>
      <c r="NAU34" s="684"/>
      <c r="NAV34" s="684"/>
      <c r="NAW34" s="684"/>
      <c r="NAX34" s="684"/>
      <c r="NAY34" s="684"/>
      <c r="NAZ34" s="684"/>
      <c r="NBA34" s="684"/>
      <c r="NBB34" s="684"/>
      <c r="NBC34" s="684"/>
      <c r="NBD34" s="684"/>
      <c r="NBE34" s="684"/>
      <c r="NBF34" s="684"/>
      <c r="NBG34" s="684"/>
      <c r="NBH34" s="684"/>
      <c r="NBI34" s="684"/>
      <c r="NBJ34" s="684"/>
      <c r="NBK34" s="684"/>
      <c r="NBL34" s="684"/>
      <c r="NBM34" s="684"/>
      <c r="NBN34" s="684"/>
      <c r="NBO34" s="684"/>
      <c r="NBP34" s="684"/>
      <c r="NBQ34" s="684"/>
      <c r="NBR34" s="684"/>
      <c r="NBS34" s="684"/>
      <c r="NBT34" s="684"/>
      <c r="NBU34" s="684"/>
      <c r="NBV34" s="684"/>
      <c r="NBW34" s="684"/>
      <c r="NBX34" s="684"/>
      <c r="NBY34" s="684"/>
      <c r="NBZ34" s="684"/>
      <c r="NCA34" s="684"/>
      <c r="NCB34" s="684"/>
      <c r="NCC34" s="684"/>
      <c r="NCD34" s="684"/>
      <c r="NCE34" s="684"/>
      <c r="NCF34" s="684"/>
      <c r="NCG34" s="684"/>
      <c r="NCH34" s="684"/>
      <c r="NCI34" s="684"/>
      <c r="NCJ34" s="684"/>
      <c r="NCK34" s="684"/>
      <c r="NCL34" s="684"/>
      <c r="NCM34" s="684"/>
      <c r="NCN34" s="684"/>
      <c r="NCO34" s="684"/>
      <c r="NCP34" s="684"/>
      <c r="NCQ34" s="684"/>
      <c r="NCR34" s="684"/>
      <c r="NCS34" s="684"/>
      <c r="NCT34" s="684"/>
      <c r="NCU34" s="684"/>
      <c r="NCV34" s="684"/>
      <c r="NCW34" s="684"/>
      <c r="NCX34" s="684"/>
      <c r="NCY34" s="684"/>
      <c r="NCZ34" s="684"/>
      <c r="NDA34" s="684"/>
      <c r="NDB34" s="684"/>
      <c r="NDC34" s="684"/>
      <c r="NDD34" s="684"/>
      <c r="NDE34" s="684"/>
      <c r="NDF34" s="684"/>
      <c r="NDG34" s="684"/>
      <c r="NDH34" s="684"/>
      <c r="NDI34" s="684"/>
      <c r="NDJ34" s="684"/>
      <c r="NDK34" s="684"/>
      <c r="NDL34" s="684"/>
      <c r="NDM34" s="684"/>
      <c r="NDN34" s="684"/>
      <c r="NDO34" s="684"/>
      <c r="NDP34" s="684"/>
      <c r="NDQ34" s="684"/>
      <c r="NDR34" s="684"/>
      <c r="NDS34" s="684"/>
      <c r="NDT34" s="684"/>
      <c r="NDU34" s="684"/>
      <c r="NDV34" s="684"/>
      <c r="NDW34" s="684"/>
      <c r="NDX34" s="684"/>
      <c r="NDY34" s="684"/>
      <c r="NDZ34" s="684"/>
      <c r="NEA34" s="684"/>
      <c r="NEB34" s="684"/>
      <c r="NEC34" s="684"/>
      <c r="NED34" s="684"/>
      <c r="NEE34" s="684"/>
      <c r="NEF34" s="684"/>
      <c r="NEG34" s="684"/>
      <c r="NEH34" s="684"/>
      <c r="NEI34" s="684"/>
      <c r="NEJ34" s="684"/>
      <c r="NEK34" s="684"/>
      <c r="NEL34" s="684"/>
      <c r="NEM34" s="684"/>
      <c r="NEN34" s="684"/>
      <c r="NEO34" s="684"/>
      <c r="NEP34" s="684"/>
      <c r="NEQ34" s="684"/>
      <c r="NER34" s="684"/>
      <c r="NES34" s="684"/>
      <c r="NET34" s="684"/>
      <c r="NEU34" s="684"/>
      <c r="NEV34" s="684"/>
      <c r="NEW34" s="684"/>
      <c r="NEX34" s="684"/>
      <c r="NEY34" s="684"/>
      <c r="NEZ34" s="684"/>
      <c r="NFA34" s="684"/>
      <c r="NFB34" s="684"/>
      <c r="NFC34" s="684"/>
      <c r="NFD34" s="684"/>
      <c r="NFE34" s="684"/>
      <c r="NFF34" s="684"/>
      <c r="NFG34" s="684"/>
      <c r="NFH34" s="684"/>
      <c r="NFI34" s="684"/>
      <c r="NFJ34" s="684"/>
      <c r="NFK34" s="684"/>
      <c r="NFL34" s="684"/>
      <c r="NFM34" s="684"/>
      <c r="NFN34" s="684"/>
      <c r="NFO34" s="684"/>
      <c r="NFP34" s="684"/>
      <c r="NFQ34" s="684"/>
      <c r="NFR34" s="684"/>
      <c r="NFS34" s="684"/>
      <c r="NFT34" s="684"/>
      <c r="NFU34" s="684"/>
      <c r="NFV34" s="684"/>
      <c r="NFW34" s="684"/>
      <c r="NFX34" s="684"/>
      <c r="NFY34" s="684"/>
      <c r="NFZ34" s="684"/>
      <c r="NGA34" s="684"/>
      <c r="NGB34" s="684"/>
      <c r="NGC34" s="684"/>
      <c r="NGD34" s="684"/>
      <c r="NGE34" s="684"/>
      <c r="NGF34" s="684"/>
      <c r="NGG34" s="684"/>
      <c r="NGH34" s="684"/>
      <c r="NGI34" s="684"/>
      <c r="NGJ34" s="684"/>
      <c r="NGK34" s="684"/>
      <c r="NGL34" s="684"/>
      <c r="NGM34" s="684"/>
      <c r="NGN34" s="684"/>
      <c r="NGO34" s="684"/>
      <c r="NGP34" s="684"/>
      <c r="NGQ34" s="684"/>
      <c r="NGR34" s="684"/>
      <c r="NGS34" s="684"/>
      <c r="NGT34" s="684"/>
      <c r="NGU34" s="684"/>
      <c r="NGV34" s="684"/>
      <c r="NGW34" s="684"/>
      <c r="NGX34" s="684"/>
      <c r="NGY34" s="684"/>
      <c r="NGZ34" s="684"/>
      <c r="NHA34" s="684"/>
      <c r="NHB34" s="684"/>
      <c r="NHC34" s="684"/>
      <c r="NHD34" s="684"/>
      <c r="NHE34" s="684"/>
      <c r="NHF34" s="684"/>
      <c r="NHG34" s="684"/>
      <c r="NHH34" s="684"/>
      <c r="NHI34" s="684"/>
      <c r="NHJ34" s="684"/>
      <c r="NHK34" s="684"/>
      <c r="NHL34" s="684"/>
      <c r="NHM34" s="684"/>
      <c r="NHN34" s="684"/>
      <c r="NHO34" s="684"/>
      <c r="NHP34" s="684"/>
      <c r="NHQ34" s="684"/>
      <c r="NHR34" s="684"/>
      <c r="NHS34" s="684"/>
      <c r="NHT34" s="684"/>
      <c r="NHU34" s="684"/>
      <c r="NHV34" s="684"/>
      <c r="NHW34" s="684"/>
      <c r="NHX34" s="684"/>
      <c r="NHY34" s="684"/>
      <c r="NHZ34" s="684"/>
      <c r="NIA34" s="684"/>
      <c r="NIB34" s="684"/>
      <c r="NIC34" s="684"/>
      <c r="NID34" s="684"/>
      <c r="NIE34" s="684"/>
      <c r="NIF34" s="684"/>
      <c r="NIG34" s="684"/>
      <c r="NIH34" s="684"/>
      <c r="NII34" s="684"/>
      <c r="NIJ34" s="684"/>
      <c r="NIK34" s="684"/>
      <c r="NIL34" s="684"/>
      <c r="NIM34" s="684"/>
      <c r="NIN34" s="684"/>
      <c r="NIO34" s="684"/>
      <c r="NIP34" s="684"/>
      <c r="NIQ34" s="684"/>
      <c r="NIR34" s="684"/>
      <c r="NIS34" s="684"/>
      <c r="NIT34" s="684"/>
      <c r="NIU34" s="684"/>
      <c r="NIV34" s="684"/>
      <c r="NIW34" s="684"/>
      <c r="NIX34" s="684"/>
      <c r="NIY34" s="684"/>
      <c r="NIZ34" s="684"/>
      <c r="NJA34" s="684"/>
      <c r="NJB34" s="684"/>
      <c r="NJC34" s="684"/>
      <c r="NJD34" s="684"/>
      <c r="NJE34" s="684"/>
      <c r="NJF34" s="684"/>
      <c r="NJG34" s="684"/>
      <c r="NJH34" s="684"/>
      <c r="NJI34" s="684"/>
      <c r="NJJ34" s="684"/>
      <c r="NJK34" s="684"/>
      <c r="NJL34" s="684"/>
      <c r="NJM34" s="684"/>
      <c r="NJN34" s="684"/>
      <c r="NJO34" s="684"/>
      <c r="NJP34" s="684"/>
      <c r="NJQ34" s="684"/>
      <c r="NJR34" s="684"/>
      <c r="NJS34" s="684"/>
      <c r="NJT34" s="684"/>
      <c r="NJU34" s="684"/>
      <c r="NJV34" s="684"/>
      <c r="NJW34" s="684"/>
      <c r="NJX34" s="684"/>
      <c r="NJY34" s="684"/>
      <c r="NJZ34" s="684"/>
      <c r="NKA34" s="684"/>
      <c r="NKB34" s="684"/>
      <c r="NKC34" s="684"/>
      <c r="NKD34" s="684"/>
      <c r="NKE34" s="684"/>
      <c r="NKF34" s="684"/>
      <c r="NKG34" s="684"/>
      <c r="NKH34" s="684"/>
      <c r="NKI34" s="684"/>
      <c r="NKJ34" s="684"/>
      <c r="NKK34" s="684"/>
      <c r="NKL34" s="684"/>
      <c r="NKM34" s="684"/>
      <c r="NKN34" s="684"/>
      <c r="NKO34" s="684"/>
      <c r="NKP34" s="684"/>
      <c r="NKQ34" s="684"/>
      <c r="NKR34" s="684"/>
      <c r="NKS34" s="684"/>
      <c r="NKT34" s="684"/>
      <c r="NKU34" s="684"/>
      <c r="NKV34" s="684"/>
      <c r="NKW34" s="684"/>
      <c r="NKX34" s="684"/>
      <c r="NKY34" s="684"/>
      <c r="NKZ34" s="684"/>
      <c r="NLA34" s="684"/>
      <c r="NLB34" s="684"/>
      <c r="NLC34" s="684"/>
      <c r="NLD34" s="684"/>
      <c r="NLE34" s="684"/>
      <c r="NLF34" s="684"/>
      <c r="NLG34" s="684"/>
      <c r="NLH34" s="684"/>
      <c r="NLI34" s="684"/>
      <c r="NLJ34" s="684"/>
      <c r="NLK34" s="684"/>
      <c r="NLL34" s="684"/>
      <c r="NLM34" s="684"/>
      <c r="NLN34" s="684"/>
      <c r="NLO34" s="684"/>
      <c r="NLP34" s="684"/>
      <c r="NLQ34" s="684"/>
      <c r="NLR34" s="684"/>
      <c r="NLS34" s="684"/>
      <c r="NLT34" s="684"/>
      <c r="NLU34" s="684"/>
      <c r="NLV34" s="684"/>
      <c r="NLW34" s="684"/>
      <c r="NLX34" s="684"/>
      <c r="NLY34" s="684"/>
      <c r="NLZ34" s="684"/>
      <c r="NMA34" s="684"/>
      <c r="NMB34" s="684"/>
      <c r="NMC34" s="684"/>
      <c r="NMD34" s="684"/>
      <c r="NME34" s="684"/>
      <c r="NMF34" s="684"/>
      <c r="NMG34" s="684"/>
      <c r="NMH34" s="684"/>
      <c r="NMI34" s="684"/>
      <c r="NMJ34" s="684"/>
      <c r="NMK34" s="684"/>
      <c r="NML34" s="684"/>
      <c r="NMM34" s="684"/>
      <c r="NMN34" s="684"/>
      <c r="NMO34" s="684"/>
      <c r="NMP34" s="684"/>
      <c r="NMQ34" s="684"/>
      <c r="NMR34" s="684"/>
      <c r="NMS34" s="684"/>
      <c r="NMT34" s="684"/>
      <c r="NMU34" s="684"/>
      <c r="NMV34" s="684"/>
      <c r="NMW34" s="684"/>
      <c r="NMX34" s="684"/>
      <c r="NMY34" s="684"/>
      <c r="NMZ34" s="684"/>
      <c r="NNA34" s="684"/>
      <c r="NNB34" s="684"/>
      <c r="NNC34" s="684"/>
      <c r="NND34" s="684"/>
      <c r="NNE34" s="684"/>
      <c r="NNF34" s="684"/>
      <c r="NNG34" s="684"/>
      <c r="NNH34" s="684"/>
      <c r="NNI34" s="684"/>
      <c r="NNJ34" s="684"/>
      <c r="NNK34" s="684"/>
      <c r="NNL34" s="684"/>
      <c r="NNM34" s="684"/>
      <c r="NNN34" s="684"/>
      <c r="NNO34" s="684"/>
      <c r="NNP34" s="684"/>
      <c r="NNQ34" s="684"/>
      <c r="NNR34" s="684"/>
      <c r="NNS34" s="684"/>
      <c r="NNT34" s="684"/>
      <c r="NNU34" s="684"/>
      <c r="NNV34" s="684"/>
      <c r="NNW34" s="684"/>
      <c r="NNX34" s="684"/>
      <c r="NNY34" s="684"/>
      <c r="NNZ34" s="684"/>
      <c r="NOA34" s="684"/>
      <c r="NOB34" s="684"/>
      <c r="NOC34" s="684"/>
      <c r="NOD34" s="684"/>
      <c r="NOE34" s="684"/>
      <c r="NOF34" s="684"/>
      <c r="NOG34" s="684"/>
      <c r="NOH34" s="684"/>
      <c r="NOI34" s="684"/>
      <c r="NOJ34" s="684"/>
      <c r="NOK34" s="684"/>
      <c r="NOL34" s="684"/>
      <c r="NOM34" s="684"/>
      <c r="NON34" s="684"/>
      <c r="NOO34" s="684"/>
      <c r="NOP34" s="684"/>
      <c r="NOQ34" s="684"/>
      <c r="NOR34" s="684"/>
      <c r="NOS34" s="684"/>
      <c r="NOT34" s="684"/>
      <c r="NOU34" s="684"/>
      <c r="NOV34" s="684"/>
      <c r="NOW34" s="684"/>
      <c r="NOX34" s="684"/>
      <c r="NOY34" s="684"/>
      <c r="NOZ34" s="684"/>
      <c r="NPA34" s="684"/>
      <c r="NPB34" s="684"/>
      <c r="NPC34" s="684"/>
      <c r="NPD34" s="684"/>
      <c r="NPE34" s="684"/>
      <c r="NPF34" s="684"/>
      <c r="NPG34" s="684"/>
      <c r="NPH34" s="684"/>
      <c r="NPI34" s="684"/>
      <c r="NPJ34" s="684"/>
      <c r="NPK34" s="684"/>
      <c r="NPL34" s="684"/>
      <c r="NPM34" s="684"/>
      <c r="NPN34" s="684"/>
      <c r="NPO34" s="684"/>
      <c r="NPP34" s="684"/>
      <c r="NPQ34" s="684"/>
      <c r="NPR34" s="684"/>
      <c r="NPS34" s="684"/>
      <c r="NPT34" s="684"/>
      <c r="NPU34" s="684"/>
      <c r="NPV34" s="684"/>
      <c r="NPW34" s="684"/>
      <c r="NPX34" s="684"/>
      <c r="NPY34" s="684"/>
      <c r="NPZ34" s="684"/>
      <c r="NQA34" s="684"/>
      <c r="NQB34" s="684"/>
      <c r="NQC34" s="684"/>
      <c r="NQD34" s="684"/>
      <c r="NQE34" s="684"/>
      <c r="NQF34" s="684"/>
      <c r="NQG34" s="684"/>
      <c r="NQH34" s="684"/>
      <c r="NQI34" s="684"/>
      <c r="NQJ34" s="684"/>
      <c r="NQK34" s="684"/>
      <c r="NQL34" s="684"/>
      <c r="NQM34" s="684"/>
      <c r="NQN34" s="684"/>
      <c r="NQO34" s="684"/>
      <c r="NQP34" s="684"/>
      <c r="NQQ34" s="684"/>
      <c r="NQR34" s="684"/>
      <c r="NQS34" s="684"/>
      <c r="NQT34" s="684"/>
      <c r="NQU34" s="684"/>
      <c r="NQV34" s="684"/>
      <c r="NQW34" s="684"/>
      <c r="NQX34" s="684"/>
      <c r="NQY34" s="684"/>
      <c r="NQZ34" s="684"/>
      <c r="NRA34" s="684"/>
      <c r="NRB34" s="684"/>
      <c r="NRC34" s="684"/>
      <c r="NRD34" s="684"/>
      <c r="NRE34" s="684"/>
      <c r="NRF34" s="684"/>
      <c r="NRG34" s="684"/>
      <c r="NRH34" s="684"/>
      <c r="NRI34" s="684"/>
      <c r="NRJ34" s="684"/>
      <c r="NRK34" s="684"/>
      <c r="NRL34" s="684"/>
      <c r="NRM34" s="684"/>
      <c r="NRN34" s="684"/>
      <c r="NRO34" s="684"/>
      <c r="NRP34" s="684"/>
      <c r="NRQ34" s="684"/>
      <c r="NRR34" s="684"/>
      <c r="NRS34" s="684"/>
      <c r="NRT34" s="684"/>
      <c r="NRU34" s="684"/>
      <c r="NRV34" s="684"/>
      <c r="NRW34" s="684"/>
      <c r="NRX34" s="684"/>
      <c r="NRY34" s="684"/>
      <c r="NRZ34" s="684"/>
      <c r="NSA34" s="684"/>
      <c r="NSB34" s="684"/>
      <c r="NSC34" s="684"/>
      <c r="NSD34" s="684"/>
      <c r="NSE34" s="684"/>
      <c r="NSF34" s="684"/>
      <c r="NSG34" s="684"/>
      <c r="NSH34" s="684"/>
      <c r="NSI34" s="684"/>
      <c r="NSJ34" s="684"/>
      <c r="NSK34" s="684"/>
      <c r="NSL34" s="684"/>
      <c r="NSM34" s="684"/>
      <c r="NSN34" s="684"/>
      <c r="NSO34" s="684"/>
      <c r="NSP34" s="684"/>
      <c r="NSQ34" s="684"/>
      <c r="NSR34" s="684"/>
      <c r="NSS34" s="684"/>
      <c r="NST34" s="684"/>
      <c r="NSU34" s="684"/>
      <c r="NSV34" s="684"/>
      <c r="NSW34" s="684"/>
      <c r="NSX34" s="684"/>
      <c r="NSY34" s="684"/>
      <c r="NSZ34" s="684"/>
      <c r="NTA34" s="684"/>
      <c r="NTB34" s="684"/>
      <c r="NTC34" s="684"/>
      <c r="NTD34" s="684"/>
      <c r="NTE34" s="684"/>
      <c r="NTF34" s="684"/>
      <c r="NTG34" s="684"/>
      <c r="NTH34" s="684"/>
      <c r="NTI34" s="684"/>
      <c r="NTJ34" s="684"/>
      <c r="NTK34" s="684"/>
      <c r="NTL34" s="684"/>
      <c r="NTM34" s="684"/>
      <c r="NTN34" s="684"/>
      <c r="NTO34" s="684"/>
      <c r="NTP34" s="684"/>
      <c r="NTQ34" s="684"/>
      <c r="NTR34" s="684"/>
      <c r="NTS34" s="684"/>
      <c r="NTT34" s="684"/>
      <c r="NTU34" s="684"/>
      <c r="NTV34" s="684"/>
      <c r="NTW34" s="684"/>
      <c r="NTX34" s="684"/>
      <c r="NTY34" s="684"/>
      <c r="NTZ34" s="684"/>
      <c r="NUA34" s="684"/>
      <c r="NUB34" s="684"/>
      <c r="NUC34" s="684"/>
      <c r="NUD34" s="684"/>
      <c r="NUE34" s="684"/>
      <c r="NUF34" s="684"/>
      <c r="NUG34" s="684"/>
      <c r="NUH34" s="684"/>
      <c r="NUI34" s="684"/>
      <c r="NUJ34" s="684"/>
      <c r="NUK34" s="684"/>
      <c r="NUL34" s="684"/>
      <c r="NUM34" s="684"/>
      <c r="NUN34" s="684"/>
      <c r="NUO34" s="684"/>
      <c r="NUP34" s="684"/>
      <c r="NUQ34" s="684"/>
      <c r="NUR34" s="684"/>
      <c r="NUS34" s="684"/>
      <c r="NUT34" s="684"/>
      <c r="NUU34" s="684"/>
      <c r="NUV34" s="684"/>
      <c r="NUW34" s="684"/>
      <c r="NUX34" s="684"/>
      <c r="NUY34" s="684"/>
      <c r="NUZ34" s="684"/>
      <c r="NVA34" s="684"/>
      <c r="NVB34" s="684"/>
      <c r="NVC34" s="684"/>
      <c r="NVD34" s="684"/>
      <c r="NVE34" s="684"/>
      <c r="NVF34" s="684"/>
      <c r="NVG34" s="684"/>
      <c r="NVH34" s="684"/>
      <c r="NVI34" s="684"/>
      <c r="NVJ34" s="684"/>
      <c r="NVK34" s="684"/>
      <c r="NVL34" s="684"/>
      <c r="NVM34" s="684"/>
      <c r="NVN34" s="684"/>
      <c r="NVO34" s="684"/>
      <c r="NVP34" s="684"/>
      <c r="NVQ34" s="684"/>
      <c r="NVR34" s="684"/>
      <c r="NVS34" s="684"/>
      <c r="NVT34" s="684"/>
      <c r="NVU34" s="684"/>
      <c r="NVV34" s="684"/>
      <c r="NVW34" s="684"/>
      <c r="NVX34" s="684"/>
      <c r="NVY34" s="684"/>
      <c r="NVZ34" s="684"/>
      <c r="NWA34" s="684"/>
      <c r="NWB34" s="684"/>
      <c r="NWC34" s="684"/>
      <c r="NWD34" s="684"/>
      <c r="NWE34" s="684"/>
      <c r="NWF34" s="684"/>
      <c r="NWG34" s="684"/>
      <c r="NWH34" s="684"/>
      <c r="NWI34" s="684"/>
      <c r="NWJ34" s="684"/>
      <c r="NWK34" s="684"/>
      <c r="NWL34" s="684"/>
      <c r="NWM34" s="684"/>
      <c r="NWN34" s="684"/>
      <c r="NWO34" s="684"/>
      <c r="NWP34" s="684"/>
      <c r="NWQ34" s="684"/>
      <c r="NWR34" s="684"/>
      <c r="NWS34" s="684"/>
      <c r="NWT34" s="684"/>
      <c r="NWU34" s="684"/>
      <c r="NWV34" s="684"/>
      <c r="NWW34" s="684"/>
      <c r="NWX34" s="684"/>
      <c r="NWY34" s="684"/>
      <c r="NWZ34" s="684"/>
      <c r="NXA34" s="684"/>
      <c r="NXB34" s="684"/>
      <c r="NXC34" s="684"/>
      <c r="NXD34" s="684"/>
      <c r="NXE34" s="684"/>
      <c r="NXF34" s="684"/>
      <c r="NXG34" s="684"/>
      <c r="NXH34" s="684"/>
      <c r="NXI34" s="684"/>
      <c r="NXJ34" s="684"/>
      <c r="NXK34" s="684"/>
      <c r="NXL34" s="684"/>
      <c r="NXM34" s="684"/>
      <c r="NXN34" s="684"/>
      <c r="NXO34" s="684"/>
      <c r="NXP34" s="684"/>
      <c r="NXQ34" s="684"/>
      <c r="NXR34" s="684"/>
      <c r="NXS34" s="684"/>
      <c r="NXT34" s="684"/>
      <c r="NXU34" s="684"/>
      <c r="NXV34" s="684"/>
      <c r="NXW34" s="684"/>
      <c r="NXX34" s="684"/>
      <c r="NXY34" s="684"/>
      <c r="NXZ34" s="684"/>
      <c r="NYA34" s="684"/>
      <c r="NYB34" s="684"/>
      <c r="NYC34" s="684"/>
      <c r="NYD34" s="684"/>
      <c r="NYE34" s="684"/>
      <c r="NYF34" s="684"/>
      <c r="NYG34" s="684"/>
      <c r="NYH34" s="684"/>
      <c r="NYI34" s="684"/>
      <c r="NYJ34" s="684"/>
      <c r="NYK34" s="684"/>
      <c r="NYL34" s="684"/>
      <c r="NYM34" s="684"/>
      <c r="NYN34" s="684"/>
      <c r="NYO34" s="684"/>
      <c r="NYP34" s="684"/>
      <c r="NYQ34" s="684"/>
      <c r="NYR34" s="684"/>
      <c r="NYS34" s="684"/>
      <c r="NYT34" s="684"/>
      <c r="NYU34" s="684"/>
      <c r="NYV34" s="684"/>
      <c r="NYW34" s="684"/>
      <c r="NYX34" s="684"/>
      <c r="NYY34" s="684"/>
      <c r="NYZ34" s="684"/>
      <c r="NZA34" s="684"/>
      <c r="NZB34" s="684"/>
      <c r="NZC34" s="684"/>
      <c r="NZD34" s="684"/>
      <c r="NZE34" s="684"/>
      <c r="NZF34" s="684"/>
      <c r="NZG34" s="684"/>
      <c r="NZH34" s="684"/>
      <c r="NZI34" s="684"/>
      <c r="NZJ34" s="684"/>
      <c r="NZK34" s="684"/>
      <c r="NZL34" s="684"/>
      <c r="NZM34" s="684"/>
      <c r="NZN34" s="684"/>
      <c r="NZO34" s="684"/>
      <c r="NZP34" s="684"/>
      <c r="NZQ34" s="684"/>
      <c r="NZR34" s="684"/>
      <c r="NZS34" s="684"/>
      <c r="NZT34" s="684"/>
      <c r="NZU34" s="684"/>
      <c r="NZV34" s="684"/>
      <c r="NZW34" s="684"/>
      <c r="NZX34" s="684"/>
      <c r="NZY34" s="684"/>
      <c r="NZZ34" s="684"/>
      <c r="OAA34" s="684"/>
      <c r="OAB34" s="684"/>
      <c r="OAC34" s="684"/>
      <c r="OAD34" s="684"/>
      <c r="OAE34" s="684"/>
      <c r="OAF34" s="684"/>
      <c r="OAG34" s="684"/>
      <c r="OAH34" s="684"/>
      <c r="OAI34" s="684"/>
      <c r="OAJ34" s="684"/>
      <c r="OAK34" s="684"/>
      <c r="OAL34" s="684"/>
      <c r="OAM34" s="684"/>
      <c r="OAN34" s="684"/>
      <c r="OAO34" s="684"/>
      <c r="OAP34" s="684"/>
      <c r="OAQ34" s="684"/>
      <c r="OAR34" s="684"/>
      <c r="OAS34" s="684"/>
      <c r="OAT34" s="684"/>
      <c r="OAU34" s="684"/>
      <c r="OAV34" s="684"/>
      <c r="OAW34" s="684"/>
      <c r="OAX34" s="684"/>
      <c r="OAY34" s="684"/>
      <c r="OAZ34" s="684"/>
      <c r="OBA34" s="684"/>
      <c r="OBB34" s="684"/>
      <c r="OBC34" s="684"/>
      <c r="OBD34" s="684"/>
      <c r="OBE34" s="684"/>
      <c r="OBF34" s="684"/>
      <c r="OBG34" s="684"/>
      <c r="OBH34" s="684"/>
      <c r="OBI34" s="684"/>
      <c r="OBJ34" s="684"/>
      <c r="OBK34" s="684"/>
      <c r="OBL34" s="684"/>
      <c r="OBM34" s="684"/>
      <c r="OBN34" s="684"/>
      <c r="OBO34" s="684"/>
      <c r="OBP34" s="684"/>
      <c r="OBQ34" s="684"/>
      <c r="OBR34" s="684"/>
      <c r="OBS34" s="684"/>
      <c r="OBT34" s="684"/>
      <c r="OBU34" s="684"/>
      <c r="OBV34" s="684"/>
      <c r="OBW34" s="684"/>
      <c r="OBX34" s="684"/>
      <c r="OBY34" s="684"/>
      <c r="OBZ34" s="684"/>
      <c r="OCA34" s="684"/>
      <c r="OCB34" s="684"/>
      <c r="OCC34" s="684"/>
      <c r="OCD34" s="684"/>
      <c r="OCE34" s="684"/>
      <c r="OCF34" s="684"/>
      <c r="OCG34" s="684"/>
      <c r="OCH34" s="684"/>
      <c r="OCI34" s="684"/>
      <c r="OCJ34" s="684"/>
      <c r="OCK34" s="684"/>
      <c r="OCL34" s="684"/>
      <c r="OCM34" s="684"/>
      <c r="OCN34" s="684"/>
      <c r="OCO34" s="684"/>
      <c r="OCP34" s="684"/>
      <c r="OCQ34" s="684"/>
      <c r="OCR34" s="684"/>
      <c r="OCS34" s="684"/>
      <c r="OCT34" s="684"/>
      <c r="OCU34" s="684"/>
      <c r="OCV34" s="684"/>
      <c r="OCW34" s="684"/>
      <c r="OCX34" s="684"/>
      <c r="OCY34" s="684"/>
      <c r="OCZ34" s="684"/>
      <c r="ODA34" s="684"/>
      <c r="ODB34" s="684"/>
      <c r="ODC34" s="684"/>
      <c r="ODD34" s="684"/>
      <c r="ODE34" s="684"/>
      <c r="ODF34" s="684"/>
      <c r="ODG34" s="684"/>
      <c r="ODH34" s="684"/>
      <c r="ODI34" s="684"/>
      <c r="ODJ34" s="684"/>
      <c r="ODK34" s="684"/>
      <c r="ODL34" s="684"/>
      <c r="ODM34" s="684"/>
      <c r="ODN34" s="684"/>
      <c r="ODO34" s="684"/>
      <c r="ODP34" s="684"/>
      <c r="ODQ34" s="684"/>
      <c r="ODR34" s="684"/>
      <c r="ODS34" s="684"/>
      <c r="ODT34" s="684"/>
      <c r="ODU34" s="684"/>
      <c r="ODV34" s="684"/>
      <c r="ODW34" s="684"/>
      <c r="ODX34" s="684"/>
      <c r="ODY34" s="684"/>
      <c r="ODZ34" s="684"/>
      <c r="OEA34" s="684"/>
      <c r="OEB34" s="684"/>
      <c r="OEC34" s="684"/>
      <c r="OED34" s="684"/>
      <c r="OEE34" s="684"/>
      <c r="OEF34" s="684"/>
      <c r="OEG34" s="684"/>
      <c r="OEH34" s="684"/>
      <c r="OEI34" s="684"/>
      <c r="OEJ34" s="684"/>
      <c r="OEK34" s="684"/>
      <c r="OEL34" s="684"/>
      <c r="OEM34" s="684"/>
      <c r="OEN34" s="684"/>
      <c r="OEO34" s="684"/>
      <c r="OEP34" s="684"/>
      <c r="OEQ34" s="684"/>
      <c r="OER34" s="684"/>
      <c r="OES34" s="684"/>
      <c r="OET34" s="684"/>
      <c r="OEU34" s="684"/>
      <c r="OEV34" s="684"/>
      <c r="OEW34" s="684"/>
      <c r="OEX34" s="684"/>
      <c r="OEY34" s="684"/>
      <c r="OEZ34" s="684"/>
      <c r="OFA34" s="684"/>
      <c r="OFB34" s="684"/>
      <c r="OFC34" s="684"/>
      <c r="OFD34" s="684"/>
      <c r="OFE34" s="684"/>
      <c r="OFF34" s="684"/>
      <c r="OFG34" s="684"/>
      <c r="OFH34" s="684"/>
      <c r="OFI34" s="684"/>
      <c r="OFJ34" s="684"/>
      <c r="OFK34" s="684"/>
      <c r="OFL34" s="684"/>
      <c r="OFM34" s="684"/>
      <c r="OFN34" s="684"/>
      <c r="OFO34" s="684"/>
      <c r="OFP34" s="684"/>
      <c r="OFQ34" s="684"/>
      <c r="OFR34" s="684"/>
      <c r="OFS34" s="684"/>
      <c r="OFT34" s="684"/>
      <c r="OFU34" s="684"/>
      <c r="OFV34" s="684"/>
      <c r="OFW34" s="684"/>
      <c r="OFX34" s="684"/>
      <c r="OFY34" s="684"/>
      <c r="OFZ34" s="684"/>
      <c r="OGA34" s="684"/>
      <c r="OGB34" s="684"/>
      <c r="OGC34" s="684"/>
      <c r="OGD34" s="684"/>
      <c r="OGE34" s="684"/>
      <c r="OGF34" s="684"/>
      <c r="OGG34" s="684"/>
      <c r="OGH34" s="684"/>
      <c r="OGI34" s="684"/>
      <c r="OGJ34" s="684"/>
      <c r="OGK34" s="684"/>
      <c r="OGL34" s="684"/>
      <c r="OGM34" s="684"/>
      <c r="OGN34" s="684"/>
      <c r="OGO34" s="684"/>
      <c r="OGP34" s="684"/>
      <c r="OGQ34" s="684"/>
      <c r="OGR34" s="684"/>
      <c r="OGS34" s="684"/>
      <c r="OGT34" s="684"/>
      <c r="OGU34" s="684"/>
      <c r="OGV34" s="684"/>
      <c r="OGW34" s="684"/>
      <c r="OGX34" s="684"/>
      <c r="OGY34" s="684"/>
      <c r="OGZ34" s="684"/>
      <c r="OHA34" s="684"/>
      <c r="OHB34" s="684"/>
      <c r="OHC34" s="684"/>
      <c r="OHD34" s="684"/>
      <c r="OHE34" s="684"/>
      <c r="OHF34" s="684"/>
      <c r="OHG34" s="684"/>
      <c r="OHH34" s="684"/>
      <c r="OHI34" s="684"/>
      <c r="OHJ34" s="684"/>
      <c r="OHK34" s="684"/>
      <c r="OHL34" s="684"/>
      <c r="OHM34" s="684"/>
      <c r="OHN34" s="684"/>
      <c r="OHO34" s="684"/>
      <c r="OHP34" s="684"/>
      <c r="OHQ34" s="684"/>
      <c r="OHR34" s="684"/>
      <c r="OHS34" s="684"/>
      <c r="OHT34" s="684"/>
      <c r="OHU34" s="684"/>
      <c r="OHV34" s="684"/>
      <c r="OHW34" s="684"/>
      <c r="OHX34" s="684"/>
      <c r="OHY34" s="684"/>
      <c r="OHZ34" s="684"/>
      <c r="OIA34" s="684"/>
      <c r="OIB34" s="684"/>
      <c r="OIC34" s="684"/>
      <c r="OID34" s="684"/>
      <c r="OIE34" s="684"/>
      <c r="OIF34" s="684"/>
      <c r="OIG34" s="684"/>
      <c r="OIH34" s="684"/>
      <c r="OII34" s="684"/>
      <c r="OIJ34" s="684"/>
      <c r="OIK34" s="684"/>
      <c r="OIL34" s="684"/>
      <c r="OIM34" s="684"/>
      <c r="OIN34" s="684"/>
      <c r="OIO34" s="684"/>
      <c r="OIP34" s="684"/>
      <c r="OIQ34" s="684"/>
      <c r="OIR34" s="684"/>
      <c r="OIS34" s="684"/>
      <c r="OIT34" s="684"/>
      <c r="OIU34" s="684"/>
      <c r="OIV34" s="684"/>
      <c r="OIW34" s="684"/>
      <c r="OIX34" s="684"/>
      <c r="OIY34" s="684"/>
      <c r="OIZ34" s="684"/>
      <c r="OJA34" s="684"/>
      <c r="OJB34" s="684"/>
      <c r="OJC34" s="684"/>
      <c r="OJD34" s="684"/>
      <c r="OJE34" s="684"/>
      <c r="OJF34" s="684"/>
      <c r="OJG34" s="684"/>
      <c r="OJH34" s="684"/>
      <c r="OJI34" s="684"/>
      <c r="OJJ34" s="684"/>
      <c r="OJK34" s="684"/>
      <c r="OJL34" s="684"/>
      <c r="OJM34" s="684"/>
      <c r="OJN34" s="684"/>
      <c r="OJO34" s="684"/>
      <c r="OJP34" s="684"/>
      <c r="OJQ34" s="684"/>
      <c r="OJR34" s="684"/>
      <c r="OJS34" s="684"/>
      <c r="OJT34" s="684"/>
      <c r="OJU34" s="684"/>
      <c r="OJV34" s="684"/>
      <c r="OJW34" s="684"/>
      <c r="OJX34" s="684"/>
      <c r="OJY34" s="684"/>
      <c r="OJZ34" s="684"/>
      <c r="OKA34" s="684"/>
      <c r="OKB34" s="684"/>
      <c r="OKC34" s="684"/>
      <c r="OKD34" s="684"/>
      <c r="OKE34" s="684"/>
      <c r="OKF34" s="684"/>
      <c r="OKG34" s="684"/>
      <c r="OKH34" s="684"/>
      <c r="OKI34" s="684"/>
      <c r="OKJ34" s="684"/>
      <c r="OKK34" s="684"/>
      <c r="OKL34" s="684"/>
      <c r="OKM34" s="684"/>
      <c r="OKN34" s="684"/>
      <c r="OKO34" s="684"/>
      <c r="OKP34" s="684"/>
      <c r="OKQ34" s="684"/>
      <c r="OKR34" s="684"/>
      <c r="OKS34" s="684"/>
      <c r="OKT34" s="684"/>
      <c r="OKU34" s="684"/>
      <c r="OKV34" s="684"/>
      <c r="OKW34" s="684"/>
      <c r="OKX34" s="684"/>
      <c r="OKY34" s="684"/>
      <c r="OKZ34" s="684"/>
      <c r="OLA34" s="684"/>
      <c r="OLB34" s="684"/>
      <c r="OLC34" s="684"/>
      <c r="OLD34" s="684"/>
      <c r="OLE34" s="684"/>
      <c r="OLF34" s="684"/>
      <c r="OLG34" s="684"/>
      <c r="OLH34" s="684"/>
      <c r="OLI34" s="684"/>
      <c r="OLJ34" s="684"/>
      <c r="OLK34" s="684"/>
      <c r="OLL34" s="684"/>
      <c r="OLM34" s="684"/>
      <c r="OLN34" s="684"/>
      <c r="OLO34" s="684"/>
      <c r="OLP34" s="684"/>
      <c r="OLQ34" s="684"/>
      <c r="OLR34" s="684"/>
      <c r="OLS34" s="684"/>
      <c r="OLT34" s="684"/>
      <c r="OLU34" s="684"/>
      <c r="OLV34" s="684"/>
      <c r="OLW34" s="684"/>
      <c r="OLX34" s="684"/>
      <c r="OLY34" s="684"/>
      <c r="OLZ34" s="684"/>
      <c r="OMA34" s="684"/>
      <c r="OMB34" s="684"/>
      <c r="OMC34" s="684"/>
      <c r="OMD34" s="684"/>
      <c r="OME34" s="684"/>
      <c r="OMF34" s="684"/>
      <c r="OMG34" s="684"/>
      <c r="OMH34" s="684"/>
      <c r="OMI34" s="684"/>
      <c r="OMJ34" s="684"/>
      <c r="OMK34" s="684"/>
      <c r="OML34" s="684"/>
      <c r="OMM34" s="684"/>
      <c r="OMN34" s="684"/>
      <c r="OMO34" s="684"/>
      <c r="OMP34" s="684"/>
      <c r="OMQ34" s="684"/>
      <c r="OMR34" s="684"/>
      <c r="OMS34" s="684"/>
      <c r="OMT34" s="684"/>
      <c r="OMU34" s="684"/>
      <c r="OMV34" s="684"/>
      <c r="OMW34" s="684"/>
      <c r="OMX34" s="684"/>
      <c r="OMY34" s="684"/>
      <c r="OMZ34" s="684"/>
      <c r="ONA34" s="684"/>
      <c r="ONB34" s="684"/>
      <c r="ONC34" s="684"/>
      <c r="OND34" s="684"/>
      <c r="ONE34" s="684"/>
      <c r="ONF34" s="684"/>
      <c r="ONG34" s="684"/>
      <c r="ONH34" s="684"/>
      <c r="ONI34" s="684"/>
      <c r="ONJ34" s="684"/>
      <c r="ONK34" s="684"/>
      <c r="ONL34" s="684"/>
      <c r="ONM34" s="684"/>
      <c r="ONN34" s="684"/>
      <c r="ONO34" s="684"/>
      <c r="ONP34" s="684"/>
      <c r="ONQ34" s="684"/>
      <c r="ONR34" s="684"/>
      <c r="ONS34" s="684"/>
      <c r="ONT34" s="684"/>
      <c r="ONU34" s="684"/>
      <c r="ONV34" s="684"/>
      <c r="ONW34" s="684"/>
      <c r="ONX34" s="684"/>
      <c r="ONY34" s="684"/>
      <c r="ONZ34" s="684"/>
      <c r="OOA34" s="684"/>
      <c r="OOB34" s="684"/>
      <c r="OOC34" s="684"/>
      <c r="OOD34" s="684"/>
      <c r="OOE34" s="684"/>
      <c r="OOF34" s="684"/>
      <c r="OOG34" s="684"/>
      <c r="OOH34" s="684"/>
      <c r="OOI34" s="684"/>
      <c r="OOJ34" s="684"/>
      <c r="OOK34" s="684"/>
      <c r="OOL34" s="684"/>
      <c r="OOM34" s="684"/>
      <c r="OON34" s="684"/>
      <c r="OOO34" s="684"/>
      <c r="OOP34" s="684"/>
      <c r="OOQ34" s="684"/>
      <c r="OOR34" s="684"/>
      <c r="OOS34" s="684"/>
      <c r="OOT34" s="684"/>
      <c r="OOU34" s="684"/>
      <c r="OOV34" s="684"/>
      <c r="OOW34" s="684"/>
      <c r="OOX34" s="684"/>
      <c r="OOY34" s="684"/>
      <c r="OOZ34" s="684"/>
      <c r="OPA34" s="684"/>
      <c r="OPB34" s="684"/>
      <c r="OPC34" s="684"/>
      <c r="OPD34" s="684"/>
      <c r="OPE34" s="684"/>
      <c r="OPF34" s="684"/>
      <c r="OPG34" s="684"/>
      <c r="OPH34" s="684"/>
      <c r="OPI34" s="684"/>
      <c r="OPJ34" s="684"/>
      <c r="OPK34" s="684"/>
      <c r="OPL34" s="684"/>
      <c r="OPM34" s="684"/>
      <c r="OPN34" s="684"/>
      <c r="OPO34" s="684"/>
      <c r="OPP34" s="684"/>
      <c r="OPQ34" s="684"/>
      <c r="OPR34" s="684"/>
      <c r="OPS34" s="684"/>
      <c r="OPT34" s="684"/>
      <c r="OPU34" s="684"/>
      <c r="OPV34" s="684"/>
      <c r="OPW34" s="684"/>
      <c r="OPX34" s="684"/>
      <c r="OPY34" s="684"/>
      <c r="OPZ34" s="684"/>
      <c r="OQA34" s="684"/>
      <c r="OQB34" s="684"/>
      <c r="OQC34" s="684"/>
      <c r="OQD34" s="684"/>
      <c r="OQE34" s="684"/>
      <c r="OQF34" s="684"/>
      <c r="OQG34" s="684"/>
      <c r="OQH34" s="684"/>
      <c r="OQI34" s="684"/>
      <c r="OQJ34" s="684"/>
      <c r="OQK34" s="684"/>
      <c r="OQL34" s="684"/>
      <c r="OQM34" s="684"/>
      <c r="OQN34" s="684"/>
      <c r="OQO34" s="684"/>
      <c r="OQP34" s="684"/>
      <c r="OQQ34" s="684"/>
      <c r="OQR34" s="684"/>
      <c r="OQS34" s="684"/>
      <c r="OQT34" s="684"/>
      <c r="OQU34" s="684"/>
      <c r="OQV34" s="684"/>
      <c r="OQW34" s="684"/>
      <c r="OQX34" s="684"/>
      <c r="OQY34" s="684"/>
      <c r="OQZ34" s="684"/>
      <c r="ORA34" s="684"/>
      <c r="ORB34" s="684"/>
      <c r="ORC34" s="684"/>
      <c r="ORD34" s="684"/>
      <c r="ORE34" s="684"/>
      <c r="ORF34" s="684"/>
      <c r="ORG34" s="684"/>
      <c r="ORH34" s="684"/>
      <c r="ORI34" s="684"/>
      <c r="ORJ34" s="684"/>
      <c r="ORK34" s="684"/>
      <c r="ORL34" s="684"/>
      <c r="ORM34" s="684"/>
      <c r="ORN34" s="684"/>
      <c r="ORO34" s="684"/>
      <c r="ORP34" s="684"/>
      <c r="ORQ34" s="684"/>
      <c r="ORR34" s="684"/>
      <c r="ORS34" s="684"/>
      <c r="ORT34" s="684"/>
      <c r="ORU34" s="684"/>
      <c r="ORV34" s="684"/>
      <c r="ORW34" s="684"/>
      <c r="ORX34" s="684"/>
      <c r="ORY34" s="684"/>
      <c r="ORZ34" s="684"/>
      <c r="OSA34" s="684"/>
      <c r="OSB34" s="684"/>
      <c r="OSC34" s="684"/>
      <c r="OSD34" s="684"/>
      <c r="OSE34" s="684"/>
      <c r="OSF34" s="684"/>
      <c r="OSG34" s="684"/>
      <c r="OSH34" s="684"/>
      <c r="OSI34" s="684"/>
      <c r="OSJ34" s="684"/>
      <c r="OSK34" s="684"/>
      <c r="OSL34" s="684"/>
      <c r="OSM34" s="684"/>
      <c r="OSN34" s="684"/>
      <c r="OSO34" s="684"/>
      <c r="OSP34" s="684"/>
      <c r="OSQ34" s="684"/>
      <c r="OSR34" s="684"/>
      <c r="OSS34" s="684"/>
      <c r="OST34" s="684"/>
      <c r="OSU34" s="684"/>
      <c r="OSV34" s="684"/>
      <c r="OSW34" s="684"/>
      <c r="OSX34" s="684"/>
      <c r="OSY34" s="684"/>
      <c r="OSZ34" s="684"/>
      <c r="OTA34" s="684"/>
      <c r="OTB34" s="684"/>
      <c r="OTC34" s="684"/>
      <c r="OTD34" s="684"/>
      <c r="OTE34" s="684"/>
      <c r="OTF34" s="684"/>
      <c r="OTG34" s="684"/>
      <c r="OTH34" s="684"/>
      <c r="OTI34" s="684"/>
      <c r="OTJ34" s="684"/>
      <c r="OTK34" s="684"/>
      <c r="OTL34" s="684"/>
      <c r="OTM34" s="684"/>
      <c r="OTN34" s="684"/>
      <c r="OTO34" s="684"/>
      <c r="OTP34" s="684"/>
      <c r="OTQ34" s="684"/>
      <c r="OTR34" s="684"/>
      <c r="OTS34" s="684"/>
      <c r="OTT34" s="684"/>
      <c r="OTU34" s="684"/>
      <c r="OTV34" s="684"/>
      <c r="OTW34" s="684"/>
      <c r="OTX34" s="684"/>
      <c r="OTY34" s="684"/>
      <c r="OTZ34" s="684"/>
      <c r="OUA34" s="684"/>
      <c r="OUB34" s="684"/>
      <c r="OUC34" s="684"/>
      <c r="OUD34" s="684"/>
      <c r="OUE34" s="684"/>
      <c r="OUF34" s="684"/>
      <c r="OUG34" s="684"/>
      <c r="OUH34" s="684"/>
      <c r="OUI34" s="684"/>
      <c r="OUJ34" s="684"/>
      <c r="OUK34" s="684"/>
      <c r="OUL34" s="684"/>
      <c r="OUM34" s="684"/>
      <c r="OUN34" s="684"/>
      <c r="OUO34" s="684"/>
      <c r="OUP34" s="684"/>
      <c r="OUQ34" s="684"/>
      <c r="OUR34" s="684"/>
      <c r="OUS34" s="684"/>
      <c r="OUT34" s="684"/>
      <c r="OUU34" s="684"/>
      <c r="OUV34" s="684"/>
      <c r="OUW34" s="684"/>
      <c r="OUX34" s="684"/>
      <c r="OUY34" s="684"/>
      <c r="OUZ34" s="684"/>
      <c r="OVA34" s="684"/>
      <c r="OVB34" s="684"/>
      <c r="OVC34" s="684"/>
      <c r="OVD34" s="684"/>
      <c r="OVE34" s="684"/>
      <c r="OVF34" s="684"/>
      <c r="OVG34" s="684"/>
      <c r="OVH34" s="684"/>
      <c r="OVI34" s="684"/>
      <c r="OVJ34" s="684"/>
      <c r="OVK34" s="684"/>
      <c r="OVL34" s="684"/>
      <c r="OVM34" s="684"/>
      <c r="OVN34" s="684"/>
      <c r="OVO34" s="684"/>
      <c r="OVP34" s="684"/>
      <c r="OVQ34" s="684"/>
      <c r="OVR34" s="684"/>
      <c r="OVS34" s="684"/>
      <c r="OVT34" s="684"/>
      <c r="OVU34" s="684"/>
      <c r="OVV34" s="684"/>
      <c r="OVW34" s="684"/>
      <c r="OVX34" s="684"/>
      <c r="OVY34" s="684"/>
      <c r="OVZ34" s="684"/>
      <c r="OWA34" s="684"/>
      <c r="OWB34" s="684"/>
      <c r="OWC34" s="684"/>
      <c r="OWD34" s="684"/>
      <c r="OWE34" s="684"/>
      <c r="OWF34" s="684"/>
      <c r="OWG34" s="684"/>
      <c r="OWH34" s="684"/>
      <c r="OWI34" s="684"/>
      <c r="OWJ34" s="684"/>
      <c r="OWK34" s="684"/>
      <c r="OWL34" s="684"/>
      <c r="OWM34" s="684"/>
      <c r="OWN34" s="684"/>
      <c r="OWO34" s="684"/>
      <c r="OWP34" s="684"/>
      <c r="OWQ34" s="684"/>
      <c r="OWR34" s="684"/>
      <c r="OWS34" s="684"/>
      <c r="OWT34" s="684"/>
      <c r="OWU34" s="684"/>
      <c r="OWV34" s="684"/>
      <c r="OWW34" s="684"/>
      <c r="OWX34" s="684"/>
      <c r="OWY34" s="684"/>
      <c r="OWZ34" s="684"/>
      <c r="OXA34" s="684"/>
      <c r="OXB34" s="684"/>
      <c r="OXC34" s="684"/>
      <c r="OXD34" s="684"/>
      <c r="OXE34" s="684"/>
      <c r="OXF34" s="684"/>
      <c r="OXG34" s="684"/>
      <c r="OXH34" s="684"/>
      <c r="OXI34" s="684"/>
      <c r="OXJ34" s="684"/>
      <c r="OXK34" s="684"/>
      <c r="OXL34" s="684"/>
      <c r="OXM34" s="684"/>
      <c r="OXN34" s="684"/>
      <c r="OXO34" s="684"/>
      <c r="OXP34" s="684"/>
      <c r="OXQ34" s="684"/>
      <c r="OXR34" s="684"/>
      <c r="OXS34" s="684"/>
      <c r="OXT34" s="684"/>
      <c r="OXU34" s="684"/>
      <c r="OXV34" s="684"/>
      <c r="OXW34" s="684"/>
      <c r="OXX34" s="684"/>
      <c r="OXY34" s="684"/>
      <c r="OXZ34" s="684"/>
      <c r="OYA34" s="684"/>
      <c r="OYB34" s="684"/>
      <c r="OYC34" s="684"/>
      <c r="OYD34" s="684"/>
      <c r="OYE34" s="684"/>
      <c r="OYF34" s="684"/>
      <c r="OYG34" s="684"/>
      <c r="OYH34" s="684"/>
      <c r="OYI34" s="684"/>
      <c r="OYJ34" s="684"/>
      <c r="OYK34" s="684"/>
      <c r="OYL34" s="684"/>
      <c r="OYM34" s="684"/>
      <c r="OYN34" s="684"/>
      <c r="OYO34" s="684"/>
      <c r="OYP34" s="684"/>
      <c r="OYQ34" s="684"/>
      <c r="OYR34" s="684"/>
      <c r="OYS34" s="684"/>
      <c r="OYT34" s="684"/>
      <c r="OYU34" s="684"/>
      <c r="OYV34" s="684"/>
      <c r="OYW34" s="684"/>
      <c r="OYX34" s="684"/>
      <c r="OYY34" s="684"/>
      <c r="OYZ34" s="684"/>
      <c r="OZA34" s="684"/>
      <c r="OZB34" s="684"/>
      <c r="OZC34" s="684"/>
      <c r="OZD34" s="684"/>
      <c r="OZE34" s="684"/>
      <c r="OZF34" s="684"/>
      <c r="OZG34" s="684"/>
      <c r="OZH34" s="684"/>
      <c r="OZI34" s="684"/>
      <c r="OZJ34" s="684"/>
      <c r="OZK34" s="684"/>
      <c r="OZL34" s="684"/>
      <c r="OZM34" s="684"/>
      <c r="OZN34" s="684"/>
      <c r="OZO34" s="684"/>
      <c r="OZP34" s="684"/>
      <c r="OZQ34" s="684"/>
      <c r="OZR34" s="684"/>
      <c r="OZS34" s="684"/>
      <c r="OZT34" s="684"/>
      <c r="OZU34" s="684"/>
      <c r="OZV34" s="684"/>
      <c r="OZW34" s="684"/>
      <c r="OZX34" s="684"/>
      <c r="OZY34" s="684"/>
      <c r="OZZ34" s="684"/>
      <c r="PAA34" s="684"/>
      <c r="PAB34" s="684"/>
      <c r="PAC34" s="684"/>
      <c r="PAD34" s="684"/>
      <c r="PAE34" s="684"/>
      <c r="PAF34" s="684"/>
      <c r="PAG34" s="684"/>
      <c r="PAH34" s="684"/>
      <c r="PAI34" s="684"/>
      <c r="PAJ34" s="684"/>
      <c r="PAK34" s="684"/>
      <c r="PAL34" s="684"/>
      <c r="PAM34" s="684"/>
      <c r="PAN34" s="684"/>
      <c r="PAO34" s="684"/>
      <c r="PAP34" s="684"/>
      <c r="PAQ34" s="684"/>
      <c r="PAR34" s="684"/>
      <c r="PAS34" s="684"/>
      <c r="PAT34" s="684"/>
      <c r="PAU34" s="684"/>
      <c r="PAV34" s="684"/>
      <c r="PAW34" s="684"/>
      <c r="PAX34" s="684"/>
      <c r="PAY34" s="684"/>
      <c r="PAZ34" s="684"/>
      <c r="PBA34" s="684"/>
      <c r="PBB34" s="684"/>
      <c r="PBC34" s="684"/>
      <c r="PBD34" s="684"/>
      <c r="PBE34" s="684"/>
      <c r="PBF34" s="684"/>
      <c r="PBG34" s="684"/>
      <c r="PBH34" s="684"/>
      <c r="PBI34" s="684"/>
      <c r="PBJ34" s="684"/>
      <c r="PBK34" s="684"/>
      <c r="PBL34" s="684"/>
      <c r="PBM34" s="684"/>
      <c r="PBN34" s="684"/>
      <c r="PBO34" s="684"/>
      <c r="PBP34" s="684"/>
      <c r="PBQ34" s="684"/>
      <c r="PBR34" s="684"/>
      <c r="PBS34" s="684"/>
      <c r="PBT34" s="684"/>
      <c r="PBU34" s="684"/>
      <c r="PBV34" s="684"/>
      <c r="PBW34" s="684"/>
      <c r="PBX34" s="684"/>
      <c r="PBY34" s="684"/>
      <c r="PBZ34" s="684"/>
      <c r="PCA34" s="684"/>
      <c r="PCB34" s="684"/>
      <c r="PCC34" s="684"/>
      <c r="PCD34" s="684"/>
      <c r="PCE34" s="684"/>
      <c r="PCF34" s="684"/>
      <c r="PCG34" s="684"/>
      <c r="PCH34" s="684"/>
      <c r="PCI34" s="684"/>
      <c r="PCJ34" s="684"/>
      <c r="PCK34" s="684"/>
      <c r="PCL34" s="684"/>
      <c r="PCM34" s="684"/>
      <c r="PCN34" s="684"/>
      <c r="PCO34" s="684"/>
      <c r="PCP34" s="684"/>
      <c r="PCQ34" s="684"/>
      <c r="PCR34" s="684"/>
      <c r="PCS34" s="684"/>
      <c r="PCT34" s="684"/>
      <c r="PCU34" s="684"/>
      <c r="PCV34" s="684"/>
      <c r="PCW34" s="684"/>
      <c r="PCX34" s="684"/>
      <c r="PCY34" s="684"/>
      <c r="PCZ34" s="684"/>
      <c r="PDA34" s="684"/>
      <c r="PDB34" s="684"/>
      <c r="PDC34" s="684"/>
      <c r="PDD34" s="684"/>
      <c r="PDE34" s="684"/>
      <c r="PDF34" s="684"/>
      <c r="PDG34" s="684"/>
      <c r="PDH34" s="684"/>
      <c r="PDI34" s="684"/>
      <c r="PDJ34" s="684"/>
      <c r="PDK34" s="684"/>
      <c r="PDL34" s="684"/>
      <c r="PDM34" s="684"/>
      <c r="PDN34" s="684"/>
      <c r="PDO34" s="684"/>
      <c r="PDP34" s="684"/>
      <c r="PDQ34" s="684"/>
      <c r="PDR34" s="684"/>
      <c r="PDS34" s="684"/>
      <c r="PDT34" s="684"/>
      <c r="PDU34" s="684"/>
      <c r="PDV34" s="684"/>
      <c r="PDW34" s="684"/>
      <c r="PDX34" s="684"/>
      <c r="PDY34" s="684"/>
      <c r="PDZ34" s="684"/>
      <c r="PEA34" s="684"/>
      <c r="PEB34" s="684"/>
      <c r="PEC34" s="684"/>
      <c r="PED34" s="684"/>
      <c r="PEE34" s="684"/>
      <c r="PEF34" s="684"/>
      <c r="PEG34" s="684"/>
      <c r="PEH34" s="684"/>
      <c r="PEI34" s="684"/>
      <c r="PEJ34" s="684"/>
      <c r="PEK34" s="684"/>
      <c r="PEL34" s="684"/>
      <c r="PEM34" s="684"/>
      <c r="PEN34" s="684"/>
      <c r="PEO34" s="684"/>
      <c r="PEP34" s="684"/>
      <c r="PEQ34" s="684"/>
      <c r="PER34" s="684"/>
      <c r="PES34" s="684"/>
      <c r="PET34" s="684"/>
      <c r="PEU34" s="684"/>
      <c r="PEV34" s="684"/>
      <c r="PEW34" s="684"/>
      <c r="PEX34" s="684"/>
      <c r="PEY34" s="684"/>
      <c r="PEZ34" s="684"/>
      <c r="PFA34" s="684"/>
      <c r="PFB34" s="684"/>
      <c r="PFC34" s="684"/>
      <c r="PFD34" s="684"/>
      <c r="PFE34" s="684"/>
      <c r="PFF34" s="684"/>
      <c r="PFG34" s="684"/>
      <c r="PFH34" s="684"/>
      <c r="PFI34" s="684"/>
      <c r="PFJ34" s="684"/>
      <c r="PFK34" s="684"/>
      <c r="PFL34" s="684"/>
      <c r="PFM34" s="684"/>
      <c r="PFN34" s="684"/>
      <c r="PFO34" s="684"/>
      <c r="PFP34" s="684"/>
      <c r="PFQ34" s="684"/>
      <c r="PFR34" s="684"/>
      <c r="PFS34" s="684"/>
      <c r="PFT34" s="684"/>
      <c r="PFU34" s="684"/>
      <c r="PFV34" s="684"/>
      <c r="PFW34" s="684"/>
      <c r="PFX34" s="684"/>
      <c r="PFY34" s="684"/>
      <c r="PFZ34" s="684"/>
      <c r="PGA34" s="684"/>
      <c r="PGB34" s="684"/>
      <c r="PGC34" s="684"/>
      <c r="PGD34" s="684"/>
      <c r="PGE34" s="684"/>
      <c r="PGF34" s="684"/>
      <c r="PGG34" s="684"/>
      <c r="PGH34" s="684"/>
      <c r="PGI34" s="684"/>
      <c r="PGJ34" s="684"/>
      <c r="PGK34" s="684"/>
      <c r="PGL34" s="684"/>
      <c r="PGM34" s="684"/>
      <c r="PGN34" s="684"/>
      <c r="PGO34" s="684"/>
      <c r="PGP34" s="684"/>
      <c r="PGQ34" s="684"/>
      <c r="PGR34" s="684"/>
      <c r="PGS34" s="684"/>
      <c r="PGT34" s="684"/>
      <c r="PGU34" s="684"/>
      <c r="PGV34" s="684"/>
      <c r="PGW34" s="684"/>
      <c r="PGX34" s="684"/>
      <c r="PGY34" s="684"/>
      <c r="PGZ34" s="684"/>
      <c r="PHA34" s="684"/>
      <c r="PHB34" s="684"/>
      <c r="PHC34" s="684"/>
      <c r="PHD34" s="684"/>
      <c r="PHE34" s="684"/>
      <c r="PHF34" s="684"/>
      <c r="PHG34" s="684"/>
      <c r="PHH34" s="684"/>
      <c r="PHI34" s="684"/>
      <c r="PHJ34" s="684"/>
      <c r="PHK34" s="684"/>
      <c r="PHL34" s="684"/>
      <c r="PHM34" s="684"/>
      <c r="PHN34" s="684"/>
      <c r="PHO34" s="684"/>
      <c r="PHP34" s="684"/>
      <c r="PHQ34" s="684"/>
      <c r="PHR34" s="684"/>
      <c r="PHS34" s="684"/>
      <c r="PHT34" s="684"/>
      <c r="PHU34" s="684"/>
      <c r="PHV34" s="684"/>
      <c r="PHW34" s="684"/>
      <c r="PHX34" s="684"/>
      <c r="PHY34" s="684"/>
      <c r="PHZ34" s="684"/>
      <c r="PIA34" s="684"/>
      <c r="PIB34" s="684"/>
      <c r="PIC34" s="684"/>
      <c r="PID34" s="684"/>
      <c r="PIE34" s="684"/>
      <c r="PIF34" s="684"/>
      <c r="PIG34" s="684"/>
      <c r="PIH34" s="684"/>
      <c r="PII34" s="684"/>
      <c r="PIJ34" s="684"/>
      <c r="PIK34" s="684"/>
      <c r="PIL34" s="684"/>
      <c r="PIM34" s="684"/>
      <c r="PIN34" s="684"/>
      <c r="PIO34" s="684"/>
      <c r="PIP34" s="684"/>
      <c r="PIQ34" s="684"/>
      <c r="PIR34" s="684"/>
      <c r="PIS34" s="684"/>
      <c r="PIT34" s="684"/>
      <c r="PIU34" s="684"/>
      <c r="PIV34" s="684"/>
      <c r="PIW34" s="684"/>
      <c r="PIX34" s="684"/>
      <c r="PIY34" s="684"/>
      <c r="PIZ34" s="684"/>
      <c r="PJA34" s="684"/>
      <c r="PJB34" s="684"/>
      <c r="PJC34" s="684"/>
      <c r="PJD34" s="684"/>
      <c r="PJE34" s="684"/>
      <c r="PJF34" s="684"/>
      <c r="PJG34" s="684"/>
      <c r="PJH34" s="684"/>
      <c r="PJI34" s="684"/>
      <c r="PJJ34" s="684"/>
      <c r="PJK34" s="684"/>
      <c r="PJL34" s="684"/>
      <c r="PJM34" s="684"/>
      <c r="PJN34" s="684"/>
      <c r="PJO34" s="684"/>
      <c r="PJP34" s="684"/>
      <c r="PJQ34" s="684"/>
      <c r="PJR34" s="684"/>
      <c r="PJS34" s="684"/>
      <c r="PJT34" s="684"/>
      <c r="PJU34" s="684"/>
      <c r="PJV34" s="684"/>
      <c r="PJW34" s="684"/>
      <c r="PJX34" s="684"/>
      <c r="PJY34" s="684"/>
      <c r="PJZ34" s="684"/>
      <c r="PKA34" s="684"/>
      <c r="PKB34" s="684"/>
      <c r="PKC34" s="684"/>
      <c r="PKD34" s="684"/>
      <c r="PKE34" s="684"/>
      <c r="PKF34" s="684"/>
      <c r="PKG34" s="684"/>
      <c r="PKH34" s="684"/>
      <c r="PKI34" s="684"/>
      <c r="PKJ34" s="684"/>
      <c r="PKK34" s="684"/>
      <c r="PKL34" s="684"/>
      <c r="PKM34" s="684"/>
      <c r="PKN34" s="684"/>
      <c r="PKO34" s="684"/>
      <c r="PKP34" s="684"/>
      <c r="PKQ34" s="684"/>
      <c r="PKR34" s="684"/>
      <c r="PKS34" s="684"/>
      <c r="PKT34" s="684"/>
      <c r="PKU34" s="684"/>
      <c r="PKV34" s="684"/>
      <c r="PKW34" s="684"/>
      <c r="PKX34" s="684"/>
      <c r="PKY34" s="684"/>
      <c r="PKZ34" s="684"/>
      <c r="PLA34" s="684"/>
      <c r="PLB34" s="684"/>
      <c r="PLC34" s="684"/>
      <c r="PLD34" s="684"/>
      <c r="PLE34" s="684"/>
      <c r="PLF34" s="684"/>
      <c r="PLG34" s="684"/>
      <c r="PLH34" s="684"/>
      <c r="PLI34" s="684"/>
      <c r="PLJ34" s="684"/>
      <c r="PLK34" s="684"/>
      <c r="PLL34" s="684"/>
      <c r="PLM34" s="684"/>
      <c r="PLN34" s="684"/>
      <c r="PLO34" s="684"/>
      <c r="PLP34" s="684"/>
      <c r="PLQ34" s="684"/>
      <c r="PLR34" s="684"/>
      <c r="PLS34" s="684"/>
      <c r="PLT34" s="684"/>
      <c r="PLU34" s="684"/>
      <c r="PLV34" s="684"/>
      <c r="PLW34" s="684"/>
      <c r="PLX34" s="684"/>
      <c r="PLY34" s="684"/>
      <c r="PLZ34" s="684"/>
      <c r="PMA34" s="684"/>
      <c r="PMB34" s="684"/>
      <c r="PMC34" s="684"/>
      <c r="PMD34" s="684"/>
      <c r="PME34" s="684"/>
      <c r="PMF34" s="684"/>
      <c r="PMG34" s="684"/>
      <c r="PMH34" s="684"/>
      <c r="PMI34" s="684"/>
      <c r="PMJ34" s="684"/>
      <c r="PMK34" s="684"/>
      <c r="PML34" s="684"/>
      <c r="PMM34" s="684"/>
      <c r="PMN34" s="684"/>
      <c r="PMO34" s="684"/>
      <c r="PMP34" s="684"/>
      <c r="PMQ34" s="684"/>
      <c r="PMR34" s="684"/>
      <c r="PMS34" s="684"/>
      <c r="PMT34" s="684"/>
      <c r="PMU34" s="684"/>
      <c r="PMV34" s="684"/>
      <c r="PMW34" s="684"/>
      <c r="PMX34" s="684"/>
      <c r="PMY34" s="684"/>
      <c r="PMZ34" s="684"/>
      <c r="PNA34" s="684"/>
      <c r="PNB34" s="684"/>
      <c r="PNC34" s="684"/>
      <c r="PND34" s="684"/>
      <c r="PNE34" s="684"/>
      <c r="PNF34" s="684"/>
      <c r="PNG34" s="684"/>
      <c r="PNH34" s="684"/>
      <c r="PNI34" s="684"/>
      <c r="PNJ34" s="684"/>
      <c r="PNK34" s="684"/>
      <c r="PNL34" s="684"/>
      <c r="PNM34" s="684"/>
      <c r="PNN34" s="684"/>
      <c r="PNO34" s="684"/>
      <c r="PNP34" s="684"/>
      <c r="PNQ34" s="684"/>
      <c r="PNR34" s="684"/>
      <c r="PNS34" s="684"/>
      <c r="PNT34" s="684"/>
      <c r="PNU34" s="684"/>
      <c r="PNV34" s="684"/>
      <c r="PNW34" s="684"/>
      <c r="PNX34" s="684"/>
      <c r="PNY34" s="684"/>
      <c r="PNZ34" s="684"/>
      <c r="POA34" s="684"/>
      <c r="POB34" s="684"/>
      <c r="POC34" s="684"/>
      <c r="POD34" s="684"/>
      <c r="POE34" s="684"/>
      <c r="POF34" s="684"/>
      <c r="POG34" s="684"/>
      <c r="POH34" s="684"/>
      <c r="POI34" s="684"/>
      <c r="POJ34" s="684"/>
      <c r="POK34" s="684"/>
      <c r="POL34" s="684"/>
      <c r="POM34" s="684"/>
      <c r="PON34" s="684"/>
      <c r="POO34" s="684"/>
      <c r="POP34" s="684"/>
      <c r="POQ34" s="684"/>
      <c r="POR34" s="684"/>
      <c r="POS34" s="684"/>
      <c r="POT34" s="684"/>
      <c r="POU34" s="684"/>
      <c r="POV34" s="684"/>
      <c r="POW34" s="684"/>
      <c r="POX34" s="684"/>
      <c r="POY34" s="684"/>
      <c r="POZ34" s="684"/>
      <c r="PPA34" s="684"/>
      <c r="PPB34" s="684"/>
      <c r="PPC34" s="684"/>
      <c r="PPD34" s="684"/>
      <c r="PPE34" s="684"/>
      <c r="PPF34" s="684"/>
      <c r="PPG34" s="684"/>
      <c r="PPH34" s="684"/>
      <c r="PPI34" s="684"/>
      <c r="PPJ34" s="684"/>
      <c r="PPK34" s="684"/>
      <c r="PPL34" s="684"/>
      <c r="PPM34" s="684"/>
      <c r="PPN34" s="684"/>
      <c r="PPO34" s="684"/>
      <c r="PPP34" s="684"/>
      <c r="PPQ34" s="684"/>
      <c r="PPR34" s="684"/>
      <c r="PPS34" s="684"/>
      <c r="PPT34" s="684"/>
      <c r="PPU34" s="684"/>
      <c r="PPV34" s="684"/>
      <c r="PPW34" s="684"/>
      <c r="PPX34" s="684"/>
      <c r="PPY34" s="684"/>
      <c r="PPZ34" s="684"/>
      <c r="PQA34" s="684"/>
      <c r="PQB34" s="684"/>
      <c r="PQC34" s="684"/>
      <c r="PQD34" s="684"/>
      <c r="PQE34" s="684"/>
      <c r="PQF34" s="684"/>
      <c r="PQG34" s="684"/>
      <c r="PQH34" s="684"/>
      <c r="PQI34" s="684"/>
      <c r="PQJ34" s="684"/>
      <c r="PQK34" s="684"/>
      <c r="PQL34" s="684"/>
      <c r="PQM34" s="684"/>
      <c r="PQN34" s="684"/>
      <c r="PQO34" s="684"/>
      <c r="PQP34" s="684"/>
      <c r="PQQ34" s="684"/>
      <c r="PQR34" s="684"/>
      <c r="PQS34" s="684"/>
      <c r="PQT34" s="684"/>
      <c r="PQU34" s="684"/>
      <c r="PQV34" s="684"/>
      <c r="PQW34" s="684"/>
      <c r="PQX34" s="684"/>
      <c r="PQY34" s="684"/>
      <c r="PQZ34" s="684"/>
      <c r="PRA34" s="684"/>
      <c r="PRB34" s="684"/>
      <c r="PRC34" s="684"/>
      <c r="PRD34" s="684"/>
      <c r="PRE34" s="684"/>
      <c r="PRF34" s="684"/>
      <c r="PRG34" s="684"/>
      <c r="PRH34" s="684"/>
      <c r="PRI34" s="684"/>
      <c r="PRJ34" s="684"/>
      <c r="PRK34" s="684"/>
      <c r="PRL34" s="684"/>
      <c r="PRM34" s="684"/>
      <c r="PRN34" s="684"/>
      <c r="PRO34" s="684"/>
      <c r="PRP34" s="684"/>
      <c r="PRQ34" s="684"/>
      <c r="PRR34" s="684"/>
      <c r="PRS34" s="684"/>
      <c r="PRT34" s="684"/>
      <c r="PRU34" s="684"/>
      <c r="PRV34" s="684"/>
      <c r="PRW34" s="684"/>
      <c r="PRX34" s="684"/>
      <c r="PRY34" s="684"/>
      <c r="PRZ34" s="684"/>
      <c r="PSA34" s="684"/>
      <c r="PSB34" s="684"/>
      <c r="PSC34" s="684"/>
      <c r="PSD34" s="684"/>
      <c r="PSE34" s="684"/>
      <c r="PSF34" s="684"/>
      <c r="PSG34" s="684"/>
      <c r="PSH34" s="684"/>
      <c r="PSI34" s="684"/>
      <c r="PSJ34" s="684"/>
      <c r="PSK34" s="684"/>
      <c r="PSL34" s="684"/>
      <c r="PSM34" s="684"/>
      <c r="PSN34" s="684"/>
      <c r="PSO34" s="684"/>
      <c r="PSP34" s="684"/>
      <c r="PSQ34" s="684"/>
      <c r="PSR34" s="684"/>
      <c r="PSS34" s="684"/>
      <c r="PST34" s="684"/>
      <c r="PSU34" s="684"/>
      <c r="PSV34" s="684"/>
      <c r="PSW34" s="684"/>
      <c r="PSX34" s="684"/>
      <c r="PSY34" s="684"/>
      <c r="PSZ34" s="684"/>
      <c r="PTA34" s="684"/>
      <c r="PTB34" s="684"/>
      <c r="PTC34" s="684"/>
      <c r="PTD34" s="684"/>
      <c r="PTE34" s="684"/>
      <c r="PTF34" s="684"/>
      <c r="PTG34" s="684"/>
      <c r="PTH34" s="684"/>
      <c r="PTI34" s="684"/>
      <c r="PTJ34" s="684"/>
      <c r="PTK34" s="684"/>
      <c r="PTL34" s="684"/>
      <c r="PTM34" s="684"/>
      <c r="PTN34" s="684"/>
      <c r="PTO34" s="684"/>
      <c r="PTP34" s="684"/>
      <c r="PTQ34" s="684"/>
      <c r="PTR34" s="684"/>
      <c r="PTS34" s="684"/>
      <c r="PTT34" s="684"/>
      <c r="PTU34" s="684"/>
      <c r="PTV34" s="684"/>
      <c r="PTW34" s="684"/>
      <c r="PTX34" s="684"/>
      <c r="PTY34" s="684"/>
      <c r="PTZ34" s="684"/>
      <c r="PUA34" s="684"/>
      <c r="PUB34" s="684"/>
      <c r="PUC34" s="684"/>
      <c r="PUD34" s="684"/>
      <c r="PUE34" s="684"/>
      <c r="PUF34" s="684"/>
      <c r="PUG34" s="684"/>
      <c r="PUH34" s="684"/>
      <c r="PUI34" s="684"/>
      <c r="PUJ34" s="684"/>
      <c r="PUK34" s="684"/>
      <c r="PUL34" s="684"/>
      <c r="PUM34" s="684"/>
      <c r="PUN34" s="684"/>
      <c r="PUO34" s="684"/>
      <c r="PUP34" s="684"/>
      <c r="PUQ34" s="684"/>
      <c r="PUR34" s="684"/>
      <c r="PUS34" s="684"/>
      <c r="PUT34" s="684"/>
      <c r="PUU34" s="684"/>
      <c r="PUV34" s="684"/>
      <c r="PUW34" s="684"/>
      <c r="PUX34" s="684"/>
      <c r="PUY34" s="684"/>
      <c r="PUZ34" s="684"/>
      <c r="PVA34" s="684"/>
      <c r="PVB34" s="684"/>
      <c r="PVC34" s="684"/>
      <c r="PVD34" s="684"/>
      <c r="PVE34" s="684"/>
      <c r="PVF34" s="684"/>
      <c r="PVG34" s="684"/>
      <c r="PVH34" s="684"/>
      <c r="PVI34" s="684"/>
      <c r="PVJ34" s="684"/>
      <c r="PVK34" s="684"/>
      <c r="PVL34" s="684"/>
      <c r="PVM34" s="684"/>
      <c r="PVN34" s="684"/>
      <c r="PVO34" s="684"/>
      <c r="PVP34" s="684"/>
      <c r="PVQ34" s="684"/>
      <c r="PVR34" s="684"/>
      <c r="PVS34" s="684"/>
      <c r="PVT34" s="684"/>
      <c r="PVU34" s="684"/>
      <c r="PVV34" s="684"/>
      <c r="PVW34" s="684"/>
      <c r="PVX34" s="684"/>
      <c r="PVY34" s="684"/>
      <c r="PVZ34" s="684"/>
      <c r="PWA34" s="684"/>
      <c r="PWB34" s="684"/>
      <c r="PWC34" s="684"/>
      <c r="PWD34" s="684"/>
      <c r="PWE34" s="684"/>
      <c r="PWF34" s="684"/>
      <c r="PWG34" s="684"/>
      <c r="PWH34" s="684"/>
      <c r="PWI34" s="684"/>
      <c r="PWJ34" s="684"/>
      <c r="PWK34" s="684"/>
      <c r="PWL34" s="684"/>
      <c r="PWM34" s="684"/>
      <c r="PWN34" s="684"/>
      <c r="PWO34" s="684"/>
      <c r="PWP34" s="684"/>
      <c r="PWQ34" s="684"/>
      <c r="PWR34" s="684"/>
      <c r="PWS34" s="684"/>
      <c r="PWT34" s="684"/>
      <c r="PWU34" s="684"/>
      <c r="PWV34" s="684"/>
      <c r="PWW34" s="684"/>
      <c r="PWX34" s="684"/>
      <c r="PWY34" s="684"/>
      <c r="PWZ34" s="684"/>
      <c r="PXA34" s="684"/>
      <c r="PXB34" s="684"/>
      <c r="PXC34" s="684"/>
      <c r="PXD34" s="684"/>
      <c r="PXE34" s="684"/>
      <c r="PXF34" s="684"/>
      <c r="PXG34" s="684"/>
      <c r="PXH34" s="684"/>
      <c r="PXI34" s="684"/>
      <c r="PXJ34" s="684"/>
      <c r="PXK34" s="684"/>
      <c r="PXL34" s="684"/>
      <c r="PXM34" s="684"/>
      <c r="PXN34" s="684"/>
      <c r="PXO34" s="684"/>
      <c r="PXP34" s="684"/>
      <c r="PXQ34" s="684"/>
      <c r="PXR34" s="684"/>
      <c r="PXS34" s="684"/>
      <c r="PXT34" s="684"/>
      <c r="PXU34" s="684"/>
      <c r="PXV34" s="684"/>
      <c r="PXW34" s="684"/>
      <c r="PXX34" s="684"/>
      <c r="PXY34" s="684"/>
      <c r="PXZ34" s="684"/>
      <c r="PYA34" s="684"/>
      <c r="PYB34" s="684"/>
      <c r="PYC34" s="684"/>
      <c r="PYD34" s="684"/>
      <c r="PYE34" s="684"/>
      <c r="PYF34" s="684"/>
      <c r="PYG34" s="684"/>
      <c r="PYH34" s="684"/>
      <c r="PYI34" s="684"/>
      <c r="PYJ34" s="684"/>
      <c r="PYK34" s="684"/>
      <c r="PYL34" s="684"/>
      <c r="PYM34" s="684"/>
      <c r="PYN34" s="684"/>
      <c r="PYO34" s="684"/>
      <c r="PYP34" s="684"/>
      <c r="PYQ34" s="684"/>
      <c r="PYR34" s="684"/>
      <c r="PYS34" s="684"/>
      <c r="PYT34" s="684"/>
      <c r="PYU34" s="684"/>
      <c r="PYV34" s="684"/>
      <c r="PYW34" s="684"/>
      <c r="PYX34" s="684"/>
      <c r="PYY34" s="684"/>
      <c r="PYZ34" s="684"/>
      <c r="PZA34" s="684"/>
      <c r="PZB34" s="684"/>
      <c r="PZC34" s="684"/>
      <c r="PZD34" s="684"/>
      <c r="PZE34" s="684"/>
      <c r="PZF34" s="684"/>
      <c r="PZG34" s="684"/>
      <c r="PZH34" s="684"/>
      <c r="PZI34" s="684"/>
      <c r="PZJ34" s="684"/>
      <c r="PZK34" s="684"/>
      <c r="PZL34" s="684"/>
      <c r="PZM34" s="684"/>
      <c r="PZN34" s="684"/>
      <c r="PZO34" s="684"/>
      <c r="PZP34" s="684"/>
      <c r="PZQ34" s="684"/>
      <c r="PZR34" s="684"/>
      <c r="PZS34" s="684"/>
      <c r="PZT34" s="684"/>
      <c r="PZU34" s="684"/>
      <c r="PZV34" s="684"/>
      <c r="PZW34" s="684"/>
      <c r="PZX34" s="684"/>
      <c r="PZY34" s="684"/>
      <c r="PZZ34" s="684"/>
      <c r="QAA34" s="684"/>
      <c r="QAB34" s="684"/>
      <c r="QAC34" s="684"/>
      <c r="QAD34" s="684"/>
      <c r="QAE34" s="684"/>
      <c r="QAF34" s="684"/>
      <c r="QAG34" s="684"/>
      <c r="QAH34" s="684"/>
      <c r="QAI34" s="684"/>
      <c r="QAJ34" s="684"/>
      <c r="QAK34" s="684"/>
      <c r="QAL34" s="684"/>
      <c r="QAM34" s="684"/>
      <c r="QAN34" s="684"/>
      <c r="QAO34" s="684"/>
      <c r="QAP34" s="684"/>
      <c r="QAQ34" s="684"/>
      <c r="QAR34" s="684"/>
      <c r="QAS34" s="684"/>
      <c r="QAT34" s="684"/>
      <c r="QAU34" s="684"/>
      <c r="QAV34" s="684"/>
      <c r="QAW34" s="684"/>
      <c r="QAX34" s="684"/>
      <c r="QAY34" s="684"/>
      <c r="QAZ34" s="684"/>
      <c r="QBA34" s="684"/>
      <c r="QBB34" s="684"/>
      <c r="QBC34" s="684"/>
      <c r="QBD34" s="684"/>
      <c r="QBE34" s="684"/>
      <c r="QBF34" s="684"/>
      <c r="QBG34" s="684"/>
      <c r="QBH34" s="684"/>
      <c r="QBI34" s="684"/>
      <c r="QBJ34" s="684"/>
      <c r="QBK34" s="684"/>
      <c r="QBL34" s="684"/>
      <c r="QBM34" s="684"/>
      <c r="QBN34" s="684"/>
      <c r="QBO34" s="684"/>
      <c r="QBP34" s="684"/>
      <c r="QBQ34" s="684"/>
      <c r="QBR34" s="684"/>
      <c r="QBS34" s="684"/>
      <c r="QBT34" s="684"/>
      <c r="QBU34" s="684"/>
      <c r="QBV34" s="684"/>
      <c r="QBW34" s="684"/>
      <c r="QBX34" s="684"/>
      <c r="QBY34" s="684"/>
      <c r="QBZ34" s="684"/>
      <c r="QCA34" s="684"/>
      <c r="QCB34" s="684"/>
      <c r="QCC34" s="684"/>
      <c r="QCD34" s="684"/>
      <c r="QCE34" s="684"/>
      <c r="QCF34" s="684"/>
      <c r="QCG34" s="684"/>
      <c r="QCH34" s="684"/>
      <c r="QCI34" s="684"/>
      <c r="QCJ34" s="684"/>
      <c r="QCK34" s="684"/>
      <c r="QCL34" s="684"/>
      <c r="QCM34" s="684"/>
      <c r="QCN34" s="684"/>
      <c r="QCO34" s="684"/>
      <c r="QCP34" s="684"/>
      <c r="QCQ34" s="684"/>
      <c r="QCR34" s="684"/>
      <c r="QCS34" s="684"/>
      <c r="QCT34" s="684"/>
      <c r="QCU34" s="684"/>
      <c r="QCV34" s="684"/>
      <c r="QCW34" s="684"/>
      <c r="QCX34" s="684"/>
      <c r="QCY34" s="684"/>
      <c r="QCZ34" s="684"/>
      <c r="QDA34" s="684"/>
      <c r="QDB34" s="684"/>
      <c r="QDC34" s="684"/>
      <c r="QDD34" s="684"/>
      <c r="QDE34" s="684"/>
      <c r="QDF34" s="684"/>
      <c r="QDG34" s="684"/>
      <c r="QDH34" s="684"/>
      <c r="QDI34" s="684"/>
      <c r="QDJ34" s="684"/>
      <c r="QDK34" s="684"/>
      <c r="QDL34" s="684"/>
      <c r="QDM34" s="684"/>
      <c r="QDN34" s="684"/>
      <c r="QDO34" s="684"/>
      <c r="QDP34" s="684"/>
      <c r="QDQ34" s="684"/>
      <c r="QDR34" s="684"/>
      <c r="QDS34" s="684"/>
      <c r="QDT34" s="684"/>
      <c r="QDU34" s="684"/>
      <c r="QDV34" s="684"/>
      <c r="QDW34" s="684"/>
      <c r="QDX34" s="684"/>
      <c r="QDY34" s="684"/>
      <c r="QDZ34" s="684"/>
      <c r="QEA34" s="684"/>
      <c r="QEB34" s="684"/>
      <c r="QEC34" s="684"/>
      <c r="QED34" s="684"/>
      <c r="QEE34" s="684"/>
      <c r="QEF34" s="684"/>
      <c r="QEG34" s="684"/>
      <c r="QEH34" s="684"/>
      <c r="QEI34" s="684"/>
      <c r="QEJ34" s="684"/>
      <c r="QEK34" s="684"/>
      <c r="QEL34" s="684"/>
      <c r="QEM34" s="684"/>
      <c r="QEN34" s="684"/>
      <c r="QEO34" s="684"/>
      <c r="QEP34" s="684"/>
      <c r="QEQ34" s="684"/>
      <c r="QER34" s="684"/>
      <c r="QES34" s="684"/>
      <c r="QET34" s="684"/>
      <c r="QEU34" s="684"/>
      <c r="QEV34" s="684"/>
      <c r="QEW34" s="684"/>
      <c r="QEX34" s="684"/>
      <c r="QEY34" s="684"/>
      <c r="QEZ34" s="684"/>
      <c r="QFA34" s="684"/>
      <c r="QFB34" s="684"/>
      <c r="QFC34" s="684"/>
      <c r="QFD34" s="684"/>
      <c r="QFE34" s="684"/>
      <c r="QFF34" s="684"/>
      <c r="QFG34" s="684"/>
      <c r="QFH34" s="684"/>
      <c r="QFI34" s="684"/>
      <c r="QFJ34" s="684"/>
      <c r="QFK34" s="684"/>
      <c r="QFL34" s="684"/>
      <c r="QFM34" s="684"/>
      <c r="QFN34" s="684"/>
      <c r="QFO34" s="684"/>
      <c r="QFP34" s="684"/>
      <c r="QFQ34" s="684"/>
      <c r="QFR34" s="684"/>
      <c r="QFS34" s="684"/>
      <c r="QFT34" s="684"/>
      <c r="QFU34" s="684"/>
      <c r="QFV34" s="684"/>
      <c r="QFW34" s="684"/>
      <c r="QFX34" s="684"/>
      <c r="QFY34" s="684"/>
      <c r="QFZ34" s="684"/>
      <c r="QGA34" s="684"/>
      <c r="QGB34" s="684"/>
      <c r="QGC34" s="684"/>
      <c r="QGD34" s="684"/>
      <c r="QGE34" s="684"/>
      <c r="QGF34" s="684"/>
      <c r="QGG34" s="684"/>
      <c r="QGH34" s="684"/>
      <c r="QGI34" s="684"/>
      <c r="QGJ34" s="684"/>
      <c r="QGK34" s="684"/>
      <c r="QGL34" s="684"/>
      <c r="QGM34" s="684"/>
      <c r="QGN34" s="684"/>
      <c r="QGO34" s="684"/>
      <c r="QGP34" s="684"/>
      <c r="QGQ34" s="684"/>
      <c r="QGR34" s="684"/>
      <c r="QGS34" s="684"/>
      <c r="QGT34" s="684"/>
      <c r="QGU34" s="684"/>
      <c r="QGV34" s="684"/>
      <c r="QGW34" s="684"/>
      <c r="QGX34" s="684"/>
      <c r="QGY34" s="684"/>
      <c r="QGZ34" s="684"/>
      <c r="QHA34" s="684"/>
      <c r="QHB34" s="684"/>
      <c r="QHC34" s="684"/>
      <c r="QHD34" s="684"/>
      <c r="QHE34" s="684"/>
      <c r="QHF34" s="684"/>
      <c r="QHG34" s="684"/>
      <c r="QHH34" s="684"/>
      <c r="QHI34" s="684"/>
      <c r="QHJ34" s="684"/>
      <c r="QHK34" s="684"/>
      <c r="QHL34" s="684"/>
      <c r="QHM34" s="684"/>
      <c r="QHN34" s="684"/>
      <c r="QHO34" s="684"/>
      <c r="QHP34" s="684"/>
      <c r="QHQ34" s="684"/>
      <c r="QHR34" s="684"/>
      <c r="QHS34" s="684"/>
      <c r="QHT34" s="684"/>
      <c r="QHU34" s="684"/>
      <c r="QHV34" s="684"/>
      <c r="QHW34" s="684"/>
      <c r="QHX34" s="684"/>
      <c r="QHY34" s="684"/>
      <c r="QHZ34" s="684"/>
      <c r="QIA34" s="684"/>
      <c r="QIB34" s="684"/>
      <c r="QIC34" s="684"/>
      <c r="QID34" s="684"/>
      <c r="QIE34" s="684"/>
      <c r="QIF34" s="684"/>
      <c r="QIG34" s="684"/>
      <c r="QIH34" s="684"/>
      <c r="QII34" s="684"/>
      <c r="QIJ34" s="684"/>
      <c r="QIK34" s="684"/>
      <c r="QIL34" s="684"/>
      <c r="QIM34" s="684"/>
      <c r="QIN34" s="684"/>
      <c r="QIO34" s="684"/>
      <c r="QIP34" s="684"/>
      <c r="QIQ34" s="684"/>
      <c r="QIR34" s="684"/>
      <c r="QIS34" s="684"/>
      <c r="QIT34" s="684"/>
      <c r="QIU34" s="684"/>
      <c r="QIV34" s="684"/>
      <c r="QIW34" s="684"/>
      <c r="QIX34" s="684"/>
      <c r="QIY34" s="684"/>
      <c r="QIZ34" s="684"/>
      <c r="QJA34" s="684"/>
      <c r="QJB34" s="684"/>
      <c r="QJC34" s="684"/>
      <c r="QJD34" s="684"/>
      <c r="QJE34" s="684"/>
      <c r="QJF34" s="684"/>
      <c r="QJG34" s="684"/>
      <c r="QJH34" s="684"/>
      <c r="QJI34" s="684"/>
      <c r="QJJ34" s="684"/>
      <c r="QJK34" s="684"/>
      <c r="QJL34" s="684"/>
      <c r="QJM34" s="684"/>
      <c r="QJN34" s="684"/>
      <c r="QJO34" s="684"/>
      <c r="QJP34" s="684"/>
      <c r="QJQ34" s="684"/>
      <c r="QJR34" s="684"/>
      <c r="QJS34" s="684"/>
      <c r="QJT34" s="684"/>
      <c r="QJU34" s="684"/>
      <c r="QJV34" s="684"/>
      <c r="QJW34" s="684"/>
      <c r="QJX34" s="684"/>
      <c r="QJY34" s="684"/>
      <c r="QJZ34" s="684"/>
      <c r="QKA34" s="684"/>
      <c r="QKB34" s="684"/>
      <c r="QKC34" s="684"/>
      <c r="QKD34" s="684"/>
      <c r="QKE34" s="684"/>
      <c r="QKF34" s="684"/>
      <c r="QKG34" s="684"/>
      <c r="QKH34" s="684"/>
      <c r="QKI34" s="684"/>
      <c r="QKJ34" s="684"/>
      <c r="QKK34" s="684"/>
      <c r="QKL34" s="684"/>
      <c r="QKM34" s="684"/>
      <c r="QKN34" s="684"/>
      <c r="QKO34" s="684"/>
      <c r="QKP34" s="684"/>
      <c r="QKQ34" s="684"/>
      <c r="QKR34" s="684"/>
      <c r="QKS34" s="684"/>
      <c r="QKT34" s="684"/>
      <c r="QKU34" s="684"/>
      <c r="QKV34" s="684"/>
      <c r="QKW34" s="684"/>
      <c r="QKX34" s="684"/>
      <c r="QKY34" s="684"/>
      <c r="QKZ34" s="684"/>
      <c r="QLA34" s="684"/>
      <c r="QLB34" s="684"/>
      <c r="QLC34" s="684"/>
      <c r="QLD34" s="684"/>
      <c r="QLE34" s="684"/>
      <c r="QLF34" s="684"/>
      <c r="QLG34" s="684"/>
      <c r="QLH34" s="684"/>
      <c r="QLI34" s="684"/>
      <c r="QLJ34" s="684"/>
      <c r="QLK34" s="684"/>
      <c r="QLL34" s="684"/>
      <c r="QLM34" s="684"/>
      <c r="QLN34" s="684"/>
      <c r="QLO34" s="684"/>
      <c r="QLP34" s="684"/>
      <c r="QLQ34" s="684"/>
      <c r="QLR34" s="684"/>
      <c r="QLS34" s="684"/>
      <c r="QLT34" s="684"/>
      <c r="QLU34" s="684"/>
      <c r="QLV34" s="684"/>
      <c r="QLW34" s="684"/>
      <c r="QLX34" s="684"/>
      <c r="QLY34" s="684"/>
      <c r="QLZ34" s="684"/>
      <c r="QMA34" s="684"/>
      <c r="QMB34" s="684"/>
      <c r="QMC34" s="684"/>
      <c r="QMD34" s="684"/>
      <c r="QME34" s="684"/>
      <c r="QMF34" s="684"/>
      <c r="QMG34" s="684"/>
      <c r="QMH34" s="684"/>
      <c r="QMI34" s="684"/>
      <c r="QMJ34" s="684"/>
      <c r="QMK34" s="684"/>
      <c r="QML34" s="684"/>
      <c r="QMM34" s="684"/>
      <c r="QMN34" s="684"/>
      <c r="QMO34" s="684"/>
      <c r="QMP34" s="684"/>
      <c r="QMQ34" s="684"/>
      <c r="QMR34" s="684"/>
      <c r="QMS34" s="684"/>
      <c r="QMT34" s="684"/>
      <c r="QMU34" s="684"/>
      <c r="QMV34" s="684"/>
      <c r="QMW34" s="684"/>
      <c r="QMX34" s="684"/>
      <c r="QMY34" s="684"/>
      <c r="QMZ34" s="684"/>
      <c r="QNA34" s="684"/>
      <c r="QNB34" s="684"/>
      <c r="QNC34" s="684"/>
      <c r="QND34" s="684"/>
      <c r="QNE34" s="684"/>
      <c r="QNF34" s="684"/>
      <c r="QNG34" s="684"/>
      <c r="QNH34" s="684"/>
      <c r="QNI34" s="684"/>
      <c r="QNJ34" s="684"/>
      <c r="QNK34" s="684"/>
      <c r="QNL34" s="684"/>
      <c r="QNM34" s="684"/>
      <c r="QNN34" s="684"/>
      <c r="QNO34" s="684"/>
      <c r="QNP34" s="684"/>
      <c r="QNQ34" s="684"/>
      <c r="QNR34" s="684"/>
      <c r="QNS34" s="684"/>
      <c r="QNT34" s="684"/>
      <c r="QNU34" s="684"/>
      <c r="QNV34" s="684"/>
      <c r="QNW34" s="684"/>
      <c r="QNX34" s="684"/>
      <c r="QNY34" s="684"/>
      <c r="QNZ34" s="684"/>
      <c r="QOA34" s="684"/>
      <c r="QOB34" s="684"/>
      <c r="QOC34" s="684"/>
      <c r="QOD34" s="684"/>
      <c r="QOE34" s="684"/>
      <c r="QOF34" s="684"/>
      <c r="QOG34" s="684"/>
      <c r="QOH34" s="684"/>
      <c r="QOI34" s="684"/>
      <c r="QOJ34" s="684"/>
      <c r="QOK34" s="684"/>
      <c r="QOL34" s="684"/>
      <c r="QOM34" s="684"/>
      <c r="QON34" s="684"/>
      <c r="QOO34" s="684"/>
      <c r="QOP34" s="684"/>
      <c r="QOQ34" s="684"/>
      <c r="QOR34" s="684"/>
      <c r="QOS34" s="684"/>
      <c r="QOT34" s="684"/>
      <c r="QOU34" s="684"/>
      <c r="QOV34" s="684"/>
      <c r="QOW34" s="684"/>
      <c r="QOX34" s="684"/>
      <c r="QOY34" s="684"/>
      <c r="QOZ34" s="684"/>
      <c r="QPA34" s="684"/>
      <c r="QPB34" s="684"/>
      <c r="QPC34" s="684"/>
      <c r="QPD34" s="684"/>
      <c r="QPE34" s="684"/>
      <c r="QPF34" s="684"/>
      <c r="QPG34" s="684"/>
      <c r="QPH34" s="684"/>
      <c r="QPI34" s="684"/>
      <c r="QPJ34" s="684"/>
      <c r="QPK34" s="684"/>
      <c r="QPL34" s="684"/>
      <c r="QPM34" s="684"/>
      <c r="QPN34" s="684"/>
      <c r="QPO34" s="684"/>
      <c r="QPP34" s="684"/>
      <c r="QPQ34" s="684"/>
      <c r="QPR34" s="684"/>
      <c r="QPS34" s="684"/>
      <c r="QPT34" s="684"/>
      <c r="QPU34" s="684"/>
      <c r="QPV34" s="684"/>
      <c r="QPW34" s="684"/>
      <c r="QPX34" s="684"/>
      <c r="QPY34" s="684"/>
      <c r="QPZ34" s="684"/>
      <c r="QQA34" s="684"/>
      <c r="QQB34" s="684"/>
      <c r="QQC34" s="684"/>
      <c r="QQD34" s="684"/>
      <c r="QQE34" s="684"/>
      <c r="QQF34" s="684"/>
      <c r="QQG34" s="684"/>
      <c r="QQH34" s="684"/>
      <c r="QQI34" s="684"/>
      <c r="QQJ34" s="684"/>
      <c r="QQK34" s="684"/>
      <c r="QQL34" s="684"/>
      <c r="QQM34" s="684"/>
      <c r="QQN34" s="684"/>
      <c r="QQO34" s="684"/>
      <c r="QQP34" s="684"/>
      <c r="QQQ34" s="684"/>
      <c r="QQR34" s="684"/>
      <c r="QQS34" s="684"/>
      <c r="QQT34" s="684"/>
      <c r="QQU34" s="684"/>
      <c r="QQV34" s="684"/>
      <c r="QQW34" s="684"/>
      <c r="QQX34" s="684"/>
      <c r="QQY34" s="684"/>
      <c r="QQZ34" s="684"/>
      <c r="QRA34" s="684"/>
      <c r="QRB34" s="684"/>
      <c r="QRC34" s="684"/>
      <c r="QRD34" s="684"/>
      <c r="QRE34" s="684"/>
      <c r="QRF34" s="684"/>
      <c r="QRG34" s="684"/>
      <c r="QRH34" s="684"/>
      <c r="QRI34" s="684"/>
      <c r="QRJ34" s="684"/>
      <c r="QRK34" s="684"/>
      <c r="QRL34" s="684"/>
      <c r="QRM34" s="684"/>
      <c r="QRN34" s="684"/>
      <c r="QRO34" s="684"/>
      <c r="QRP34" s="684"/>
      <c r="QRQ34" s="684"/>
      <c r="QRR34" s="684"/>
      <c r="QRS34" s="684"/>
      <c r="QRT34" s="684"/>
      <c r="QRU34" s="684"/>
      <c r="QRV34" s="684"/>
      <c r="QRW34" s="684"/>
      <c r="QRX34" s="684"/>
      <c r="QRY34" s="684"/>
      <c r="QRZ34" s="684"/>
      <c r="QSA34" s="684"/>
      <c r="QSB34" s="684"/>
      <c r="QSC34" s="684"/>
      <c r="QSD34" s="684"/>
      <c r="QSE34" s="684"/>
      <c r="QSF34" s="684"/>
      <c r="QSG34" s="684"/>
      <c r="QSH34" s="684"/>
      <c r="QSI34" s="684"/>
      <c r="QSJ34" s="684"/>
      <c r="QSK34" s="684"/>
      <c r="QSL34" s="684"/>
      <c r="QSM34" s="684"/>
      <c r="QSN34" s="684"/>
      <c r="QSO34" s="684"/>
      <c r="QSP34" s="684"/>
      <c r="QSQ34" s="684"/>
      <c r="QSR34" s="684"/>
      <c r="QSS34" s="684"/>
      <c r="QST34" s="684"/>
      <c r="QSU34" s="684"/>
      <c r="QSV34" s="684"/>
      <c r="QSW34" s="684"/>
      <c r="QSX34" s="684"/>
      <c r="QSY34" s="684"/>
      <c r="QSZ34" s="684"/>
      <c r="QTA34" s="684"/>
      <c r="QTB34" s="684"/>
      <c r="QTC34" s="684"/>
      <c r="QTD34" s="684"/>
      <c r="QTE34" s="684"/>
      <c r="QTF34" s="684"/>
      <c r="QTG34" s="684"/>
      <c r="QTH34" s="684"/>
      <c r="QTI34" s="684"/>
      <c r="QTJ34" s="684"/>
      <c r="QTK34" s="684"/>
      <c r="QTL34" s="684"/>
      <c r="QTM34" s="684"/>
      <c r="QTN34" s="684"/>
      <c r="QTO34" s="684"/>
      <c r="QTP34" s="684"/>
      <c r="QTQ34" s="684"/>
      <c r="QTR34" s="684"/>
      <c r="QTS34" s="684"/>
      <c r="QTT34" s="684"/>
      <c r="QTU34" s="684"/>
      <c r="QTV34" s="684"/>
      <c r="QTW34" s="684"/>
      <c r="QTX34" s="684"/>
      <c r="QTY34" s="684"/>
      <c r="QTZ34" s="684"/>
      <c r="QUA34" s="684"/>
      <c r="QUB34" s="684"/>
      <c r="QUC34" s="684"/>
      <c r="QUD34" s="684"/>
      <c r="QUE34" s="684"/>
      <c r="QUF34" s="684"/>
      <c r="QUG34" s="684"/>
      <c r="QUH34" s="684"/>
      <c r="QUI34" s="684"/>
      <c r="QUJ34" s="684"/>
      <c r="QUK34" s="684"/>
      <c r="QUL34" s="684"/>
      <c r="QUM34" s="684"/>
      <c r="QUN34" s="684"/>
      <c r="QUO34" s="684"/>
      <c r="QUP34" s="684"/>
      <c r="QUQ34" s="684"/>
      <c r="QUR34" s="684"/>
      <c r="QUS34" s="684"/>
      <c r="QUT34" s="684"/>
      <c r="QUU34" s="684"/>
      <c r="QUV34" s="684"/>
      <c r="QUW34" s="684"/>
      <c r="QUX34" s="684"/>
      <c r="QUY34" s="684"/>
      <c r="QUZ34" s="684"/>
      <c r="QVA34" s="684"/>
      <c r="QVB34" s="684"/>
      <c r="QVC34" s="684"/>
      <c r="QVD34" s="684"/>
      <c r="QVE34" s="684"/>
      <c r="QVF34" s="684"/>
      <c r="QVG34" s="684"/>
      <c r="QVH34" s="684"/>
      <c r="QVI34" s="684"/>
      <c r="QVJ34" s="684"/>
      <c r="QVK34" s="684"/>
      <c r="QVL34" s="684"/>
      <c r="QVM34" s="684"/>
      <c r="QVN34" s="684"/>
      <c r="QVO34" s="684"/>
      <c r="QVP34" s="684"/>
      <c r="QVQ34" s="684"/>
      <c r="QVR34" s="684"/>
      <c r="QVS34" s="684"/>
      <c r="QVT34" s="684"/>
      <c r="QVU34" s="684"/>
      <c r="QVV34" s="684"/>
      <c r="QVW34" s="684"/>
      <c r="QVX34" s="684"/>
      <c r="QVY34" s="684"/>
      <c r="QVZ34" s="684"/>
      <c r="QWA34" s="684"/>
      <c r="QWB34" s="684"/>
      <c r="QWC34" s="684"/>
      <c r="QWD34" s="684"/>
      <c r="QWE34" s="684"/>
      <c r="QWF34" s="684"/>
      <c r="QWG34" s="684"/>
      <c r="QWH34" s="684"/>
      <c r="QWI34" s="684"/>
      <c r="QWJ34" s="684"/>
      <c r="QWK34" s="684"/>
      <c r="QWL34" s="684"/>
      <c r="QWM34" s="684"/>
      <c r="QWN34" s="684"/>
      <c r="QWO34" s="684"/>
      <c r="QWP34" s="684"/>
      <c r="QWQ34" s="684"/>
      <c r="QWR34" s="684"/>
      <c r="QWS34" s="684"/>
      <c r="QWT34" s="684"/>
      <c r="QWU34" s="684"/>
      <c r="QWV34" s="684"/>
      <c r="QWW34" s="684"/>
      <c r="QWX34" s="684"/>
      <c r="QWY34" s="684"/>
      <c r="QWZ34" s="684"/>
      <c r="QXA34" s="684"/>
      <c r="QXB34" s="684"/>
      <c r="QXC34" s="684"/>
      <c r="QXD34" s="684"/>
      <c r="QXE34" s="684"/>
      <c r="QXF34" s="684"/>
      <c r="QXG34" s="684"/>
      <c r="QXH34" s="684"/>
      <c r="QXI34" s="684"/>
      <c r="QXJ34" s="684"/>
      <c r="QXK34" s="684"/>
      <c r="QXL34" s="684"/>
      <c r="QXM34" s="684"/>
      <c r="QXN34" s="684"/>
      <c r="QXO34" s="684"/>
      <c r="QXP34" s="684"/>
      <c r="QXQ34" s="684"/>
      <c r="QXR34" s="684"/>
      <c r="QXS34" s="684"/>
      <c r="QXT34" s="684"/>
      <c r="QXU34" s="684"/>
      <c r="QXV34" s="684"/>
      <c r="QXW34" s="684"/>
      <c r="QXX34" s="684"/>
      <c r="QXY34" s="684"/>
      <c r="QXZ34" s="684"/>
      <c r="QYA34" s="684"/>
      <c r="QYB34" s="684"/>
      <c r="QYC34" s="684"/>
      <c r="QYD34" s="684"/>
      <c r="QYE34" s="684"/>
      <c r="QYF34" s="684"/>
      <c r="QYG34" s="684"/>
      <c r="QYH34" s="684"/>
      <c r="QYI34" s="684"/>
      <c r="QYJ34" s="684"/>
      <c r="QYK34" s="684"/>
      <c r="QYL34" s="684"/>
      <c r="QYM34" s="684"/>
      <c r="QYN34" s="684"/>
      <c r="QYO34" s="684"/>
      <c r="QYP34" s="684"/>
      <c r="QYQ34" s="684"/>
      <c r="QYR34" s="684"/>
      <c r="QYS34" s="684"/>
      <c r="QYT34" s="684"/>
      <c r="QYU34" s="684"/>
      <c r="QYV34" s="684"/>
      <c r="QYW34" s="684"/>
      <c r="QYX34" s="684"/>
      <c r="QYY34" s="684"/>
      <c r="QYZ34" s="684"/>
      <c r="QZA34" s="684"/>
      <c r="QZB34" s="684"/>
      <c r="QZC34" s="684"/>
      <c r="QZD34" s="684"/>
      <c r="QZE34" s="684"/>
      <c r="QZF34" s="684"/>
      <c r="QZG34" s="684"/>
      <c r="QZH34" s="684"/>
      <c r="QZI34" s="684"/>
      <c r="QZJ34" s="684"/>
      <c r="QZK34" s="684"/>
      <c r="QZL34" s="684"/>
      <c r="QZM34" s="684"/>
      <c r="QZN34" s="684"/>
      <c r="QZO34" s="684"/>
      <c r="QZP34" s="684"/>
      <c r="QZQ34" s="684"/>
      <c r="QZR34" s="684"/>
      <c r="QZS34" s="684"/>
      <c r="QZT34" s="684"/>
      <c r="QZU34" s="684"/>
      <c r="QZV34" s="684"/>
      <c r="QZW34" s="684"/>
      <c r="QZX34" s="684"/>
      <c r="QZY34" s="684"/>
      <c r="QZZ34" s="684"/>
      <c r="RAA34" s="684"/>
      <c r="RAB34" s="684"/>
      <c r="RAC34" s="684"/>
      <c r="RAD34" s="684"/>
      <c r="RAE34" s="684"/>
      <c r="RAF34" s="684"/>
      <c r="RAG34" s="684"/>
      <c r="RAH34" s="684"/>
      <c r="RAI34" s="684"/>
      <c r="RAJ34" s="684"/>
      <c r="RAK34" s="684"/>
      <c r="RAL34" s="684"/>
      <c r="RAM34" s="684"/>
      <c r="RAN34" s="684"/>
      <c r="RAO34" s="684"/>
      <c r="RAP34" s="684"/>
      <c r="RAQ34" s="684"/>
      <c r="RAR34" s="684"/>
      <c r="RAS34" s="684"/>
      <c r="RAT34" s="684"/>
      <c r="RAU34" s="684"/>
      <c r="RAV34" s="684"/>
      <c r="RAW34" s="684"/>
      <c r="RAX34" s="684"/>
      <c r="RAY34" s="684"/>
      <c r="RAZ34" s="684"/>
      <c r="RBA34" s="684"/>
      <c r="RBB34" s="684"/>
      <c r="RBC34" s="684"/>
      <c r="RBD34" s="684"/>
      <c r="RBE34" s="684"/>
      <c r="RBF34" s="684"/>
      <c r="RBG34" s="684"/>
      <c r="RBH34" s="684"/>
      <c r="RBI34" s="684"/>
      <c r="RBJ34" s="684"/>
      <c r="RBK34" s="684"/>
      <c r="RBL34" s="684"/>
      <c r="RBM34" s="684"/>
      <c r="RBN34" s="684"/>
      <c r="RBO34" s="684"/>
      <c r="RBP34" s="684"/>
      <c r="RBQ34" s="684"/>
      <c r="RBR34" s="684"/>
      <c r="RBS34" s="684"/>
      <c r="RBT34" s="684"/>
      <c r="RBU34" s="684"/>
      <c r="RBV34" s="684"/>
      <c r="RBW34" s="684"/>
      <c r="RBX34" s="684"/>
      <c r="RBY34" s="684"/>
      <c r="RBZ34" s="684"/>
      <c r="RCA34" s="684"/>
      <c r="RCB34" s="684"/>
      <c r="RCC34" s="684"/>
      <c r="RCD34" s="684"/>
      <c r="RCE34" s="684"/>
      <c r="RCF34" s="684"/>
      <c r="RCG34" s="684"/>
      <c r="RCH34" s="684"/>
      <c r="RCI34" s="684"/>
      <c r="RCJ34" s="684"/>
      <c r="RCK34" s="684"/>
      <c r="RCL34" s="684"/>
      <c r="RCM34" s="684"/>
      <c r="RCN34" s="684"/>
      <c r="RCO34" s="684"/>
      <c r="RCP34" s="684"/>
      <c r="RCQ34" s="684"/>
      <c r="RCR34" s="684"/>
      <c r="RCS34" s="684"/>
      <c r="RCT34" s="684"/>
      <c r="RCU34" s="684"/>
      <c r="RCV34" s="684"/>
      <c r="RCW34" s="684"/>
      <c r="RCX34" s="684"/>
      <c r="RCY34" s="684"/>
      <c r="RCZ34" s="684"/>
      <c r="RDA34" s="684"/>
      <c r="RDB34" s="684"/>
      <c r="RDC34" s="684"/>
      <c r="RDD34" s="684"/>
      <c r="RDE34" s="684"/>
      <c r="RDF34" s="684"/>
      <c r="RDG34" s="684"/>
      <c r="RDH34" s="684"/>
      <c r="RDI34" s="684"/>
      <c r="RDJ34" s="684"/>
      <c r="RDK34" s="684"/>
      <c r="RDL34" s="684"/>
      <c r="RDM34" s="684"/>
      <c r="RDN34" s="684"/>
      <c r="RDO34" s="684"/>
      <c r="RDP34" s="684"/>
      <c r="RDQ34" s="684"/>
      <c r="RDR34" s="684"/>
      <c r="RDS34" s="684"/>
      <c r="RDT34" s="684"/>
      <c r="RDU34" s="684"/>
      <c r="RDV34" s="684"/>
      <c r="RDW34" s="684"/>
      <c r="RDX34" s="684"/>
      <c r="RDY34" s="684"/>
      <c r="RDZ34" s="684"/>
      <c r="REA34" s="684"/>
      <c r="REB34" s="684"/>
      <c r="REC34" s="684"/>
      <c r="RED34" s="684"/>
      <c r="REE34" s="684"/>
      <c r="REF34" s="684"/>
      <c r="REG34" s="684"/>
      <c r="REH34" s="684"/>
      <c r="REI34" s="684"/>
      <c r="REJ34" s="684"/>
      <c r="REK34" s="684"/>
      <c r="REL34" s="684"/>
      <c r="REM34" s="684"/>
      <c r="REN34" s="684"/>
      <c r="REO34" s="684"/>
      <c r="REP34" s="684"/>
      <c r="REQ34" s="684"/>
      <c r="RER34" s="684"/>
      <c r="RES34" s="684"/>
      <c r="RET34" s="684"/>
      <c r="REU34" s="684"/>
      <c r="REV34" s="684"/>
      <c r="REW34" s="684"/>
      <c r="REX34" s="684"/>
      <c r="REY34" s="684"/>
      <c r="REZ34" s="684"/>
      <c r="RFA34" s="684"/>
      <c r="RFB34" s="684"/>
      <c r="RFC34" s="684"/>
      <c r="RFD34" s="684"/>
      <c r="RFE34" s="684"/>
      <c r="RFF34" s="684"/>
      <c r="RFG34" s="684"/>
      <c r="RFH34" s="684"/>
      <c r="RFI34" s="684"/>
      <c r="RFJ34" s="684"/>
      <c r="RFK34" s="684"/>
      <c r="RFL34" s="684"/>
      <c r="RFM34" s="684"/>
      <c r="RFN34" s="684"/>
      <c r="RFO34" s="684"/>
      <c r="RFP34" s="684"/>
      <c r="RFQ34" s="684"/>
      <c r="RFR34" s="684"/>
      <c r="RFS34" s="684"/>
      <c r="RFT34" s="684"/>
      <c r="RFU34" s="684"/>
      <c r="RFV34" s="684"/>
      <c r="RFW34" s="684"/>
      <c r="RFX34" s="684"/>
      <c r="RFY34" s="684"/>
      <c r="RFZ34" s="684"/>
      <c r="RGA34" s="684"/>
      <c r="RGB34" s="684"/>
      <c r="RGC34" s="684"/>
      <c r="RGD34" s="684"/>
      <c r="RGE34" s="684"/>
      <c r="RGF34" s="684"/>
      <c r="RGG34" s="684"/>
      <c r="RGH34" s="684"/>
      <c r="RGI34" s="684"/>
      <c r="RGJ34" s="684"/>
      <c r="RGK34" s="684"/>
      <c r="RGL34" s="684"/>
      <c r="RGM34" s="684"/>
      <c r="RGN34" s="684"/>
      <c r="RGO34" s="684"/>
      <c r="RGP34" s="684"/>
      <c r="RGQ34" s="684"/>
      <c r="RGR34" s="684"/>
      <c r="RGS34" s="684"/>
      <c r="RGT34" s="684"/>
      <c r="RGU34" s="684"/>
      <c r="RGV34" s="684"/>
      <c r="RGW34" s="684"/>
      <c r="RGX34" s="684"/>
      <c r="RGY34" s="684"/>
      <c r="RGZ34" s="684"/>
      <c r="RHA34" s="684"/>
      <c r="RHB34" s="684"/>
      <c r="RHC34" s="684"/>
      <c r="RHD34" s="684"/>
      <c r="RHE34" s="684"/>
      <c r="RHF34" s="684"/>
      <c r="RHG34" s="684"/>
      <c r="RHH34" s="684"/>
      <c r="RHI34" s="684"/>
      <c r="RHJ34" s="684"/>
      <c r="RHK34" s="684"/>
      <c r="RHL34" s="684"/>
      <c r="RHM34" s="684"/>
      <c r="RHN34" s="684"/>
      <c r="RHO34" s="684"/>
      <c r="RHP34" s="684"/>
      <c r="RHQ34" s="684"/>
      <c r="RHR34" s="684"/>
      <c r="RHS34" s="684"/>
      <c r="RHT34" s="684"/>
      <c r="RHU34" s="684"/>
      <c r="RHV34" s="684"/>
      <c r="RHW34" s="684"/>
      <c r="RHX34" s="684"/>
      <c r="RHY34" s="684"/>
      <c r="RHZ34" s="684"/>
      <c r="RIA34" s="684"/>
      <c r="RIB34" s="684"/>
      <c r="RIC34" s="684"/>
      <c r="RID34" s="684"/>
      <c r="RIE34" s="684"/>
      <c r="RIF34" s="684"/>
      <c r="RIG34" s="684"/>
      <c r="RIH34" s="684"/>
      <c r="RII34" s="684"/>
      <c r="RIJ34" s="684"/>
      <c r="RIK34" s="684"/>
      <c r="RIL34" s="684"/>
      <c r="RIM34" s="684"/>
      <c r="RIN34" s="684"/>
      <c r="RIO34" s="684"/>
      <c r="RIP34" s="684"/>
      <c r="RIQ34" s="684"/>
      <c r="RIR34" s="684"/>
      <c r="RIS34" s="684"/>
      <c r="RIT34" s="684"/>
      <c r="RIU34" s="684"/>
      <c r="RIV34" s="684"/>
      <c r="RIW34" s="684"/>
      <c r="RIX34" s="684"/>
      <c r="RIY34" s="684"/>
      <c r="RIZ34" s="684"/>
      <c r="RJA34" s="684"/>
      <c r="RJB34" s="684"/>
      <c r="RJC34" s="684"/>
      <c r="RJD34" s="684"/>
      <c r="RJE34" s="684"/>
      <c r="RJF34" s="684"/>
      <c r="RJG34" s="684"/>
      <c r="RJH34" s="684"/>
      <c r="RJI34" s="684"/>
      <c r="RJJ34" s="684"/>
      <c r="RJK34" s="684"/>
      <c r="RJL34" s="684"/>
      <c r="RJM34" s="684"/>
      <c r="RJN34" s="684"/>
      <c r="RJO34" s="684"/>
      <c r="RJP34" s="684"/>
      <c r="RJQ34" s="684"/>
      <c r="RJR34" s="684"/>
      <c r="RJS34" s="684"/>
      <c r="RJT34" s="684"/>
      <c r="RJU34" s="684"/>
      <c r="RJV34" s="684"/>
      <c r="RJW34" s="684"/>
      <c r="RJX34" s="684"/>
      <c r="RJY34" s="684"/>
      <c r="RJZ34" s="684"/>
      <c r="RKA34" s="684"/>
      <c r="RKB34" s="684"/>
      <c r="RKC34" s="684"/>
      <c r="RKD34" s="684"/>
      <c r="RKE34" s="684"/>
      <c r="RKF34" s="684"/>
      <c r="RKG34" s="684"/>
      <c r="RKH34" s="684"/>
      <c r="RKI34" s="684"/>
      <c r="RKJ34" s="684"/>
      <c r="RKK34" s="684"/>
      <c r="RKL34" s="684"/>
      <c r="RKM34" s="684"/>
      <c r="RKN34" s="684"/>
      <c r="RKO34" s="684"/>
      <c r="RKP34" s="684"/>
      <c r="RKQ34" s="684"/>
      <c r="RKR34" s="684"/>
      <c r="RKS34" s="684"/>
      <c r="RKT34" s="684"/>
      <c r="RKU34" s="684"/>
      <c r="RKV34" s="684"/>
      <c r="RKW34" s="684"/>
      <c r="RKX34" s="684"/>
      <c r="RKY34" s="684"/>
      <c r="RKZ34" s="684"/>
      <c r="RLA34" s="684"/>
      <c r="RLB34" s="684"/>
      <c r="RLC34" s="684"/>
      <c r="RLD34" s="684"/>
      <c r="RLE34" s="684"/>
      <c r="RLF34" s="684"/>
      <c r="RLG34" s="684"/>
      <c r="RLH34" s="684"/>
      <c r="RLI34" s="684"/>
      <c r="RLJ34" s="684"/>
      <c r="RLK34" s="684"/>
      <c r="RLL34" s="684"/>
      <c r="RLM34" s="684"/>
      <c r="RLN34" s="684"/>
      <c r="RLO34" s="684"/>
      <c r="RLP34" s="684"/>
      <c r="RLQ34" s="684"/>
      <c r="RLR34" s="684"/>
      <c r="RLS34" s="684"/>
      <c r="RLT34" s="684"/>
      <c r="RLU34" s="684"/>
      <c r="RLV34" s="684"/>
      <c r="RLW34" s="684"/>
      <c r="RLX34" s="684"/>
      <c r="RLY34" s="684"/>
      <c r="RLZ34" s="684"/>
      <c r="RMA34" s="684"/>
      <c r="RMB34" s="684"/>
      <c r="RMC34" s="684"/>
      <c r="RMD34" s="684"/>
      <c r="RME34" s="684"/>
      <c r="RMF34" s="684"/>
      <c r="RMG34" s="684"/>
      <c r="RMH34" s="684"/>
      <c r="RMI34" s="684"/>
      <c r="RMJ34" s="684"/>
      <c r="RMK34" s="684"/>
      <c r="RML34" s="684"/>
      <c r="RMM34" s="684"/>
      <c r="RMN34" s="684"/>
      <c r="RMO34" s="684"/>
      <c r="RMP34" s="684"/>
      <c r="RMQ34" s="684"/>
      <c r="RMR34" s="684"/>
      <c r="RMS34" s="684"/>
      <c r="RMT34" s="684"/>
      <c r="RMU34" s="684"/>
      <c r="RMV34" s="684"/>
      <c r="RMW34" s="684"/>
      <c r="RMX34" s="684"/>
      <c r="RMY34" s="684"/>
      <c r="RMZ34" s="684"/>
      <c r="RNA34" s="684"/>
      <c r="RNB34" s="684"/>
      <c r="RNC34" s="684"/>
      <c r="RND34" s="684"/>
      <c r="RNE34" s="684"/>
      <c r="RNF34" s="684"/>
      <c r="RNG34" s="684"/>
      <c r="RNH34" s="684"/>
      <c r="RNI34" s="684"/>
      <c r="RNJ34" s="684"/>
      <c r="RNK34" s="684"/>
      <c r="RNL34" s="684"/>
      <c r="RNM34" s="684"/>
      <c r="RNN34" s="684"/>
      <c r="RNO34" s="684"/>
      <c r="RNP34" s="684"/>
      <c r="RNQ34" s="684"/>
      <c r="RNR34" s="684"/>
      <c r="RNS34" s="684"/>
      <c r="RNT34" s="684"/>
      <c r="RNU34" s="684"/>
      <c r="RNV34" s="684"/>
      <c r="RNW34" s="684"/>
      <c r="RNX34" s="684"/>
      <c r="RNY34" s="684"/>
      <c r="RNZ34" s="684"/>
      <c r="ROA34" s="684"/>
      <c r="ROB34" s="684"/>
      <c r="ROC34" s="684"/>
      <c r="ROD34" s="684"/>
      <c r="ROE34" s="684"/>
      <c r="ROF34" s="684"/>
      <c r="ROG34" s="684"/>
      <c r="ROH34" s="684"/>
      <c r="ROI34" s="684"/>
      <c r="ROJ34" s="684"/>
      <c r="ROK34" s="684"/>
      <c r="ROL34" s="684"/>
      <c r="ROM34" s="684"/>
      <c r="RON34" s="684"/>
      <c r="ROO34" s="684"/>
      <c r="ROP34" s="684"/>
      <c r="ROQ34" s="684"/>
      <c r="ROR34" s="684"/>
      <c r="ROS34" s="684"/>
      <c r="ROT34" s="684"/>
      <c r="ROU34" s="684"/>
      <c r="ROV34" s="684"/>
      <c r="ROW34" s="684"/>
      <c r="ROX34" s="684"/>
      <c r="ROY34" s="684"/>
      <c r="ROZ34" s="684"/>
      <c r="RPA34" s="684"/>
      <c r="RPB34" s="684"/>
      <c r="RPC34" s="684"/>
      <c r="RPD34" s="684"/>
      <c r="RPE34" s="684"/>
      <c r="RPF34" s="684"/>
      <c r="RPG34" s="684"/>
      <c r="RPH34" s="684"/>
      <c r="RPI34" s="684"/>
      <c r="RPJ34" s="684"/>
      <c r="RPK34" s="684"/>
      <c r="RPL34" s="684"/>
      <c r="RPM34" s="684"/>
      <c r="RPN34" s="684"/>
      <c r="RPO34" s="684"/>
      <c r="RPP34" s="684"/>
      <c r="RPQ34" s="684"/>
      <c r="RPR34" s="684"/>
      <c r="RPS34" s="684"/>
      <c r="RPT34" s="684"/>
      <c r="RPU34" s="684"/>
      <c r="RPV34" s="684"/>
      <c r="RPW34" s="684"/>
      <c r="RPX34" s="684"/>
      <c r="RPY34" s="684"/>
      <c r="RPZ34" s="684"/>
      <c r="RQA34" s="684"/>
      <c r="RQB34" s="684"/>
      <c r="RQC34" s="684"/>
      <c r="RQD34" s="684"/>
      <c r="RQE34" s="684"/>
      <c r="RQF34" s="684"/>
      <c r="RQG34" s="684"/>
      <c r="RQH34" s="684"/>
      <c r="RQI34" s="684"/>
      <c r="RQJ34" s="684"/>
      <c r="RQK34" s="684"/>
      <c r="RQL34" s="684"/>
      <c r="RQM34" s="684"/>
      <c r="RQN34" s="684"/>
      <c r="RQO34" s="684"/>
      <c r="RQP34" s="684"/>
      <c r="RQQ34" s="684"/>
      <c r="RQR34" s="684"/>
      <c r="RQS34" s="684"/>
      <c r="RQT34" s="684"/>
      <c r="RQU34" s="684"/>
      <c r="RQV34" s="684"/>
      <c r="RQW34" s="684"/>
      <c r="RQX34" s="684"/>
      <c r="RQY34" s="684"/>
      <c r="RQZ34" s="684"/>
      <c r="RRA34" s="684"/>
      <c r="RRB34" s="684"/>
      <c r="RRC34" s="684"/>
      <c r="RRD34" s="684"/>
      <c r="RRE34" s="684"/>
      <c r="RRF34" s="684"/>
      <c r="RRG34" s="684"/>
      <c r="RRH34" s="684"/>
      <c r="RRI34" s="684"/>
      <c r="RRJ34" s="684"/>
      <c r="RRK34" s="684"/>
      <c r="RRL34" s="684"/>
      <c r="RRM34" s="684"/>
      <c r="RRN34" s="684"/>
      <c r="RRO34" s="684"/>
      <c r="RRP34" s="684"/>
      <c r="RRQ34" s="684"/>
      <c r="RRR34" s="684"/>
      <c r="RRS34" s="684"/>
      <c r="RRT34" s="684"/>
      <c r="RRU34" s="684"/>
      <c r="RRV34" s="684"/>
      <c r="RRW34" s="684"/>
      <c r="RRX34" s="684"/>
      <c r="RRY34" s="684"/>
      <c r="RRZ34" s="684"/>
      <c r="RSA34" s="684"/>
      <c r="RSB34" s="684"/>
      <c r="RSC34" s="684"/>
      <c r="RSD34" s="684"/>
      <c r="RSE34" s="684"/>
      <c r="RSF34" s="684"/>
      <c r="RSG34" s="684"/>
      <c r="RSH34" s="684"/>
      <c r="RSI34" s="684"/>
      <c r="RSJ34" s="684"/>
      <c r="RSK34" s="684"/>
      <c r="RSL34" s="684"/>
      <c r="RSM34" s="684"/>
      <c r="RSN34" s="684"/>
      <c r="RSO34" s="684"/>
      <c r="RSP34" s="684"/>
      <c r="RSQ34" s="684"/>
      <c r="RSR34" s="684"/>
      <c r="RSS34" s="684"/>
      <c r="RST34" s="684"/>
      <c r="RSU34" s="684"/>
      <c r="RSV34" s="684"/>
      <c r="RSW34" s="684"/>
      <c r="RSX34" s="684"/>
      <c r="RSY34" s="684"/>
      <c r="RSZ34" s="684"/>
      <c r="RTA34" s="684"/>
      <c r="RTB34" s="684"/>
      <c r="RTC34" s="684"/>
      <c r="RTD34" s="684"/>
      <c r="RTE34" s="684"/>
      <c r="RTF34" s="684"/>
      <c r="RTG34" s="684"/>
      <c r="RTH34" s="684"/>
      <c r="RTI34" s="684"/>
      <c r="RTJ34" s="684"/>
      <c r="RTK34" s="684"/>
      <c r="RTL34" s="684"/>
      <c r="RTM34" s="684"/>
      <c r="RTN34" s="684"/>
      <c r="RTO34" s="684"/>
      <c r="RTP34" s="684"/>
      <c r="RTQ34" s="684"/>
      <c r="RTR34" s="684"/>
      <c r="RTS34" s="684"/>
      <c r="RTT34" s="684"/>
      <c r="RTU34" s="684"/>
      <c r="RTV34" s="684"/>
      <c r="RTW34" s="684"/>
      <c r="RTX34" s="684"/>
      <c r="RTY34" s="684"/>
      <c r="RTZ34" s="684"/>
      <c r="RUA34" s="684"/>
      <c r="RUB34" s="684"/>
      <c r="RUC34" s="684"/>
      <c r="RUD34" s="684"/>
      <c r="RUE34" s="684"/>
      <c r="RUF34" s="684"/>
      <c r="RUG34" s="684"/>
      <c r="RUH34" s="684"/>
      <c r="RUI34" s="684"/>
      <c r="RUJ34" s="684"/>
      <c r="RUK34" s="684"/>
      <c r="RUL34" s="684"/>
      <c r="RUM34" s="684"/>
      <c r="RUN34" s="684"/>
      <c r="RUO34" s="684"/>
      <c r="RUP34" s="684"/>
      <c r="RUQ34" s="684"/>
      <c r="RUR34" s="684"/>
      <c r="RUS34" s="684"/>
      <c r="RUT34" s="684"/>
      <c r="RUU34" s="684"/>
      <c r="RUV34" s="684"/>
      <c r="RUW34" s="684"/>
      <c r="RUX34" s="684"/>
      <c r="RUY34" s="684"/>
      <c r="RUZ34" s="684"/>
      <c r="RVA34" s="684"/>
      <c r="RVB34" s="684"/>
      <c r="RVC34" s="684"/>
      <c r="RVD34" s="684"/>
      <c r="RVE34" s="684"/>
      <c r="RVF34" s="684"/>
      <c r="RVG34" s="684"/>
      <c r="RVH34" s="684"/>
      <c r="RVI34" s="684"/>
      <c r="RVJ34" s="684"/>
      <c r="RVK34" s="684"/>
      <c r="RVL34" s="684"/>
      <c r="RVM34" s="684"/>
      <c r="RVN34" s="684"/>
      <c r="RVO34" s="684"/>
      <c r="RVP34" s="684"/>
      <c r="RVQ34" s="684"/>
      <c r="RVR34" s="684"/>
      <c r="RVS34" s="684"/>
      <c r="RVT34" s="684"/>
      <c r="RVU34" s="684"/>
      <c r="RVV34" s="684"/>
      <c r="RVW34" s="684"/>
      <c r="RVX34" s="684"/>
      <c r="RVY34" s="684"/>
      <c r="RVZ34" s="684"/>
      <c r="RWA34" s="684"/>
      <c r="RWB34" s="684"/>
      <c r="RWC34" s="684"/>
      <c r="RWD34" s="684"/>
      <c r="RWE34" s="684"/>
      <c r="RWF34" s="684"/>
      <c r="RWG34" s="684"/>
      <c r="RWH34" s="684"/>
      <c r="RWI34" s="684"/>
      <c r="RWJ34" s="684"/>
      <c r="RWK34" s="684"/>
      <c r="RWL34" s="684"/>
      <c r="RWM34" s="684"/>
      <c r="RWN34" s="684"/>
      <c r="RWO34" s="684"/>
      <c r="RWP34" s="684"/>
      <c r="RWQ34" s="684"/>
      <c r="RWR34" s="684"/>
      <c r="RWS34" s="684"/>
      <c r="RWT34" s="684"/>
      <c r="RWU34" s="684"/>
      <c r="RWV34" s="684"/>
      <c r="RWW34" s="684"/>
      <c r="RWX34" s="684"/>
      <c r="RWY34" s="684"/>
      <c r="RWZ34" s="684"/>
      <c r="RXA34" s="684"/>
      <c r="RXB34" s="684"/>
      <c r="RXC34" s="684"/>
      <c r="RXD34" s="684"/>
      <c r="RXE34" s="684"/>
      <c r="RXF34" s="684"/>
      <c r="RXG34" s="684"/>
      <c r="RXH34" s="684"/>
      <c r="RXI34" s="684"/>
      <c r="RXJ34" s="684"/>
      <c r="RXK34" s="684"/>
      <c r="RXL34" s="684"/>
      <c r="RXM34" s="684"/>
      <c r="RXN34" s="684"/>
      <c r="RXO34" s="684"/>
      <c r="RXP34" s="684"/>
      <c r="RXQ34" s="684"/>
      <c r="RXR34" s="684"/>
      <c r="RXS34" s="684"/>
      <c r="RXT34" s="684"/>
      <c r="RXU34" s="684"/>
      <c r="RXV34" s="684"/>
      <c r="RXW34" s="684"/>
      <c r="RXX34" s="684"/>
      <c r="RXY34" s="684"/>
      <c r="RXZ34" s="684"/>
      <c r="RYA34" s="684"/>
      <c r="RYB34" s="684"/>
      <c r="RYC34" s="684"/>
      <c r="RYD34" s="684"/>
      <c r="RYE34" s="684"/>
      <c r="RYF34" s="684"/>
      <c r="RYG34" s="684"/>
      <c r="RYH34" s="684"/>
      <c r="RYI34" s="684"/>
      <c r="RYJ34" s="684"/>
      <c r="RYK34" s="684"/>
      <c r="RYL34" s="684"/>
      <c r="RYM34" s="684"/>
      <c r="RYN34" s="684"/>
      <c r="RYO34" s="684"/>
      <c r="RYP34" s="684"/>
      <c r="RYQ34" s="684"/>
      <c r="RYR34" s="684"/>
      <c r="RYS34" s="684"/>
      <c r="RYT34" s="684"/>
      <c r="RYU34" s="684"/>
      <c r="RYV34" s="684"/>
      <c r="RYW34" s="684"/>
      <c r="RYX34" s="684"/>
      <c r="RYY34" s="684"/>
      <c r="RYZ34" s="684"/>
      <c r="RZA34" s="684"/>
      <c r="RZB34" s="684"/>
      <c r="RZC34" s="684"/>
      <c r="RZD34" s="684"/>
      <c r="RZE34" s="684"/>
      <c r="RZF34" s="684"/>
      <c r="RZG34" s="684"/>
      <c r="RZH34" s="684"/>
      <c r="RZI34" s="684"/>
      <c r="RZJ34" s="684"/>
      <c r="RZK34" s="684"/>
      <c r="RZL34" s="684"/>
      <c r="RZM34" s="684"/>
      <c r="RZN34" s="684"/>
      <c r="RZO34" s="684"/>
      <c r="RZP34" s="684"/>
      <c r="RZQ34" s="684"/>
      <c r="RZR34" s="684"/>
      <c r="RZS34" s="684"/>
      <c r="RZT34" s="684"/>
      <c r="RZU34" s="684"/>
      <c r="RZV34" s="684"/>
      <c r="RZW34" s="684"/>
      <c r="RZX34" s="684"/>
      <c r="RZY34" s="684"/>
      <c r="RZZ34" s="684"/>
      <c r="SAA34" s="684"/>
      <c r="SAB34" s="684"/>
      <c r="SAC34" s="684"/>
      <c r="SAD34" s="684"/>
      <c r="SAE34" s="684"/>
      <c r="SAF34" s="684"/>
      <c r="SAG34" s="684"/>
      <c r="SAH34" s="684"/>
      <c r="SAI34" s="684"/>
      <c r="SAJ34" s="684"/>
      <c r="SAK34" s="684"/>
      <c r="SAL34" s="684"/>
      <c r="SAM34" s="684"/>
      <c r="SAN34" s="684"/>
      <c r="SAO34" s="684"/>
      <c r="SAP34" s="684"/>
      <c r="SAQ34" s="684"/>
      <c r="SAR34" s="684"/>
      <c r="SAS34" s="684"/>
      <c r="SAT34" s="684"/>
      <c r="SAU34" s="684"/>
      <c r="SAV34" s="684"/>
      <c r="SAW34" s="684"/>
      <c r="SAX34" s="684"/>
      <c r="SAY34" s="684"/>
      <c r="SAZ34" s="684"/>
      <c r="SBA34" s="684"/>
      <c r="SBB34" s="684"/>
      <c r="SBC34" s="684"/>
      <c r="SBD34" s="684"/>
      <c r="SBE34" s="684"/>
      <c r="SBF34" s="684"/>
      <c r="SBG34" s="684"/>
      <c r="SBH34" s="684"/>
      <c r="SBI34" s="684"/>
      <c r="SBJ34" s="684"/>
      <c r="SBK34" s="684"/>
      <c r="SBL34" s="684"/>
      <c r="SBM34" s="684"/>
      <c r="SBN34" s="684"/>
      <c r="SBO34" s="684"/>
      <c r="SBP34" s="684"/>
      <c r="SBQ34" s="684"/>
      <c r="SBR34" s="684"/>
      <c r="SBS34" s="684"/>
      <c r="SBT34" s="684"/>
      <c r="SBU34" s="684"/>
      <c r="SBV34" s="684"/>
      <c r="SBW34" s="684"/>
      <c r="SBX34" s="684"/>
      <c r="SBY34" s="684"/>
      <c r="SBZ34" s="684"/>
      <c r="SCA34" s="684"/>
      <c r="SCB34" s="684"/>
      <c r="SCC34" s="684"/>
      <c r="SCD34" s="684"/>
      <c r="SCE34" s="684"/>
      <c r="SCF34" s="684"/>
      <c r="SCG34" s="684"/>
      <c r="SCH34" s="684"/>
      <c r="SCI34" s="684"/>
      <c r="SCJ34" s="684"/>
      <c r="SCK34" s="684"/>
      <c r="SCL34" s="684"/>
      <c r="SCM34" s="684"/>
      <c r="SCN34" s="684"/>
      <c r="SCO34" s="684"/>
      <c r="SCP34" s="684"/>
      <c r="SCQ34" s="684"/>
      <c r="SCR34" s="684"/>
      <c r="SCS34" s="684"/>
      <c r="SCT34" s="684"/>
      <c r="SCU34" s="684"/>
      <c r="SCV34" s="684"/>
      <c r="SCW34" s="684"/>
      <c r="SCX34" s="684"/>
      <c r="SCY34" s="684"/>
      <c r="SCZ34" s="684"/>
      <c r="SDA34" s="684"/>
      <c r="SDB34" s="684"/>
      <c r="SDC34" s="684"/>
      <c r="SDD34" s="684"/>
      <c r="SDE34" s="684"/>
      <c r="SDF34" s="684"/>
      <c r="SDG34" s="684"/>
      <c r="SDH34" s="684"/>
      <c r="SDI34" s="684"/>
      <c r="SDJ34" s="684"/>
      <c r="SDK34" s="684"/>
      <c r="SDL34" s="684"/>
      <c r="SDM34" s="684"/>
      <c r="SDN34" s="684"/>
      <c r="SDO34" s="684"/>
      <c r="SDP34" s="684"/>
      <c r="SDQ34" s="684"/>
      <c r="SDR34" s="684"/>
      <c r="SDS34" s="684"/>
      <c r="SDT34" s="684"/>
      <c r="SDU34" s="684"/>
      <c r="SDV34" s="684"/>
      <c r="SDW34" s="684"/>
      <c r="SDX34" s="684"/>
      <c r="SDY34" s="684"/>
      <c r="SDZ34" s="684"/>
      <c r="SEA34" s="684"/>
      <c r="SEB34" s="684"/>
      <c r="SEC34" s="684"/>
      <c r="SED34" s="684"/>
      <c r="SEE34" s="684"/>
      <c r="SEF34" s="684"/>
      <c r="SEG34" s="684"/>
      <c r="SEH34" s="684"/>
      <c r="SEI34" s="684"/>
      <c r="SEJ34" s="684"/>
      <c r="SEK34" s="684"/>
      <c r="SEL34" s="684"/>
      <c r="SEM34" s="684"/>
      <c r="SEN34" s="684"/>
      <c r="SEO34" s="684"/>
      <c r="SEP34" s="684"/>
      <c r="SEQ34" s="684"/>
      <c r="SER34" s="684"/>
      <c r="SES34" s="684"/>
      <c r="SET34" s="684"/>
      <c r="SEU34" s="684"/>
      <c r="SEV34" s="684"/>
      <c r="SEW34" s="684"/>
      <c r="SEX34" s="684"/>
      <c r="SEY34" s="684"/>
      <c r="SEZ34" s="684"/>
      <c r="SFA34" s="684"/>
      <c r="SFB34" s="684"/>
      <c r="SFC34" s="684"/>
      <c r="SFD34" s="684"/>
      <c r="SFE34" s="684"/>
      <c r="SFF34" s="684"/>
      <c r="SFG34" s="684"/>
      <c r="SFH34" s="684"/>
      <c r="SFI34" s="684"/>
      <c r="SFJ34" s="684"/>
      <c r="SFK34" s="684"/>
      <c r="SFL34" s="684"/>
      <c r="SFM34" s="684"/>
      <c r="SFN34" s="684"/>
      <c r="SFO34" s="684"/>
      <c r="SFP34" s="684"/>
      <c r="SFQ34" s="684"/>
      <c r="SFR34" s="684"/>
      <c r="SFS34" s="684"/>
      <c r="SFT34" s="684"/>
      <c r="SFU34" s="684"/>
      <c r="SFV34" s="684"/>
      <c r="SFW34" s="684"/>
      <c r="SFX34" s="684"/>
      <c r="SFY34" s="684"/>
      <c r="SFZ34" s="684"/>
      <c r="SGA34" s="684"/>
      <c r="SGB34" s="684"/>
      <c r="SGC34" s="684"/>
      <c r="SGD34" s="684"/>
      <c r="SGE34" s="684"/>
      <c r="SGF34" s="684"/>
      <c r="SGG34" s="684"/>
      <c r="SGH34" s="684"/>
      <c r="SGI34" s="684"/>
      <c r="SGJ34" s="684"/>
      <c r="SGK34" s="684"/>
      <c r="SGL34" s="684"/>
      <c r="SGM34" s="684"/>
      <c r="SGN34" s="684"/>
      <c r="SGO34" s="684"/>
      <c r="SGP34" s="684"/>
      <c r="SGQ34" s="684"/>
      <c r="SGR34" s="684"/>
      <c r="SGS34" s="684"/>
      <c r="SGT34" s="684"/>
      <c r="SGU34" s="684"/>
      <c r="SGV34" s="684"/>
      <c r="SGW34" s="684"/>
      <c r="SGX34" s="684"/>
      <c r="SGY34" s="684"/>
      <c r="SGZ34" s="684"/>
      <c r="SHA34" s="684"/>
      <c r="SHB34" s="684"/>
      <c r="SHC34" s="684"/>
      <c r="SHD34" s="684"/>
      <c r="SHE34" s="684"/>
      <c r="SHF34" s="684"/>
      <c r="SHG34" s="684"/>
      <c r="SHH34" s="684"/>
      <c r="SHI34" s="684"/>
      <c r="SHJ34" s="684"/>
      <c r="SHK34" s="684"/>
      <c r="SHL34" s="684"/>
      <c r="SHM34" s="684"/>
      <c r="SHN34" s="684"/>
      <c r="SHO34" s="684"/>
      <c r="SHP34" s="684"/>
      <c r="SHQ34" s="684"/>
      <c r="SHR34" s="684"/>
      <c r="SHS34" s="684"/>
      <c r="SHT34" s="684"/>
      <c r="SHU34" s="684"/>
      <c r="SHV34" s="684"/>
      <c r="SHW34" s="684"/>
      <c r="SHX34" s="684"/>
      <c r="SHY34" s="684"/>
      <c r="SHZ34" s="684"/>
      <c r="SIA34" s="684"/>
      <c r="SIB34" s="684"/>
      <c r="SIC34" s="684"/>
      <c r="SID34" s="684"/>
      <c r="SIE34" s="684"/>
      <c r="SIF34" s="684"/>
      <c r="SIG34" s="684"/>
      <c r="SIH34" s="684"/>
      <c r="SII34" s="684"/>
      <c r="SIJ34" s="684"/>
      <c r="SIK34" s="684"/>
      <c r="SIL34" s="684"/>
      <c r="SIM34" s="684"/>
      <c r="SIN34" s="684"/>
      <c r="SIO34" s="684"/>
      <c r="SIP34" s="684"/>
      <c r="SIQ34" s="684"/>
      <c r="SIR34" s="684"/>
      <c r="SIS34" s="684"/>
      <c r="SIT34" s="684"/>
      <c r="SIU34" s="684"/>
      <c r="SIV34" s="684"/>
      <c r="SIW34" s="684"/>
      <c r="SIX34" s="684"/>
      <c r="SIY34" s="684"/>
      <c r="SIZ34" s="684"/>
      <c r="SJA34" s="684"/>
      <c r="SJB34" s="684"/>
      <c r="SJC34" s="684"/>
      <c r="SJD34" s="684"/>
      <c r="SJE34" s="684"/>
      <c r="SJF34" s="684"/>
      <c r="SJG34" s="684"/>
      <c r="SJH34" s="684"/>
      <c r="SJI34" s="684"/>
      <c r="SJJ34" s="684"/>
      <c r="SJK34" s="684"/>
      <c r="SJL34" s="684"/>
      <c r="SJM34" s="684"/>
      <c r="SJN34" s="684"/>
      <c r="SJO34" s="684"/>
      <c r="SJP34" s="684"/>
      <c r="SJQ34" s="684"/>
      <c r="SJR34" s="684"/>
      <c r="SJS34" s="684"/>
      <c r="SJT34" s="684"/>
      <c r="SJU34" s="684"/>
      <c r="SJV34" s="684"/>
      <c r="SJW34" s="684"/>
      <c r="SJX34" s="684"/>
      <c r="SJY34" s="684"/>
      <c r="SJZ34" s="684"/>
      <c r="SKA34" s="684"/>
      <c r="SKB34" s="684"/>
      <c r="SKC34" s="684"/>
      <c r="SKD34" s="684"/>
      <c r="SKE34" s="684"/>
      <c r="SKF34" s="684"/>
      <c r="SKG34" s="684"/>
      <c r="SKH34" s="684"/>
      <c r="SKI34" s="684"/>
      <c r="SKJ34" s="684"/>
      <c r="SKK34" s="684"/>
      <c r="SKL34" s="684"/>
      <c r="SKM34" s="684"/>
      <c r="SKN34" s="684"/>
      <c r="SKO34" s="684"/>
      <c r="SKP34" s="684"/>
      <c r="SKQ34" s="684"/>
      <c r="SKR34" s="684"/>
      <c r="SKS34" s="684"/>
      <c r="SKT34" s="684"/>
      <c r="SKU34" s="684"/>
      <c r="SKV34" s="684"/>
      <c r="SKW34" s="684"/>
      <c r="SKX34" s="684"/>
      <c r="SKY34" s="684"/>
      <c r="SKZ34" s="684"/>
      <c r="SLA34" s="684"/>
      <c r="SLB34" s="684"/>
      <c r="SLC34" s="684"/>
      <c r="SLD34" s="684"/>
      <c r="SLE34" s="684"/>
      <c r="SLF34" s="684"/>
      <c r="SLG34" s="684"/>
      <c r="SLH34" s="684"/>
      <c r="SLI34" s="684"/>
      <c r="SLJ34" s="684"/>
      <c r="SLK34" s="684"/>
      <c r="SLL34" s="684"/>
      <c r="SLM34" s="684"/>
      <c r="SLN34" s="684"/>
      <c r="SLO34" s="684"/>
      <c r="SLP34" s="684"/>
      <c r="SLQ34" s="684"/>
      <c r="SLR34" s="684"/>
      <c r="SLS34" s="684"/>
      <c r="SLT34" s="684"/>
      <c r="SLU34" s="684"/>
      <c r="SLV34" s="684"/>
      <c r="SLW34" s="684"/>
      <c r="SLX34" s="684"/>
      <c r="SLY34" s="684"/>
      <c r="SLZ34" s="684"/>
      <c r="SMA34" s="684"/>
      <c r="SMB34" s="684"/>
      <c r="SMC34" s="684"/>
      <c r="SMD34" s="684"/>
      <c r="SME34" s="684"/>
      <c r="SMF34" s="684"/>
      <c r="SMG34" s="684"/>
      <c r="SMH34" s="684"/>
      <c r="SMI34" s="684"/>
      <c r="SMJ34" s="684"/>
      <c r="SMK34" s="684"/>
      <c r="SML34" s="684"/>
      <c r="SMM34" s="684"/>
      <c r="SMN34" s="684"/>
      <c r="SMO34" s="684"/>
      <c r="SMP34" s="684"/>
      <c r="SMQ34" s="684"/>
      <c r="SMR34" s="684"/>
      <c r="SMS34" s="684"/>
      <c r="SMT34" s="684"/>
      <c r="SMU34" s="684"/>
      <c r="SMV34" s="684"/>
      <c r="SMW34" s="684"/>
      <c r="SMX34" s="684"/>
      <c r="SMY34" s="684"/>
      <c r="SMZ34" s="684"/>
      <c r="SNA34" s="684"/>
      <c r="SNB34" s="684"/>
      <c r="SNC34" s="684"/>
      <c r="SND34" s="684"/>
      <c r="SNE34" s="684"/>
      <c r="SNF34" s="684"/>
      <c r="SNG34" s="684"/>
      <c r="SNH34" s="684"/>
      <c r="SNI34" s="684"/>
      <c r="SNJ34" s="684"/>
      <c r="SNK34" s="684"/>
      <c r="SNL34" s="684"/>
      <c r="SNM34" s="684"/>
      <c r="SNN34" s="684"/>
      <c r="SNO34" s="684"/>
      <c r="SNP34" s="684"/>
      <c r="SNQ34" s="684"/>
      <c r="SNR34" s="684"/>
      <c r="SNS34" s="684"/>
      <c r="SNT34" s="684"/>
      <c r="SNU34" s="684"/>
      <c r="SNV34" s="684"/>
      <c r="SNW34" s="684"/>
      <c r="SNX34" s="684"/>
      <c r="SNY34" s="684"/>
      <c r="SNZ34" s="684"/>
      <c r="SOA34" s="684"/>
      <c r="SOB34" s="684"/>
      <c r="SOC34" s="684"/>
      <c r="SOD34" s="684"/>
      <c r="SOE34" s="684"/>
      <c r="SOF34" s="684"/>
      <c r="SOG34" s="684"/>
      <c r="SOH34" s="684"/>
      <c r="SOI34" s="684"/>
      <c r="SOJ34" s="684"/>
      <c r="SOK34" s="684"/>
      <c r="SOL34" s="684"/>
      <c r="SOM34" s="684"/>
      <c r="SON34" s="684"/>
      <c r="SOO34" s="684"/>
      <c r="SOP34" s="684"/>
      <c r="SOQ34" s="684"/>
      <c r="SOR34" s="684"/>
      <c r="SOS34" s="684"/>
      <c r="SOT34" s="684"/>
      <c r="SOU34" s="684"/>
      <c r="SOV34" s="684"/>
      <c r="SOW34" s="684"/>
      <c r="SOX34" s="684"/>
      <c r="SOY34" s="684"/>
      <c r="SOZ34" s="684"/>
      <c r="SPA34" s="684"/>
      <c r="SPB34" s="684"/>
      <c r="SPC34" s="684"/>
      <c r="SPD34" s="684"/>
      <c r="SPE34" s="684"/>
      <c r="SPF34" s="684"/>
      <c r="SPG34" s="684"/>
      <c r="SPH34" s="684"/>
      <c r="SPI34" s="684"/>
      <c r="SPJ34" s="684"/>
      <c r="SPK34" s="684"/>
      <c r="SPL34" s="684"/>
      <c r="SPM34" s="684"/>
      <c r="SPN34" s="684"/>
      <c r="SPO34" s="684"/>
      <c r="SPP34" s="684"/>
      <c r="SPQ34" s="684"/>
      <c r="SPR34" s="684"/>
      <c r="SPS34" s="684"/>
      <c r="SPT34" s="684"/>
      <c r="SPU34" s="684"/>
      <c r="SPV34" s="684"/>
      <c r="SPW34" s="684"/>
      <c r="SPX34" s="684"/>
      <c r="SPY34" s="684"/>
      <c r="SPZ34" s="684"/>
      <c r="SQA34" s="684"/>
      <c r="SQB34" s="684"/>
      <c r="SQC34" s="684"/>
      <c r="SQD34" s="684"/>
      <c r="SQE34" s="684"/>
      <c r="SQF34" s="684"/>
      <c r="SQG34" s="684"/>
      <c r="SQH34" s="684"/>
      <c r="SQI34" s="684"/>
      <c r="SQJ34" s="684"/>
      <c r="SQK34" s="684"/>
      <c r="SQL34" s="684"/>
      <c r="SQM34" s="684"/>
      <c r="SQN34" s="684"/>
      <c r="SQO34" s="684"/>
      <c r="SQP34" s="684"/>
      <c r="SQQ34" s="684"/>
      <c r="SQR34" s="684"/>
      <c r="SQS34" s="684"/>
      <c r="SQT34" s="684"/>
      <c r="SQU34" s="684"/>
      <c r="SQV34" s="684"/>
      <c r="SQW34" s="684"/>
      <c r="SQX34" s="684"/>
      <c r="SQY34" s="684"/>
      <c r="SQZ34" s="684"/>
      <c r="SRA34" s="684"/>
      <c r="SRB34" s="684"/>
      <c r="SRC34" s="684"/>
      <c r="SRD34" s="684"/>
      <c r="SRE34" s="684"/>
      <c r="SRF34" s="684"/>
      <c r="SRG34" s="684"/>
      <c r="SRH34" s="684"/>
      <c r="SRI34" s="684"/>
      <c r="SRJ34" s="684"/>
      <c r="SRK34" s="684"/>
      <c r="SRL34" s="684"/>
      <c r="SRM34" s="684"/>
      <c r="SRN34" s="684"/>
      <c r="SRO34" s="684"/>
      <c r="SRP34" s="684"/>
      <c r="SRQ34" s="684"/>
      <c r="SRR34" s="684"/>
      <c r="SRS34" s="684"/>
      <c r="SRT34" s="684"/>
      <c r="SRU34" s="684"/>
      <c r="SRV34" s="684"/>
      <c r="SRW34" s="684"/>
      <c r="SRX34" s="684"/>
      <c r="SRY34" s="684"/>
      <c r="SRZ34" s="684"/>
      <c r="SSA34" s="684"/>
      <c r="SSB34" s="684"/>
      <c r="SSC34" s="684"/>
      <c r="SSD34" s="684"/>
      <c r="SSE34" s="684"/>
      <c r="SSF34" s="684"/>
      <c r="SSG34" s="684"/>
      <c r="SSH34" s="684"/>
      <c r="SSI34" s="684"/>
      <c r="SSJ34" s="684"/>
      <c r="SSK34" s="684"/>
      <c r="SSL34" s="684"/>
      <c r="SSM34" s="684"/>
      <c r="SSN34" s="684"/>
      <c r="SSO34" s="684"/>
      <c r="SSP34" s="684"/>
      <c r="SSQ34" s="684"/>
      <c r="SSR34" s="684"/>
      <c r="SSS34" s="684"/>
      <c r="SST34" s="684"/>
      <c r="SSU34" s="684"/>
      <c r="SSV34" s="684"/>
      <c r="SSW34" s="684"/>
      <c r="SSX34" s="684"/>
      <c r="SSY34" s="684"/>
      <c r="SSZ34" s="684"/>
      <c r="STA34" s="684"/>
      <c r="STB34" s="684"/>
      <c r="STC34" s="684"/>
      <c r="STD34" s="684"/>
      <c r="STE34" s="684"/>
      <c r="STF34" s="684"/>
      <c r="STG34" s="684"/>
      <c r="STH34" s="684"/>
      <c r="STI34" s="684"/>
      <c r="STJ34" s="684"/>
      <c r="STK34" s="684"/>
      <c r="STL34" s="684"/>
      <c r="STM34" s="684"/>
      <c r="STN34" s="684"/>
      <c r="STO34" s="684"/>
      <c r="STP34" s="684"/>
      <c r="STQ34" s="684"/>
      <c r="STR34" s="684"/>
      <c r="STS34" s="684"/>
      <c r="STT34" s="684"/>
      <c r="STU34" s="684"/>
      <c r="STV34" s="684"/>
      <c r="STW34" s="684"/>
      <c r="STX34" s="684"/>
      <c r="STY34" s="684"/>
      <c r="STZ34" s="684"/>
      <c r="SUA34" s="684"/>
      <c r="SUB34" s="684"/>
      <c r="SUC34" s="684"/>
      <c r="SUD34" s="684"/>
      <c r="SUE34" s="684"/>
      <c r="SUF34" s="684"/>
      <c r="SUG34" s="684"/>
      <c r="SUH34" s="684"/>
      <c r="SUI34" s="684"/>
      <c r="SUJ34" s="684"/>
      <c r="SUK34" s="684"/>
      <c r="SUL34" s="684"/>
      <c r="SUM34" s="684"/>
      <c r="SUN34" s="684"/>
      <c r="SUO34" s="684"/>
      <c r="SUP34" s="684"/>
      <c r="SUQ34" s="684"/>
      <c r="SUR34" s="684"/>
      <c r="SUS34" s="684"/>
      <c r="SUT34" s="684"/>
      <c r="SUU34" s="684"/>
      <c r="SUV34" s="684"/>
      <c r="SUW34" s="684"/>
      <c r="SUX34" s="684"/>
      <c r="SUY34" s="684"/>
      <c r="SUZ34" s="684"/>
      <c r="SVA34" s="684"/>
      <c r="SVB34" s="684"/>
      <c r="SVC34" s="684"/>
      <c r="SVD34" s="684"/>
      <c r="SVE34" s="684"/>
      <c r="SVF34" s="684"/>
      <c r="SVG34" s="684"/>
      <c r="SVH34" s="684"/>
      <c r="SVI34" s="684"/>
      <c r="SVJ34" s="684"/>
      <c r="SVK34" s="684"/>
      <c r="SVL34" s="684"/>
      <c r="SVM34" s="684"/>
      <c r="SVN34" s="684"/>
      <c r="SVO34" s="684"/>
      <c r="SVP34" s="684"/>
      <c r="SVQ34" s="684"/>
      <c r="SVR34" s="684"/>
      <c r="SVS34" s="684"/>
      <c r="SVT34" s="684"/>
      <c r="SVU34" s="684"/>
      <c r="SVV34" s="684"/>
      <c r="SVW34" s="684"/>
      <c r="SVX34" s="684"/>
      <c r="SVY34" s="684"/>
      <c r="SVZ34" s="684"/>
      <c r="SWA34" s="684"/>
      <c r="SWB34" s="684"/>
      <c r="SWC34" s="684"/>
      <c r="SWD34" s="684"/>
      <c r="SWE34" s="684"/>
      <c r="SWF34" s="684"/>
      <c r="SWG34" s="684"/>
      <c r="SWH34" s="684"/>
      <c r="SWI34" s="684"/>
      <c r="SWJ34" s="684"/>
      <c r="SWK34" s="684"/>
      <c r="SWL34" s="684"/>
      <c r="SWM34" s="684"/>
      <c r="SWN34" s="684"/>
      <c r="SWO34" s="684"/>
      <c r="SWP34" s="684"/>
      <c r="SWQ34" s="684"/>
      <c r="SWR34" s="684"/>
      <c r="SWS34" s="684"/>
      <c r="SWT34" s="684"/>
      <c r="SWU34" s="684"/>
      <c r="SWV34" s="684"/>
      <c r="SWW34" s="684"/>
      <c r="SWX34" s="684"/>
      <c r="SWY34" s="684"/>
      <c r="SWZ34" s="684"/>
      <c r="SXA34" s="684"/>
      <c r="SXB34" s="684"/>
      <c r="SXC34" s="684"/>
      <c r="SXD34" s="684"/>
      <c r="SXE34" s="684"/>
      <c r="SXF34" s="684"/>
      <c r="SXG34" s="684"/>
      <c r="SXH34" s="684"/>
      <c r="SXI34" s="684"/>
      <c r="SXJ34" s="684"/>
      <c r="SXK34" s="684"/>
      <c r="SXL34" s="684"/>
      <c r="SXM34" s="684"/>
      <c r="SXN34" s="684"/>
      <c r="SXO34" s="684"/>
      <c r="SXP34" s="684"/>
      <c r="SXQ34" s="684"/>
      <c r="SXR34" s="684"/>
      <c r="SXS34" s="684"/>
      <c r="SXT34" s="684"/>
      <c r="SXU34" s="684"/>
      <c r="SXV34" s="684"/>
      <c r="SXW34" s="684"/>
      <c r="SXX34" s="684"/>
      <c r="SXY34" s="684"/>
      <c r="SXZ34" s="684"/>
      <c r="SYA34" s="684"/>
      <c r="SYB34" s="684"/>
      <c r="SYC34" s="684"/>
      <c r="SYD34" s="684"/>
      <c r="SYE34" s="684"/>
      <c r="SYF34" s="684"/>
      <c r="SYG34" s="684"/>
      <c r="SYH34" s="684"/>
      <c r="SYI34" s="684"/>
      <c r="SYJ34" s="684"/>
      <c r="SYK34" s="684"/>
      <c r="SYL34" s="684"/>
      <c r="SYM34" s="684"/>
      <c r="SYN34" s="684"/>
      <c r="SYO34" s="684"/>
      <c r="SYP34" s="684"/>
      <c r="SYQ34" s="684"/>
      <c r="SYR34" s="684"/>
      <c r="SYS34" s="684"/>
      <c r="SYT34" s="684"/>
      <c r="SYU34" s="684"/>
      <c r="SYV34" s="684"/>
      <c r="SYW34" s="684"/>
      <c r="SYX34" s="684"/>
      <c r="SYY34" s="684"/>
      <c r="SYZ34" s="684"/>
      <c r="SZA34" s="684"/>
      <c r="SZB34" s="684"/>
      <c r="SZC34" s="684"/>
      <c r="SZD34" s="684"/>
      <c r="SZE34" s="684"/>
      <c r="SZF34" s="684"/>
      <c r="SZG34" s="684"/>
      <c r="SZH34" s="684"/>
      <c r="SZI34" s="684"/>
      <c r="SZJ34" s="684"/>
      <c r="SZK34" s="684"/>
      <c r="SZL34" s="684"/>
      <c r="SZM34" s="684"/>
      <c r="SZN34" s="684"/>
      <c r="SZO34" s="684"/>
      <c r="SZP34" s="684"/>
      <c r="SZQ34" s="684"/>
      <c r="SZR34" s="684"/>
      <c r="SZS34" s="684"/>
      <c r="SZT34" s="684"/>
      <c r="SZU34" s="684"/>
      <c r="SZV34" s="684"/>
      <c r="SZW34" s="684"/>
      <c r="SZX34" s="684"/>
      <c r="SZY34" s="684"/>
      <c r="SZZ34" s="684"/>
      <c r="TAA34" s="684"/>
      <c r="TAB34" s="684"/>
      <c r="TAC34" s="684"/>
      <c r="TAD34" s="684"/>
      <c r="TAE34" s="684"/>
      <c r="TAF34" s="684"/>
      <c r="TAG34" s="684"/>
      <c r="TAH34" s="684"/>
      <c r="TAI34" s="684"/>
      <c r="TAJ34" s="684"/>
      <c r="TAK34" s="684"/>
      <c r="TAL34" s="684"/>
      <c r="TAM34" s="684"/>
      <c r="TAN34" s="684"/>
      <c r="TAO34" s="684"/>
      <c r="TAP34" s="684"/>
      <c r="TAQ34" s="684"/>
      <c r="TAR34" s="684"/>
      <c r="TAS34" s="684"/>
      <c r="TAT34" s="684"/>
      <c r="TAU34" s="684"/>
      <c r="TAV34" s="684"/>
      <c r="TAW34" s="684"/>
      <c r="TAX34" s="684"/>
      <c r="TAY34" s="684"/>
      <c r="TAZ34" s="684"/>
      <c r="TBA34" s="684"/>
      <c r="TBB34" s="684"/>
      <c r="TBC34" s="684"/>
      <c r="TBD34" s="684"/>
      <c r="TBE34" s="684"/>
      <c r="TBF34" s="684"/>
      <c r="TBG34" s="684"/>
      <c r="TBH34" s="684"/>
      <c r="TBI34" s="684"/>
      <c r="TBJ34" s="684"/>
      <c r="TBK34" s="684"/>
      <c r="TBL34" s="684"/>
      <c r="TBM34" s="684"/>
      <c r="TBN34" s="684"/>
      <c r="TBO34" s="684"/>
      <c r="TBP34" s="684"/>
      <c r="TBQ34" s="684"/>
      <c r="TBR34" s="684"/>
      <c r="TBS34" s="684"/>
      <c r="TBT34" s="684"/>
      <c r="TBU34" s="684"/>
      <c r="TBV34" s="684"/>
      <c r="TBW34" s="684"/>
      <c r="TBX34" s="684"/>
      <c r="TBY34" s="684"/>
      <c r="TBZ34" s="684"/>
      <c r="TCA34" s="684"/>
      <c r="TCB34" s="684"/>
      <c r="TCC34" s="684"/>
      <c r="TCD34" s="684"/>
      <c r="TCE34" s="684"/>
      <c r="TCF34" s="684"/>
      <c r="TCG34" s="684"/>
      <c r="TCH34" s="684"/>
      <c r="TCI34" s="684"/>
      <c r="TCJ34" s="684"/>
      <c r="TCK34" s="684"/>
      <c r="TCL34" s="684"/>
      <c r="TCM34" s="684"/>
      <c r="TCN34" s="684"/>
      <c r="TCO34" s="684"/>
      <c r="TCP34" s="684"/>
      <c r="TCQ34" s="684"/>
      <c r="TCR34" s="684"/>
      <c r="TCS34" s="684"/>
      <c r="TCT34" s="684"/>
      <c r="TCU34" s="684"/>
      <c r="TCV34" s="684"/>
      <c r="TCW34" s="684"/>
      <c r="TCX34" s="684"/>
      <c r="TCY34" s="684"/>
      <c r="TCZ34" s="684"/>
      <c r="TDA34" s="684"/>
      <c r="TDB34" s="684"/>
      <c r="TDC34" s="684"/>
      <c r="TDD34" s="684"/>
      <c r="TDE34" s="684"/>
      <c r="TDF34" s="684"/>
      <c r="TDG34" s="684"/>
      <c r="TDH34" s="684"/>
      <c r="TDI34" s="684"/>
      <c r="TDJ34" s="684"/>
      <c r="TDK34" s="684"/>
      <c r="TDL34" s="684"/>
      <c r="TDM34" s="684"/>
      <c r="TDN34" s="684"/>
      <c r="TDO34" s="684"/>
      <c r="TDP34" s="684"/>
      <c r="TDQ34" s="684"/>
      <c r="TDR34" s="684"/>
      <c r="TDS34" s="684"/>
      <c r="TDT34" s="684"/>
      <c r="TDU34" s="684"/>
      <c r="TDV34" s="684"/>
      <c r="TDW34" s="684"/>
      <c r="TDX34" s="684"/>
      <c r="TDY34" s="684"/>
      <c r="TDZ34" s="684"/>
      <c r="TEA34" s="684"/>
      <c r="TEB34" s="684"/>
      <c r="TEC34" s="684"/>
      <c r="TED34" s="684"/>
      <c r="TEE34" s="684"/>
      <c r="TEF34" s="684"/>
      <c r="TEG34" s="684"/>
      <c r="TEH34" s="684"/>
      <c r="TEI34" s="684"/>
      <c r="TEJ34" s="684"/>
      <c r="TEK34" s="684"/>
      <c r="TEL34" s="684"/>
      <c r="TEM34" s="684"/>
      <c r="TEN34" s="684"/>
      <c r="TEO34" s="684"/>
      <c r="TEP34" s="684"/>
      <c r="TEQ34" s="684"/>
      <c r="TER34" s="684"/>
      <c r="TES34" s="684"/>
      <c r="TET34" s="684"/>
      <c r="TEU34" s="684"/>
      <c r="TEV34" s="684"/>
      <c r="TEW34" s="684"/>
      <c r="TEX34" s="684"/>
      <c r="TEY34" s="684"/>
      <c r="TEZ34" s="684"/>
      <c r="TFA34" s="684"/>
      <c r="TFB34" s="684"/>
      <c r="TFC34" s="684"/>
      <c r="TFD34" s="684"/>
      <c r="TFE34" s="684"/>
      <c r="TFF34" s="684"/>
      <c r="TFG34" s="684"/>
      <c r="TFH34" s="684"/>
      <c r="TFI34" s="684"/>
      <c r="TFJ34" s="684"/>
      <c r="TFK34" s="684"/>
      <c r="TFL34" s="684"/>
      <c r="TFM34" s="684"/>
      <c r="TFN34" s="684"/>
      <c r="TFO34" s="684"/>
      <c r="TFP34" s="684"/>
      <c r="TFQ34" s="684"/>
      <c r="TFR34" s="684"/>
      <c r="TFS34" s="684"/>
      <c r="TFT34" s="684"/>
      <c r="TFU34" s="684"/>
      <c r="TFV34" s="684"/>
      <c r="TFW34" s="684"/>
      <c r="TFX34" s="684"/>
      <c r="TFY34" s="684"/>
      <c r="TFZ34" s="684"/>
      <c r="TGA34" s="684"/>
      <c r="TGB34" s="684"/>
      <c r="TGC34" s="684"/>
      <c r="TGD34" s="684"/>
      <c r="TGE34" s="684"/>
      <c r="TGF34" s="684"/>
      <c r="TGG34" s="684"/>
      <c r="TGH34" s="684"/>
      <c r="TGI34" s="684"/>
      <c r="TGJ34" s="684"/>
      <c r="TGK34" s="684"/>
      <c r="TGL34" s="684"/>
      <c r="TGM34" s="684"/>
      <c r="TGN34" s="684"/>
      <c r="TGO34" s="684"/>
      <c r="TGP34" s="684"/>
      <c r="TGQ34" s="684"/>
      <c r="TGR34" s="684"/>
      <c r="TGS34" s="684"/>
      <c r="TGT34" s="684"/>
      <c r="TGU34" s="684"/>
      <c r="TGV34" s="684"/>
      <c r="TGW34" s="684"/>
      <c r="TGX34" s="684"/>
      <c r="TGY34" s="684"/>
      <c r="TGZ34" s="684"/>
      <c r="THA34" s="684"/>
      <c r="THB34" s="684"/>
      <c r="THC34" s="684"/>
      <c r="THD34" s="684"/>
      <c r="THE34" s="684"/>
      <c r="THF34" s="684"/>
      <c r="THG34" s="684"/>
      <c r="THH34" s="684"/>
      <c r="THI34" s="684"/>
      <c r="THJ34" s="684"/>
      <c r="THK34" s="684"/>
      <c r="THL34" s="684"/>
      <c r="THM34" s="684"/>
      <c r="THN34" s="684"/>
      <c r="THO34" s="684"/>
      <c r="THP34" s="684"/>
      <c r="THQ34" s="684"/>
      <c r="THR34" s="684"/>
      <c r="THS34" s="684"/>
      <c r="THT34" s="684"/>
      <c r="THU34" s="684"/>
      <c r="THV34" s="684"/>
      <c r="THW34" s="684"/>
      <c r="THX34" s="684"/>
      <c r="THY34" s="684"/>
      <c r="THZ34" s="684"/>
      <c r="TIA34" s="684"/>
      <c r="TIB34" s="684"/>
      <c r="TIC34" s="684"/>
      <c r="TID34" s="684"/>
      <c r="TIE34" s="684"/>
      <c r="TIF34" s="684"/>
      <c r="TIG34" s="684"/>
      <c r="TIH34" s="684"/>
      <c r="TII34" s="684"/>
      <c r="TIJ34" s="684"/>
      <c r="TIK34" s="684"/>
      <c r="TIL34" s="684"/>
      <c r="TIM34" s="684"/>
      <c r="TIN34" s="684"/>
      <c r="TIO34" s="684"/>
      <c r="TIP34" s="684"/>
      <c r="TIQ34" s="684"/>
      <c r="TIR34" s="684"/>
      <c r="TIS34" s="684"/>
      <c r="TIT34" s="684"/>
      <c r="TIU34" s="684"/>
      <c r="TIV34" s="684"/>
      <c r="TIW34" s="684"/>
      <c r="TIX34" s="684"/>
      <c r="TIY34" s="684"/>
      <c r="TIZ34" s="684"/>
      <c r="TJA34" s="684"/>
      <c r="TJB34" s="684"/>
      <c r="TJC34" s="684"/>
      <c r="TJD34" s="684"/>
      <c r="TJE34" s="684"/>
      <c r="TJF34" s="684"/>
      <c r="TJG34" s="684"/>
      <c r="TJH34" s="684"/>
      <c r="TJI34" s="684"/>
      <c r="TJJ34" s="684"/>
      <c r="TJK34" s="684"/>
      <c r="TJL34" s="684"/>
      <c r="TJM34" s="684"/>
      <c r="TJN34" s="684"/>
      <c r="TJO34" s="684"/>
      <c r="TJP34" s="684"/>
      <c r="TJQ34" s="684"/>
      <c r="TJR34" s="684"/>
      <c r="TJS34" s="684"/>
      <c r="TJT34" s="684"/>
      <c r="TJU34" s="684"/>
      <c r="TJV34" s="684"/>
      <c r="TJW34" s="684"/>
      <c r="TJX34" s="684"/>
      <c r="TJY34" s="684"/>
      <c r="TJZ34" s="684"/>
      <c r="TKA34" s="684"/>
      <c r="TKB34" s="684"/>
      <c r="TKC34" s="684"/>
      <c r="TKD34" s="684"/>
      <c r="TKE34" s="684"/>
      <c r="TKF34" s="684"/>
      <c r="TKG34" s="684"/>
      <c r="TKH34" s="684"/>
      <c r="TKI34" s="684"/>
      <c r="TKJ34" s="684"/>
      <c r="TKK34" s="684"/>
      <c r="TKL34" s="684"/>
      <c r="TKM34" s="684"/>
      <c r="TKN34" s="684"/>
      <c r="TKO34" s="684"/>
      <c r="TKP34" s="684"/>
      <c r="TKQ34" s="684"/>
      <c r="TKR34" s="684"/>
      <c r="TKS34" s="684"/>
      <c r="TKT34" s="684"/>
      <c r="TKU34" s="684"/>
      <c r="TKV34" s="684"/>
      <c r="TKW34" s="684"/>
      <c r="TKX34" s="684"/>
      <c r="TKY34" s="684"/>
      <c r="TKZ34" s="684"/>
      <c r="TLA34" s="684"/>
      <c r="TLB34" s="684"/>
      <c r="TLC34" s="684"/>
      <c r="TLD34" s="684"/>
      <c r="TLE34" s="684"/>
      <c r="TLF34" s="684"/>
      <c r="TLG34" s="684"/>
      <c r="TLH34" s="684"/>
      <c r="TLI34" s="684"/>
      <c r="TLJ34" s="684"/>
      <c r="TLK34" s="684"/>
      <c r="TLL34" s="684"/>
      <c r="TLM34" s="684"/>
      <c r="TLN34" s="684"/>
      <c r="TLO34" s="684"/>
      <c r="TLP34" s="684"/>
      <c r="TLQ34" s="684"/>
      <c r="TLR34" s="684"/>
      <c r="TLS34" s="684"/>
      <c r="TLT34" s="684"/>
      <c r="TLU34" s="684"/>
      <c r="TLV34" s="684"/>
      <c r="TLW34" s="684"/>
      <c r="TLX34" s="684"/>
      <c r="TLY34" s="684"/>
      <c r="TLZ34" s="684"/>
      <c r="TMA34" s="684"/>
      <c r="TMB34" s="684"/>
      <c r="TMC34" s="684"/>
      <c r="TMD34" s="684"/>
      <c r="TME34" s="684"/>
      <c r="TMF34" s="684"/>
      <c r="TMG34" s="684"/>
      <c r="TMH34" s="684"/>
      <c r="TMI34" s="684"/>
      <c r="TMJ34" s="684"/>
      <c r="TMK34" s="684"/>
      <c r="TML34" s="684"/>
      <c r="TMM34" s="684"/>
      <c r="TMN34" s="684"/>
      <c r="TMO34" s="684"/>
      <c r="TMP34" s="684"/>
      <c r="TMQ34" s="684"/>
      <c r="TMR34" s="684"/>
      <c r="TMS34" s="684"/>
      <c r="TMT34" s="684"/>
      <c r="TMU34" s="684"/>
      <c r="TMV34" s="684"/>
      <c r="TMW34" s="684"/>
      <c r="TMX34" s="684"/>
      <c r="TMY34" s="684"/>
      <c r="TMZ34" s="684"/>
      <c r="TNA34" s="684"/>
      <c r="TNB34" s="684"/>
      <c r="TNC34" s="684"/>
      <c r="TND34" s="684"/>
      <c r="TNE34" s="684"/>
      <c r="TNF34" s="684"/>
      <c r="TNG34" s="684"/>
      <c r="TNH34" s="684"/>
      <c r="TNI34" s="684"/>
      <c r="TNJ34" s="684"/>
      <c r="TNK34" s="684"/>
      <c r="TNL34" s="684"/>
      <c r="TNM34" s="684"/>
      <c r="TNN34" s="684"/>
      <c r="TNO34" s="684"/>
      <c r="TNP34" s="684"/>
      <c r="TNQ34" s="684"/>
      <c r="TNR34" s="684"/>
      <c r="TNS34" s="684"/>
      <c r="TNT34" s="684"/>
      <c r="TNU34" s="684"/>
      <c r="TNV34" s="684"/>
      <c r="TNW34" s="684"/>
      <c r="TNX34" s="684"/>
      <c r="TNY34" s="684"/>
      <c r="TNZ34" s="684"/>
      <c r="TOA34" s="684"/>
      <c r="TOB34" s="684"/>
      <c r="TOC34" s="684"/>
      <c r="TOD34" s="684"/>
      <c r="TOE34" s="684"/>
      <c r="TOF34" s="684"/>
      <c r="TOG34" s="684"/>
      <c r="TOH34" s="684"/>
      <c r="TOI34" s="684"/>
      <c r="TOJ34" s="684"/>
      <c r="TOK34" s="684"/>
      <c r="TOL34" s="684"/>
      <c r="TOM34" s="684"/>
      <c r="TON34" s="684"/>
      <c r="TOO34" s="684"/>
      <c r="TOP34" s="684"/>
      <c r="TOQ34" s="684"/>
      <c r="TOR34" s="684"/>
      <c r="TOS34" s="684"/>
      <c r="TOT34" s="684"/>
      <c r="TOU34" s="684"/>
      <c r="TOV34" s="684"/>
      <c r="TOW34" s="684"/>
      <c r="TOX34" s="684"/>
      <c r="TOY34" s="684"/>
      <c r="TOZ34" s="684"/>
      <c r="TPA34" s="684"/>
      <c r="TPB34" s="684"/>
      <c r="TPC34" s="684"/>
      <c r="TPD34" s="684"/>
      <c r="TPE34" s="684"/>
      <c r="TPF34" s="684"/>
      <c r="TPG34" s="684"/>
      <c r="TPH34" s="684"/>
      <c r="TPI34" s="684"/>
      <c r="TPJ34" s="684"/>
      <c r="TPK34" s="684"/>
      <c r="TPL34" s="684"/>
      <c r="TPM34" s="684"/>
      <c r="TPN34" s="684"/>
      <c r="TPO34" s="684"/>
      <c r="TPP34" s="684"/>
      <c r="TPQ34" s="684"/>
      <c r="TPR34" s="684"/>
      <c r="TPS34" s="684"/>
      <c r="TPT34" s="684"/>
      <c r="TPU34" s="684"/>
      <c r="TPV34" s="684"/>
      <c r="TPW34" s="684"/>
      <c r="TPX34" s="684"/>
      <c r="TPY34" s="684"/>
      <c r="TPZ34" s="684"/>
      <c r="TQA34" s="684"/>
      <c r="TQB34" s="684"/>
      <c r="TQC34" s="684"/>
      <c r="TQD34" s="684"/>
      <c r="TQE34" s="684"/>
      <c r="TQF34" s="684"/>
      <c r="TQG34" s="684"/>
      <c r="TQH34" s="684"/>
      <c r="TQI34" s="684"/>
      <c r="TQJ34" s="684"/>
      <c r="TQK34" s="684"/>
      <c r="TQL34" s="684"/>
      <c r="TQM34" s="684"/>
      <c r="TQN34" s="684"/>
      <c r="TQO34" s="684"/>
      <c r="TQP34" s="684"/>
      <c r="TQQ34" s="684"/>
      <c r="TQR34" s="684"/>
      <c r="TQS34" s="684"/>
      <c r="TQT34" s="684"/>
      <c r="TQU34" s="684"/>
      <c r="TQV34" s="684"/>
      <c r="TQW34" s="684"/>
      <c r="TQX34" s="684"/>
      <c r="TQY34" s="684"/>
      <c r="TQZ34" s="684"/>
      <c r="TRA34" s="684"/>
      <c r="TRB34" s="684"/>
      <c r="TRC34" s="684"/>
      <c r="TRD34" s="684"/>
      <c r="TRE34" s="684"/>
      <c r="TRF34" s="684"/>
      <c r="TRG34" s="684"/>
      <c r="TRH34" s="684"/>
      <c r="TRI34" s="684"/>
      <c r="TRJ34" s="684"/>
      <c r="TRK34" s="684"/>
      <c r="TRL34" s="684"/>
      <c r="TRM34" s="684"/>
      <c r="TRN34" s="684"/>
      <c r="TRO34" s="684"/>
      <c r="TRP34" s="684"/>
      <c r="TRQ34" s="684"/>
      <c r="TRR34" s="684"/>
      <c r="TRS34" s="684"/>
      <c r="TRT34" s="684"/>
      <c r="TRU34" s="684"/>
      <c r="TRV34" s="684"/>
      <c r="TRW34" s="684"/>
      <c r="TRX34" s="684"/>
      <c r="TRY34" s="684"/>
      <c r="TRZ34" s="684"/>
      <c r="TSA34" s="684"/>
      <c r="TSB34" s="684"/>
      <c r="TSC34" s="684"/>
      <c r="TSD34" s="684"/>
      <c r="TSE34" s="684"/>
      <c r="TSF34" s="684"/>
      <c r="TSG34" s="684"/>
      <c r="TSH34" s="684"/>
      <c r="TSI34" s="684"/>
      <c r="TSJ34" s="684"/>
      <c r="TSK34" s="684"/>
      <c r="TSL34" s="684"/>
      <c r="TSM34" s="684"/>
      <c r="TSN34" s="684"/>
      <c r="TSO34" s="684"/>
      <c r="TSP34" s="684"/>
      <c r="TSQ34" s="684"/>
      <c r="TSR34" s="684"/>
      <c r="TSS34" s="684"/>
      <c r="TST34" s="684"/>
      <c r="TSU34" s="684"/>
      <c r="TSV34" s="684"/>
      <c r="TSW34" s="684"/>
      <c r="TSX34" s="684"/>
      <c r="TSY34" s="684"/>
      <c r="TSZ34" s="684"/>
      <c r="TTA34" s="684"/>
      <c r="TTB34" s="684"/>
      <c r="TTC34" s="684"/>
      <c r="TTD34" s="684"/>
      <c r="TTE34" s="684"/>
      <c r="TTF34" s="684"/>
      <c r="TTG34" s="684"/>
      <c r="TTH34" s="684"/>
      <c r="TTI34" s="684"/>
      <c r="TTJ34" s="684"/>
      <c r="TTK34" s="684"/>
      <c r="TTL34" s="684"/>
      <c r="TTM34" s="684"/>
      <c r="TTN34" s="684"/>
      <c r="TTO34" s="684"/>
      <c r="TTP34" s="684"/>
      <c r="TTQ34" s="684"/>
      <c r="TTR34" s="684"/>
      <c r="TTS34" s="684"/>
      <c r="TTT34" s="684"/>
      <c r="TTU34" s="684"/>
      <c r="TTV34" s="684"/>
      <c r="TTW34" s="684"/>
      <c r="TTX34" s="684"/>
      <c r="TTY34" s="684"/>
      <c r="TTZ34" s="684"/>
      <c r="TUA34" s="684"/>
      <c r="TUB34" s="684"/>
      <c r="TUC34" s="684"/>
      <c r="TUD34" s="684"/>
      <c r="TUE34" s="684"/>
      <c r="TUF34" s="684"/>
      <c r="TUG34" s="684"/>
      <c r="TUH34" s="684"/>
      <c r="TUI34" s="684"/>
      <c r="TUJ34" s="684"/>
      <c r="TUK34" s="684"/>
      <c r="TUL34" s="684"/>
      <c r="TUM34" s="684"/>
      <c r="TUN34" s="684"/>
      <c r="TUO34" s="684"/>
      <c r="TUP34" s="684"/>
      <c r="TUQ34" s="684"/>
      <c r="TUR34" s="684"/>
      <c r="TUS34" s="684"/>
      <c r="TUT34" s="684"/>
      <c r="TUU34" s="684"/>
      <c r="TUV34" s="684"/>
      <c r="TUW34" s="684"/>
      <c r="TUX34" s="684"/>
      <c r="TUY34" s="684"/>
      <c r="TUZ34" s="684"/>
      <c r="TVA34" s="684"/>
      <c r="TVB34" s="684"/>
      <c r="TVC34" s="684"/>
      <c r="TVD34" s="684"/>
      <c r="TVE34" s="684"/>
      <c r="TVF34" s="684"/>
      <c r="TVG34" s="684"/>
      <c r="TVH34" s="684"/>
      <c r="TVI34" s="684"/>
      <c r="TVJ34" s="684"/>
      <c r="TVK34" s="684"/>
      <c r="TVL34" s="684"/>
      <c r="TVM34" s="684"/>
      <c r="TVN34" s="684"/>
      <c r="TVO34" s="684"/>
      <c r="TVP34" s="684"/>
      <c r="TVQ34" s="684"/>
      <c r="TVR34" s="684"/>
      <c r="TVS34" s="684"/>
      <c r="TVT34" s="684"/>
      <c r="TVU34" s="684"/>
      <c r="TVV34" s="684"/>
      <c r="TVW34" s="684"/>
      <c r="TVX34" s="684"/>
      <c r="TVY34" s="684"/>
      <c r="TVZ34" s="684"/>
      <c r="TWA34" s="684"/>
      <c r="TWB34" s="684"/>
      <c r="TWC34" s="684"/>
      <c r="TWD34" s="684"/>
      <c r="TWE34" s="684"/>
      <c r="TWF34" s="684"/>
      <c r="TWG34" s="684"/>
      <c r="TWH34" s="684"/>
      <c r="TWI34" s="684"/>
      <c r="TWJ34" s="684"/>
      <c r="TWK34" s="684"/>
      <c r="TWL34" s="684"/>
      <c r="TWM34" s="684"/>
      <c r="TWN34" s="684"/>
      <c r="TWO34" s="684"/>
      <c r="TWP34" s="684"/>
      <c r="TWQ34" s="684"/>
      <c r="TWR34" s="684"/>
      <c r="TWS34" s="684"/>
      <c r="TWT34" s="684"/>
      <c r="TWU34" s="684"/>
      <c r="TWV34" s="684"/>
      <c r="TWW34" s="684"/>
      <c r="TWX34" s="684"/>
      <c r="TWY34" s="684"/>
      <c r="TWZ34" s="684"/>
      <c r="TXA34" s="684"/>
      <c r="TXB34" s="684"/>
      <c r="TXC34" s="684"/>
      <c r="TXD34" s="684"/>
      <c r="TXE34" s="684"/>
      <c r="TXF34" s="684"/>
      <c r="TXG34" s="684"/>
      <c r="TXH34" s="684"/>
      <c r="TXI34" s="684"/>
      <c r="TXJ34" s="684"/>
      <c r="TXK34" s="684"/>
      <c r="TXL34" s="684"/>
      <c r="TXM34" s="684"/>
      <c r="TXN34" s="684"/>
      <c r="TXO34" s="684"/>
      <c r="TXP34" s="684"/>
      <c r="TXQ34" s="684"/>
      <c r="TXR34" s="684"/>
      <c r="TXS34" s="684"/>
      <c r="TXT34" s="684"/>
      <c r="TXU34" s="684"/>
      <c r="TXV34" s="684"/>
      <c r="TXW34" s="684"/>
      <c r="TXX34" s="684"/>
      <c r="TXY34" s="684"/>
      <c r="TXZ34" s="684"/>
      <c r="TYA34" s="684"/>
      <c r="TYB34" s="684"/>
      <c r="TYC34" s="684"/>
      <c r="TYD34" s="684"/>
      <c r="TYE34" s="684"/>
      <c r="TYF34" s="684"/>
      <c r="TYG34" s="684"/>
      <c r="TYH34" s="684"/>
      <c r="TYI34" s="684"/>
      <c r="TYJ34" s="684"/>
      <c r="TYK34" s="684"/>
      <c r="TYL34" s="684"/>
      <c r="TYM34" s="684"/>
      <c r="TYN34" s="684"/>
      <c r="TYO34" s="684"/>
      <c r="TYP34" s="684"/>
      <c r="TYQ34" s="684"/>
      <c r="TYR34" s="684"/>
      <c r="TYS34" s="684"/>
      <c r="TYT34" s="684"/>
      <c r="TYU34" s="684"/>
      <c r="TYV34" s="684"/>
      <c r="TYW34" s="684"/>
      <c r="TYX34" s="684"/>
      <c r="TYY34" s="684"/>
      <c r="TYZ34" s="684"/>
      <c r="TZA34" s="684"/>
      <c r="TZB34" s="684"/>
      <c r="TZC34" s="684"/>
      <c r="TZD34" s="684"/>
      <c r="TZE34" s="684"/>
      <c r="TZF34" s="684"/>
      <c r="TZG34" s="684"/>
      <c r="TZH34" s="684"/>
      <c r="TZI34" s="684"/>
      <c r="TZJ34" s="684"/>
      <c r="TZK34" s="684"/>
      <c r="TZL34" s="684"/>
      <c r="TZM34" s="684"/>
      <c r="TZN34" s="684"/>
      <c r="TZO34" s="684"/>
      <c r="TZP34" s="684"/>
      <c r="TZQ34" s="684"/>
      <c r="TZR34" s="684"/>
      <c r="TZS34" s="684"/>
      <c r="TZT34" s="684"/>
      <c r="TZU34" s="684"/>
      <c r="TZV34" s="684"/>
      <c r="TZW34" s="684"/>
      <c r="TZX34" s="684"/>
      <c r="TZY34" s="684"/>
      <c r="TZZ34" s="684"/>
      <c r="UAA34" s="684"/>
      <c r="UAB34" s="684"/>
      <c r="UAC34" s="684"/>
      <c r="UAD34" s="684"/>
      <c r="UAE34" s="684"/>
      <c r="UAF34" s="684"/>
      <c r="UAG34" s="684"/>
      <c r="UAH34" s="684"/>
      <c r="UAI34" s="684"/>
      <c r="UAJ34" s="684"/>
      <c r="UAK34" s="684"/>
      <c r="UAL34" s="684"/>
      <c r="UAM34" s="684"/>
      <c r="UAN34" s="684"/>
      <c r="UAO34" s="684"/>
      <c r="UAP34" s="684"/>
      <c r="UAQ34" s="684"/>
      <c r="UAR34" s="684"/>
      <c r="UAS34" s="684"/>
      <c r="UAT34" s="684"/>
      <c r="UAU34" s="684"/>
      <c r="UAV34" s="684"/>
      <c r="UAW34" s="684"/>
      <c r="UAX34" s="684"/>
      <c r="UAY34" s="684"/>
      <c r="UAZ34" s="684"/>
      <c r="UBA34" s="684"/>
      <c r="UBB34" s="684"/>
      <c r="UBC34" s="684"/>
      <c r="UBD34" s="684"/>
      <c r="UBE34" s="684"/>
      <c r="UBF34" s="684"/>
      <c r="UBG34" s="684"/>
      <c r="UBH34" s="684"/>
      <c r="UBI34" s="684"/>
      <c r="UBJ34" s="684"/>
      <c r="UBK34" s="684"/>
      <c r="UBL34" s="684"/>
      <c r="UBM34" s="684"/>
      <c r="UBN34" s="684"/>
      <c r="UBO34" s="684"/>
      <c r="UBP34" s="684"/>
      <c r="UBQ34" s="684"/>
      <c r="UBR34" s="684"/>
      <c r="UBS34" s="684"/>
      <c r="UBT34" s="684"/>
      <c r="UBU34" s="684"/>
      <c r="UBV34" s="684"/>
      <c r="UBW34" s="684"/>
      <c r="UBX34" s="684"/>
      <c r="UBY34" s="684"/>
      <c r="UBZ34" s="684"/>
      <c r="UCA34" s="684"/>
      <c r="UCB34" s="684"/>
      <c r="UCC34" s="684"/>
      <c r="UCD34" s="684"/>
      <c r="UCE34" s="684"/>
      <c r="UCF34" s="684"/>
      <c r="UCG34" s="684"/>
      <c r="UCH34" s="684"/>
      <c r="UCI34" s="684"/>
      <c r="UCJ34" s="684"/>
      <c r="UCK34" s="684"/>
      <c r="UCL34" s="684"/>
      <c r="UCM34" s="684"/>
      <c r="UCN34" s="684"/>
      <c r="UCO34" s="684"/>
      <c r="UCP34" s="684"/>
      <c r="UCQ34" s="684"/>
      <c r="UCR34" s="684"/>
      <c r="UCS34" s="684"/>
      <c r="UCT34" s="684"/>
      <c r="UCU34" s="684"/>
      <c r="UCV34" s="684"/>
      <c r="UCW34" s="684"/>
      <c r="UCX34" s="684"/>
      <c r="UCY34" s="684"/>
      <c r="UCZ34" s="684"/>
      <c r="UDA34" s="684"/>
      <c r="UDB34" s="684"/>
      <c r="UDC34" s="684"/>
      <c r="UDD34" s="684"/>
      <c r="UDE34" s="684"/>
      <c r="UDF34" s="684"/>
      <c r="UDG34" s="684"/>
      <c r="UDH34" s="684"/>
      <c r="UDI34" s="684"/>
      <c r="UDJ34" s="684"/>
      <c r="UDK34" s="684"/>
      <c r="UDL34" s="684"/>
      <c r="UDM34" s="684"/>
      <c r="UDN34" s="684"/>
      <c r="UDO34" s="684"/>
      <c r="UDP34" s="684"/>
      <c r="UDQ34" s="684"/>
      <c r="UDR34" s="684"/>
      <c r="UDS34" s="684"/>
      <c r="UDT34" s="684"/>
      <c r="UDU34" s="684"/>
      <c r="UDV34" s="684"/>
      <c r="UDW34" s="684"/>
      <c r="UDX34" s="684"/>
      <c r="UDY34" s="684"/>
      <c r="UDZ34" s="684"/>
      <c r="UEA34" s="684"/>
      <c r="UEB34" s="684"/>
      <c r="UEC34" s="684"/>
      <c r="UED34" s="684"/>
      <c r="UEE34" s="684"/>
      <c r="UEF34" s="684"/>
      <c r="UEG34" s="684"/>
      <c r="UEH34" s="684"/>
      <c r="UEI34" s="684"/>
      <c r="UEJ34" s="684"/>
      <c r="UEK34" s="684"/>
      <c r="UEL34" s="684"/>
      <c r="UEM34" s="684"/>
      <c r="UEN34" s="684"/>
      <c r="UEO34" s="684"/>
      <c r="UEP34" s="684"/>
      <c r="UEQ34" s="684"/>
      <c r="UER34" s="684"/>
      <c r="UES34" s="684"/>
      <c r="UET34" s="684"/>
      <c r="UEU34" s="684"/>
      <c r="UEV34" s="684"/>
      <c r="UEW34" s="684"/>
      <c r="UEX34" s="684"/>
      <c r="UEY34" s="684"/>
      <c r="UEZ34" s="684"/>
      <c r="UFA34" s="684"/>
      <c r="UFB34" s="684"/>
      <c r="UFC34" s="684"/>
      <c r="UFD34" s="684"/>
      <c r="UFE34" s="684"/>
      <c r="UFF34" s="684"/>
      <c r="UFG34" s="684"/>
      <c r="UFH34" s="684"/>
      <c r="UFI34" s="684"/>
      <c r="UFJ34" s="684"/>
      <c r="UFK34" s="684"/>
      <c r="UFL34" s="684"/>
      <c r="UFM34" s="684"/>
      <c r="UFN34" s="684"/>
      <c r="UFO34" s="684"/>
      <c r="UFP34" s="684"/>
      <c r="UFQ34" s="684"/>
      <c r="UFR34" s="684"/>
      <c r="UFS34" s="684"/>
      <c r="UFT34" s="684"/>
      <c r="UFU34" s="684"/>
      <c r="UFV34" s="684"/>
      <c r="UFW34" s="684"/>
      <c r="UFX34" s="684"/>
      <c r="UFY34" s="684"/>
      <c r="UFZ34" s="684"/>
      <c r="UGA34" s="684"/>
      <c r="UGB34" s="684"/>
      <c r="UGC34" s="684"/>
      <c r="UGD34" s="684"/>
      <c r="UGE34" s="684"/>
      <c r="UGF34" s="684"/>
      <c r="UGG34" s="684"/>
      <c r="UGH34" s="684"/>
      <c r="UGI34" s="684"/>
      <c r="UGJ34" s="684"/>
      <c r="UGK34" s="684"/>
      <c r="UGL34" s="684"/>
      <c r="UGM34" s="684"/>
      <c r="UGN34" s="684"/>
      <c r="UGO34" s="684"/>
      <c r="UGP34" s="684"/>
      <c r="UGQ34" s="684"/>
      <c r="UGR34" s="684"/>
      <c r="UGS34" s="684"/>
      <c r="UGT34" s="684"/>
      <c r="UGU34" s="684"/>
      <c r="UGV34" s="684"/>
      <c r="UGW34" s="684"/>
      <c r="UGX34" s="684"/>
      <c r="UGY34" s="684"/>
      <c r="UGZ34" s="684"/>
      <c r="UHA34" s="684"/>
      <c r="UHB34" s="684"/>
      <c r="UHC34" s="684"/>
      <c r="UHD34" s="684"/>
      <c r="UHE34" s="684"/>
      <c r="UHF34" s="684"/>
      <c r="UHG34" s="684"/>
      <c r="UHH34" s="684"/>
      <c r="UHI34" s="684"/>
      <c r="UHJ34" s="684"/>
      <c r="UHK34" s="684"/>
      <c r="UHL34" s="684"/>
      <c r="UHM34" s="684"/>
      <c r="UHN34" s="684"/>
      <c r="UHO34" s="684"/>
      <c r="UHP34" s="684"/>
      <c r="UHQ34" s="684"/>
      <c r="UHR34" s="684"/>
      <c r="UHS34" s="684"/>
      <c r="UHT34" s="684"/>
      <c r="UHU34" s="684"/>
      <c r="UHV34" s="684"/>
      <c r="UHW34" s="684"/>
      <c r="UHX34" s="684"/>
      <c r="UHY34" s="684"/>
      <c r="UHZ34" s="684"/>
      <c r="UIA34" s="684"/>
      <c r="UIB34" s="684"/>
      <c r="UIC34" s="684"/>
      <c r="UID34" s="684"/>
      <c r="UIE34" s="684"/>
      <c r="UIF34" s="684"/>
      <c r="UIG34" s="684"/>
      <c r="UIH34" s="684"/>
      <c r="UII34" s="684"/>
      <c r="UIJ34" s="684"/>
      <c r="UIK34" s="684"/>
      <c r="UIL34" s="684"/>
      <c r="UIM34" s="684"/>
      <c r="UIN34" s="684"/>
      <c r="UIO34" s="684"/>
      <c r="UIP34" s="684"/>
      <c r="UIQ34" s="684"/>
      <c r="UIR34" s="684"/>
      <c r="UIS34" s="684"/>
      <c r="UIT34" s="684"/>
      <c r="UIU34" s="684"/>
      <c r="UIV34" s="684"/>
      <c r="UIW34" s="684"/>
      <c r="UIX34" s="684"/>
      <c r="UIY34" s="684"/>
      <c r="UIZ34" s="684"/>
      <c r="UJA34" s="684"/>
      <c r="UJB34" s="684"/>
      <c r="UJC34" s="684"/>
      <c r="UJD34" s="684"/>
      <c r="UJE34" s="684"/>
      <c r="UJF34" s="684"/>
      <c r="UJG34" s="684"/>
      <c r="UJH34" s="684"/>
      <c r="UJI34" s="684"/>
      <c r="UJJ34" s="684"/>
      <c r="UJK34" s="684"/>
      <c r="UJL34" s="684"/>
      <c r="UJM34" s="684"/>
      <c r="UJN34" s="684"/>
      <c r="UJO34" s="684"/>
      <c r="UJP34" s="684"/>
      <c r="UJQ34" s="684"/>
      <c r="UJR34" s="684"/>
      <c r="UJS34" s="684"/>
      <c r="UJT34" s="684"/>
      <c r="UJU34" s="684"/>
      <c r="UJV34" s="684"/>
      <c r="UJW34" s="684"/>
      <c r="UJX34" s="684"/>
      <c r="UJY34" s="684"/>
      <c r="UJZ34" s="684"/>
      <c r="UKA34" s="684"/>
      <c r="UKB34" s="684"/>
      <c r="UKC34" s="684"/>
      <c r="UKD34" s="684"/>
      <c r="UKE34" s="684"/>
      <c r="UKF34" s="684"/>
      <c r="UKG34" s="684"/>
      <c r="UKH34" s="684"/>
      <c r="UKI34" s="684"/>
      <c r="UKJ34" s="684"/>
      <c r="UKK34" s="684"/>
      <c r="UKL34" s="684"/>
      <c r="UKM34" s="684"/>
      <c r="UKN34" s="684"/>
      <c r="UKO34" s="684"/>
      <c r="UKP34" s="684"/>
      <c r="UKQ34" s="684"/>
      <c r="UKR34" s="684"/>
      <c r="UKS34" s="684"/>
      <c r="UKT34" s="684"/>
      <c r="UKU34" s="684"/>
      <c r="UKV34" s="684"/>
      <c r="UKW34" s="684"/>
      <c r="UKX34" s="684"/>
      <c r="UKY34" s="684"/>
      <c r="UKZ34" s="684"/>
      <c r="ULA34" s="684"/>
      <c r="ULB34" s="684"/>
      <c r="ULC34" s="684"/>
      <c r="ULD34" s="684"/>
      <c r="ULE34" s="684"/>
      <c r="ULF34" s="684"/>
      <c r="ULG34" s="684"/>
      <c r="ULH34" s="684"/>
      <c r="ULI34" s="684"/>
      <c r="ULJ34" s="684"/>
      <c r="ULK34" s="684"/>
      <c r="ULL34" s="684"/>
      <c r="ULM34" s="684"/>
      <c r="ULN34" s="684"/>
      <c r="ULO34" s="684"/>
      <c r="ULP34" s="684"/>
      <c r="ULQ34" s="684"/>
      <c r="ULR34" s="684"/>
      <c r="ULS34" s="684"/>
      <c r="ULT34" s="684"/>
      <c r="ULU34" s="684"/>
      <c r="ULV34" s="684"/>
      <c r="ULW34" s="684"/>
      <c r="ULX34" s="684"/>
      <c r="ULY34" s="684"/>
      <c r="ULZ34" s="684"/>
      <c r="UMA34" s="684"/>
      <c r="UMB34" s="684"/>
      <c r="UMC34" s="684"/>
      <c r="UMD34" s="684"/>
      <c r="UME34" s="684"/>
      <c r="UMF34" s="684"/>
      <c r="UMG34" s="684"/>
      <c r="UMH34" s="684"/>
      <c r="UMI34" s="684"/>
      <c r="UMJ34" s="684"/>
      <c r="UMK34" s="684"/>
      <c r="UML34" s="684"/>
      <c r="UMM34" s="684"/>
      <c r="UMN34" s="684"/>
      <c r="UMO34" s="684"/>
      <c r="UMP34" s="684"/>
      <c r="UMQ34" s="684"/>
      <c r="UMR34" s="684"/>
      <c r="UMS34" s="684"/>
      <c r="UMT34" s="684"/>
      <c r="UMU34" s="684"/>
      <c r="UMV34" s="684"/>
      <c r="UMW34" s="684"/>
      <c r="UMX34" s="684"/>
      <c r="UMY34" s="684"/>
      <c r="UMZ34" s="684"/>
      <c r="UNA34" s="684"/>
      <c r="UNB34" s="684"/>
      <c r="UNC34" s="684"/>
      <c r="UND34" s="684"/>
      <c r="UNE34" s="684"/>
      <c r="UNF34" s="684"/>
      <c r="UNG34" s="684"/>
      <c r="UNH34" s="684"/>
      <c r="UNI34" s="684"/>
      <c r="UNJ34" s="684"/>
      <c r="UNK34" s="684"/>
      <c r="UNL34" s="684"/>
      <c r="UNM34" s="684"/>
      <c r="UNN34" s="684"/>
      <c r="UNO34" s="684"/>
      <c r="UNP34" s="684"/>
      <c r="UNQ34" s="684"/>
      <c r="UNR34" s="684"/>
      <c r="UNS34" s="684"/>
      <c r="UNT34" s="684"/>
      <c r="UNU34" s="684"/>
      <c r="UNV34" s="684"/>
      <c r="UNW34" s="684"/>
      <c r="UNX34" s="684"/>
      <c r="UNY34" s="684"/>
      <c r="UNZ34" s="684"/>
      <c r="UOA34" s="684"/>
      <c r="UOB34" s="684"/>
      <c r="UOC34" s="684"/>
      <c r="UOD34" s="684"/>
      <c r="UOE34" s="684"/>
      <c r="UOF34" s="684"/>
      <c r="UOG34" s="684"/>
      <c r="UOH34" s="684"/>
      <c r="UOI34" s="684"/>
      <c r="UOJ34" s="684"/>
      <c r="UOK34" s="684"/>
      <c r="UOL34" s="684"/>
      <c r="UOM34" s="684"/>
      <c r="UON34" s="684"/>
      <c r="UOO34" s="684"/>
      <c r="UOP34" s="684"/>
      <c r="UOQ34" s="684"/>
      <c r="UOR34" s="684"/>
      <c r="UOS34" s="684"/>
      <c r="UOT34" s="684"/>
      <c r="UOU34" s="684"/>
      <c r="UOV34" s="684"/>
      <c r="UOW34" s="684"/>
      <c r="UOX34" s="684"/>
      <c r="UOY34" s="684"/>
      <c r="UOZ34" s="684"/>
      <c r="UPA34" s="684"/>
      <c r="UPB34" s="684"/>
      <c r="UPC34" s="684"/>
      <c r="UPD34" s="684"/>
      <c r="UPE34" s="684"/>
      <c r="UPF34" s="684"/>
      <c r="UPG34" s="684"/>
      <c r="UPH34" s="684"/>
      <c r="UPI34" s="684"/>
      <c r="UPJ34" s="684"/>
      <c r="UPK34" s="684"/>
      <c r="UPL34" s="684"/>
      <c r="UPM34" s="684"/>
      <c r="UPN34" s="684"/>
      <c r="UPO34" s="684"/>
      <c r="UPP34" s="684"/>
      <c r="UPQ34" s="684"/>
      <c r="UPR34" s="684"/>
      <c r="UPS34" s="684"/>
      <c r="UPT34" s="684"/>
      <c r="UPU34" s="684"/>
      <c r="UPV34" s="684"/>
      <c r="UPW34" s="684"/>
      <c r="UPX34" s="684"/>
      <c r="UPY34" s="684"/>
      <c r="UPZ34" s="684"/>
      <c r="UQA34" s="684"/>
      <c r="UQB34" s="684"/>
      <c r="UQC34" s="684"/>
      <c r="UQD34" s="684"/>
      <c r="UQE34" s="684"/>
      <c r="UQF34" s="684"/>
      <c r="UQG34" s="684"/>
      <c r="UQH34" s="684"/>
      <c r="UQI34" s="684"/>
      <c r="UQJ34" s="684"/>
      <c r="UQK34" s="684"/>
      <c r="UQL34" s="684"/>
      <c r="UQM34" s="684"/>
      <c r="UQN34" s="684"/>
      <c r="UQO34" s="684"/>
      <c r="UQP34" s="684"/>
      <c r="UQQ34" s="684"/>
      <c r="UQR34" s="684"/>
      <c r="UQS34" s="684"/>
      <c r="UQT34" s="684"/>
      <c r="UQU34" s="684"/>
      <c r="UQV34" s="684"/>
      <c r="UQW34" s="684"/>
      <c r="UQX34" s="684"/>
      <c r="UQY34" s="684"/>
      <c r="UQZ34" s="684"/>
      <c r="URA34" s="684"/>
      <c r="URB34" s="684"/>
      <c r="URC34" s="684"/>
      <c r="URD34" s="684"/>
      <c r="URE34" s="684"/>
      <c r="URF34" s="684"/>
      <c r="URG34" s="684"/>
      <c r="URH34" s="684"/>
      <c r="URI34" s="684"/>
      <c r="URJ34" s="684"/>
      <c r="URK34" s="684"/>
      <c r="URL34" s="684"/>
      <c r="URM34" s="684"/>
      <c r="URN34" s="684"/>
      <c r="URO34" s="684"/>
      <c r="URP34" s="684"/>
      <c r="URQ34" s="684"/>
      <c r="URR34" s="684"/>
      <c r="URS34" s="684"/>
      <c r="URT34" s="684"/>
      <c r="URU34" s="684"/>
      <c r="URV34" s="684"/>
      <c r="URW34" s="684"/>
      <c r="URX34" s="684"/>
      <c r="URY34" s="684"/>
      <c r="URZ34" s="684"/>
      <c r="USA34" s="684"/>
      <c r="USB34" s="684"/>
      <c r="USC34" s="684"/>
      <c r="USD34" s="684"/>
      <c r="USE34" s="684"/>
      <c r="USF34" s="684"/>
      <c r="USG34" s="684"/>
      <c r="USH34" s="684"/>
      <c r="USI34" s="684"/>
      <c r="USJ34" s="684"/>
      <c r="USK34" s="684"/>
      <c r="USL34" s="684"/>
      <c r="USM34" s="684"/>
      <c r="USN34" s="684"/>
      <c r="USO34" s="684"/>
      <c r="USP34" s="684"/>
      <c r="USQ34" s="684"/>
      <c r="USR34" s="684"/>
      <c r="USS34" s="684"/>
      <c r="UST34" s="684"/>
      <c r="USU34" s="684"/>
      <c r="USV34" s="684"/>
      <c r="USW34" s="684"/>
      <c r="USX34" s="684"/>
      <c r="USY34" s="684"/>
      <c r="USZ34" s="684"/>
      <c r="UTA34" s="684"/>
      <c r="UTB34" s="684"/>
      <c r="UTC34" s="684"/>
      <c r="UTD34" s="684"/>
      <c r="UTE34" s="684"/>
      <c r="UTF34" s="684"/>
      <c r="UTG34" s="684"/>
      <c r="UTH34" s="684"/>
      <c r="UTI34" s="684"/>
      <c r="UTJ34" s="684"/>
      <c r="UTK34" s="684"/>
      <c r="UTL34" s="684"/>
      <c r="UTM34" s="684"/>
      <c r="UTN34" s="684"/>
      <c r="UTO34" s="684"/>
      <c r="UTP34" s="684"/>
      <c r="UTQ34" s="684"/>
      <c r="UTR34" s="684"/>
      <c r="UTS34" s="684"/>
      <c r="UTT34" s="684"/>
      <c r="UTU34" s="684"/>
      <c r="UTV34" s="684"/>
      <c r="UTW34" s="684"/>
      <c r="UTX34" s="684"/>
      <c r="UTY34" s="684"/>
      <c r="UTZ34" s="684"/>
      <c r="UUA34" s="684"/>
      <c r="UUB34" s="684"/>
      <c r="UUC34" s="684"/>
      <c r="UUD34" s="684"/>
      <c r="UUE34" s="684"/>
      <c r="UUF34" s="684"/>
      <c r="UUG34" s="684"/>
      <c r="UUH34" s="684"/>
      <c r="UUI34" s="684"/>
      <c r="UUJ34" s="684"/>
      <c r="UUK34" s="684"/>
      <c r="UUL34" s="684"/>
      <c r="UUM34" s="684"/>
      <c r="UUN34" s="684"/>
      <c r="UUO34" s="684"/>
      <c r="UUP34" s="684"/>
      <c r="UUQ34" s="684"/>
      <c r="UUR34" s="684"/>
      <c r="UUS34" s="684"/>
      <c r="UUT34" s="684"/>
      <c r="UUU34" s="684"/>
      <c r="UUV34" s="684"/>
      <c r="UUW34" s="684"/>
      <c r="UUX34" s="684"/>
      <c r="UUY34" s="684"/>
      <c r="UUZ34" s="684"/>
      <c r="UVA34" s="684"/>
      <c r="UVB34" s="684"/>
      <c r="UVC34" s="684"/>
      <c r="UVD34" s="684"/>
      <c r="UVE34" s="684"/>
      <c r="UVF34" s="684"/>
      <c r="UVG34" s="684"/>
      <c r="UVH34" s="684"/>
      <c r="UVI34" s="684"/>
      <c r="UVJ34" s="684"/>
      <c r="UVK34" s="684"/>
      <c r="UVL34" s="684"/>
      <c r="UVM34" s="684"/>
      <c r="UVN34" s="684"/>
      <c r="UVO34" s="684"/>
      <c r="UVP34" s="684"/>
      <c r="UVQ34" s="684"/>
      <c r="UVR34" s="684"/>
      <c r="UVS34" s="684"/>
      <c r="UVT34" s="684"/>
      <c r="UVU34" s="684"/>
      <c r="UVV34" s="684"/>
      <c r="UVW34" s="684"/>
      <c r="UVX34" s="684"/>
      <c r="UVY34" s="684"/>
      <c r="UVZ34" s="684"/>
      <c r="UWA34" s="684"/>
      <c r="UWB34" s="684"/>
      <c r="UWC34" s="684"/>
      <c r="UWD34" s="684"/>
      <c r="UWE34" s="684"/>
      <c r="UWF34" s="684"/>
      <c r="UWG34" s="684"/>
      <c r="UWH34" s="684"/>
      <c r="UWI34" s="684"/>
      <c r="UWJ34" s="684"/>
      <c r="UWK34" s="684"/>
      <c r="UWL34" s="684"/>
      <c r="UWM34" s="684"/>
      <c r="UWN34" s="684"/>
      <c r="UWO34" s="684"/>
      <c r="UWP34" s="684"/>
      <c r="UWQ34" s="684"/>
      <c r="UWR34" s="684"/>
      <c r="UWS34" s="684"/>
      <c r="UWT34" s="684"/>
      <c r="UWU34" s="684"/>
      <c r="UWV34" s="684"/>
      <c r="UWW34" s="684"/>
      <c r="UWX34" s="684"/>
      <c r="UWY34" s="684"/>
      <c r="UWZ34" s="684"/>
      <c r="UXA34" s="684"/>
      <c r="UXB34" s="684"/>
      <c r="UXC34" s="684"/>
      <c r="UXD34" s="684"/>
      <c r="UXE34" s="684"/>
      <c r="UXF34" s="684"/>
      <c r="UXG34" s="684"/>
      <c r="UXH34" s="684"/>
      <c r="UXI34" s="684"/>
      <c r="UXJ34" s="684"/>
      <c r="UXK34" s="684"/>
      <c r="UXL34" s="684"/>
      <c r="UXM34" s="684"/>
      <c r="UXN34" s="684"/>
      <c r="UXO34" s="684"/>
      <c r="UXP34" s="684"/>
      <c r="UXQ34" s="684"/>
      <c r="UXR34" s="684"/>
      <c r="UXS34" s="684"/>
      <c r="UXT34" s="684"/>
      <c r="UXU34" s="684"/>
      <c r="UXV34" s="684"/>
      <c r="UXW34" s="684"/>
      <c r="UXX34" s="684"/>
      <c r="UXY34" s="684"/>
      <c r="UXZ34" s="684"/>
      <c r="UYA34" s="684"/>
      <c r="UYB34" s="684"/>
      <c r="UYC34" s="684"/>
      <c r="UYD34" s="684"/>
      <c r="UYE34" s="684"/>
      <c r="UYF34" s="684"/>
      <c r="UYG34" s="684"/>
      <c r="UYH34" s="684"/>
      <c r="UYI34" s="684"/>
      <c r="UYJ34" s="684"/>
      <c r="UYK34" s="684"/>
      <c r="UYL34" s="684"/>
      <c r="UYM34" s="684"/>
      <c r="UYN34" s="684"/>
      <c r="UYO34" s="684"/>
      <c r="UYP34" s="684"/>
      <c r="UYQ34" s="684"/>
      <c r="UYR34" s="684"/>
      <c r="UYS34" s="684"/>
      <c r="UYT34" s="684"/>
      <c r="UYU34" s="684"/>
      <c r="UYV34" s="684"/>
      <c r="UYW34" s="684"/>
      <c r="UYX34" s="684"/>
      <c r="UYY34" s="684"/>
      <c r="UYZ34" s="684"/>
      <c r="UZA34" s="684"/>
      <c r="UZB34" s="684"/>
      <c r="UZC34" s="684"/>
      <c r="UZD34" s="684"/>
      <c r="UZE34" s="684"/>
      <c r="UZF34" s="684"/>
      <c r="UZG34" s="684"/>
      <c r="UZH34" s="684"/>
      <c r="UZI34" s="684"/>
      <c r="UZJ34" s="684"/>
      <c r="UZK34" s="684"/>
      <c r="UZL34" s="684"/>
      <c r="UZM34" s="684"/>
      <c r="UZN34" s="684"/>
      <c r="UZO34" s="684"/>
      <c r="UZP34" s="684"/>
      <c r="UZQ34" s="684"/>
      <c r="UZR34" s="684"/>
      <c r="UZS34" s="684"/>
      <c r="UZT34" s="684"/>
      <c r="UZU34" s="684"/>
      <c r="UZV34" s="684"/>
      <c r="UZW34" s="684"/>
      <c r="UZX34" s="684"/>
      <c r="UZY34" s="684"/>
      <c r="UZZ34" s="684"/>
      <c r="VAA34" s="684"/>
      <c r="VAB34" s="684"/>
      <c r="VAC34" s="684"/>
      <c r="VAD34" s="684"/>
      <c r="VAE34" s="684"/>
      <c r="VAF34" s="684"/>
      <c r="VAG34" s="684"/>
      <c r="VAH34" s="684"/>
      <c r="VAI34" s="684"/>
      <c r="VAJ34" s="684"/>
      <c r="VAK34" s="684"/>
      <c r="VAL34" s="684"/>
      <c r="VAM34" s="684"/>
      <c r="VAN34" s="684"/>
      <c r="VAO34" s="684"/>
      <c r="VAP34" s="684"/>
      <c r="VAQ34" s="684"/>
      <c r="VAR34" s="684"/>
      <c r="VAS34" s="684"/>
      <c r="VAT34" s="684"/>
      <c r="VAU34" s="684"/>
      <c r="VAV34" s="684"/>
      <c r="VAW34" s="684"/>
      <c r="VAX34" s="684"/>
      <c r="VAY34" s="684"/>
      <c r="VAZ34" s="684"/>
      <c r="VBA34" s="684"/>
      <c r="VBB34" s="684"/>
      <c r="VBC34" s="684"/>
      <c r="VBD34" s="684"/>
      <c r="VBE34" s="684"/>
      <c r="VBF34" s="684"/>
      <c r="VBG34" s="684"/>
      <c r="VBH34" s="684"/>
      <c r="VBI34" s="684"/>
      <c r="VBJ34" s="684"/>
      <c r="VBK34" s="684"/>
      <c r="VBL34" s="684"/>
      <c r="VBM34" s="684"/>
      <c r="VBN34" s="684"/>
      <c r="VBO34" s="684"/>
      <c r="VBP34" s="684"/>
      <c r="VBQ34" s="684"/>
      <c r="VBR34" s="684"/>
      <c r="VBS34" s="684"/>
      <c r="VBT34" s="684"/>
      <c r="VBU34" s="684"/>
      <c r="VBV34" s="684"/>
      <c r="VBW34" s="684"/>
      <c r="VBX34" s="684"/>
      <c r="VBY34" s="684"/>
      <c r="VBZ34" s="684"/>
      <c r="VCA34" s="684"/>
      <c r="VCB34" s="684"/>
      <c r="VCC34" s="684"/>
      <c r="VCD34" s="684"/>
      <c r="VCE34" s="684"/>
      <c r="VCF34" s="684"/>
      <c r="VCG34" s="684"/>
      <c r="VCH34" s="684"/>
      <c r="VCI34" s="684"/>
      <c r="VCJ34" s="684"/>
      <c r="VCK34" s="684"/>
      <c r="VCL34" s="684"/>
      <c r="VCM34" s="684"/>
      <c r="VCN34" s="684"/>
      <c r="VCO34" s="684"/>
      <c r="VCP34" s="684"/>
      <c r="VCQ34" s="684"/>
      <c r="VCR34" s="684"/>
      <c r="VCS34" s="684"/>
      <c r="VCT34" s="684"/>
      <c r="VCU34" s="684"/>
      <c r="VCV34" s="684"/>
      <c r="VCW34" s="684"/>
      <c r="VCX34" s="684"/>
      <c r="VCY34" s="684"/>
      <c r="VCZ34" s="684"/>
      <c r="VDA34" s="684"/>
      <c r="VDB34" s="684"/>
      <c r="VDC34" s="684"/>
      <c r="VDD34" s="684"/>
      <c r="VDE34" s="684"/>
      <c r="VDF34" s="684"/>
      <c r="VDG34" s="684"/>
      <c r="VDH34" s="684"/>
      <c r="VDI34" s="684"/>
      <c r="VDJ34" s="684"/>
      <c r="VDK34" s="684"/>
      <c r="VDL34" s="684"/>
      <c r="VDM34" s="684"/>
      <c r="VDN34" s="684"/>
      <c r="VDO34" s="684"/>
      <c r="VDP34" s="684"/>
      <c r="VDQ34" s="684"/>
      <c r="VDR34" s="684"/>
      <c r="VDS34" s="684"/>
      <c r="VDT34" s="684"/>
      <c r="VDU34" s="684"/>
      <c r="VDV34" s="684"/>
      <c r="VDW34" s="684"/>
      <c r="VDX34" s="684"/>
      <c r="VDY34" s="684"/>
      <c r="VDZ34" s="684"/>
      <c r="VEA34" s="684"/>
      <c r="VEB34" s="684"/>
      <c r="VEC34" s="684"/>
      <c r="VED34" s="684"/>
      <c r="VEE34" s="684"/>
      <c r="VEF34" s="684"/>
      <c r="VEG34" s="684"/>
      <c r="VEH34" s="684"/>
      <c r="VEI34" s="684"/>
      <c r="VEJ34" s="684"/>
      <c r="VEK34" s="684"/>
      <c r="VEL34" s="684"/>
      <c r="VEM34" s="684"/>
      <c r="VEN34" s="684"/>
      <c r="VEO34" s="684"/>
      <c r="VEP34" s="684"/>
      <c r="VEQ34" s="684"/>
      <c r="VER34" s="684"/>
      <c r="VES34" s="684"/>
      <c r="VET34" s="684"/>
      <c r="VEU34" s="684"/>
      <c r="VEV34" s="684"/>
      <c r="VEW34" s="684"/>
      <c r="VEX34" s="684"/>
      <c r="VEY34" s="684"/>
      <c r="VEZ34" s="684"/>
      <c r="VFA34" s="684"/>
      <c r="VFB34" s="684"/>
      <c r="VFC34" s="684"/>
      <c r="VFD34" s="684"/>
      <c r="VFE34" s="684"/>
      <c r="VFF34" s="684"/>
      <c r="VFG34" s="684"/>
      <c r="VFH34" s="684"/>
      <c r="VFI34" s="684"/>
      <c r="VFJ34" s="684"/>
      <c r="VFK34" s="684"/>
      <c r="VFL34" s="684"/>
      <c r="VFM34" s="684"/>
      <c r="VFN34" s="684"/>
      <c r="VFO34" s="684"/>
      <c r="VFP34" s="684"/>
      <c r="VFQ34" s="684"/>
      <c r="VFR34" s="684"/>
      <c r="VFS34" s="684"/>
      <c r="VFT34" s="684"/>
      <c r="VFU34" s="684"/>
      <c r="VFV34" s="684"/>
      <c r="VFW34" s="684"/>
      <c r="VFX34" s="684"/>
      <c r="VFY34" s="684"/>
      <c r="VFZ34" s="684"/>
      <c r="VGA34" s="684"/>
      <c r="VGB34" s="684"/>
      <c r="VGC34" s="684"/>
      <c r="VGD34" s="684"/>
      <c r="VGE34" s="684"/>
      <c r="VGF34" s="684"/>
      <c r="VGG34" s="684"/>
      <c r="VGH34" s="684"/>
      <c r="VGI34" s="684"/>
      <c r="VGJ34" s="684"/>
      <c r="VGK34" s="684"/>
      <c r="VGL34" s="684"/>
      <c r="VGM34" s="684"/>
      <c r="VGN34" s="684"/>
      <c r="VGO34" s="684"/>
      <c r="VGP34" s="684"/>
      <c r="VGQ34" s="684"/>
      <c r="VGR34" s="684"/>
      <c r="VGS34" s="684"/>
      <c r="VGT34" s="684"/>
      <c r="VGU34" s="684"/>
      <c r="VGV34" s="684"/>
      <c r="VGW34" s="684"/>
      <c r="VGX34" s="684"/>
      <c r="VGY34" s="684"/>
      <c r="VGZ34" s="684"/>
      <c r="VHA34" s="684"/>
      <c r="VHB34" s="684"/>
      <c r="VHC34" s="684"/>
      <c r="VHD34" s="684"/>
      <c r="VHE34" s="684"/>
      <c r="VHF34" s="684"/>
      <c r="VHG34" s="684"/>
      <c r="VHH34" s="684"/>
      <c r="VHI34" s="684"/>
      <c r="VHJ34" s="684"/>
      <c r="VHK34" s="684"/>
      <c r="VHL34" s="684"/>
      <c r="VHM34" s="684"/>
      <c r="VHN34" s="684"/>
      <c r="VHO34" s="684"/>
      <c r="VHP34" s="684"/>
      <c r="VHQ34" s="684"/>
      <c r="VHR34" s="684"/>
      <c r="VHS34" s="684"/>
      <c r="VHT34" s="684"/>
      <c r="VHU34" s="684"/>
      <c r="VHV34" s="684"/>
      <c r="VHW34" s="684"/>
      <c r="VHX34" s="684"/>
      <c r="VHY34" s="684"/>
      <c r="VHZ34" s="684"/>
      <c r="VIA34" s="684"/>
      <c r="VIB34" s="684"/>
      <c r="VIC34" s="684"/>
      <c r="VID34" s="684"/>
      <c r="VIE34" s="684"/>
      <c r="VIF34" s="684"/>
      <c r="VIG34" s="684"/>
      <c r="VIH34" s="684"/>
      <c r="VII34" s="684"/>
      <c r="VIJ34" s="684"/>
      <c r="VIK34" s="684"/>
      <c r="VIL34" s="684"/>
      <c r="VIM34" s="684"/>
      <c r="VIN34" s="684"/>
      <c r="VIO34" s="684"/>
      <c r="VIP34" s="684"/>
      <c r="VIQ34" s="684"/>
      <c r="VIR34" s="684"/>
      <c r="VIS34" s="684"/>
      <c r="VIT34" s="684"/>
      <c r="VIU34" s="684"/>
      <c r="VIV34" s="684"/>
      <c r="VIW34" s="684"/>
      <c r="VIX34" s="684"/>
      <c r="VIY34" s="684"/>
      <c r="VIZ34" s="684"/>
      <c r="VJA34" s="684"/>
      <c r="VJB34" s="684"/>
      <c r="VJC34" s="684"/>
      <c r="VJD34" s="684"/>
      <c r="VJE34" s="684"/>
      <c r="VJF34" s="684"/>
      <c r="VJG34" s="684"/>
      <c r="VJH34" s="684"/>
      <c r="VJI34" s="684"/>
      <c r="VJJ34" s="684"/>
      <c r="VJK34" s="684"/>
      <c r="VJL34" s="684"/>
      <c r="VJM34" s="684"/>
      <c r="VJN34" s="684"/>
      <c r="VJO34" s="684"/>
      <c r="VJP34" s="684"/>
      <c r="VJQ34" s="684"/>
      <c r="VJR34" s="684"/>
      <c r="VJS34" s="684"/>
      <c r="VJT34" s="684"/>
      <c r="VJU34" s="684"/>
      <c r="VJV34" s="684"/>
      <c r="VJW34" s="684"/>
      <c r="VJX34" s="684"/>
      <c r="VJY34" s="684"/>
      <c r="VJZ34" s="684"/>
      <c r="VKA34" s="684"/>
      <c r="VKB34" s="684"/>
      <c r="VKC34" s="684"/>
      <c r="VKD34" s="684"/>
      <c r="VKE34" s="684"/>
      <c r="VKF34" s="684"/>
      <c r="VKG34" s="684"/>
      <c r="VKH34" s="684"/>
      <c r="VKI34" s="684"/>
      <c r="VKJ34" s="684"/>
      <c r="VKK34" s="684"/>
      <c r="VKL34" s="684"/>
      <c r="VKM34" s="684"/>
      <c r="VKN34" s="684"/>
      <c r="VKO34" s="684"/>
      <c r="VKP34" s="684"/>
      <c r="VKQ34" s="684"/>
      <c r="VKR34" s="684"/>
      <c r="VKS34" s="684"/>
      <c r="VKT34" s="684"/>
      <c r="VKU34" s="684"/>
      <c r="VKV34" s="684"/>
      <c r="VKW34" s="684"/>
      <c r="VKX34" s="684"/>
      <c r="VKY34" s="684"/>
      <c r="VKZ34" s="684"/>
      <c r="VLA34" s="684"/>
      <c r="VLB34" s="684"/>
      <c r="VLC34" s="684"/>
      <c r="VLD34" s="684"/>
      <c r="VLE34" s="684"/>
      <c r="VLF34" s="684"/>
      <c r="VLG34" s="684"/>
      <c r="VLH34" s="684"/>
      <c r="VLI34" s="684"/>
      <c r="VLJ34" s="684"/>
      <c r="VLK34" s="684"/>
      <c r="VLL34" s="684"/>
      <c r="VLM34" s="684"/>
      <c r="VLN34" s="684"/>
      <c r="VLO34" s="684"/>
      <c r="VLP34" s="684"/>
      <c r="VLQ34" s="684"/>
      <c r="VLR34" s="684"/>
      <c r="VLS34" s="684"/>
      <c r="VLT34" s="684"/>
      <c r="VLU34" s="684"/>
      <c r="VLV34" s="684"/>
      <c r="VLW34" s="684"/>
      <c r="VLX34" s="684"/>
      <c r="VLY34" s="684"/>
      <c r="VLZ34" s="684"/>
      <c r="VMA34" s="684"/>
      <c r="VMB34" s="684"/>
      <c r="VMC34" s="684"/>
      <c r="VMD34" s="684"/>
      <c r="VME34" s="684"/>
      <c r="VMF34" s="684"/>
      <c r="VMG34" s="684"/>
      <c r="VMH34" s="684"/>
      <c r="VMI34" s="684"/>
      <c r="VMJ34" s="684"/>
      <c r="VMK34" s="684"/>
      <c r="VML34" s="684"/>
      <c r="VMM34" s="684"/>
      <c r="VMN34" s="684"/>
      <c r="VMO34" s="684"/>
      <c r="VMP34" s="684"/>
      <c r="VMQ34" s="684"/>
      <c r="VMR34" s="684"/>
      <c r="VMS34" s="684"/>
      <c r="VMT34" s="684"/>
      <c r="VMU34" s="684"/>
      <c r="VMV34" s="684"/>
      <c r="VMW34" s="684"/>
      <c r="VMX34" s="684"/>
      <c r="VMY34" s="684"/>
      <c r="VMZ34" s="684"/>
      <c r="VNA34" s="684"/>
      <c r="VNB34" s="684"/>
      <c r="VNC34" s="684"/>
      <c r="VND34" s="684"/>
      <c r="VNE34" s="684"/>
      <c r="VNF34" s="684"/>
      <c r="VNG34" s="684"/>
      <c r="VNH34" s="684"/>
      <c r="VNI34" s="684"/>
      <c r="VNJ34" s="684"/>
      <c r="VNK34" s="684"/>
      <c r="VNL34" s="684"/>
      <c r="VNM34" s="684"/>
      <c r="VNN34" s="684"/>
      <c r="VNO34" s="684"/>
      <c r="VNP34" s="684"/>
      <c r="VNQ34" s="684"/>
      <c r="VNR34" s="684"/>
      <c r="VNS34" s="684"/>
      <c r="VNT34" s="684"/>
      <c r="VNU34" s="684"/>
      <c r="VNV34" s="684"/>
      <c r="VNW34" s="684"/>
      <c r="VNX34" s="684"/>
      <c r="VNY34" s="684"/>
      <c r="VNZ34" s="684"/>
      <c r="VOA34" s="684"/>
      <c r="VOB34" s="684"/>
      <c r="VOC34" s="684"/>
      <c r="VOD34" s="684"/>
      <c r="VOE34" s="684"/>
      <c r="VOF34" s="684"/>
      <c r="VOG34" s="684"/>
      <c r="VOH34" s="684"/>
      <c r="VOI34" s="684"/>
      <c r="VOJ34" s="684"/>
      <c r="VOK34" s="684"/>
      <c r="VOL34" s="684"/>
      <c r="VOM34" s="684"/>
      <c r="VON34" s="684"/>
      <c r="VOO34" s="684"/>
      <c r="VOP34" s="684"/>
      <c r="VOQ34" s="684"/>
      <c r="VOR34" s="684"/>
      <c r="VOS34" s="684"/>
      <c r="VOT34" s="684"/>
      <c r="VOU34" s="684"/>
      <c r="VOV34" s="684"/>
      <c r="VOW34" s="684"/>
      <c r="VOX34" s="684"/>
      <c r="VOY34" s="684"/>
      <c r="VOZ34" s="684"/>
      <c r="VPA34" s="684"/>
      <c r="VPB34" s="684"/>
      <c r="VPC34" s="684"/>
      <c r="VPD34" s="684"/>
      <c r="VPE34" s="684"/>
      <c r="VPF34" s="684"/>
      <c r="VPG34" s="684"/>
      <c r="VPH34" s="684"/>
      <c r="VPI34" s="684"/>
      <c r="VPJ34" s="684"/>
      <c r="VPK34" s="684"/>
      <c r="VPL34" s="684"/>
      <c r="VPM34" s="684"/>
      <c r="VPN34" s="684"/>
      <c r="VPO34" s="684"/>
      <c r="VPP34" s="684"/>
      <c r="VPQ34" s="684"/>
      <c r="VPR34" s="684"/>
      <c r="VPS34" s="684"/>
      <c r="VPT34" s="684"/>
      <c r="VPU34" s="684"/>
      <c r="VPV34" s="684"/>
      <c r="VPW34" s="684"/>
      <c r="VPX34" s="684"/>
      <c r="VPY34" s="684"/>
      <c r="VPZ34" s="684"/>
      <c r="VQA34" s="684"/>
      <c r="VQB34" s="684"/>
      <c r="VQC34" s="684"/>
      <c r="VQD34" s="684"/>
      <c r="VQE34" s="684"/>
      <c r="VQF34" s="684"/>
      <c r="VQG34" s="684"/>
      <c r="VQH34" s="684"/>
      <c r="VQI34" s="684"/>
      <c r="VQJ34" s="684"/>
      <c r="VQK34" s="684"/>
      <c r="VQL34" s="684"/>
      <c r="VQM34" s="684"/>
      <c r="VQN34" s="684"/>
      <c r="VQO34" s="684"/>
      <c r="VQP34" s="684"/>
      <c r="VQQ34" s="684"/>
      <c r="VQR34" s="684"/>
      <c r="VQS34" s="684"/>
      <c r="VQT34" s="684"/>
      <c r="VQU34" s="684"/>
      <c r="VQV34" s="684"/>
      <c r="VQW34" s="684"/>
      <c r="VQX34" s="684"/>
      <c r="VQY34" s="684"/>
      <c r="VQZ34" s="684"/>
      <c r="VRA34" s="684"/>
      <c r="VRB34" s="684"/>
      <c r="VRC34" s="684"/>
      <c r="VRD34" s="684"/>
      <c r="VRE34" s="684"/>
      <c r="VRF34" s="684"/>
      <c r="VRG34" s="684"/>
      <c r="VRH34" s="684"/>
      <c r="VRI34" s="684"/>
      <c r="VRJ34" s="684"/>
      <c r="VRK34" s="684"/>
      <c r="VRL34" s="684"/>
      <c r="VRM34" s="684"/>
      <c r="VRN34" s="684"/>
      <c r="VRO34" s="684"/>
      <c r="VRP34" s="684"/>
      <c r="VRQ34" s="684"/>
      <c r="VRR34" s="684"/>
      <c r="VRS34" s="684"/>
      <c r="VRT34" s="684"/>
      <c r="VRU34" s="684"/>
      <c r="VRV34" s="684"/>
      <c r="VRW34" s="684"/>
      <c r="VRX34" s="684"/>
      <c r="VRY34" s="684"/>
      <c r="VRZ34" s="684"/>
      <c r="VSA34" s="684"/>
      <c r="VSB34" s="684"/>
      <c r="VSC34" s="684"/>
      <c r="VSD34" s="684"/>
      <c r="VSE34" s="684"/>
      <c r="VSF34" s="684"/>
      <c r="VSG34" s="684"/>
      <c r="VSH34" s="684"/>
      <c r="VSI34" s="684"/>
      <c r="VSJ34" s="684"/>
      <c r="VSK34" s="684"/>
      <c r="VSL34" s="684"/>
      <c r="VSM34" s="684"/>
      <c r="VSN34" s="684"/>
      <c r="VSO34" s="684"/>
      <c r="VSP34" s="684"/>
      <c r="VSQ34" s="684"/>
      <c r="VSR34" s="684"/>
      <c r="VSS34" s="684"/>
      <c r="VST34" s="684"/>
      <c r="VSU34" s="684"/>
      <c r="VSV34" s="684"/>
      <c r="VSW34" s="684"/>
      <c r="VSX34" s="684"/>
      <c r="VSY34" s="684"/>
      <c r="VSZ34" s="684"/>
      <c r="VTA34" s="684"/>
      <c r="VTB34" s="684"/>
      <c r="VTC34" s="684"/>
      <c r="VTD34" s="684"/>
      <c r="VTE34" s="684"/>
      <c r="VTF34" s="684"/>
      <c r="VTG34" s="684"/>
      <c r="VTH34" s="684"/>
      <c r="VTI34" s="684"/>
      <c r="VTJ34" s="684"/>
      <c r="VTK34" s="684"/>
      <c r="VTL34" s="684"/>
      <c r="VTM34" s="684"/>
      <c r="VTN34" s="684"/>
      <c r="VTO34" s="684"/>
      <c r="VTP34" s="684"/>
      <c r="VTQ34" s="684"/>
      <c r="VTR34" s="684"/>
      <c r="VTS34" s="684"/>
      <c r="VTT34" s="684"/>
      <c r="VTU34" s="684"/>
      <c r="VTV34" s="684"/>
      <c r="VTW34" s="684"/>
      <c r="VTX34" s="684"/>
      <c r="VTY34" s="684"/>
      <c r="VTZ34" s="684"/>
      <c r="VUA34" s="684"/>
      <c r="VUB34" s="684"/>
      <c r="VUC34" s="684"/>
      <c r="VUD34" s="684"/>
      <c r="VUE34" s="684"/>
      <c r="VUF34" s="684"/>
      <c r="VUG34" s="684"/>
      <c r="VUH34" s="684"/>
      <c r="VUI34" s="684"/>
      <c r="VUJ34" s="684"/>
      <c r="VUK34" s="684"/>
      <c r="VUL34" s="684"/>
      <c r="VUM34" s="684"/>
      <c r="VUN34" s="684"/>
      <c r="VUO34" s="684"/>
      <c r="VUP34" s="684"/>
      <c r="VUQ34" s="684"/>
      <c r="VUR34" s="684"/>
      <c r="VUS34" s="684"/>
      <c r="VUT34" s="684"/>
      <c r="VUU34" s="684"/>
      <c r="VUV34" s="684"/>
      <c r="VUW34" s="684"/>
      <c r="VUX34" s="684"/>
      <c r="VUY34" s="684"/>
      <c r="VUZ34" s="684"/>
      <c r="VVA34" s="684"/>
      <c r="VVB34" s="684"/>
      <c r="VVC34" s="684"/>
      <c r="VVD34" s="684"/>
      <c r="VVE34" s="684"/>
      <c r="VVF34" s="684"/>
      <c r="VVG34" s="684"/>
      <c r="VVH34" s="684"/>
      <c r="VVI34" s="684"/>
      <c r="VVJ34" s="684"/>
      <c r="VVK34" s="684"/>
      <c r="VVL34" s="684"/>
      <c r="VVM34" s="684"/>
      <c r="VVN34" s="684"/>
      <c r="VVO34" s="684"/>
      <c r="VVP34" s="684"/>
      <c r="VVQ34" s="684"/>
      <c r="VVR34" s="684"/>
      <c r="VVS34" s="684"/>
      <c r="VVT34" s="684"/>
      <c r="VVU34" s="684"/>
      <c r="VVV34" s="684"/>
      <c r="VVW34" s="684"/>
      <c r="VVX34" s="684"/>
      <c r="VVY34" s="684"/>
      <c r="VVZ34" s="684"/>
      <c r="VWA34" s="684"/>
      <c r="VWB34" s="684"/>
      <c r="VWC34" s="684"/>
      <c r="VWD34" s="684"/>
      <c r="VWE34" s="684"/>
      <c r="VWF34" s="684"/>
      <c r="VWG34" s="684"/>
      <c r="VWH34" s="684"/>
      <c r="VWI34" s="684"/>
      <c r="VWJ34" s="684"/>
      <c r="VWK34" s="684"/>
      <c r="VWL34" s="684"/>
      <c r="VWM34" s="684"/>
      <c r="VWN34" s="684"/>
      <c r="VWO34" s="684"/>
      <c r="VWP34" s="684"/>
      <c r="VWQ34" s="684"/>
      <c r="VWR34" s="684"/>
      <c r="VWS34" s="684"/>
      <c r="VWT34" s="684"/>
      <c r="VWU34" s="684"/>
      <c r="VWV34" s="684"/>
      <c r="VWW34" s="684"/>
      <c r="VWX34" s="684"/>
      <c r="VWY34" s="684"/>
      <c r="VWZ34" s="684"/>
      <c r="VXA34" s="684"/>
      <c r="VXB34" s="684"/>
      <c r="VXC34" s="684"/>
      <c r="VXD34" s="684"/>
      <c r="VXE34" s="684"/>
      <c r="VXF34" s="684"/>
      <c r="VXG34" s="684"/>
      <c r="VXH34" s="684"/>
      <c r="VXI34" s="684"/>
      <c r="VXJ34" s="684"/>
      <c r="VXK34" s="684"/>
      <c r="VXL34" s="684"/>
      <c r="VXM34" s="684"/>
      <c r="VXN34" s="684"/>
      <c r="VXO34" s="684"/>
      <c r="VXP34" s="684"/>
      <c r="VXQ34" s="684"/>
      <c r="VXR34" s="684"/>
      <c r="VXS34" s="684"/>
      <c r="VXT34" s="684"/>
      <c r="VXU34" s="684"/>
      <c r="VXV34" s="684"/>
      <c r="VXW34" s="684"/>
      <c r="VXX34" s="684"/>
      <c r="VXY34" s="684"/>
      <c r="VXZ34" s="684"/>
      <c r="VYA34" s="684"/>
      <c r="VYB34" s="684"/>
      <c r="VYC34" s="684"/>
      <c r="VYD34" s="684"/>
      <c r="VYE34" s="684"/>
      <c r="VYF34" s="684"/>
      <c r="VYG34" s="684"/>
      <c r="VYH34" s="684"/>
      <c r="VYI34" s="684"/>
      <c r="VYJ34" s="684"/>
      <c r="VYK34" s="684"/>
      <c r="VYL34" s="684"/>
      <c r="VYM34" s="684"/>
      <c r="VYN34" s="684"/>
      <c r="VYO34" s="684"/>
      <c r="VYP34" s="684"/>
      <c r="VYQ34" s="684"/>
      <c r="VYR34" s="684"/>
      <c r="VYS34" s="684"/>
      <c r="VYT34" s="684"/>
      <c r="VYU34" s="684"/>
      <c r="VYV34" s="684"/>
      <c r="VYW34" s="684"/>
      <c r="VYX34" s="684"/>
      <c r="VYY34" s="684"/>
      <c r="VYZ34" s="684"/>
      <c r="VZA34" s="684"/>
      <c r="VZB34" s="684"/>
      <c r="VZC34" s="684"/>
      <c r="VZD34" s="684"/>
      <c r="VZE34" s="684"/>
      <c r="VZF34" s="684"/>
      <c r="VZG34" s="684"/>
      <c r="VZH34" s="684"/>
      <c r="VZI34" s="684"/>
      <c r="VZJ34" s="684"/>
      <c r="VZK34" s="684"/>
      <c r="VZL34" s="684"/>
      <c r="VZM34" s="684"/>
      <c r="VZN34" s="684"/>
      <c r="VZO34" s="684"/>
      <c r="VZP34" s="684"/>
      <c r="VZQ34" s="684"/>
      <c r="VZR34" s="684"/>
      <c r="VZS34" s="684"/>
      <c r="VZT34" s="684"/>
      <c r="VZU34" s="684"/>
      <c r="VZV34" s="684"/>
      <c r="VZW34" s="684"/>
      <c r="VZX34" s="684"/>
      <c r="VZY34" s="684"/>
      <c r="VZZ34" s="684"/>
      <c r="WAA34" s="684"/>
      <c r="WAB34" s="684"/>
      <c r="WAC34" s="684"/>
      <c r="WAD34" s="684"/>
      <c r="WAE34" s="684"/>
      <c r="WAF34" s="684"/>
      <c r="WAG34" s="684"/>
      <c r="WAH34" s="684"/>
      <c r="WAI34" s="684"/>
      <c r="WAJ34" s="684"/>
      <c r="WAK34" s="684"/>
      <c r="WAL34" s="684"/>
      <c r="WAM34" s="684"/>
      <c r="WAN34" s="684"/>
      <c r="WAO34" s="684"/>
      <c r="WAP34" s="684"/>
      <c r="WAQ34" s="684"/>
      <c r="WAR34" s="684"/>
      <c r="WAS34" s="684"/>
      <c r="WAT34" s="684"/>
      <c r="WAU34" s="684"/>
      <c r="WAV34" s="684"/>
      <c r="WAW34" s="684"/>
      <c r="WAX34" s="684"/>
      <c r="WAY34" s="684"/>
      <c r="WAZ34" s="684"/>
      <c r="WBA34" s="684"/>
      <c r="WBB34" s="684"/>
      <c r="WBC34" s="684"/>
      <c r="WBD34" s="684"/>
      <c r="WBE34" s="684"/>
      <c r="WBF34" s="684"/>
      <c r="WBG34" s="684"/>
      <c r="WBH34" s="684"/>
      <c r="WBI34" s="684"/>
      <c r="WBJ34" s="684"/>
      <c r="WBK34" s="684"/>
      <c r="WBL34" s="684"/>
      <c r="WBM34" s="684"/>
      <c r="WBN34" s="684"/>
      <c r="WBO34" s="684"/>
      <c r="WBP34" s="684"/>
      <c r="WBQ34" s="684"/>
      <c r="WBR34" s="684"/>
      <c r="WBS34" s="684"/>
      <c r="WBT34" s="684"/>
      <c r="WBU34" s="684"/>
      <c r="WBV34" s="684"/>
      <c r="WBW34" s="684"/>
      <c r="WBX34" s="684"/>
      <c r="WBY34" s="684"/>
      <c r="WBZ34" s="684"/>
      <c r="WCA34" s="684"/>
      <c r="WCB34" s="684"/>
      <c r="WCC34" s="684"/>
      <c r="WCD34" s="684"/>
      <c r="WCE34" s="684"/>
      <c r="WCF34" s="684"/>
      <c r="WCG34" s="684"/>
      <c r="WCH34" s="684"/>
      <c r="WCI34" s="684"/>
      <c r="WCJ34" s="684"/>
      <c r="WCK34" s="684"/>
      <c r="WCL34" s="684"/>
      <c r="WCM34" s="684"/>
      <c r="WCN34" s="684"/>
      <c r="WCO34" s="684"/>
      <c r="WCP34" s="684"/>
      <c r="WCQ34" s="684"/>
      <c r="WCR34" s="684"/>
      <c r="WCS34" s="684"/>
      <c r="WCT34" s="684"/>
      <c r="WCU34" s="684"/>
      <c r="WCV34" s="684"/>
      <c r="WCW34" s="684"/>
      <c r="WCX34" s="684"/>
      <c r="WCY34" s="684"/>
      <c r="WCZ34" s="684"/>
      <c r="WDA34" s="684"/>
      <c r="WDB34" s="684"/>
      <c r="WDC34" s="684"/>
      <c r="WDD34" s="684"/>
      <c r="WDE34" s="684"/>
      <c r="WDF34" s="684"/>
      <c r="WDG34" s="684"/>
      <c r="WDH34" s="684"/>
      <c r="WDI34" s="684"/>
      <c r="WDJ34" s="684"/>
      <c r="WDK34" s="684"/>
      <c r="WDL34" s="684"/>
      <c r="WDM34" s="684"/>
      <c r="WDN34" s="684"/>
      <c r="WDO34" s="684"/>
      <c r="WDP34" s="684"/>
      <c r="WDQ34" s="684"/>
      <c r="WDR34" s="684"/>
      <c r="WDS34" s="684"/>
      <c r="WDT34" s="684"/>
      <c r="WDU34" s="684"/>
      <c r="WDV34" s="684"/>
      <c r="WDW34" s="684"/>
      <c r="WDX34" s="684"/>
      <c r="WDY34" s="684"/>
      <c r="WDZ34" s="684"/>
      <c r="WEA34" s="684"/>
      <c r="WEB34" s="684"/>
      <c r="WEC34" s="684"/>
      <c r="WED34" s="684"/>
      <c r="WEE34" s="684"/>
      <c r="WEF34" s="684"/>
      <c r="WEG34" s="684"/>
      <c r="WEH34" s="684"/>
      <c r="WEI34" s="684"/>
      <c r="WEJ34" s="684"/>
      <c r="WEK34" s="684"/>
      <c r="WEL34" s="684"/>
      <c r="WEM34" s="684"/>
      <c r="WEN34" s="684"/>
      <c r="WEO34" s="684"/>
      <c r="WEP34" s="684"/>
      <c r="WEQ34" s="684"/>
      <c r="WER34" s="684"/>
      <c r="WES34" s="684"/>
      <c r="WET34" s="684"/>
      <c r="WEU34" s="684"/>
      <c r="WEV34" s="684"/>
      <c r="WEW34" s="684"/>
      <c r="WEX34" s="684"/>
      <c r="WEY34" s="684"/>
      <c r="WEZ34" s="684"/>
      <c r="WFA34" s="684"/>
      <c r="WFB34" s="684"/>
      <c r="WFC34" s="684"/>
      <c r="WFD34" s="684"/>
      <c r="WFE34" s="684"/>
      <c r="WFF34" s="684"/>
      <c r="WFG34" s="684"/>
      <c r="WFH34" s="684"/>
      <c r="WFI34" s="684"/>
      <c r="WFJ34" s="684"/>
      <c r="WFK34" s="684"/>
      <c r="WFL34" s="684"/>
      <c r="WFM34" s="684"/>
      <c r="WFN34" s="684"/>
      <c r="WFO34" s="684"/>
      <c r="WFP34" s="684"/>
      <c r="WFQ34" s="684"/>
      <c r="WFR34" s="684"/>
      <c r="WFS34" s="684"/>
      <c r="WFT34" s="684"/>
      <c r="WFU34" s="684"/>
      <c r="WFV34" s="684"/>
      <c r="WFW34" s="684"/>
      <c r="WFX34" s="684"/>
      <c r="WFY34" s="684"/>
      <c r="WFZ34" s="684"/>
      <c r="WGA34" s="684"/>
      <c r="WGB34" s="684"/>
      <c r="WGC34" s="684"/>
      <c r="WGD34" s="684"/>
      <c r="WGE34" s="684"/>
      <c r="WGF34" s="684"/>
      <c r="WGG34" s="684"/>
      <c r="WGH34" s="684"/>
      <c r="WGI34" s="684"/>
      <c r="WGJ34" s="684"/>
      <c r="WGK34" s="684"/>
      <c r="WGL34" s="684"/>
      <c r="WGM34" s="684"/>
      <c r="WGN34" s="684"/>
      <c r="WGO34" s="684"/>
      <c r="WGP34" s="684"/>
      <c r="WGQ34" s="684"/>
      <c r="WGR34" s="684"/>
      <c r="WGS34" s="684"/>
      <c r="WGT34" s="684"/>
      <c r="WGU34" s="684"/>
      <c r="WGV34" s="684"/>
      <c r="WGW34" s="684"/>
      <c r="WGX34" s="684"/>
      <c r="WGY34" s="684"/>
      <c r="WGZ34" s="684"/>
      <c r="WHA34" s="684"/>
      <c r="WHB34" s="684"/>
      <c r="WHC34" s="684"/>
      <c r="WHD34" s="684"/>
      <c r="WHE34" s="684"/>
      <c r="WHF34" s="684"/>
      <c r="WHG34" s="684"/>
      <c r="WHH34" s="684"/>
      <c r="WHI34" s="684"/>
      <c r="WHJ34" s="684"/>
      <c r="WHK34" s="684"/>
      <c r="WHL34" s="684"/>
      <c r="WHM34" s="684"/>
      <c r="WHN34" s="684"/>
      <c r="WHO34" s="684"/>
      <c r="WHP34" s="684"/>
      <c r="WHQ34" s="684"/>
      <c r="WHR34" s="684"/>
      <c r="WHS34" s="684"/>
      <c r="WHT34" s="684"/>
      <c r="WHU34" s="684"/>
      <c r="WHV34" s="684"/>
      <c r="WHW34" s="684"/>
      <c r="WHX34" s="684"/>
      <c r="WHY34" s="684"/>
      <c r="WHZ34" s="684"/>
      <c r="WIA34" s="684"/>
      <c r="WIB34" s="684"/>
      <c r="WIC34" s="684"/>
      <c r="WID34" s="684"/>
      <c r="WIE34" s="684"/>
      <c r="WIF34" s="684"/>
      <c r="WIG34" s="684"/>
      <c r="WIH34" s="684"/>
      <c r="WII34" s="684"/>
      <c r="WIJ34" s="684"/>
      <c r="WIK34" s="684"/>
      <c r="WIL34" s="684"/>
      <c r="WIM34" s="684"/>
      <c r="WIN34" s="684"/>
      <c r="WIO34" s="684"/>
      <c r="WIP34" s="684"/>
      <c r="WIQ34" s="684"/>
      <c r="WIR34" s="684"/>
      <c r="WIS34" s="684"/>
      <c r="WIT34" s="684"/>
      <c r="WIU34" s="684"/>
      <c r="WIV34" s="684"/>
      <c r="WIW34" s="684"/>
      <c r="WIX34" s="684"/>
      <c r="WIY34" s="684"/>
      <c r="WIZ34" s="684"/>
      <c r="WJA34" s="684"/>
      <c r="WJB34" s="684"/>
      <c r="WJC34" s="684"/>
      <c r="WJD34" s="684"/>
      <c r="WJE34" s="684"/>
      <c r="WJF34" s="684"/>
      <c r="WJG34" s="684"/>
      <c r="WJH34" s="684"/>
      <c r="WJI34" s="684"/>
      <c r="WJJ34" s="684"/>
      <c r="WJK34" s="684"/>
      <c r="WJL34" s="684"/>
      <c r="WJM34" s="684"/>
      <c r="WJN34" s="684"/>
      <c r="WJO34" s="684"/>
      <c r="WJP34" s="684"/>
      <c r="WJQ34" s="684"/>
      <c r="WJR34" s="684"/>
      <c r="WJS34" s="684"/>
      <c r="WJT34" s="684"/>
      <c r="WJU34" s="684"/>
      <c r="WJV34" s="684"/>
      <c r="WJW34" s="684"/>
      <c r="WJX34" s="684"/>
      <c r="WJY34" s="684"/>
      <c r="WJZ34" s="684"/>
      <c r="WKA34" s="684"/>
      <c r="WKB34" s="684"/>
      <c r="WKC34" s="684"/>
      <c r="WKD34" s="684"/>
      <c r="WKE34" s="684"/>
      <c r="WKF34" s="684"/>
      <c r="WKG34" s="684"/>
      <c r="WKH34" s="684"/>
      <c r="WKI34" s="684"/>
      <c r="WKJ34" s="684"/>
      <c r="WKK34" s="684"/>
      <c r="WKL34" s="684"/>
      <c r="WKM34" s="684"/>
      <c r="WKN34" s="684"/>
      <c r="WKO34" s="684"/>
      <c r="WKP34" s="684"/>
      <c r="WKQ34" s="684"/>
      <c r="WKR34" s="684"/>
      <c r="WKS34" s="684"/>
      <c r="WKT34" s="684"/>
      <c r="WKU34" s="684"/>
      <c r="WKV34" s="684"/>
      <c r="WKW34" s="684"/>
      <c r="WKX34" s="684"/>
      <c r="WKY34" s="684"/>
      <c r="WKZ34" s="684"/>
      <c r="WLA34" s="684"/>
      <c r="WLB34" s="684"/>
      <c r="WLC34" s="684"/>
      <c r="WLD34" s="684"/>
      <c r="WLE34" s="684"/>
      <c r="WLF34" s="684"/>
      <c r="WLG34" s="684"/>
      <c r="WLH34" s="684"/>
      <c r="WLI34" s="684"/>
      <c r="WLJ34" s="684"/>
      <c r="WLK34" s="684"/>
      <c r="WLL34" s="684"/>
      <c r="WLM34" s="684"/>
      <c r="WLN34" s="684"/>
      <c r="WLO34" s="684"/>
      <c r="WLP34" s="684"/>
      <c r="WLQ34" s="684"/>
      <c r="WLR34" s="684"/>
      <c r="WLS34" s="684"/>
      <c r="WLT34" s="684"/>
      <c r="WLU34" s="684"/>
      <c r="WLV34" s="684"/>
      <c r="WLW34" s="684"/>
      <c r="WLX34" s="684"/>
      <c r="WLY34" s="684"/>
      <c r="WLZ34" s="684"/>
      <c r="WMA34" s="684"/>
      <c r="WMB34" s="684"/>
      <c r="WMC34" s="684"/>
      <c r="WMD34" s="684"/>
      <c r="WME34" s="684"/>
      <c r="WMF34" s="684"/>
      <c r="WMG34" s="684"/>
      <c r="WMH34" s="684"/>
      <c r="WMI34" s="684"/>
      <c r="WMJ34" s="684"/>
      <c r="WMK34" s="684"/>
      <c r="WML34" s="684"/>
      <c r="WMM34" s="684"/>
      <c r="WMN34" s="684"/>
      <c r="WMO34" s="684"/>
      <c r="WMP34" s="684"/>
      <c r="WMQ34" s="684"/>
      <c r="WMR34" s="684"/>
      <c r="WMS34" s="684"/>
      <c r="WMT34" s="684"/>
      <c r="WMU34" s="684"/>
      <c r="WMV34" s="684"/>
      <c r="WMW34" s="684"/>
      <c r="WMX34" s="684"/>
      <c r="WMY34" s="684"/>
      <c r="WMZ34" s="684"/>
      <c r="WNA34" s="684"/>
      <c r="WNB34" s="684"/>
      <c r="WNC34" s="684"/>
      <c r="WND34" s="684"/>
      <c r="WNE34" s="684"/>
      <c r="WNF34" s="684"/>
      <c r="WNG34" s="684"/>
      <c r="WNH34" s="684"/>
      <c r="WNI34" s="684"/>
      <c r="WNJ34" s="684"/>
      <c r="WNK34" s="684"/>
      <c r="WNL34" s="684"/>
      <c r="WNM34" s="684"/>
      <c r="WNN34" s="684"/>
      <c r="WNO34" s="684"/>
      <c r="WNP34" s="684"/>
      <c r="WNQ34" s="684"/>
      <c r="WNR34" s="684"/>
      <c r="WNS34" s="684"/>
      <c r="WNT34" s="684"/>
      <c r="WNU34" s="684"/>
      <c r="WNV34" s="684"/>
      <c r="WNW34" s="684"/>
      <c r="WNX34" s="684"/>
      <c r="WNY34" s="684"/>
      <c r="WNZ34" s="684"/>
      <c r="WOA34" s="684"/>
      <c r="WOB34" s="684"/>
      <c r="WOC34" s="684"/>
      <c r="WOD34" s="684"/>
      <c r="WOE34" s="684"/>
      <c r="WOF34" s="684"/>
      <c r="WOG34" s="684"/>
      <c r="WOH34" s="684"/>
      <c r="WOI34" s="684"/>
      <c r="WOJ34" s="684"/>
      <c r="WOK34" s="684"/>
      <c r="WOL34" s="684"/>
      <c r="WOM34" s="684"/>
      <c r="WON34" s="684"/>
      <c r="WOO34" s="684"/>
      <c r="WOP34" s="684"/>
      <c r="WOQ34" s="684"/>
      <c r="WOR34" s="684"/>
      <c r="WOS34" s="684"/>
      <c r="WOT34" s="684"/>
      <c r="WOU34" s="684"/>
      <c r="WOV34" s="684"/>
      <c r="WOW34" s="684"/>
      <c r="WOX34" s="684"/>
      <c r="WOY34" s="684"/>
      <c r="WOZ34" s="684"/>
      <c r="WPA34" s="684"/>
      <c r="WPB34" s="684"/>
      <c r="WPC34" s="684"/>
      <c r="WPD34" s="684"/>
      <c r="WPE34" s="684"/>
      <c r="WPF34" s="684"/>
      <c r="WPG34" s="684"/>
      <c r="WPH34" s="684"/>
      <c r="WPI34" s="684"/>
      <c r="WPJ34" s="684"/>
      <c r="WPK34" s="684"/>
      <c r="WPL34" s="684"/>
      <c r="WPM34" s="684"/>
      <c r="WPN34" s="684"/>
      <c r="WPO34" s="684"/>
      <c r="WPP34" s="684"/>
      <c r="WPQ34" s="684"/>
      <c r="WPR34" s="684"/>
      <c r="WPS34" s="684"/>
      <c r="WPT34" s="684"/>
      <c r="WPU34" s="684"/>
      <c r="WPV34" s="684"/>
      <c r="WPW34" s="684"/>
      <c r="WPX34" s="684"/>
      <c r="WPY34" s="684"/>
      <c r="WPZ34" s="684"/>
      <c r="WQA34" s="684"/>
      <c r="WQB34" s="684"/>
      <c r="WQC34" s="684"/>
      <c r="WQD34" s="684"/>
      <c r="WQE34" s="684"/>
      <c r="WQF34" s="684"/>
      <c r="WQG34" s="684"/>
      <c r="WQH34" s="684"/>
      <c r="WQI34" s="684"/>
      <c r="WQJ34" s="684"/>
      <c r="WQK34" s="684"/>
      <c r="WQL34" s="684"/>
      <c r="WQM34" s="684"/>
      <c r="WQN34" s="684"/>
      <c r="WQO34" s="684"/>
      <c r="WQP34" s="684"/>
      <c r="WQQ34" s="684"/>
      <c r="WQR34" s="684"/>
      <c r="WQS34" s="684"/>
      <c r="WQT34" s="684"/>
      <c r="WQU34" s="684"/>
      <c r="WQV34" s="684"/>
      <c r="WQW34" s="684"/>
      <c r="WQX34" s="684"/>
      <c r="WQY34" s="684"/>
      <c r="WQZ34" s="684"/>
      <c r="WRA34" s="684"/>
      <c r="WRB34" s="684"/>
      <c r="WRC34" s="684"/>
      <c r="WRD34" s="684"/>
      <c r="WRE34" s="684"/>
      <c r="WRF34" s="684"/>
      <c r="WRG34" s="684"/>
      <c r="WRH34" s="684"/>
      <c r="WRI34" s="684"/>
      <c r="WRJ34" s="684"/>
      <c r="WRK34" s="684"/>
      <c r="WRL34" s="684"/>
      <c r="WRM34" s="684"/>
      <c r="WRN34" s="684"/>
      <c r="WRO34" s="684"/>
      <c r="WRP34" s="684"/>
      <c r="WRQ34" s="684"/>
      <c r="WRR34" s="684"/>
      <c r="WRS34" s="684"/>
      <c r="WRT34" s="684"/>
      <c r="WRU34" s="684"/>
      <c r="WRV34" s="684"/>
      <c r="WRW34" s="684"/>
      <c r="WRX34" s="684"/>
      <c r="WRY34" s="684"/>
      <c r="WRZ34" s="684"/>
      <c r="WSA34" s="684"/>
      <c r="WSB34" s="684"/>
      <c r="WSC34" s="684"/>
      <c r="WSD34" s="684"/>
      <c r="WSE34" s="684"/>
      <c r="WSF34" s="684"/>
      <c r="WSG34" s="684"/>
      <c r="WSH34" s="684"/>
      <c r="WSI34" s="684"/>
      <c r="WSJ34" s="684"/>
      <c r="WSK34" s="684"/>
      <c r="WSL34" s="684"/>
      <c r="WSM34" s="684"/>
      <c r="WSN34" s="684"/>
      <c r="WSO34" s="684"/>
      <c r="WSP34" s="684"/>
      <c r="WSQ34" s="684"/>
      <c r="WSR34" s="684"/>
      <c r="WSS34" s="684"/>
      <c r="WST34" s="684"/>
      <c r="WSU34" s="684"/>
      <c r="WSV34" s="684"/>
      <c r="WSW34" s="684"/>
      <c r="WSX34" s="684"/>
      <c r="WSY34" s="684"/>
      <c r="WSZ34" s="684"/>
      <c r="WTA34" s="684"/>
      <c r="WTB34" s="684"/>
      <c r="WTC34" s="684"/>
      <c r="WTD34" s="684"/>
      <c r="WTE34" s="684"/>
      <c r="WTF34" s="684"/>
      <c r="WTG34" s="684"/>
      <c r="WTH34" s="684"/>
      <c r="WTI34" s="684"/>
      <c r="WTJ34" s="684"/>
      <c r="WTK34" s="684"/>
      <c r="WTL34" s="684"/>
      <c r="WTM34" s="684"/>
      <c r="WTN34" s="684"/>
      <c r="WTO34" s="684"/>
      <c r="WTP34" s="684"/>
      <c r="WTQ34" s="684"/>
      <c r="WTR34" s="684"/>
      <c r="WTS34" s="684"/>
      <c r="WTT34" s="684"/>
      <c r="WTU34" s="684"/>
      <c r="WTV34" s="684"/>
      <c r="WTW34" s="684"/>
      <c r="WTX34" s="684"/>
      <c r="WTY34" s="684"/>
      <c r="WTZ34" s="684"/>
      <c r="WUA34" s="684"/>
      <c r="WUB34" s="684"/>
      <c r="WUC34" s="684"/>
      <c r="WUD34" s="684"/>
      <c r="WUE34" s="684"/>
      <c r="WUF34" s="684"/>
      <c r="WUG34" s="684"/>
      <c r="WUH34" s="684"/>
      <c r="WUI34" s="684"/>
      <c r="WUJ34" s="684"/>
      <c r="WUK34" s="684"/>
      <c r="WUL34" s="684"/>
      <c r="WUM34" s="684"/>
      <c r="WUN34" s="684"/>
      <c r="WUO34" s="684"/>
      <c r="WUP34" s="684"/>
      <c r="WUQ34" s="684"/>
      <c r="WUR34" s="684"/>
      <c r="WUS34" s="684"/>
      <c r="WUT34" s="684"/>
      <c r="WUU34" s="684"/>
      <c r="WUV34" s="684"/>
      <c r="WUW34" s="684"/>
      <c r="WUX34" s="684"/>
      <c r="WUY34" s="684"/>
      <c r="WUZ34" s="684"/>
      <c r="WVA34" s="684"/>
      <c r="WVB34" s="684"/>
      <c r="WVC34" s="684"/>
      <c r="WVD34" s="684"/>
      <c r="WVE34" s="684"/>
      <c r="WVF34" s="684"/>
      <c r="WVG34" s="684"/>
      <c r="WVH34" s="684"/>
      <c r="WVI34" s="684"/>
      <c r="WVJ34" s="684"/>
      <c r="WVK34" s="684"/>
      <c r="WVL34" s="684"/>
      <c r="WVM34" s="684"/>
      <c r="WVN34" s="684"/>
      <c r="WVO34" s="684"/>
      <c r="WVP34" s="684"/>
      <c r="WVQ34" s="684"/>
      <c r="WVR34" s="684"/>
      <c r="WVS34" s="684"/>
      <c r="WVT34" s="684"/>
      <c r="WVU34" s="684"/>
      <c r="WVV34" s="684"/>
      <c r="WVW34" s="684"/>
      <c r="WVX34" s="684"/>
      <c r="WVY34" s="684"/>
      <c r="WVZ34" s="684"/>
      <c r="WWA34" s="684"/>
      <c r="WWB34" s="684"/>
      <c r="WWC34" s="684"/>
      <c r="WWD34" s="684"/>
      <c r="WWE34" s="684"/>
      <c r="WWF34" s="684"/>
      <c r="WWG34" s="684"/>
      <c r="WWH34" s="684"/>
      <c r="WWI34" s="684"/>
      <c r="WWJ34" s="684"/>
      <c r="WWK34" s="684"/>
      <c r="WWL34" s="684"/>
      <c r="WWM34" s="684"/>
      <c r="WWN34" s="684"/>
      <c r="WWO34" s="684"/>
      <c r="WWP34" s="684"/>
      <c r="WWQ34" s="684"/>
      <c r="WWR34" s="684"/>
      <c r="WWS34" s="684"/>
      <c r="WWT34" s="684"/>
      <c r="WWU34" s="684"/>
      <c r="WWV34" s="684"/>
      <c r="WWW34" s="684"/>
      <c r="WWX34" s="684"/>
      <c r="WWY34" s="684"/>
      <c r="WWZ34" s="684"/>
      <c r="WXA34" s="684"/>
      <c r="WXB34" s="684"/>
      <c r="WXC34" s="684"/>
      <c r="WXD34" s="684"/>
      <c r="WXE34" s="684"/>
      <c r="WXF34" s="684"/>
      <c r="WXG34" s="684"/>
      <c r="WXH34" s="684"/>
      <c r="WXI34" s="684"/>
      <c r="WXJ34" s="684"/>
      <c r="WXK34" s="684"/>
      <c r="WXL34" s="684"/>
      <c r="WXM34" s="684"/>
      <c r="WXN34" s="684"/>
      <c r="WXO34" s="684"/>
      <c r="WXP34" s="684"/>
      <c r="WXQ34" s="684"/>
      <c r="WXR34" s="684"/>
      <c r="WXS34" s="684"/>
      <c r="WXT34" s="684"/>
      <c r="WXU34" s="684"/>
      <c r="WXV34" s="684"/>
      <c r="WXW34" s="684"/>
      <c r="WXX34" s="684"/>
      <c r="WXY34" s="684"/>
      <c r="WXZ34" s="684"/>
      <c r="WYA34" s="684"/>
      <c r="WYB34" s="684"/>
      <c r="WYC34" s="684"/>
      <c r="WYD34" s="684"/>
      <c r="WYE34" s="684"/>
      <c r="WYF34" s="684"/>
      <c r="WYG34" s="684"/>
      <c r="WYH34" s="684"/>
      <c r="WYI34" s="684"/>
      <c r="WYJ34" s="684"/>
      <c r="WYK34" s="684"/>
      <c r="WYL34" s="684"/>
      <c r="WYM34" s="684"/>
      <c r="WYN34" s="684"/>
      <c r="WYO34" s="684"/>
      <c r="WYP34" s="684"/>
      <c r="WYQ34" s="684"/>
      <c r="WYR34" s="684"/>
      <c r="WYS34" s="684"/>
      <c r="WYT34" s="684"/>
      <c r="WYU34" s="684"/>
      <c r="WYV34" s="684"/>
      <c r="WYW34" s="684"/>
      <c r="WYX34" s="684"/>
      <c r="WYY34" s="684"/>
      <c r="WYZ34" s="684"/>
      <c r="WZA34" s="684"/>
      <c r="WZB34" s="684"/>
      <c r="WZC34" s="684"/>
      <c r="WZD34" s="684"/>
      <c r="WZE34" s="684"/>
      <c r="WZF34" s="684"/>
      <c r="WZG34" s="684"/>
      <c r="WZH34" s="684"/>
      <c r="WZI34" s="684"/>
      <c r="WZJ34" s="684"/>
      <c r="WZK34" s="684"/>
      <c r="WZL34" s="684"/>
      <c r="WZM34" s="684"/>
      <c r="WZN34" s="684"/>
      <c r="WZO34" s="684"/>
      <c r="WZP34" s="684"/>
      <c r="WZQ34" s="684"/>
      <c r="WZR34" s="684"/>
      <c r="WZS34" s="684"/>
      <c r="WZT34" s="684"/>
      <c r="WZU34" s="684"/>
      <c r="WZV34" s="684"/>
      <c r="WZW34" s="684"/>
      <c r="WZX34" s="684"/>
      <c r="WZY34" s="684"/>
      <c r="WZZ34" s="684"/>
      <c r="XAA34" s="684"/>
      <c r="XAB34" s="684"/>
      <c r="XAC34" s="684"/>
      <c r="XAD34" s="684"/>
      <c r="XAE34" s="684"/>
      <c r="XAF34" s="684"/>
      <c r="XAG34" s="684"/>
      <c r="XAH34" s="684"/>
      <c r="XAI34" s="684"/>
      <c r="XAJ34" s="684"/>
      <c r="XAK34" s="684"/>
      <c r="XAL34" s="684"/>
      <c r="XAM34" s="684"/>
      <c r="XAN34" s="684"/>
      <c r="XAO34" s="684"/>
      <c r="XAP34" s="684"/>
      <c r="XAQ34" s="684"/>
      <c r="XAR34" s="684"/>
      <c r="XAS34" s="684"/>
      <c r="XAT34" s="684"/>
      <c r="XAU34" s="684"/>
      <c r="XAV34" s="684"/>
      <c r="XAW34" s="684"/>
      <c r="XAX34" s="684"/>
      <c r="XAY34" s="684"/>
      <c r="XAZ34" s="684"/>
      <c r="XBA34" s="684"/>
      <c r="XBB34" s="684"/>
      <c r="XBC34" s="684"/>
      <c r="XBD34" s="684"/>
      <c r="XBE34" s="684"/>
      <c r="XBF34" s="684"/>
      <c r="XBG34" s="684"/>
      <c r="XBH34" s="684"/>
      <c r="XBI34" s="684"/>
      <c r="XBJ34" s="684"/>
      <c r="XBK34" s="684"/>
      <c r="XBL34" s="684"/>
      <c r="XBM34" s="684"/>
      <c r="XBN34" s="684"/>
      <c r="XBO34" s="684"/>
      <c r="XBP34" s="684"/>
      <c r="XBQ34" s="684"/>
      <c r="XBR34" s="684"/>
      <c r="XBS34" s="684"/>
      <c r="XBT34" s="684"/>
      <c r="XBU34" s="684"/>
      <c r="XBV34" s="684"/>
      <c r="XBW34" s="684"/>
      <c r="XBX34" s="684"/>
      <c r="XBY34" s="684"/>
      <c r="XBZ34" s="684"/>
      <c r="XCA34" s="684"/>
      <c r="XCB34" s="684"/>
      <c r="XCC34" s="684"/>
      <c r="XCD34" s="684"/>
      <c r="XCE34" s="684"/>
      <c r="XCF34" s="684"/>
      <c r="XCG34" s="684"/>
      <c r="XCH34" s="684"/>
      <c r="XCI34" s="684"/>
      <c r="XCJ34" s="684"/>
      <c r="XCK34" s="684"/>
      <c r="XCL34" s="684"/>
      <c r="XCM34" s="684"/>
      <c r="XCN34" s="684"/>
      <c r="XCO34" s="684"/>
      <c r="XCP34" s="684"/>
      <c r="XCQ34" s="684"/>
      <c r="XCR34" s="684"/>
      <c r="XCS34" s="684"/>
      <c r="XCT34" s="684"/>
      <c r="XCU34" s="684"/>
      <c r="XCV34" s="684"/>
      <c r="XCW34" s="684"/>
      <c r="XCX34" s="684"/>
      <c r="XCY34" s="684"/>
      <c r="XCZ34" s="684"/>
      <c r="XDA34" s="684"/>
      <c r="XDB34" s="684"/>
      <c r="XDC34" s="684"/>
      <c r="XDD34" s="684"/>
      <c r="XDE34" s="684"/>
      <c r="XDF34" s="684"/>
      <c r="XDG34" s="684"/>
      <c r="XDH34" s="684"/>
      <c r="XDI34" s="684"/>
      <c r="XDJ34" s="684"/>
      <c r="XDK34" s="684"/>
      <c r="XDL34" s="684"/>
      <c r="XDM34" s="684"/>
      <c r="XDN34" s="684"/>
      <c r="XDO34" s="684"/>
      <c r="XDP34" s="684"/>
      <c r="XDQ34" s="684"/>
      <c r="XDR34" s="684"/>
      <c r="XDS34" s="684"/>
      <c r="XDT34" s="684"/>
      <c r="XDU34" s="684"/>
      <c r="XDV34" s="684"/>
      <c r="XDW34" s="684"/>
      <c r="XDX34" s="684"/>
      <c r="XDY34" s="684"/>
      <c r="XDZ34" s="684"/>
      <c r="XEA34" s="684"/>
      <c r="XEB34" s="684"/>
      <c r="XEC34" s="684"/>
      <c r="XED34" s="684"/>
      <c r="XEE34" s="684"/>
      <c r="XEF34" s="684"/>
      <c r="XEG34" s="684"/>
      <c r="XEH34" s="684"/>
      <c r="XEI34" s="684"/>
      <c r="XEJ34" s="684"/>
      <c r="XEK34" s="684"/>
      <c r="XEL34" s="684"/>
      <c r="XEM34" s="684"/>
      <c r="XEN34" s="684"/>
      <c r="XEO34" s="684"/>
      <c r="XEP34" s="684"/>
      <c r="XEQ34" s="684"/>
      <c r="XER34" s="684"/>
      <c r="XES34" s="684"/>
      <c r="XET34" s="684"/>
      <c r="XEU34" s="684"/>
      <c r="XEV34" s="684"/>
      <c r="XEW34" s="684"/>
      <c r="XEX34" s="684"/>
      <c r="XEY34" s="684"/>
      <c r="XEZ34" s="684"/>
      <c r="XFA34" s="684"/>
      <c r="XFB34" s="684"/>
    </row>
    <row r="35" spans="1:16382" ht="20.100000000000001" customHeight="1">
      <c r="A35" s="684" t="s">
        <v>233</v>
      </c>
      <c r="B35" s="684"/>
      <c r="C35" s="684"/>
      <c r="D35" s="684"/>
      <c r="E35" s="684"/>
      <c r="F35" s="684"/>
      <c r="G35" s="684"/>
      <c r="H35" s="684"/>
      <c r="I35" s="684"/>
      <c r="J35" s="684"/>
      <c r="K35" s="684"/>
      <c r="L35" s="684"/>
      <c r="M35" s="684"/>
      <c r="N35" s="684"/>
      <c r="O35" s="684"/>
      <c r="P35" s="684"/>
      <c r="Q35" s="684"/>
      <c r="R35" s="684"/>
      <c r="S35" s="684"/>
      <c r="T35" s="684"/>
      <c r="U35" s="684"/>
      <c r="V35" s="684"/>
      <c r="W35" s="684"/>
      <c r="X35" s="684"/>
      <c r="Y35" s="684"/>
      <c r="Z35" s="684"/>
      <c r="AA35" s="684"/>
      <c r="AB35" s="684"/>
      <c r="AC35" s="684"/>
      <c r="AD35" s="684"/>
      <c r="AE35" s="684"/>
      <c r="AF35" s="684"/>
      <c r="AG35" s="10"/>
      <c r="AH35" s="282"/>
      <c r="AI35" s="10"/>
      <c r="AJ35" s="614"/>
      <c r="AK35" s="7"/>
      <c r="AL35" s="428"/>
      <c r="AM35" s="428"/>
      <c r="AN35" s="428"/>
      <c r="AO35" s="428"/>
      <c r="AP35" s="428"/>
      <c r="AQ35" s="617"/>
      <c r="AR35" s="617"/>
      <c r="AS35" s="617"/>
      <c r="AT35" s="617"/>
      <c r="AU35" s="617"/>
      <c r="AV35" s="428"/>
      <c r="AW35" s="617"/>
      <c r="AX35" s="684"/>
      <c r="AY35" s="684"/>
      <c r="AZ35" s="684"/>
      <c r="BA35" s="684"/>
      <c r="BB35" s="684"/>
      <c r="BC35" s="684"/>
      <c r="BD35" s="684"/>
      <c r="BE35" s="684"/>
      <c r="BF35" s="684"/>
      <c r="BG35" s="684"/>
      <c r="BH35" s="684"/>
      <c r="BI35" s="684"/>
      <c r="BJ35" s="684"/>
      <c r="BK35" s="684"/>
      <c r="BL35" s="684"/>
      <c r="BM35" s="684"/>
      <c r="BN35" s="684"/>
      <c r="BO35" s="684"/>
      <c r="BP35" s="684"/>
      <c r="BQ35" s="684"/>
      <c r="BR35" s="684"/>
      <c r="BS35" s="684"/>
      <c r="BT35" s="684"/>
      <c r="BU35" s="684"/>
      <c r="BV35" s="684"/>
      <c r="BW35" s="684"/>
      <c r="BX35" s="684"/>
      <c r="BY35" s="684"/>
      <c r="BZ35" s="684"/>
      <c r="CA35" s="684"/>
      <c r="CB35" s="684"/>
      <c r="CC35" s="684"/>
      <c r="CD35" s="684"/>
      <c r="CE35" s="684"/>
      <c r="CF35" s="684"/>
      <c r="CG35" s="684"/>
      <c r="CH35" s="684"/>
      <c r="CI35" s="684"/>
      <c r="CJ35" s="684"/>
      <c r="CK35" s="684"/>
      <c r="CL35" s="684"/>
      <c r="CM35" s="684"/>
      <c r="CN35" s="684"/>
      <c r="CO35" s="684"/>
      <c r="CP35" s="684"/>
      <c r="CQ35" s="684"/>
      <c r="CR35" s="684"/>
      <c r="CS35" s="684"/>
      <c r="CT35" s="684"/>
      <c r="CU35" s="684"/>
      <c r="CV35" s="684"/>
      <c r="CW35" s="684"/>
      <c r="CX35" s="684"/>
      <c r="CY35" s="684"/>
      <c r="CZ35" s="684"/>
      <c r="DA35" s="684"/>
      <c r="DB35" s="684"/>
      <c r="DC35" s="684"/>
      <c r="DD35" s="684"/>
      <c r="DE35" s="684"/>
      <c r="DF35" s="684"/>
      <c r="DG35" s="684"/>
      <c r="DH35" s="684"/>
      <c r="DI35" s="684"/>
      <c r="DJ35" s="684"/>
      <c r="DK35" s="684"/>
      <c r="DL35" s="684"/>
      <c r="DM35" s="684"/>
      <c r="DN35" s="684"/>
      <c r="DO35" s="684"/>
      <c r="DP35" s="684"/>
      <c r="DQ35" s="684"/>
      <c r="DR35" s="684"/>
      <c r="DS35" s="684"/>
      <c r="DT35" s="684"/>
      <c r="DU35" s="684"/>
      <c r="DV35" s="684"/>
      <c r="DW35" s="684"/>
      <c r="DX35" s="684"/>
      <c r="DY35" s="684"/>
      <c r="DZ35" s="684"/>
      <c r="EA35" s="684"/>
      <c r="EB35" s="684"/>
      <c r="EC35" s="684"/>
      <c r="ED35" s="684"/>
      <c r="EE35" s="684"/>
      <c r="EF35" s="684"/>
      <c r="EG35" s="684"/>
      <c r="EH35" s="684"/>
      <c r="EI35" s="684"/>
      <c r="EJ35" s="684"/>
      <c r="EK35" s="684"/>
      <c r="EL35" s="684"/>
      <c r="EM35" s="684"/>
      <c r="EN35" s="684"/>
      <c r="EO35" s="684"/>
      <c r="EP35" s="684"/>
      <c r="EQ35" s="684"/>
      <c r="ER35" s="684"/>
      <c r="ES35" s="684"/>
      <c r="ET35" s="684"/>
      <c r="EU35" s="684"/>
      <c r="EV35" s="684"/>
      <c r="EW35" s="684"/>
      <c r="EX35" s="684"/>
      <c r="EY35" s="684"/>
      <c r="EZ35" s="684"/>
      <c r="FA35" s="684"/>
      <c r="FB35" s="684"/>
      <c r="FC35" s="684"/>
      <c r="FD35" s="684"/>
      <c r="FE35" s="684"/>
      <c r="FF35" s="684"/>
      <c r="FG35" s="684"/>
      <c r="FH35" s="684"/>
      <c r="FI35" s="684"/>
      <c r="FJ35" s="684"/>
      <c r="FK35" s="684"/>
      <c r="FL35" s="684"/>
      <c r="FM35" s="684"/>
      <c r="FN35" s="684"/>
      <c r="FO35" s="684"/>
      <c r="FP35" s="684"/>
      <c r="FQ35" s="684"/>
      <c r="FR35" s="684"/>
      <c r="FS35" s="684"/>
      <c r="FT35" s="684"/>
      <c r="FU35" s="684"/>
      <c r="FV35" s="684"/>
      <c r="FW35" s="684"/>
      <c r="FX35" s="684"/>
      <c r="FY35" s="684"/>
      <c r="FZ35" s="684"/>
      <c r="GA35" s="684"/>
      <c r="GB35" s="684"/>
      <c r="GC35" s="684"/>
      <c r="GD35" s="684"/>
      <c r="GE35" s="684"/>
      <c r="GF35" s="684"/>
      <c r="GG35" s="684"/>
      <c r="GH35" s="684"/>
      <c r="GI35" s="684"/>
      <c r="GJ35" s="684"/>
      <c r="GK35" s="684"/>
      <c r="GL35" s="684"/>
      <c r="GM35" s="684"/>
      <c r="GN35" s="684"/>
      <c r="GO35" s="684"/>
      <c r="GP35" s="684"/>
      <c r="GQ35" s="684"/>
      <c r="GR35" s="684"/>
      <c r="GS35" s="684"/>
      <c r="GT35" s="684"/>
      <c r="GU35" s="684"/>
      <c r="GV35" s="684"/>
      <c r="GW35" s="684"/>
      <c r="GX35" s="684"/>
      <c r="GY35" s="684"/>
      <c r="GZ35" s="684"/>
      <c r="HA35" s="684"/>
      <c r="HB35" s="684"/>
      <c r="HC35" s="684"/>
      <c r="HD35" s="684"/>
      <c r="HE35" s="684"/>
      <c r="HF35" s="684"/>
      <c r="HG35" s="684"/>
      <c r="HH35" s="684"/>
      <c r="HI35" s="684"/>
      <c r="HJ35" s="684"/>
      <c r="HK35" s="684"/>
      <c r="HL35" s="684"/>
      <c r="HM35" s="684"/>
      <c r="HN35" s="684"/>
      <c r="HO35" s="684"/>
      <c r="HP35" s="684"/>
      <c r="HQ35" s="684"/>
      <c r="HR35" s="684"/>
      <c r="HS35" s="684"/>
      <c r="HT35" s="684"/>
      <c r="HU35" s="684"/>
      <c r="HV35" s="684"/>
      <c r="HW35" s="684"/>
      <c r="HX35" s="684"/>
      <c r="HY35" s="684"/>
      <c r="HZ35" s="684"/>
      <c r="IA35" s="684"/>
      <c r="IB35" s="684"/>
      <c r="IC35" s="684"/>
      <c r="ID35" s="684"/>
      <c r="IE35" s="684"/>
      <c r="IF35" s="684"/>
      <c r="IG35" s="684"/>
      <c r="IH35" s="684"/>
      <c r="II35" s="684"/>
      <c r="IJ35" s="684"/>
      <c r="IK35" s="684"/>
      <c r="IL35" s="684"/>
      <c r="IM35" s="684"/>
      <c r="IN35" s="684"/>
      <c r="IO35" s="684"/>
      <c r="IP35" s="684"/>
      <c r="IQ35" s="684"/>
      <c r="IR35" s="684"/>
      <c r="IS35" s="684"/>
      <c r="IT35" s="684"/>
      <c r="IU35" s="684"/>
      <c r="IV35" s="684"/>
      <c r="IW35" s="684"/>
      <c r="IX35" s="684"/>
      <c r="IY35" s="684"/>
      <c r="IZ35" s="684"/>
      <c r="JA35" s="684"/>
      <c r="JB35" s="684"/>
      <c r="JC35" s="684"/>
      <c r="JD35" s="684"/>
      <c r="JE35" s="684"/>
      <c r="JF35" s="684"/>
      <c r="JG35" s="684"/>
      <c r="JH35" s="684"/>
      <c r="JI35" s="684"/>
      <c r="JJ35" s="684"/>
      <c r="JK35" s="684"/>
      <c r="JL35" s="684"/>
      <c r="JM35" s="684"/>
      <c r="JN35" s="684"/>
      <c r="JO35" s="684"/>
      <c r="JP35" s="684"/>
      <c r="JQ35" s="684"/>
      <c r="JR35" s="684"/>
      <c r="JS35" s="684"/>
      <c r="JT35" s="684"/>
      <c r="JU35" s="684"/>
      <c r="JV35" s="684"/>
      <c r="JW35" s="684"/>
      <c r="JX35" s="684"/>
      <c r="JY35" s="684"/>
      <c r="JZ35" s="684"/>
      <c r="KA35" s="684"/>
      <c r="KB35" s="684"/>
      <c r="KC35" s="684"/>
      <c r="KD35" s="684"/>
      <c r="KE35" s="684"/>
      <c r="KF35" s="684"/>
      <c r="KG35" s="684"/>
      <c r="KH35" s="684"/>
      <c r="KI35" s="684"/>
      <c r="KJ35" s="684"/>
      <c r="KK35" s="684"/>
      <c r="KL35" s="684"/>
      <c r="KM35" s="684"/>
      <c r="KN35" s="684"/>
      <c r="KO35" s="684"/>
      <c r="KP35" s="684"/>
      <c r="KQ35" s="684"/>
      <c r="KR35" s="684"/>
      <c r="KS35" s="684"/>
      <c r="KT35" s="684"/>
      <c r="KU35" s="684"/>
      <c r="KV35" s="684"/>
      <c r="KW35" s="684"/>
      <c r="KX35" s="684"/>
      <c r="KY35" s="684"/>
      <c r="KZ35" s="684"/>
      <c r="LA35" s="684"/>
      <c r="LB35" s="684"/>
      <c r="LC35" s="684"/>
      <c r="LD35" s="684"/>
      <c r="LE35" s="684"/>
      <c r="LF35" s="684"/>
      <c r="LG35" s="684"/>
      <c r="LH35" s="684"/>
      <c r="LI35" s="684"/>
      <c r="LJ35" s="684"/>
      <c r="LK35" s="684"/>
      <c r="LL35" s="684"/>
      <c r="LM35" s="684"/>
      <c r="LN35" s="684"/>
      <c r="LO35" s="684"/>
      <c r="LP35" s="684"/>
      <c r="LQ35" s="684"/>
      <c r="LR35" s="684"/>
      <c r="LS35" s="684"/>
      <c r="LT35" s="684"/>
      <c r="LU35" s="684"/>
      <c r="LV35" s="684"/>
      <c r="LW35" s="684"/>
      <c r="LX35" s="684"/>
      <c r="LY35" s="684"/>
      <c r="LZ35" s="684"/>
      <c r="MA35" s="684"/>
      <c r="MB35" s="684"/>
      <c r="MC35" s="684"/>
      <c r="MD35" s="684"/>
      <c r="ME35" s="684"/>
      <c r="MF35" s="684"/>
      <c r="MG35" s="684"/>
      <c r="MH35" s="684"/>
      <c r="MI35" s="684"/>
      <c r="MJ35" s="684"/>
      <c r="MK35" s="684"/>
      <c r="ML35" s="684"/>
      <c r="MM35" s="684"/>
      <c r="MN35" s="684"/>
      <c r="MO35" s="684"/>
      <c r="MP35" s="684"/>
      <c r="MQ35" s="684"/>
      <c r="MR35" s="684"/>
      <c r="MS35" s="684"/>
      <c r="MT35" s="684"/>
      <c r="MU35" s="684"/>
      <c r="MV35" s="684"/>
      <c r="MW35" s="684"/>
      <c r="MX35" s="684"/>
      <c r="MY35" s="684"/>
      <c r="MZ35" s="684"/>
      <c r="NA35" s="684"/>
      <c r="NB35" s="684"/>
      <c r="NC35" s="684"/>
      <c r="ND35" s="684"/>
      <c r="NE35" s="684"/>
      <c r="NF35" s="684"/>
      <c r="NG35" s="684"/>
      <c r="NH35" s="684"/>
      <c r="NI35" s="684"/>
      <c r="NJ35" s="684"/>
      <c r="NK35" s="684"/>
      <c r="NL35" s="684"/>
      <c r="NM35" s="684"/>
      <c r="NN35" s="684"/>
      <c r="NO35" s="684"/>
      <c r="NP35" s="684"/>
      <c r="NQ35" s="684"/>
      <c r="NR35" s="684"/>
      <c r="NS35" s="684"/>
      <c r="NT35" s="684"/>
      <c r="NU35" s="684"/>
      <c r="NV35" s="684"/>
      <c r="NW35" s="684"/>
      <c r="NX35" s="684"/>
      <c r="NY35" s="684"/>
      <c r="NZ35" s="684"/>
      <c r="OA35" s="684"/>
      <c r="OB35" s="684"/>
      <c r="OC35" s="684"/>
      <c r="OD35" s="684"/>
      <c r="OE35" s="684"/>
      <c r="OF35" s="684"/>
      <c r="OG35" s="684"/>
      <c r="OH35" s="684"/>
      <c r="OI35" s="684"/>
      <c r="OJ35" s="684"/>
      <c r="OK35" s="684"/>
      <c r="OL35" s="684"/>
      <c r="OM35" s="684"/>
      <c r="ON35" s="684"/>
      <c r="OO35" s="684"/>
      <c r="OP35" s="684"/>
      <c r="OQ35" s="684"/>
      <c r="OR35" s="684"/>
      <c r="OS35" s="684"/>
      <c r="OT35" s="684"/>
      <c r="OU35" s="684"/>
      <c r="OV35" s="684"/>
      <c r="OW35" s="684"/>
      <c r="OX35" s="684"/>
      <c r="OY35" s="684"/>
      <c r="OZ35" s="684"/>
      <c r="PA35" s="684"/>
      <c r="PB35" s="684"/>
      <c r="PC35" s="684"/>
      <c r="PD35" s="684"/>
      <c r="PE35" s="684"/>
      <c r="PF35" s="684"/>
      <c r="PG35" s="684"/>
      <c r="PH35" s="684"/>
      <c r="PI35" s="684"/>
      <c r="PJ35" s="684"/>
      <c r="PK35" s="684"/>
      <c r="PL35" s="684"/>
      <c r="PM35" s="684"/>
      <c r="PN35" s="684"/>
      <c r="PO35" s="684"/>
      <c r="PP35" s="684"/>
      <c r="PQ35" s="684"/>
      <c r="PR35" s="684"/>
      <c r="PS35" s="684"/>
      <c r="PT35" s="684"/>
      <c r="PU35" s="684"/>
      <c r="PV35" s="684"/>
      <c r="PW35" s="684"/>
      <c r="PX35" s="684"/>
      <c r="PY35" s="684"/>
      <c r="PZ35" s="684"/>
      <c r="QA35" s="684"/>
      <c r="QB35" s="684"/>
      <c r="QC35" s="684"/>
      <c r="QD35" s="684"/>
      <c r="QE35" s="684"/>
      <c r="QF35" s="684"/>
      <c r="QG35" s="684"/>
      <c r="QH35" s="684"/>
      <c r="QI35" s="684"/>
      <c r="QJ35" s="684"/>
      <c r="QK35" s="684"/>
      <c r="QL35" s="684"/>
      <c r="QM35" s="684"/>
      <c r="QN35" s="684"/>
      <c r="QO35" s="684"/>
      <c r="QP35" s="684"/>
      <c r="QQ35" s="684"/>
      <c r="QR35" s="684"/>
      <c r="QS35" s="684"/>
      <c r="QT35" s="684"/>
      <c r="QU35" s="684"/>
      <c r="QV35" s="684"/>
      <c r="QW35" s="684"/>
      <c r="QX35" s="684"/>
      <c r="QY35" s="684"/>
      <c r="QZ35" s="684"/>
      <c r="RA35" s="684"/>
      <c r="RB35" s="684"/>
      <c r="RC35" s="684"/>
      <c r="RD35" s="684"/>
      <c r="RE35" s="684"/>
      <c r="RF35" s="684"/>
      <c r="RG35" s="684"/>
      <c r="RH35" s="684"/>
      <c r="RI35" s="684"/>
      <c r="RJ35" s="684"/>
      <c r="RK35" s="684"/>
      <c r="RL35" s="684"/>
      <c r="RM35" s="684"/>
      <c r="RN35" s="684"/>
      <c r="RO35" s="684"/>
      <c r="RP35" s="684"/>
      <c r="RQ35" s="684"/>
      <c r="RR35" s="684"/>
      <c r="RS35" s="684"/>
      <c r="RT35" s="684"/>
      <c r="RU35" s="684"/>
      <c r="RV35" s="684"/>
      <c r="RW35" s="684"/>
      <c r="RX35" s="684"/>
      <c r="RY35" s="684"/>
      <c r="RZ35" s="684"/>
      <c r="SA35" s="684"/>
      <c r="SB35" s="684"/>
      <c r="SC35" s="684"/>
      <c r="SD35" s="684"/>
      <c r="SE35" s="684"/>
      <c r="SF35" s="684"/>
      <c r="SG35" s="684"/>
      <c r="SH35" s="684"/>
      <c r="SI35" s="684"/>
      <c r="SJ35" s="684"/>
      <c r="SK35" s="684"/>
      <c r="SL35" s="684"/>
      <c r="SM35" s="684"/>
      <c r="SN35" s="684"/>
      <c r="SO35" s="684"/>
      <c r="SP35" s="684"/>
      <c r="SQ35" s="684"/>
      <c r="SR35" s="684"/>
      <c r="SS35" s="684"/>
      <c r="ST35" s="684"/>
      <c r="SU35" s="684"/>
      <c r="SV35" s="684"/>
      <c r="SW35" s="684"/>
      <c r="SX35" s="684"/>
      <c r="SY35" s="684"/>
      <c r="SZ35" s="684"/>
      <c r="TA35" s="684"/>
      <c r="TB35" s="684"/>
      <c r="TC35" s="684"/>
      <c r="TD35" s="684"/>
      <c r="TE35" s="684"/>
      <c r="TF35" s="684"/>
      <c r="TG35" s="684"/>
      <c r="TH35" s="684"/>
      <c r="TI35" s="684"/>
      <c r="TJ35" s="684"/>
      <c r="TK35" s="684"/>
      <c r="TL35" s="684"/>
      <c r="TM35" s="684"/>
      <c r="TN35" s="684"/>
      <c r="TO35" s="684"/>
      <c r="TP35" s="684"/>
      <c r="TQ35" s="684"/>
      <c r="TR35" s="684"/>
      <c r="TS35" s="684"/>
      <c r="TT35" s="684"/>
      <c r="TU35" s="684"/>
      <c r="TV35" s="684"/>
      <c r="TW35" s="684"/>
      <c r="TX35" s="684"/>
      <c r="TY35" s="684"/>
      <c r="TZ35" s="684"/>
      <c r="UA35" s="684"/>
      <c r="UB35" s="684"/>
      <c r="UC35" s="684"/>
      <c r="UD35" s="684"/>
      <c r="UE35" s="684"/>
      <c r="UF35" s="684"/>
      <c r="UG35" s="684"/>
      <c r="UH35" s="684"/>
      <c r="UI35" s="684"/>
      <c r="UJ35" s="684"/>
      <c r="UK35" s="684"/>
      <c r="UL35" s="684"/>
      <c r="UM35" s="684"/>
      <c r="UN35" s="684"/>
      <c r="UO35" s="684"/>
      <c r="UP35" s="684"/>
      <c r="UQ35" s="684"/>
      <c r="UR35" s="684"/>
      <c r="US35" s="684"/>
      <c r="UT35" s="684"/>
      <c r="UU35" s="684"/>
      <c r="UV35" s="684"/>
      <c r="UW35" s="684"/>
      <c r="UX35" s="684"/>
      <c r="UY35" s="684"/>
      <c r="UZ35" s="684"/>
      <c r="VA35" s="684"/>
      <c r="VB35" s="684"/>
      <c r="VC35" s="684"/>
      <c r="VD35" s="684"/>
      <c r="VE35" s="684"/>
      <c r="VF35" s="684"/>
      <c r="VG35" s="684"/>
      <c r="VH35" s="684"/>
      <c r="VI35" s="684"/>
      <c r="VJ35" s="684"/>
      <c r="VK35" s="684"/>
      <c r="VL35" s="684"/>
      <c r="VM35" s="684"/>
      <c r="VN35" s="684"/>
      <c r="VO35" s="684"/>
      <c r="VP35" s="684"/>
      <c r="VQ35" s="684"/>
      <c r="VR35" s="684"/>
      <c r="VS35" s="684"/>
      <c r="VT35" s="684"/>
      <c r="VU35" s="684"/>
      <c r="VV35" s="684"/>
      <c r="VW35" s="684"/>
      <c r="VX35" s="684"/>
      <c r="VY35" s="684"/>
      <c r="VZ35" s="684"/>
      <c r="WA35" s="684"/>
      <c r="WB35" s="684"/>
      <c r="WC35" s="684"/>
      <c r="WD35" s="684"/>
      <c r="WE35" s="684"/>
      <c r="WF35" s="684"/>
      <c r="WG35" s="684"/>
      <c r="WH35" s="684"/>
      <c r="WI35" s="684"/>
      <c r="WJ35" s="684"/>
      <c r="WK35" s="684"/>
      <c r="WL35" s="684"/>
      <c r="WM35" s="684"/>
      <c r="WN35" s="684"/>
      <c r="WO35" s="684"/>
      <c r="WP35" s="684"/>
      <c r="WQ35" s="684"/>
      <c r="WR35" s="684"/>
      <c r="WS35" s="684"/>
      <c r="WT35" s="684"/>
      <c r="WU35" s="684"/>
      <c r="WV35" s="684"/>
      <c r="WW35" s="684"/>
      <c r="WX35" s="684"/>
      <c r="WY35" s="684"/>
      <c r="WZ35" s="684"/>
      <c r="XA35" s="684"/>
      <c r="XB35" s="684"/>
      <c r="XC35" s="684"/>
      <c r="XD35" s="684"/>
      <c r="XE35" s="684"/>
      <c r="XF35" s="684"/>
      <c r="XG35" s="684"/>
      <c r="XH35" s="684"/>
      <c r="XI35" s="684"/>
      <c r="XJ35" s="684"/>
      <c r="XK35" s="684"/>
      <c r="XL35" s="684"/>
      <c r="XM35" s="684"/>
      <c r="XN35" s="684"/>
      <c r="XO35" s="684"/>
      <c r="XP35" s="684"/>
      <c r="XQ35" s="684"/>
      <c r="XR35" s="684"/>
      <c r="XS35" s="684"/>
      <c r="XT35" s="684"/>
      <c r="XU35" s="684"/>
      <c r="XV35" s="684"/>
      <c r="XW35" s="684"/>
      <c r="XX35" s="684"/>
      <c r="XY35" s="684"/>
      <c r="XZ35" s="684"/>
      <c r="YA35" s="684"/>
      <c r="YB35" s="684"/>
      <c r="YC35" s="684"/>
      <c r="YD35" s="684"/>
      <c r="YE35" s="684"/>
      <c r="YF35" s="684"/>
      <c r="YG35" s="684"/>
      <c r="YH35" s="684"/>
      <c r="YI35" s="684"/>
      <c r="YJ35" s="684"/>
      <c r="YK35" s="684"/>
      <c r="YL35" s="684"/>
      <c r="YM35" s="684"/>
      <c r="YN35" s="684"/>
      <c r="YO35" s="684"/>
      <c r="YP35" s="684"/>
      <c r="YQ35" s="684"/>
      <c r="YR35" s="684"/>
      <c r="YS35" s="684"/>
      <c r="YT35" s="684"/>
      <c r="YU35" s="684"/>
      <c r="YV35" s="684"/>
      <c r="YW35" s="684"/>
      <c r="YX35" s="684"/>
      <c r="YY35" s="684"/>
      <c r="YZ35" s="684"/>
      <c r="ZA35" s="684"/>
      <c r="ZB35" s="684"/>
      <c r="ZC35" s="684"/>
      <c r="ZD35" s="684"/>
      <c r="ZE35" s="684"/>
      <c r="ZF35" s="684"/>
      <c r="ZG35" s="684"/>
      <c r="ZH35" s="684"/>
      <c r="ZI35" s="684"/>
      <c r="ZJ35" s="684"/>
      <c r="ZK35" s="684"/>
      <c r="ZL35" s="684"/>
      <c r="ZM35" s="684"/>
      <c r="ZN35" s="684"/>
      <c r="ZO35" s="684"/>
      <c r="ZP35" s="684"/>
      <c r="ZQ35" s="684"/>
      <c r="ZR35" s="684"/>
      <c r="ZS35" s="684"/>
      <c r="ZT35" s="684"/>
      <c r="ZU35" s="684"/>
      <c r="ZV35" s="684"/>
      <c r="ZW35" s="684"/>
      <c r="ZX35" s="684"/>
      <c r="ZY35" s="684"/>
      <c r="ZZ35" s="684"/>
      <c r="AAA35" s="684"/>
      <c r="AAB35" s="684"/>
      <c r="AAC35" s="684"/>
      <c r="AAD35" s="684"/>
      <c r="AAE35" s="684"/>
      <c r="AAF35" s="684"/>
      <c r="AAG35" s="684"/>
      <c r="AAH35" s="684"/>
      <c r="AAI35" s="684"/>
      <c r="AAJ35" s="684"/>
      <c r="AAK35" s="684"/>
      <c r="AAL35" s="684"/>
      <c r="AAM35" s="684"/>
      <c r="AAN35" s="684"/>
      <c r="AAO35" s="684"/>
      <c r="AAP35" s="684"/>
      <c r="AAQ35" s="684"/>
      <c r="AAR35" s="684"/>
      <c r="AAS35" s="684"/>
      <c r="AAT35" s="684"/>
      <c r="AAU35" s="684"/>
      <c r="AAV35" s="684"/>
      <c r="AAW35" s="684"/>
      <c r="AAX35" s="684"/>
      <c r="AAY35" s="684"/>
      <c r="AAZ35" s="684"/>
      <c r="ABA35" s="684"/>
      <c r="ABB35" s="684"/>
      <c r="ABC35" s="684"/>
      <c r="ABD35" s="684"/>
      <c r="ABE35" s="684"/>
      <c r="ABF35" s="684"/>
      <c r="ABG35" s="684"/>
      <c r="ABH35" s="684"/>
      <c r="ABI35" s="684"/>
      <c r="ABJ35" s="684"/>
      <c r="ABK35" s="684"/>
      <c r="ABL35" s="684"/>
      <c r="ABM35" s="684"/>
      <c r="ABN35" s="684"/>
      <c r="ABO35" s="684"/>
      <c r="ABP35" s="684"/>
      <c r="ABQ35" s="684"/>
      <c r="ABR35" s="684"/>
      <c r="ABS35" s="684"/>
      <c r="ABT35" s="684"/>
      <c r="ABU35" s="684"/>
      <c r="ABV35" s="684"/>
      <c r="ABW35" s="684"/>
      <c r="ABX35" s="684"/>
      <c r="ABY35" s="684"/>
      <c r="ABZ35" s="684"/>
      <c r="ACA35" s="684"/>
      <c r="ACB35" s="684"/>
      <c r="ACC35" s="684"/>
      <c r="ACD35" s="684"/>
      <c r="ACE35" s="684"/>
      <c r="ACF35" s="684"/>
      <c r="ACG35" s="684"/>
      <c r="ACH35" s="684"/>
      <c r="ACI35" s="684"/>
      <c r="ACJ35" s="684"/>
      <c r="ACK35" s="684"/>
      <c r="ACL35" s="684"/>
      <c r="ACM35" s="684"/>
      <c r="ACN35" s="684"/>
      <c r="ACO35" s="684"/>
      <c r="ACP35" s="684"/>
      <c r="ACQ35" s="684"/>
      <c r="ACR35" s="684"/>
      <c r="ACS35" s="684"/>
      <c r="ACT35" s="684"/>
      <c r="ACU35" s="684"/>
      <c r="ACV35" s="684"/>
      <c r="ACW35" s="684"/>
      <c r="ACX35" s="684"/>
      <c r="ACY35" s="684"/>
      <c r="ACZ35" s="684"/>
      <c r="ADA35" s="684"/>
      <c r="ADB35" s="684"/>
      <c r="ADC35" s="684"/>
      <c r="ADD35" s="684"/>
      <c r="ADE35" s="684"/>
      <c r="ADF35" s="684"/>
      <c r="ADG35" s="684"/>
      <c r="ADH35" s="684"/>
      <c r="ADI35" s="684"/>
      <c r="ADJ35" s="684"/>
      <c r="ADK35" s="684"/>
      <c r="ADL35" s="684"/>
      <c r="ADM35" s="684"/>
      <c r="ADN35" s="684"/>
      <c r="ADO35" s="684"/>
      <c r="ADP35" s="684"/>
      <c r="ADQ35" s="684"/>
      <c r="ADR35" s="684"/>
      <c r="ADS35" s="684"/>
      <c r="ADT35" s="684"/>
      <c r="ADU35" s="684"/>
      <c r="ADV35" s="684"/>
      <c r="ADW35" s="684"/>
      <c r="ADX35" s="684"/>
      <c r="ADY35" s="684"/>
      <c r="ADZ35" s="684"/>
      <c r="AEA35" s="684"/>
      <c r="AEB35" s="684"/>
      <c r="AEC35" s="684"/>
      <c r="AED35" s="684"/>
      <c r="AEE35" s="684"/>
      <c r="AEF35" s="684"/>
      <c r="AEG35" s="684"/>
      <c r="AEH35" s="684"/>
      <c r="AEI35" s="684"/>
      <c r="AEJ35" s="684"/>
      <c r="AEK35" s="684"/>
      <c r="AEL35" s="684"/>
      <c r="AEM35" s="684"/>
      <c r="AEN35" s="684"/>
      <c r="AEO35" s="684"/>
      <c r="AEP35" s="684"/>
      <c r="AEQ35" s="684"/>
      <c r="AER35" s="684"/>
      <c r="AES35" s="684"/>
      <c r="AET35" s="684"/>
      <c r="AEU35" s="684"/>
      <c r="AEV35" s="684"/>
      <c r="AEW35" s="684"/>
      <c r="AEX35" s="684"/>
      <c r="AEY35" s="684"/>
      <c r="AEZ35" s="684"/>
      <c r="AFA35" s="684"/>
      <c r="AFB35" s="684"/>
      <c r="AFC35" s="684"/>
      <c r="AFD35" s="684"/>
      <c r="AFE35" s="684"/>
      <c r="AFF35" s="684"/>
      <c r="AFG35" s="684"/>
      <c r="AFH35" s="684"/>
      <c r="AFI35" s="684"/>
      <c r="AFJ35" s="684"/>
      <c r="AFK35" s="684"/>
      <c r="AFL35" s="684"/>
      <c r="AFM35" s="684"/>
      <c r="AFN35" s="684"/>
      <c r="AFO35" s="684"/>
      <c r="AFP35" s="684"/>
      <c r="AFQ35" s="684"/>
      <c r="AFR35" s="684"/>
      <c r="AFS35" s="684"/>
      <c r="AFT35" s="684"/>
      <c r="AFU35" s="684"/>
      <c r="AFV35" s="684"/>
      <c r="AFW35" s="684"/>
      <c r="AFX35" s="684"/>
      <c r="AFY35" s="684"/>
      <c r="AFZ35" s="684"/>
      <c r="AGA35" s="684"/>
      <c r="AGB35" s="684"/>
      <c r="AGC35" s="684"/>
      <c r="AGD35" s="684"/>
      <c r="AGE35" s="684"/>
      <c r="AGF35" s="684"/>
      <c r="AGG35" s="684"/>
      <c r="AGH35" s="684"/>
      <c r="AGI35" s="684"/>
      <c r="AGJ35" s="684"/>
      <c r="AGK35" s="684"/>
      <c r="AGL35" s="684"/>
      <c r="AGM35" s="684"/>
      <c r="AGN35" s="684"/>
      <c r="AGO35" s="684"/>
      <c r="AGP35" s="684"/>
      <c r="AGQ35" s="684"/>
      <c r="AGR35" s="684"/>
      <c r="AGS35" s="684"/>
      <c r="AGT35" s="684"/>
      <c r="AGU35" s="684"/>
      <c r="AGV35" s="684"/>
      <c r="AGW35" s="684"/>
      <c r="AGX35" s="684"/>
      <c r="AGY35" s="684"/>
      <c r="AGZ35" s="684"/>
      <c r="AHA35" s="684"/>
      <c r="AHB35" s="684"/>
      <c r="AHC35" s="684"/>
      <c r="AHD35" s="684"/>
      <c r="AHE35" s="684"/>
      <c r="AHF35" s="684"/>
      <c r="AHG35" s="684"/>
      <c r="AHH35" s="684"/>
      <c r="AHI35" s="684"/>
      <c r="AHJ35" s="684"/>
      <c r="AHK35" s="684"/>
      <c r="AHL35" s="684"/>
      <c r="AHM35" s="684"/>
      <c r="AHN35" s="684"/>
      <c r="AHO35" s="684"/>
      <c r="AHP35" s="684"/>
      <c r="AHQ35" s="684"/>
      <c r="AHR35" s="684"/>
      <c r="AHS35" s="684"/>
      <c r="AHT35" s="684"/>
      <c r="AHU35" s="684"/>
      <c r="AHV35" s="684"/>
      <c r="AHW35" s="684"/>
      <c r="AHX35" s="684"/>
      <c r="AHY35" s="684"/>
      <c r="AHZ35" s="684"/>
      <c r="AIA35" s="684"/>
      <c r="AIB35" s="684"/>
      <c r="AIC35" s="684"/>
      <c r="AID35" s="684"/>
      <c r="AIE35" s="684"/>
      <c r="AIF35" s="684"/>
      <c r="AIG35" s="684"/>
      <c r="AIH35" s="684"/>
      <c r="AII35" s="684"/>
      <c r="AIJ35" s="684"/>
      <c r="AIK35" s="684"/>
      <c r="AIL35" s="684"/>
      <c r="AIM35" s="684"/>
      <c r="AIN35" s="684"/>
      <c r="AIO35" s="684"/>
      <c r="AIP35" s="684"/>
      <c r="AIQ35" s="684"/>
      <c r="AIR35" s="684"/>
      <c r="AIS35" s="684"/>
      <c r="AIT35" s="684"/>
      <c r="AIU35" s="684"/>
      <c r="AIV35" s="684"/>
      <c r="AIW35" s="684"/>
      <c r="AIX35" s="684"/>
      <c r="AIY35" s="684"/>
      <c r="AIZ35" s="684"/>
      <c r="AJA35" s="684"/>
      <c r="AJB35" s="684"/>
      <c r="AJC35" s="684"/>
      <c r="AJD35" s="684"/>
      <c r="AJE35" s="684"/>
      <c r="AJF35" s="684"/>
      <c r="AJG35" s="684"/>
      <c r="AJH35" s="684"/>
      <c r="AJI35" s="684"/>
      <c r="AJJ35" s="684"/>
      <c r="AJK35" s="684"/>
      <c r="AJL35" s="684"/>
      <c r="AJM35" s="684"/>
      <c r="AJN35" s="684"/>
      <c r="AJO35" s="684"/>
      <c r="AJP35" s="684"/>
      <c r="AJQ35" s="684"/>
      <c r="AJR35" s="684"/>
      <c r="AJS35" s="684"/>
      <c r="AJT35" s="684"/>
      <c r="AJU35" s="684"/>
      <c r="AJV35" s="684"/>
      <c r="AJW35" s="684"/>
      <c r="AJX35" s="684"/>
      <c r="AJY35" s="684"/>
      <c r="AJZ35" s="684"/>
      <c r="AKA35" s="684"/>
      <c r="AKB35" s="684"/>
      <c r="AKC35" s="684"/>
      <c r="AKD35" s="684"/>
      <c r="AKE35" s="684"/>
      <c r="AKF35" s="684"/>
      <c r="AKG35" s="684"/>
      <c r="AKH35" s="684"/>
      <c r="AKI35" s="684"/>
      <c r="AKJ35" s="684"/>
      <c r="AKK35" s="684"/>
      <c r="AKL35" s="684"/>
      <c r="AKM35" s="684"/>
      <c r="AKN35" s="684"/>
      <c r="AKO35" s="684"/>
      <c r="AKP35" s="684"/>
      <c r="AKQ35" s="684"/>
      <c r="AKR35" s="684"/>
      <c r="AKS35" s="684"/>
      <c r="AKT35" s="684"/>
      <c r="AKU35" s="684"/>
      <c r="AKV35" s="684"/>
      <c r="AKW35" s="684"/>
      <c r="AKX35" s="684"/>
      <c r="AKY35" s="684"/>
      <c r="AKZ35" s="684"/>
      <c r="ALA35" s="684"/>
      <c r="ALB35" s="684"/>
      <c r="ALC35" s="684"/>
      <c r="ALD35" s="684"/>
      <c r="ALE35" s="684"/>
      <c r="ALF35" s="684"/>
      <c r="ALG35" s="684"/>
      <c r="ALH35" s="684"/>
      <c r="ALI35" s="684"/>
      <c r="ALJ35" s="684"/>
      <c r="ALK35" s="684"/>
      <c r="ALL35" s="684"/>
      <c r="ALM35" s="684"/>
      <c r="ALN35" s="684"/>
      <c r="ALO35" s="684"/>
      <c r="ALP35" s="684"/>
      <c r="ALQ35" s="684"/>
      <c r="ALR35" s="684"/>
      <c r="ALS35" s="684"/>
      <c r="ALT35" s="684"/>
      <c r="ALU35" s="684"/>
      <c r="ALV35" s="684"/>
      <c r="ALW35" s="684"/>
      <c r="ALX35" s="684"/>
      <c r="ALY35" s="684"/>
      <c r="ALZ35" s="684"/>
      <c r="AMA35" s="684"/>
      <c r="AMB35" s="684"/>
      <c r="AMC35" s="684"/>
      <c r="AMD35" s="684"/>
      <c r="AME35" s="684"/>
      <c r="AMF35" s="684"/>
      <c r="AMG35" s="684"/>
      <c r="AMH35" s="684"/>
      <c r="AMI35" s="684"/>
      <c r="AMJ35" s="684"/>
      <c r="AMK35" s="684"/>
      <c r="AML35" s="684"/>
      <c r="AMM35" s="684"/>
      <c r="AMN35" s="684"/>
      <c r="AMO35" s="684"/>
      <c r="AMP35" s="684"/>
      <c r="AMQ35" s="684"/>
      <c r="AMR35" s="684"/>
      <c r="AMS35" s="684"/>
      <c r="AMT35" s="684"/>
      <c r="AMU35" s="684"/>
      <c r="AMV35" s="684"/>
      <c r="AMW35" s="684"/>
      <c r="AMX35" s="684"/>
      <c r="AMY35" s="684"/>
      <c r="AMZ35" s="684"/>
      <c r="ANA35" s="684"/>
      <c r="ANB35" s="684"/>
      <c r="ANC35" s="684"/>
      <c r="AND35" s="684"/>
      <c r="ANE35" s="684"/>
      <c r="ANF35" s="684"/>
      <c r="ANG35" s="684"/>
      <c r="ANH35" s="684"/>
      <c r="ANI35" s="684"/>
      <c r="ANJ35" s="684"/>
      <c r="ANK35" s="684"/>
      <c r="ANL35" s="684"/>
      <c r="ANM35" s="684"/>
      <c r="ANN35" s="684"/>
      <c r="ANO35" s="684"/>
      <c r="ANP35" s="684"/>
      <c r="ANQ35" s="684"/>
      <c r="ANR35" s="684"/>
      <c r="ANS35" s="684"/>
      <c r="ANT35" s="684"/>
      <c r="ANU35" s="684"/>
      <c r="ANV35" s="684"/>
      <c r="ANW35" s="684"/>
      <c r="ANX35" s="684"/>
      <c r="ANY35" s="684"/>
      <c r="ANZ35" s="684"/>
      <c r="AOA35" s="684"/>
      <c r="AOB35" s="684"/>
      <c r="AOC35" s="684"/>
      <c r="AOD35" s="684"/>
      <c r="AOE35" s="684"/>
      <c r="AOF35" s="684"/>
      <c r="AOG35" s="684"/>
      <c r="AOH35" s="684"/>
      <c r="AOI35" s="684"/>
      <c r="AOJ35" s="684"/>
      <c r="AOK35" s="684"/>
      <c r="AOL35" s="684"/>
      <c r="AOM35" s="684"/>
      <c r="AON35" s="684"/>
      <c r="AOO35" s="684"/>
      <c r="AOP35" s="684"/>
      <c r="AOQ35" s="684"/>
      <c r="AOR35" s="684"/>
      <c r="AOS35" s="684"/>
      <c r="AOT35" s="684"/>
      <c r="AOU35" s="684"/>
      <c r="AOV35" s="684"/>
      <c r="AOW35" s="684"/>
      <c r="AOX35" s="684"/>
      <c r="AOY35" s="684"/>
      <c r="AOZ35" s="684"/>
      <c r="APA35" s="684"/>
      <c r="APB35" s="684"/>
      <c r="APC35" s="684"/>
      <c r="APD35" s="684"/>
      <c r="APE35" s="684"/>
      <c r="APF35" s="684"/>
      <c r="APG35" s="684"/>
      <c r="APH35" s="684"/>
      <c r="API35" s="684"/>
      <c r="APJ35" s="684"/>
      <c r="APK35" s="684"/>
      <c r="APL35" s="684"/>
      <c r="APM35" s="684"/>
      <c r="APN35" s="684"/>
      <c r="APO35" s="684"/>
      <c r="APP35" s="684"/>
      <c r="APQ35" s="684"/>
      <c r="APR35" s="684"/>
      <c r="APS35" s="684"/>
      <c r="APT35" s="684"/>
      <c r="APU35" s="684"/>
      <c r="APV35" s="684"/>
      <c r="APW35" s="684"/>
      <c r="APX35" s="684"/>
      <c r="APY35" s="684"/>
      <c r="APZ35" s="684"/>
      <c r="AQA35" s="684"/>
      <c r="AQB35" s="684"/>
      <c r="AQC35" s="684"/>
      <c r="AQD35" s="684"/>
      <c r="AQE35" s="684"/>
      <c r="AQF35" s="684"/>
      <c r="AQG35" s="684"/>
      <c r="AQH35" s="684"/>
      <c r="AQI35" s="684"/>
      <c r="AQJ35" s="684"/>
      <c r="AQK35" s="684"/>
      <c r="AQL35" s="684"/>
      <c r="AQM35" s="684"/>
      <c r="AQN35" s="684"/>
      <c r="AQO35" s="684"/>
      <c r="AQP35" s="684"/>
      <c r="AQQ35" s="684"/>
      <c r="AQR35" s="684"/>
      <c r="AQS35" s="684"/>
      <c r="AQT35" s="684"/>
      <c r="AQU35" s="684"/>
      <c r="AQV35" s="684"/>
      <c r="AQW35" s="684"/>
      <c r="AQX35" s="684"/>
      <c r="AQY35" s="684"/>
      <c r="AQZ35" s="684"/>
      <c r="ARA35" s="684"/>
      <c r="ARB35" s="684"/>
      <c r="ARC35" s="684"/>
      <c r="ARD35" s="684"/>
      <c r="ARE35" s="684"/>
      <c r="ARF35" s="684"/>
      <c r="ARG35" s="684"/>
      <c r="ARH35" s="684"/>
      <c r="ARI35" s="684"/>
      <c r="ARJ35" s="684"/>
      <c r="ARK35" s="684"/>
      <c r="ARL35" s="684"/>
      <c r="ARM35" s="684"/>
      <c r="ARN35" s="684"/>
      <c r="ARO35" s="684"/>
      <c r="ARP35" s="684"/>
      <c r="ARQ35" s="684"/>
      <c r="ARR35" s="684"/>
      <c r="ARS35" s="684"/>
      <c r="ART35" s="684"/>
      <c r="ARU35" s="684"/>
      <c r="ARV35" s="684"/>
      <c r="ARW35" s="684"/>
      <c r="ARX35" s="684"/>
      <c r="ARY35" s="684"/>
      <c r="ARZ35" s="684"/>
      <c r="ASA35" s="684"/>
      <c r="ASB35" s="684"/>
      <c r="ASC35" s="684"/>
      <c r="ASD35" s="684"/>
      <c r="ASE35" s="684"/>
      <c r="ASF35" s="684"/>
      <c r="ASG35" s="684"/>
      <c r="ASH35" s="684"/>
      <c r="ASI35" s="684"/>
      <c r="ASJ35" s="684"/>
      <c r="ASK35" s="684"/>
      <c r="ASL35" s="684"/>
      <c r="ASM35" s="684"/>
      <c r="ASN35" s="684"/>
      <c r="ASO35" s="684"/>
      <c r="ASP35" s="684"/>
      <c r="ASQ35" s="684"/>
      <c r="ASR35" s="684"/>
      <c r="ASS35" s="684"/>
      <c r="AST35" s="684"/>
      <c r="ASU35" s="684"/>
      <c r="ASV35" s="684"/>
      <c r="ASW35" s="684"/>
      <c r="ASX35" s="684"/>
      <c r="ASY35" s="684"/>
      <c r="ASZ35" s="684"/>
      <c r="ATA35" s="684"/>
      <c r="ATB35" s="684"/>
      <c r="ATC35" s="684"/>
      <c r="ATD35" s="684"/>
      <c r="ATE35" s="684"/>
      <c r="ATF35" s="684"/>
      <c r="ATG35" s="684"/>
      <c r="ATH35" s="684"/>
      <c r="ATI35" s="684"/>
      <c r="ATJ35" s="684"/>
      <c r="ATK35" s="684"/>
      <c r="ATL35" s="684"/>
      <c r="ATM35" s="684"/>
      <c r="ATN35" s="684"/>
      <c r="ATO35" s="684"/>
      <c r="ATP35" s="684"/>
      <c r="ATQ35" s="684"/>
      <c r="ATR35" s="684"/>
      <c r="ATS35" s="684"/>
      <c r="ATT35" s="684"/>
      <c r="ATU35" s="684"/>
      <c r="ATV35" s="684"/>
      <c r="ATW35" s="684"/>
      <c r="ATX35" s="684"/>
      <c r="ATY35" s="684"/>
      <c r="ATZ35" s="684"/>
      <c r="AUA35" s="684"/>
      <c r="AUB35" s="684"/>
      <c r="AUC35" s="684"/>
      <c r="AUD35" s="684"/>
      <c r="AUE35" s="684"/>
      <c r="AUF35" s="684"/>
      <c r="AUG35" s="684"/>
      <c r="AUH35" s="684"/>
      <c r="AUI35" s="684"/>
      <c r="AUJ35" s="684"/>
      <c r="AUK35" s="684"/>
      <c r="AUL35" s="684"/>
      <c r="AUM35" s="684"/>
      <c r="AUN35" s="684"/>
      <c r="AUO35" s="684"/>
      <c r="AUP35" s="684"/>
      <c r="AUQ35" s="684"/>
      <c r="AUR35" s="684"/>
      <c r="AUS35" s="684"/>
      <c r="AUT35" s="684"/>
      <c r="AUU35" s="684"/>
      <c r="AUV35" s="684"/>
      <c r="AUW35" s="684"/>
      <c r="AUX35" s="684"/>
      <c r="AUY35" s="684"/>
      <c r="AUZ35" s="684"/>
      <c r="AVA35" s="684"/>
      <c r="AVB35" s="684"/>
      <c r="AVC35" s="684"/>
      <c r="AVD35" s="684"/>
      <c r="AVE35" s="684"/>
      <c r="AVF35" s="684"/>
      <c r="AVG35" s="684"/>
      <c r="AVH35" s="684"/>
      <c r="AVI35" s="684"/>
      <c r="AVJ35" s="684"/>
      <c r="AVK35" s="684"/>
      <c r="AVL35" s="684"/>
      <c r="AVM35" s="684"/>
      <c r="AVN35" s="684"/>
      <c r="AVO35" s="684"/>
      <c r="AVP35" s="684"/>
      <c r="AVQ35" s="684"/>
      <c r="AVR35" s="684"/>
      <c r="AVS35" s="684"/>
      <c r="AVT35" s="684"/>
      <c r="AVU35" s="684"/>
      <c r="AVV35" s="684"/>
      <c r="AVW35" s="684"/>
      <c r="AVX35" s="684"/>
      <c r="AVY35" s="684"/>
      <c r="AVZ35" s="684"/>
      <c r="AWA35" s="684"/>
      <c r="AWB35" s="684"/>
      <c r="AWC35" s="684"/>
      <c r="AWD35" s="684"/>
      <c r="AWE35" s="684"/>
      <c r="AWF35" s="684"/>
      <c r="AWG35" s="684"/>
      <c r="AWH35" s="684"/>
      <c r="AWI35" s="684"/>
      <c r="AWJ35" s="684"/>
      <c r="AWK35" s="684"/>
      <c r="AWL35" s="684"/>
      <c r="AWM35" s="684"/>
      <c r="AWN35" s="684"/>
      <c r="AWO35" s="684"/>
      <c r="AWP35" s="684"/>
      <c r="AWQ35" s="684"/>
      <c r="AWR35" s="684"/>
      <c r="AWS35" s="684"/>
      <c r="AWT35" s="684"/>
      <c r="AWU35" s="684"/>
      <c r="AWV35" s="684"/>
      <c r="AWW35" s="684"/>
      <c r="AWX35" s="684"/>
      <c r="AWY35" s="684"/>
      <c r="AWZ35" s="684"/>
      <c r="AXA35" s="684"/>
      <c r="AXB35" s="684"/>
      <c r="AXC35" s="684"/>
      <c r="AXD35" s="684"/>
      <c r="AXE35" s="684"/>
      <c r="AXF35" s="684"/>
      <c r="AXG35" s="684"/>
      <c r="AXH35" s="684"/>
      <c r="AXI35" s="684"/>
      <c r="AXJ35" s="684"/>
      <c r="AXK35" s="684"/>
      <c r="AXL35" s="684"/>
      <c r="AXM35" s="684"/>
      <c r="AXN35" s="684"/>
      <c r="AXO35" s="684"/>
      <c r="AXP35" s="684"/>
      <c r="AXQ35" s="684"/>
      <c r="AXR35" s="684"/>
      <c r="AXS35" s="684"/>
      <c r="AXT35" s="684"/>
      <c r="AXU35" s="684"/>
      <c r="AXV35" s="684"/>
      <c r="AXW35" s="684"/>
      <c r="AXX35" s="684"/>
      <c r="AXY35" s="684"/>
      <c r="AXZ35" s="684"/>
      <c r="AYA35" s="684"/>
      <c r="AYB35" s="684"/>
      <c r="AYC35" s="684"/>
      <c r="AYD35" s="684"/>
      <c r="AYE35" s="684"/>
      <c r="AYF35" s="684"/>
      <c r="AYG35" s="684"/>
      <c r="AYH35" s="684"/>
      <c r="AYI35" s="684"/>
      <c r="AYJ35" s="684"/>
      <c r="AYK35" s="684"/>
      <c r="AYL35" s="684"/>
      <c r="AYM35" s="684"/>
      <c r="AYN35" s="684"/>
      <c r="AYO35" s="684"/>
      <c r="AYP35" s="684"/>
      <c r="AYQ35" s="684"/>
      <c r="AYR35" s="684"/>
      <c r="AYS35" s="684"/>
      <c r="AYT35" s="684"/>
      <c r="AYU35" s="684"/>
      <c r="AYV35" s="684"/>
      <c r="AYW35" s="684"/>
      <c r="AYX35" s="684"/>
      <c r="AYY35" s="684"/>
      <c r="AYZ35" s="684"/>
      <c r="AZA35" s="684"/>
      <c r="AZB35" s="684"/>
      <c r="AZC35" s="684"/>
      <c r="AZD35" s="684"/>
      <c r="AZE35" s="684"/>
      <c r="AZF35" s="684"/>
      <c r="AZG35" s="684"/>
      <c r="AZH35" s="684"/>
      <c r="AZI35" s="684"/>
      <c r="AZJ35" s="684"/>
      <c r="AZK35" s="684"/>
      <c r="AZL35" s="684"/>
      <c r="AZM35" s="684"/>
      <c r="AZN35" s="684"/>
      <c r="AZO35" s="684"/>
      <c r="AZP35" s="684"/>
      <c r="AZQ35" s="684"/>
      <c r="AZR35" s="684"/>
      <c r="AZS35" s="684"/>
      <c r="AZT35" s="684"/>
      <c r="AZU35" s="684"/>
      <c r="AZV35" s="684"/>
      <c r="AZW35" s="684"/>
      <c r="AZX35" s="684"/>
      <c r="AZY35" s="684"/>
      <c r="AZZ35" s="684"/>
      <c r="BAA35" s="684"/>
      <c r="BAB35" s="684"/>
      <c r="BAC35" s="684"/>
      <c r="BAD35" s="684"/>
      <c r="BAE35" s="684"/>
      <c r="BAF35" s="684"/>
      <c r="BAG35" s="684"/>
      <c r="BAH35" s="684"/>
      <c r="BAI35" s="684"/>
      <c r="BAJ35" s="684"/>
      <c r="BAK35" s="684"/>
      <c r="BAL35" s="684"/>
      <c r="BAM35" s="684"/>
      <c r="BAN35" s="684"/>
      <c r="BAO35" s="684"/>
      <c r="BAP35" s="684"/>
      <c r="BAQ35" s="684"/>
      <c r="BAR35" s="684"/>
      <c r="BAS35" s="684"/>
      <c r="BAT35" s="684"/>
      <c r="BAU35" s="684"/>
      <c r="BAV35" s="684"/>
      <c r="BAW35" s="684"/>
      <c r="BAX35" s="684"/>
      <c r="BAY35" s="684"/>
      <c r="BAZ35" s="684"/>
      <c r="BBA35" s="684"/>
      <c r="BBB35" s="684"/>
      <c r="BBC35" s="684"/>
      <c r="BBD35" s="684"/>
      <c r="BBE35" s="684"/>
      <c r="BBF35" s="684"/>
      <c r="BBG35" s="684"/>
      <c r="BBH35" s="684"/>
      <c r="BBI35" s="684"/>
      <c r="BBJ35" s="684"/>
      <c r="BBK35" s="684"/>
      <c r="BBL35" s="684"/>
      <c r="BBM35" s="684"/>
      <c r="BBN35" s="684"/>
      <c r="BBO35" s="684"/>
      <c r="BBP35" s="684"/>
      <c r="BBQ35" s="684"/>
      <c r="BBR35" s="684"/>
      <c r="BBS35" s="684"/>
      <c r="BBT35" s="684"/>
      <c r="BBU35" s="684"/>
      <c r="BBV35" s="684"/>
      <c r="BBW35" s="684"/>
      <c r="BBX35" s="684"/>
      <c r="BBY35" s="684"/>
      <c r="BBZ35" s="684"/>
      <c r="BCA35" s="684"/>
      <c r="BCB35" s="684"/>
      <c r="BCC35" s="684"/>
      <c r="BCD35" s="684"/>
      <c r="BCE35" s="684"/>
      <c r="BCF35" s="684"/>
      <c r="BCG35" s="684"/>
      <c r="BCH35" s="684"/>
      <c r="BCI35" s="684"/>
      <c r="BCJ35" s="684"/>
      <c r="BCK35" s="684"/>
      <c r="BCL35" s="684"/>
      <c r="BCM35" s="684"/>
      <c r="BCN35" s="684"/>
      <c r="BCO35" s="684"/>
      <c r="BCP35" s="684"/>
      <c r="BCQ35" s="684"/>
      <c r="BCR35" s="684"/>
      <c r="BCS35" s="684"/>
      <c r="BCT35" s="684"/>
      <c r="BCU35" s="684"/>
      <c r="BCV35" s="684"/>
      <c r="BCW35" s="684"/>
      <c r="BCX35" s="684"/>
      <c r="BCY35" s="684"/>
      <c r="BCZ35" s="684"/>
      <c r="BDA35" s="684"/>
      <c r="BDB35" s="684"/>
      <c r="BDC35" s="684"/>
      <c r="BDD35" s="684"/>
      <c r="BDE35" s="684"/>
      <c r="BDF35" s="684"/>
      <c r="BDG35" s="684"/>
      <c r="BDH35" s="684"/>
      <c r="BDI35" s="684"/>
      <c r="BDJ35" s="684"/>
      <c r="BDK35" s="684"/>
      <c r="BDL35" s="684"/>
      <c r="BDM35" s="684"/>
      <c r="BDN35" s="684"/>
      <c r="BDO35" s="684"/>
      <c r="BDP35" s="684"/>
      <c r="BDQ35" s="684"/>
      <c r="BDR35" s="684"/>
      <c r="BDS35" s="684"/>
      <c r="BDT35" s="684"/>
      <c r="BDU35" s="684"/>
      <c r="BDV35" s="684"/>
      <c r="BDW35" s="684"/>
      <c r="BDX35" s="684"/>
      <c r="BDY35" s="684"/>
      <c r="BDZ35" s="684"/>
      <c r="BEA35" s="684"/>
      <c r="BEB35" s="684"/>
      <c r="BEC35" s="684"/>
      <c r="BED35" s="684"/>
      <c r="BEE35" s="684"/>
      <c r="BEF35" s="684"/>
      <c r="BEG35" s="684"/>
      <c r="BEH35" s="684"/>
      <c r="BEI35" s="684"/>
      <c r="BEJ35" s="684"/>
      <c r="BEK35" s="684"/>
      <c r="BEL35" s="684"/>
      <c r="BEM35" s="684"/>
      <c r="BEN35" s="684"/>
      <c r="BEO35" s="684"/>
      <c r="BEP35" s="684"/>
      <c r="BEQ35" s="684"/>
      <c r="BER35" s="684"/>
      <c r="BES35" s="684"/>
      <c r="BET35" s="684"/>
      <c r="BEU35" s="684"/>
      <c r="BEV35" s="684"/>
      <c r="BEW35" s="684"/>
      <c r="BEX35" s="684"/>
      <c r="BEY35" s="684"/>
      <c r="BEZ35" s="684"/>
      <c r="BFA35" s="684"/>
      <c r="BFB35" s="684"/>
      <c r="BFC35" s="684"/>
      <c r="BFD35" s="684"/>
      <c r="BFE35" s="684"/>
      <c r="BFF35" s="684"/>
      <c r="BFG35" s="684"/>
      <c r="BFH35" s="684"/>
      <c r="BFI35" s="684"/>
      <c r="BFJ35" s="684"/>
      <c r="BFK35" s="684"/>
      <c r="BFL35" s="684"/>
      <c r="BFM35" s="684"/>
      <c r="BFN35" s="684"/>
      <c r="BFO35" s="684"/>
      <c r="BFP35" s="684"/>
      <c r="BFQ35" s="684"/>
      <c r="BFR35" s="684"/>
      <c r="BFS35" s="684"/>
      <c r="BFT35" s="684"/>
      <c r="BFU35" s="684"/>
      <c r="BFV35" s="684"/>
      <c r="BFW35" s="684"/>
      <c r="BFX35" s="684"/>
      <c r="BFY35" s="684"/>
      <c r="BFZ35" s="684"/>
      <c r="BGA35" s="684"/>
      <c r="BGB35" s="684"/>
      <c r="BGC35" s="684"/>
      <c r="BGD35" s="684"/>
      <c r="BGE35" s="684"/>
      <c r="BGF35" s="684"/>
      <c r="BGG35" s="684"/>
      <c r="BGH35" s="684"/>
      <c r="BGI35" s="684"/>
      <c r="BGJ35" s="684"/>
      <c r="BGK35" s="684"/>
      <c r="BGL35" s="684"/>
      <c r="BGM35" s="684"/>
      <c r="BGN35" s="684"/>
      <c r="BGO35" s="684"/>
      <c r="BGP35" s="684"/>
      <c r="BGQ35" s="684"/>
      <c r="BGR35" s="684"/>
      <c r="BGS35" s="684"/>
      <c r="BGT35" s="684"/>
      <c r="BGU35" s="684"/>
      <c r="BGV35" s="684"/>
      <c r="BGW35" s="684"/>
      <c r="BGX35" s="684"/>
      <c r="BGY35" s="684"/>
      <c r="BGZ35" s="684"/>
      <c r="BHA35" s="684"/>
      <c r="BHB35" s="684"/>
      <c r="BHC35" s="684"/>
      <c r="BHD35" s="684"/>
      <c r="BHE35" s="684"/>
      <c r="BHF35" s="684"/>
      <c r="BHG35" s="684"/>
      <c r="BHH35" s="684"/>
      <c r="BHI35" s="684"/>
      <c r="BHJ35" s="684"/>
      <c r="BHK35" s="684"/>
      <c r="BHL35" s="684"/>
      <c r="BHM35" s="684"/>
      <c r="BHN35" s="684"/>
      <c r="BHO35" s="684"/>
      <c r="BHP35" s="684"/>
      <c r="BHQ35" s="684"/>
      <c r="BHR35" s="684"/>
      <c r="BHS35" s="684"/>
      <c r="BHT35" s="684"/>
      <c r="BHU35" s="684"/>
      <c r="BHV35" s="684"/>
      <c r="BHW35" s="684"/>
      <c r="BHX35" s="684"/>
      <c r="BHY35" s="684"/>
      <c r="BHZ35" s="684"/>
      <c r="BIA35" s="684"/>
      <c r="BIB35" s="684"/>
      <c r="BIC35" s="684"/>
      <c r="BID35" s="684"/>
      <c r="BIE35" s="684"/>
      <c r="BIF35" s="684"/>
      <c r="BIG35" s="684"/>
      <c r="BIH35" s="684"/>
      <c r="BII35" s="684"/>
      <c r="BIJ35" s="684"/>
      <c r="BIK35" s="684"/>
      <c r="BIL35" s="684"/>
      <c r="BIM35" s="684"/>
      <c r="BIN35" s="684"/>
      <c r="BIO35" s="684"/>
      <c r="BIP35" s="684"/>
      <c r="BIQ35" s="684"/>
      <c r="BIR35" s="684"/>
      <c r="BIS35" s="684"/>
      <c r="BIT35" s="684"/>
      <c r="BIU35" s="684"/>
      <c r="BIV35" s="684"/>
      <c r="BIW35" s="684"/>
      <c r="BIX35" s="684"/>
      <c r="BIY35" s="684"/>
      <c r="BIZ35" s="684"/>
      <c r="BJA35" s="684"/>
      <c r="BJB35" s="684"/>
      <c r="BJC35" s="684"/>
      <c r="BJD35" s="684"/>
      <c r="BJE35" s="684"/>
      <c r="BJF35" s="684"/>
      <c r="BJG35" s="684"/>
      <c r="BJH35" s="684"/>
      <c r="BJI35" s="684"/>
      <c r="BJJ35" s="684"/>
      <c r="BJK35" s="684"/>
      <c r="BJL35" s="684"/>
      <c r="BJM35" s="684"/>
      <c r="BJN35" s="684"/>
      <c r="BJO35" s="684"/>
      <c r="BJP35" s="684"/>
      <c r="BJQ35" s="684"/>
      <c r="BJR35" s="684"/>
      <c r="BJS35" s="684"/>
      <c r="BJT35" s="684"/>
      <c r="BJU35" s="684"/>
      <c r="BJV35" s="684"/>
      <c r="BJW35" s="684"/>
      <c r="BJX35" s="684"/>
      <c r="BJY35" s="684"/>
      <c r="BJZ35" s="684"/>
      <c r="BKA35" s="684"/>
      <c r="BKB35" s="684"/>
      <c r="BKC35" s="684"/>
      <c r="BKD35" s="684"/>
      <c r="BKE35" s="684"/>
      <c r="BKF35" s="684"/>
      <c r="BKG35" s="684"/>
      <c r="BKH35" s="684"/>
      <c r="BKI35" s="684"/>
      <c r="BKJ35" s="684"/>
      <c r="BKK35" s="684"/>
      <c r="BKL35" s="684"/>
      <c r="BKM35" s="684"/>
      <c r="BKN35" s="684"/>
      <c r="BKO35" s="684"/>
      <c r="BKP35" s="684"/>
      <c r="BKQ35" s="684"/>
      <c r="BKR35" s="684"/>
      <c r="BKS35" s="684"/>
      <c r="BKT35" s="684"/>
      <c r="BKU35" s="684"/>
      <c r="BKV35" s="684"/>
      <c r="BKW35" s="684"/>
      <c r="BKX35" s="684"/>
      <c r="BKY35" s="684"/>
      <c r="BKZ35" s="684"/>
      <c r="BLA35" s="684"/>
      <c r="BLB35" s="684"/>
      <c r="BLC35" s="684"/>
      <c r="BLD35" s="684"/>
      <c r="BLE35" s="684"/>
      <c r="BLF35" s="684"/>
      <c r="BLG35" s="684"/>
      <c r="BLH35" s="684"/>
      <c r="BLI35" s="684"/>
      <c r="BLJ35" s="684"/>
      <c r="BLK35" s="684"/>
      <c r="BLL35" s="684"/>
      <c r="BLM35" s="684"/>
      <c r="BLN35" s="684"/>
      <c r="BLO35" s="684"/>
      <c r="BLP35" s="684"/>
      <c r="BLQ35" s="684"/>
      <c r="BLR35" s="684"/>
      <c r="BLS35" s="684"/>
      <c r="BLT35" s="684"/>
      <c r="BLU35" s="684"/>
      <c r="BLV35" s="684"/>
      <c r="BLW35" s="684"/>
      <c r="BLX35" s="684"/>
      <c r="BLY35" s="684"/>
      <c r="BLZ35" s="684"/>
      <c r="BMA35" s="684"/>
      <c r="BMB35" s="684"/>
      <c r="BMC35" s="684"/>
      <c r="BMD35" s="684"/>
      <c r="BME35" s="684"/>
      <c r="BMF35" s="684"/>
      <c r="BMG35" s="684"/>
      <c r="BMH35" s="684"/>
      <c r="BMI35" s="684"/>
      <c r="BMJ35" s="684"/>
      <c r="BMK35" s="684"/>
      <c r="BML35" s="684"/>
      <c r="BMM35" s="684"/>
      <c r="BMN35" s="684"/>
      <c r="BMO35" s="684"/>
      <c r="BMP35" s="684"/>
      <c r="BMQ35" s="684"/>
      <c r="BMR35" s="684"/>
      <c r="BMS35" s="684"/>
      <c r="BMT35" s="684"/>
      <c r="BMU35" s="684"/>
      <c r="BMV35" s="684"/>
      <c r="BMW35" s="684"/>
      <c r="BMX35" s="684"/>
      <c r="BMY35" s="684"/>
      <c r="BMZ35" s="684"/>
      <c r="BNA35" s="684"/>
      <c r="BNB35" s="684"/>
      <c r="BNC35" s="684"/>
      <c r="BND35" s="684"/>
      <c r="BNE35" s="684"/>
      <c r="BNF35" s="684"/>
      <c r="BNG35" s="684"/>
      <c r="BNH35" s="684"/>
      <c r="BNI35" s="684"/>
      <c r="BNJ35" s="684"/>
      <c r="BNK35" s="684"/>
      <c r="BNL35" s="684"/>
      <c r="BNM35" s="684"/>
      <c r="BNN35" s="684"/>
      <c r="BNO35" s="684"/>
      <c r="BNP35" s="684"/>
      <c r="BNQ35" s="684"/>
      <c r="BNR35" s="684"/>
      <c r="BNS35" s="684"/>
      <c r="BNT35" s="684"/>
      <c r="BNU35" s="684"/>
      <c r="BNV35" s="684"/>
      <c r="BNW35" s="684"/>
      <c r="BNX35" s="684"/>
      <c r="BNY35" s="684"/>
      <c r="BNZ35" s="684"/>
      <c r="BOA35" s="684"/>
      <c r="BOB35" s="684"/>
      <c r="BOC35" s="684"/>
      <c r="BOD35" s="684"/>
      <c r="BOE35" s="684"/>
      <c r="BOF35" s="684"/>
      <c r="BOG35" s="684"/>
      <c r="BOH35" s="684"/>
      <c r="BOI35" s="684"/>
      <c r="BOJ35" s="684"/>
      <c r="BOK35" s="684"/>
      <c r="BOL35" s="684"/>
      <c r="BOM35" s="684"/>
      <c r="BON35" s="684"/>
      <c r="BOO35" s="684"/>
      <c r="BOP35" s="684"/>
      <c r="BOQ35" s="684"/>
      <c r="BOR35" s="684"/>
      <c r="BOS35" s="684"/>
      <c r="BOT35" s="684"/>
      <c r="BOU35" s="684"/>
      <c r="BOV35" s="684"/>
      <c r="BOW35" s="684"/>
      <c r="BOX35" s="684"/>
      <c r="BOY35" s="684"/>
      <c r="BOZ35" s="684"/>
      <c r="BPA35" s="684"/>
      <c r="BPB35" s="684"/>
      <c r="BPC35" s="684"/>
      <c r="BPD35" s="684"/>
      <c r="BPE35" s="684"/>
      <c r="BPF35" s="684"/>
      <c r="BPG35" s="684"/>
      <c r="BPH35" s="684"/>
      <c r="BPI35" s="684"/>
      <c r="BPJ35" s="684"/>
      <c r="BPK35" s="684"/>
      <c r="BPL35" s="684"/>
      <c r="BPM35" s="684"/>
      <c r="BPN35" s="684"/>
      <c r="BPO35" s="684"/>
      <c r="BPP35" s="684"/>
      <c r="BPQ35" s="684"/>
      <c r="BPR35" s="684"/>
      <c r="BPS35" s="684"/>
      <c r="BPT35" s="684"/>
      <c r="BPU35" s="684"/>
      <c r="BPV35" s="684"/>
      <c r="BPW35" s="684"/>
      <c r="BPX35" s="684"/>
      <c r="BPY35" s="684"/>
      <c r="BPZ35" s="684"/>
      <c r="BQA35" s="684"/>
      <c r="BQB35" s="684"/>
      <c r="BQC35" s="684"/>
      <c r="BQD35" s="684"/>
      <c r="BQE35" s="684"/>
      <c r="BQF35" s="684"/>
      <c r="BQG35" s="684"/>
      <c r="BQH35" s="684"/>
      <c r="BQI35" s="684"/>
      <c r="BQJ35" s="684"/>
      <c r="BQK35" s="684"/>
      <c r="BQL35" s="684"/>
      <c r="BQM35" s="684"/>
      <c r="BQN35" s="684"/>
      <c r="BQO35" s="684"/>
      <c r="BQP35" s="684"/>
      <c r="BQQ35" s="684"/>
      <c r="BQR35" s="684"/>
      <c r="BQS35" s="684"/>
      <c r="BQT35" s="684"/>
      <c r="BQU35" s="684"/>
      <c r="BQV35" s="684"/>
      <c r="BQW35" s="684"/>
      <c r="BQX35" s="684"/>
      <c r="BQY35" s="684"/>
      <c r="BQZ35" s="684"/>
      <c r="BRA35" s="684"/>
      <c r="BRB35" s="684"/>
      <c r="BRC35" s="684"/>
      <c r="BRD35" s="684"/>
      <c r="BRE35" s="684"/>
      <c r="BRF35" s="684"/>
      <c r="BRG35" s="684"/>
      <c r="BRH35" s="684"/>
      <c r="BRI35" s="684"/>
      <c r="BRJ35" s="684"/>
      <c r="BRK35" s="684"/>
      <c r="BRL35" s="684"/>
      <c r="BRM35" s="684"/>
      <c r="BRN35" s="684"/>
      <c r="BRO35" s="684"/>
      <c r="BRP35" s="684"/>
      <c r="BRQ35" s="684"/>
      <c r="BRR35" s="684"/>
      <c r="BRS35" s="684"/>
      <c r="BRT35" s="684"/>
      <c r="BRU35" s="684"/>
      <c r="BRV35" s="684"/>
      <c r="BRW35" s="684"/>
      <c r="BRX35" s="684"/>
      <c r="BRY35" s="684"/>
      <c r="BRZ35" s="684"/>
      <c r="BSA35" s="684"/>
      <c r="BSB35" s="684"/>
      <c r="BSC35" s="684"/>
      <c r="BSD35" s="684"/>
      <c r="BSE35" s="684"/>
      <c r="BSF35" s="684"/>
      <c r="BSG35" s="684"/>
      <c r="BSH35" s="684"/>
      <c r="BSI35" s="684"/>
      <c r="BSJ35" s="684"/>
      <c r="BSK35" s="684"/>
      <c r="BSL35" s="684"/>
      <c r="BSM35" s="684"/>
      <c r="BSN35" s="684"/>
      <c r="BSO35" s="684"/>
      <c r="BSP35" s="684"/>
      <c r="BSQ35" s="684"/>
      <c r="BSR35" s="684"/>
      <c r="BSS35" s="684"/>
      <c r="BST35" s="684"/>
      <c r="BSU35" s="684"/>
      <c r="BSV35" s="684"/>
      <c r="BSW35" s="684"/>
      <c r="BSX35" s="684"/>
      <c r="BSY35" s="684"/>
      <c r="BSZ35" s="684"/>
      <c r="BTA35" s="684"/>
      <c r="BTB35" s="684"/>
      <c r="BTC35" s="684"/>
      <c r="BTD35" s="684"/>
      <c r="BTE35" s="684"/>
      <c r="BTF35" s="684"/>
      <c r="BTG35" s="684"/>
      <c r="BTH35" s="684"/>
      <c r="BTI35" s="684"/>
      <c r="BTJ35" s="684"/>
      <c r="BTK35" s="684"/>
      <c r="BTL35" s="684"/>
      <c r="BTM35" s="684"/>
      <c r="BTN35" s="684"/>
      <c r="BTO35" s="684"/>
      <c r="BTP35" s="684"/>
      <c r="BTQ35" s="684"/>
      <c r="BTR35" s="684"/>
      <c r="BTS35" s="684"/>
      <c r="BTT35" s="684"/>
      <c r="BTU35" s="684"/>
      <c r="BTV35" s="684"/>
      <c r="BTW35" s="684"/>
      <c r="BTX35" s="684"/>
      <c r="BTY35" s="684"/>
      <c r="BTZ35" s="684"/>
      <c r="BUA35" s="684"/>
      <c r="BUB35" s="684"/>
      <c r="BUC35" s="684"/>
      <c r="BUD35" s="684"/>
      <c r="BUE35" s="684"/>
      <c r="BUF35" s="684"/>
      <c r="BUG35" s="684"/>
      <c r="BUH35" s="684"/>
      <c r="BUI35" s="684"/>
      <c r="BUJ35" s="684"/>
      <c r="BUK35" s="684"/>
      <c r="BUL35" s="684"/>
      <c r="BUM35" s="684"/>
      <c r="BUN35" s="684"/>
      <c r="BUO35" s="684"/>
      <c r="BUP35" s="684"/>
      <c r="BUQ35" s="684"/>
      <c r="BUR35" s="684"/>
      <c r="BUS35" s="684"/>
      <c r="BUT35" s="684"/>
      <c r="BUU35" s="684"/>
      <c r="BUV35" s="684"/>
      <c r="BUW35" s="684"/>
      <c r="BUX35" s="684"/>
      <c r="BUY35" s="684"/>
      <c r="BUZ35" s="684"/>
      <c r="BVA35" s="684"/>
      <c r="BVB35" s="684"/>
      <c r="BVC35" s="684"/>
      <c r="BVD35" s="684"/>
      <c r="BVE35" s="684"/>
      <c r="BVF35" s="684"/>
      <c r="BVG35" s="684"/>
      <c r="BVH35" s="684"/>
      <c r="BVI35" s="684"/>
      <c r="BVJ35" s="684"/>
      <c r="BVK35" s="684"/>
      <c r="BVL35" s="684"/>
      <c r="BVM35" s="684"/>
      <c r="BVN35" s="684"/>
      <c r="BVO35" s="684"/>
      <c r="BVP35" s="684"/>
      <c r="BVQ35" s="684"/>
      <c r="BVR35" s="684"/>
      <c r="BVS35" s="684"/>
      <c r="BVT35" s="684"/>
      <c r="BVU35" s="684"/>
      <c r="BVV35" s="684"/>
      <c r="BVW35" s="684"/>
      <c r="BVX35" s="684"/>
      <c r="BVY35" s="684"/>
      <c r="BVZ35" s="684"/>
      <c r="BWA35" s="684"/>
      <c r="BWB35" s="684"/>
      <c r="BWC35" s="684"/>
      <c r="BWD35" s="684"/>
      <c r="BWE35" s="684"/>
      <c r="BWF35" s="684"/>
      <c r="BWG35" s="684"/>
      <c r="BWH35" s="684"/>
      <c r="BWI35" s="684"/>
      <c r="BWJ35" s="684"/>
      <c r="BWK35" s="684"/>
      <c r="BWL35" s="684"/>
      <c r="BWM35" s="684"/>
      <c r="BWN35" s="684"/>
      <c r="BWO35" s="684"/>
      <c r="BWP35" s="684"/>
      <c r="BWQ35" s="684"/>
      <c r="BWR35" s="684"/>
      <c r="BWS35" s="684"/>
      <c r="BWT35" s="684"/>
      <c r="BWU35" s="684"/>
      <c r="BWV35" s="684"/>
      <c r="BWW35" s="684"/>
      <c r="BWX35" s="684"/>
      <c r="BWY35" s="684"/>
      <c r="BWZ35" s="684"/>
      <c r="BXA35" s="684"/>
      <c r="BXB35" s="684"/>
      <c r="BXC35" s="684"/>
      <c r="BXD35" s="684"/>
      <c r="BXE35" s="684"/>
      <c r="BXF35" s="684"/>
      <c r="BXG35" s="684"/>
      <c r="BXH35" s="684"/>
      <c r="BXI35" s="684"/>
      <c r="BXJ35" s="684"/>
      <c r="BXK35" s="684"/>
      <c r="BXL35" s="684"/>
      <c r="BXM35" s="684"/>
      <c r="BXN35" s="684"/>
      <c r="BXO35" s="684"/>
      <c r="BXP35" s="684"/>
      <c r="BXQ35" s="684"/>
      <c r="BXR35" s="684"/>
      <c r="BXS35" s="684"/>
      <c r="BXT35" s="684"/>
      <c r="BXU35" s="684"/>
      <c r="BXV35" s="684"/>
      <c r="BXW35" s="684"/>
      <c r="BXX35" s="684"/>
      <c r="BXY35" s="684"/>
      <c r="BXZ35" s="684"/>
      <c r="BYA35" s="684"/>
      <c r="BYB35" s="684"/>
      <c r="BYC35" s="684"/>
      <c r="BYD35" s="684"/>
      <c r="BYE35" s="684"/>
      <c r="BYF35" s="684"/>
      <c r="BYG35" s="684"/>
      <c r="BYH35" s="684"/>
      <c r="BYI35" s="684"/>
      <c r="BYJ35" s="684"/>
      <c r="BYK35" s="684"/>
      <c r="BYL35" s="684"/>
      <c r="BYM35" s="684"/>
      <c r="BYN35" s="684"/>
      <c r="BYO35" s="684"/>
      <c r="BYP35" s="684"/>
      <c r="BYQ35" s="684"/>
      <c r="BYR35" s="684"/>
      <c r="BYS35" s="684"/>
      <c r="BYT35" s="684"/>
      <c r="BYU35" s="684"/>
      <c r="BYV35" s="684"/>
      <c r="BYW35" s="684"/>
      <c r="BYX35" s="684"/>
      <c r="BYY35" s="684"/>
      <c r="BYZ35" s="684"/>
      <c r="BZA35" s="684"/>
      <c r="BZB35" s="684"/>
      <c r="BZC35" s="684"/>
      <c r="BZD35" s="684"/>
      <c r="BZE35" s="684"/>
      <c r="BZF35" s="684"/>
      <c r="BZG35" s="684"/>
      <c r="BZH35" s="684"/>
      <c r="BZI35" s="684"/>
      <c r="BZJ35" s="684"/>
      <c r="BZK35" s="684"/>
      <c r="BZL35" s="684"/>
      <c r="BZM35" s="684"/>
      <c r="BZN35" s="684"/>
      <c r="BZO35" s="684"/>
      <c r="BZP35" s="684"/>
      <c r="BZQ35" s="684"/>
      <c r="BZR35" s="684"/>
      <c r="BZS35" s="684"/>
      <c r="BZT35" s="684"/>
      <c r="BZU35" s="684"/>
      <c r="BZV35" s="684"/>
      <c r="BZW35" s="684"/>
      <c r="BZX35" s="684"/>
      <c r="BZY35" s="684"/>
      <c r="BZZ35" s="684"/>
      <c r="CAA35" s="684"/>
      <c r="CAB35" s="684"/>
      <c r="CAC35" s="684"/>
      <c r="CAD35" s="684"/>
      <c r="CAE35" s="684"/>
      <c r="CAF35" s="684"/>
      <c r="CAG35" s="684"/>
      <c r="CAH35" s="684"/>
      <c r="CAI35" s="684"/>
      <c r="CAJ35" s="684"/>
      <c r="CAK35" s="684"/>
      <c r="CAL35" s="684"/>
      <c r="CAM35" s="684"/>
      <c r="CAN35" s="684"/>
      <c r="CAO35" s="684"/>
      <c r="CAP35" s="684"/>
      <c r="CAQ35" s="684"/>
      <c r="CAR35" s="684"/>
      <c r="CAS35" s="684"/>
      <c r="CAT35" s="684"/>
      <c r="CAU35" s="684"/>
      <c r="CAV35" s="684"/>
      <c r="CAW35" s="684"/>
      <c r="CAX35" s="684"/>
      <c r="CAY35" s="684"/>
      <c r="CAZ35" s="684"/>
      <c r="CBA35" s="684"/>
      <c r="CBB35" s="684"/>
      <c r="CBC35" s="684"/>
      <c r="CBD35" s="684"/>
      <c r="CBE35" s="684"/>
      <c r="CBF35" s="684"/>
      <c r="CBG35" s="684"/>
      <c r="CBH35" s="684"/>
      <c r="CBI35" s="684"/>
      <c r="CBJ35" s="684"/>
      <c r="CBK35" s="684"/>
      <c r="CBL35" s="684"/>
      <c r="CBM35" s="684"/>
      <c r="CBN35" s="684"/>
      <c r="CBO35" s="684"/>
      <c r="CBP35" s="684"/>
      <c r="CBQ35" s="684"/>
      <c r="CBR35" s="684"/>
      <c r="CBS35" s="684"/>
      <c r="CBT35" s="684"/>
      <c r="CBU35" s="684"/>
      <c r="CBV35" s="684"/>
      <c r="CBW35" s="684"/>
      <c r="CBX35" s="684"/>
      <c r="CBY35" s="684"/>
      <c r="CBZ35" s="684"/>
      <c r="CCA35" s="684"/>
      <c r="CCB35" s="684"/>
      <c r="CCC35" s="684"/>
      <c r="CCD35" s="684"/>
      <c r="CCE35" s="684"/>
      <c r="CCF35" s="684"/>
      <c r="CCG35" s="684"/>
      <c r="CCH35" s="684"/>
      <c r="CCI35" s="684"/>
      <c r="CCJ35" s="684"/>
      <c r="CCK35" s="684"/>
      <c r="CCL35" s="684"/>
      <c r="CCM35" s="684"/>
      <c r="CCN35" s="684"/>
      <c r="CCO35" s="684"/>
      <c r="CCP35" s="684"/>
      <c r="CCQ35" s="684"/>
      <c r="CCR35" s="684"/>
      <c r="CCS35" s="684"/>
      <c r="CCT35" s="684"/>
      <c r="CCU35" s="684"/>
      <c r="CCV35" s="684"/>
      <c r="CCW35" s="684"/>
      <c r="CCX35" s="684"/>
      <c r="CCY35" s="684"/>
      <c r="CCZ35" s="684"/>
      <c r="CDA35" s="684"/>
      <c r="CDB35" s="684"/>
      <c r="CDC35" s="684"/>
      <c r="CDD35" s="684"/>
      <c r="CDE35" s="684"/>
      <c r="CDF35" s="684"/>
      <c r="CDG35" s="684"/>
      <c r="CDH35" s="684"/>
      <c r="CDI35" s="684"/>
      <c r="CDJ35" s="684"/>
      <c r="CDK35" s="684"/>
      <c r="CDL35" s="684"/>
      <c r="CDM35" s="684"/>
      <c r="CDN35" s="684"/>
      <c r="CDO35" s="684"/>
      <c r="CDP35" s="684"/>
      <c r="CDQ35" s="684"/>
      <c r="CDR35" s="684"/>
      <c r="CDS35" s="684"/>
      <c r="CDT35" s="684"/>
      <c r="CDU35" s="684"/>
      <c r="CDV35" s="684"/>
      <c r="CDW35" s="684"/>
      <c r="CDX35" s="684"/>
      <c r="CDY35" s="684"/>
      <c r="CDZ35" s="684"/>
      <c r="CEA35" s="684"/>
      <c r="CEB35" s="684"/>
      <c r="CEC35" s="684"/>
      <c r="CED35" s="684"/>
      <c r="CEE35" s="684"/>
      <c r="CEF35" s="684"/>
      <c r="CEG35" s="684"/>
      <c r="CEH35" s="684"/>
      <c r="CEI35" s="684"/>
      <c r="CEJ35" s="684"/>
      <c r="CEK35" s="684"/>
      <c r="CEL35" s="684"/>
      <c r="CEM35" s="684"/>
      <c r="CEN35" s="684"/>
      <c r="CEO35" s="684"/>
      <c r="CEP35" s="684"/>
      <c r="CEQ35" s="684"/>
      <c r="CER35" s="684"/>
      <c r="CES35" s="684"/>
      <c r="CET35" s="684"/>
      <c r="CEU35" s="684"/>
      <c r="CEV35" s="684"/>
      <c r="CEW35" s="684"/>
      <c r="CEX35" s="684"/>
      <c r="CEY35" s="684"/>
      <c r="CEZ35" s="684"/>
      <c r="CFA35" s="684"/>
      <c r="CFB35" s="684"/>
      <c r="CFC35" s="684"/>
      <c r="CFD35" s="684"/>
      <c r="CFE35" s="684"/>
      <c r="CFF35" s="684"/>
      <c r="CFG35" s="684"/>
      <c r="CFH35" s="684"/>
      <c r="CFI35" s="684"/>
      <c r="CFJ35" s="684"/>
      <c r="CFK35" s="684"/>
      <c r="CFL35" s="684"/>
      <c r="CFM35" s="684"/>
      <c r="CFN35" s="684"/>
      <c r="CFO35" s="684"/>
      <c r="CFP35" s="684"/>
      <c r="CFQ35" s="684"/>
      <c r="CFR35" s="684"/>
      <c r="CFS35" s="684"/>
      <c r="CFT35" s="684"/>
      <c r="CFU35" s="684"/>
      <c r="CFV35" s="684"/>
      <c r="CFW35" s="684"/>
      <c r="CFX35" s="684"/>
      <c r="CFY35" s="684"/>
      <c r="CFZ35" s="684"/>
      <c r="CGA35" s="684"/>
      <c r="CGB35" s="684"/>
      <c r="CGC35" s="684"/>
      <c r="CGD35" s="684"/>
      <c r="CGE35" s="684"/>
      <c r="CGF35" s="684"/>
      <c r="CGG35" s="684"/>
      <c r="CGH35" s="684"/>
      <c r="CGI35" s="684"/>
      <c r="CGJ35" s="684"/>
      <c r="CGK35" s="684"/>
      <c r="CGL35" s="684"/>
      <c r="CGM35" s="684"/>
      <c r="CGN35" s="684"/>
      <c r="CGO35" s="684"/>
      <c r="CGP35" s="684"/>
      <c r="CGQ35" s="684"/>
      <c r="CGR35" s="684"/>
      <c r="CGS35" s="684"/>
      <c r="CGT35" s="684"/>
      <c r="CGU35" s="684"/>
      <c r="CGV35" s="684"/>
      <c r="CGW35" s="684"/>
      <c r="CGX35" s="684"/>
      <c r="CGY35" s="684"/>
      <c r="CGZ35" s="684"/>
      <c r="CHA35" s="684"/>
      <c r="CHB35" s="684"/>
      <c r="CHC35" s="684"/>
      <c r="CHD35" s="684"/>
      <c r="CHE35" s="684"/>
      <c r="CHF35" s="684"/>
      <c r="CHG35" s="684"/>
      <c r="CHH35" s="684"/>
      <c r="CHI35" s="684"/>
      <c r="CHJ35" s="684"/>
      <c r="CHK35" s="684"/>
      <c r="CHL35" s="684"/>
      <c r="CHM35" s="684"/>
      <c r="CHN35" s="684"/>
      <c r="CHO35" s="684"/>
      <c r="CHP35" s="684"/>
      <c r="CHQ35" s="684"/>
      <c r="CHR35" s="684"/>
      <c r="CHS35" s="684"/>
      <c r="CHT35" s="684"/>
      <c r="CHU35" s="684"/>
      <c r="CHV35" s="684"/>
      <c r="CHW35" s="684"/>
      <c r="CHX35" s="684"/>
      <c r="CHY35" s="684"/>
      <c r="CHZ35" s="684"/>
      <c r="CIA35" s="684"/>
      <c r="CIB35" s="684"/>
      <c r="CIC35" s="684"/>
      <c r="CID35" s="684"/>
      <c r="CIE35" s="684"/>
      <c r="CIF35" s="684"/>
      <c r="CIG35" s="684"/>
      <c r="CIH35" s="684"/>
      <c r="CII35" s="684"/>
      <c r="CIJ35" s="684"/>
      <c r="CIK35" s="684"/>
      <c r="CIL35" s="684"/>
      <c r="CIM35" s="684"/>
      <c r="CIN35" s="684"/>
      <c r="CIO35" s="684"/>
      <c r="CIP35" s="684"/>
      <c r="CIQ35" s="684"/>
      <c r="CIR35" s="684"/>
      <c r="CIS35" s="684"/>
      <c r="CIT35" s="684"/>
      <c r="CIU35" s="684"/>
      <c r="CIV35" s="684"/>
      <c r="CIW35" s="684"/>
      <c r="CIX35" s="684"/>
      <c r="CIY35" s="684"/>
      <c r="CIZ35" s="684"/>
      <c r="CJA35" s="684"/>
      <c r="CJB35" s="684"/>
      <c r="CJC35" s="684"/>
      <c r="CJD35" s="684"/>
      <c r="CJE35" s="684"/>
      <c r="CJF35" s="684"/>
      <c r="CJG35" s="684"/>
      <c r="CJH35" s="684"/>
      <c r="CJI35" s="684"/>
      <c r="CJJ35" s="684"/>
      <c r="CJK35" s="684"/>
      <c r="CJL35" s="684"/>
      <c r="CJM35" s="684"/>
      <c r="CJN35" s="684"/>
      <c r="CJO35" s="684"/>
      <c r="CJP35" s="684"/>
      <c r="CJQ35" s="684"/>
      <c r="CJR35" s="684"/>
      <c r="CJS35" s="684"/>
      <c r="CJT35" s="684"/>
      <c r="CJU35" s="684"/>
      <c r="CJV35" s="684"/>
      <c r="CJW35" s="684"/>
      <c r="CJX35" s="684"/>
      <c r="CJY35" s="684"/>
      <c r="CJZ35" s="684"/>
      <c r="CKA35" s="684"/>
      <c r="CKB35" s="684"/>
      <c r="CKC35" s="684"/>
      <c r="CKD35" s="684"/>
      <c r="CKE35" s="684"/>
      <c r="CKF35" s="684"/>
      <c r="CKG35" s="684"/>
      <c r="CKH35" s="684"/>
      <c r="CKI35" s="684"/>
      <c r="CKJ35" s="684"/>
      <c r="CKK35" s="684"/>
      <c r="CKL35" s="684"/>
      <c r="CKM35" s="684"/>
      <c r="CKN35" s="684"/>
      <c r="CKO35" s="684"/>
      <c r="CKP35" s="684"/>
      <c r="CKQ35" s="684"/>
      <c r="CKR35" s="684"/>
      <c r="CKS35" s="684"/>
      <c r="CKT35" s="684"/>
      <c r="CKU35" s="684"/>
      <c r="CKV35" s="684"/>
      <c r="CKW35" s="684"/>
      <c r="CKX35" s="684"/>
      <c r="CKY35" s="684"/>
      <c r="CKZ35" s="684"/>
      <c r="CLA35" s="684"/>
      <c r="CLB35" s="684"/>
      <c r="CLC35" s="684"/>
      <c r="CLD35" s="684"/>
      <c r="CLE35" s="684"/>
      <c r="CLF35" s="684"/>
      <c r="CLG35" s="684"/>
      <c r="CLH35" s="684"/>
      <c r="CLI35" s="684"/>
      <c r="CLJ35" s="684"/>
      <c r="CLK35" s="684"/>
      <c r="CLL35" s="684"/>
      <c r="CLM35" s="684"/>
      <c r="CLN35" s="684"/>
      <c r="CLO35" s="684"/>
      <c r="CLP35" s="684"/>
      <c r="CLQ35" s="684"/>
      <c r="CLR35" s="684"/>
      <c r="CLS35" s="684"/>
      <c r="CLT35" s="684"/>
      <c r="CLU35" s="684"/>
      <c r="CLV35" s="684"/>
      <c r="CLW35" s="684"/>
      <c r="CLX35" s="684"/>
      <c r="CLY35" s="684"/>
      <c r="CLZ35" s="684"/>
      <c r="CMA35" s="684"/>
      <c r="CMB35" s="684"/>
      <c r="CMC35" s="684"/>
      <c r="CMD35" s="684"/>
      <c r="CME35" s="684"/>
      <c r="CMF35" s="684"/>
      <c r="CMG35" s="684"/>
      <c r="CMH35" s="684"/>
      <c r="CMI35" s="684"/>
      <c r="CMJ35" s="684"/>
      <c r="CMK35" s="684"/>
      <c r="CML35" s="684"/>
      <c r="CMM35" s="684"/>
      <c r="CMN35" s="684"/>
      <c r="CMO35" s="684"/>
      <c r="CMP35" s="684"/>
      <c r="CMQ35" s="684"/>
      <c r="CMR35" s="684"/>
      <c r="CMS35" s="684"/>
      <c r="CMT35" s="684"/>
      <c r="CMU35" s="684"/>
      <c r="CMV35" s="684"/>
      <c r="CMW35" s="684"/>
      <c r="CMX35" s="684"/>
      <c r="CMY35" s="684"/>
      <c r="CMZ35" s="684"/>
      <c r="CNA35" s="684"/>
      <c r="CNB35" s="684"/>
      <c r="CNC35" s="684"/>
      <c r="CND35" s="684"/>
      <c r="CNE35" s="684"/>
      <c r="CNF35" s="684"/>
      <c r="CNG35" s="684"/>
      <c r="CNH35" s="684"/>
      <c r="CNI35" s="684"/>
      <c r="CNJ35" s="684"/>
      <c r="CNK35" s="684"/>
      <c r="CNL35" s="684"/>
      <c r="CNM35" s="684"/>
      <c r="CNN35" s="684"/>
      <c r="CNO35" s="684"/>
      <c r="CNP35" s="684"/>
      <c r="CNQ35" s="684"/>
      <c r="CNR35" s="684"/>
      <c r="CNS35" s="684"/>
      <c r="CNT35" s="684"/>
      <c r="CNU35" s="684"/>
      <c r="CNV35" s="684"/>
      <c r="CNW35" s="684"/>
      <c r="CNX35" s="684"/>
      <c r="CNY35" s="684"/>
      <c r="CNZ35" s="684"/>
      <c r="COA35" s="684"/>
      <c r="COB35" s="684"/>
      <c r="COC35" s="684"/>
      <c r="COD35" s="684"/>
      <c r="COE35" s="684"/>
      <c r="COF35" s="684"/>
      <c r="COG35" s="684"/>
      <c r="COH35" s="684"/>
      <c r="COI35" s="684"/>
      <c r="COJ35" s="684"/>
      <c r="COK35" s="684"/>
      <c r="COL35" s="684"/>
      <c r="COM35" s="684"/>
      <c r="CON35" s="684"/>
      <c r="COO35" s="684"/>
      <c r="COP35" s="684"/>
      <c r="COQ35" s="684"/>
      <c r="COR35" s="684"/>
      <c r="COS35" s="684"/>
      <c r="COT35" s="684"/>
      <c r="COU35" s="684"/>
      <c r="COV35" s="684"/>
      <c r="COW35" s="684"/>
      <c r="COX35" s="684"/>
      <c r="COY35" s="684"/>
      <c r="COZ35" s="684"/>
      <c r="CPA35" s="684"/>
      <c r="CPB35" s="684"/>
      <c r="CPC35" s="684"/>
      <c r="CPD35" s="684"/>
      <c r="CPE35" s="684"/>
      <c r="CPF35" s="684"/>
      <c r="CPG35" s="684"/>
      <c r="CPH35" s="684"/>
      <c r="CPI35" s="684"/>
      <c r="CPJ35" s="684"/>
      <c r="CPK35" s="684"/>
      <c r="CPL35" s="684"/>
      <c r="CPM35" s="684"/>
      <c r="CPN35" s="684"/>
      <c r="CPO35" s="684"/>
      <c r="CPP35" s="684"/>
      <c r="CPQ35" s="684"/>
      <c r="CPR35" s="684"/>
      <c r="CPS35" s="684"/>
      <c r="CPT35" s="684"/>
      <c r="CPU35" s="684"/>
      <c r="CPV35" s="684"/>
      <c r="CPW35" s="684"/>
      <c r="CPX35" s="684"/>
      <c r="CPY35" s="684"/>
      <c r="CPZ35" s="684"/>
      <c r="CQA35" s="684"/>
      <c r="CQB35" s="684"/>
      <c r="CQC35" s="684"/>
      <c r="CQD35" s="684"/>
      <c r="CQE35" s="684"/>
      <c r="CQF35" s="684"/>
      <c r="CQG35" s="684"/>
      <c r="CQH35" s="684"/>
      <c r="CQI35" s="684"/>
      <c r="CQJ35" s="684"/>
      <c r="CQK35" s="684"/>
      <c r="CQL35" s="684"/>
      <c r="CQM35" s="684"/>
      <c r="CQN35" s="684"/>
      <c r="CQO35" s="684"/>
      <c r="CQP35" s="684"/>
      <c r="CQQ35" s="684"/>
      <c r="CQR35" s="684"/>
      <c r="CQS35" s="684"/>
      <c r="CQT35" s="684"/>
      <c r="CQU35" s="684"/>
      <c r="CQV35" s="684"/>
      <c r="CQW35" s="684"/>
      <c r="CQX35" s="684"/>
      <c r="CQY35" s="684"/>
      <c r="CQZ35" s="684"/>
      <c r="CRA35" s="684"/>
      <c r="CRB35" s="684"/>
      <c r="CRC35" s="684"/>
      <c r="CRD35" s="684"/>
      <c r="CRE35" s="684"/>
      <c r="CRF35" s="684"/>
      <c r="CRG35" s="684"/>
      <c r="CRH35" s="684"/>
      <c r="CRI35" s="684"/>
      <c r="CRJ35" s="684"/>
      <c r="CRK35" s="684"/>
      <c r="CRL35" s="684"/>
      <c r="CRM35" s="684"/>
      <c r="CRN35" s="684"/>
      <c r="CRO35" s="684"/>
      <c r="CRP35" s="684"/>
      <c r="CRQ35" s="684"/>
      <c r="CRR35" s="684"/>
      <c r="CRS35" s="684"/>
      <c r="CRT35" s="684"/>
      <c r="CRU35" s="684"/>
      <c r="CRV35" s="684"/>
      <c r="CRW35" s="684"/>
      <c r="CRX35" s="684"/>
      <c r="CRY35" s="684"/>
      <c r="CRZ35" s="684"/>
      <c r="CSA35" s="684"/>
      <c r="CSB35" s="684"/>
      <c r="CSC35" s="684"/>
      <c r="CSD35" s="684"/>
      <c r="CSE35" s="684"/>
      <c r="CSF35" s="684"/>
      <c r="CSG35" s="684"/>
      <c r="CSH35" s="684"/>
      <c r="CSI35" s="684"/>
      <c r="CSJ35" s="684"/>
      <c r="CSK35" s="684"/>
      <c r="CSL35" s="684"/>
      <c r="CSM35" s="684"/>
      <c r="CSN35" s="684"/>
      <c r="CSO35" s="684"/>
      <c r="CSP35" s="684"/>
      <c r="CSQ35" s="684"/>
      <c r="CSR35" s="684"/>
      <c r="CSS35" s="684"/>
      <c r="CST35" s="684"/>
      <c r="CSU35" s="684"/>
      <c r="CSV35" s="684"/>
      <c r="CSW35" s="684"/>
      <c r="CSX35" s="684"/>
      <c r="CSY35" s="684"/>
      <c r="CSZ35" s="684"/>
      <c r="CTA35" s="684"/>
      <c r="CTB35" s="684"/>
      <c r="CTC35" s="684"/>
      <c r="CTD35" s="684"/>
      <c r="CTE35" s="684"/>
      <c r="CTF35" s="684"/>
      <c r="CTG35" s="684"/>
      <c r="CTH35" s="684"/>
      <c r="CTI35" s="684"/>
      <c r="CTJ35" s="684"/>
      <c r="CTK35" s="684"/>
      <c r="CTL35" s="684"/>
      <c r="CTM35" s="684"/>
      <c r="CTN35" s="684"/>
      <c r="CTO35" s="684"/>
      <c r="CTP35" s="684"/>
      <c r="CTQ35" s="684"/>
      <c r="CTR35" s="684"/>
      <c r="CTS35" s="684"/>
      <c r="CTT35" s="684"/>
      <c r="CTU35" s="684"/>
      <c r="CTV35" s="684"/>
      <c r="CTW35" s="684"/>
      <c r="CTX35" s="684"/>
      <c r="CTY35" s="684"/>
      <c r="CTZ35" s="684"/>
      <c r="CUA35" s="684"/>
      <c r="CUB35" s="684"/>
      <c r="CUC35" s="684"/>
      <c r="CUD35" s="684"/>
      <c r="CUE35" s="684"/>
      <c r="CUF35" s="684"/>
      <c r="CUG35" s="684"/>
      <c r="CUH35" s="684"/>
      <c r="CUI35" s="684"/>
      <c r="CUJ35" s="684"/>
      <c r="CUK35" s="684"/>
      <c r="CUL35" s="684"/>
      <c r="CUM35" s="684"/>
      <c r="CUN35" s="684"/>
      <c r="CUO35" s="684"/>
      <c r="CUP35" s="684"/>
      <c r="CUQ35" s="684"/>
      <c r="CUR35" s="684"/>
      <c r="CUS35" s="684"/>
      <c r="CUT35" s="684"/>
      <c r="CUU35" s="684"/>
      <c r="CUV35" s="684"/>
      <c r="CUW35" s="684"/>
      <c r="CUX35" s="684"/>
      <c r="CUY35" s="684"/>
      <c r="CUZ35" s="684"/>
      <c r="CVA35" s="684"/>
      <c r="CVB35" s="684"/>
      <c r="CVC35" s="684"/>
      <c r="CVD35" s="684"/>
      <c r="CVE35" s="684"/>
      <c r="CVF35" s="684"/>
      <c r="CVG35" s="684"/>
      <c r="CVH35" s="684"/>
      <c r="CVI35" s="684"/>
      <c r="CVJ35" s="684"/>
      <c r="CVK35" s="684"/>
      <c r="CVL35" s="684"/>
      <c r="CVM35" s="684"/>
      <c r="CVN35" s="684"/>
      <c r="CVO35" s="684"/>
      <c r="CVP35" s="684"/>
      <c r="CVQ35" s="684"/>
      <c r="CVR35" s="684"/>
      <c r="CVS35" s="684"/>
      <c r="CVT35" s="684"/>
      <c r="CVU35" s="684"/>
      <c r="CVV35" s="684"/>
      <c r="CVW35" s="684"/>
      <c r="CVX35" s="684"/>
      <c r="CVY35" s="684"/>
      <c r="CVZ35" s="684"/>
      <c r="CWA35" s="684"/>
      <c r="CWB35" s="684"/>
      <c r="CWC35" s="684"/>
      <c r="CWD35" s="684"/>
      <c r="CWE35" s="684"/>
      <c r="CWF35" s="684"/>
      <c r="CWG35" s="684"/>
      <c r="CWH35" s="684"/>
      <c r="CWI35" s="684"/>
      <c r="CWJ35" s="684"/>
      <c r="CWK35" s="684"/>
      <c r="CWL35" s="684"/>
      <c r="CWM35" s="684"/>
      <c r="CWN35" s="684"/>
      <c r="CWO35" s="684"/>
      <c r="CWP35" s="684"/>
      <c r="CWQ35" s="684"/>
      <c r="CWR35" s="684"/>
      <c r="CWS35" s="684"/>
      <c r="CWT35" s="684"/>
      <c r="CWU35" s="684"/>
      <c r="CWV35" s="684"/>
      <c r="CWW35" s="684"/>
      <c r="CWX35" s="684"/>
      <c r="CWY35" s="684"/>
      <c r="CWZ35" s="684"/>
      <c r="CXA35" s="684"/>
      <c r="CXB35" s="684"/>
      <c r="CXC35" s="684"/>
      <c r="CXD35" s="684"/>
      <c r="CXE35" s="684"/>
      <c r="CXF35" s="684"/>
      <c r="CXG35" s="684"/>
      <c r="CXH35" s="684"/>
      <c r="CXI35" s="684"/>
      <c r="CXJ35" s="684"/>
      <c r="CXK35" s="684"/>
      <c r="CXL35" s="684"/>
      <c r="CXM35" s="684"/>
      <c r="CXN35" s="684"/>
      <c r="CXO35" s="684"/>
      <c r="CXP35" s="684"/>
      <c r="CXQ35" s="684"/>
      <c r="CXR35" s="684"/>
      <c r="CXS35" s="684"/>
      <c r="CXT35" s="684"/>
      <c r="CXU35" s="684"/>
      <c r="CXV35" s="684"/>
      <c r="CXW35" s="684"/>
      <c r="CXX35" s="684"/>
      <c r="CXY35" s="684"/>
      <c r="CXZ35" s="684"/>
      <c r="CYA35" s="684"/>
      <c r="CYB35" s="684"/>
      <c r="CYC35" s="684"/>
      <c r="CYD35" s="684"/>
      <c r="CYE35" s="684"/>
      <c r="CYF35" s="684"/>
      <c r="CYG35" s="684"/>
      <c r="CYH35" s="684"/>
      <c r="CYI35" s="684"/>
      <c r="CYJ35" s="684"/>
      <c r="CYK35" s="684"/>
      <c r="CYL35" s="684"/>
      <c r="CYM35" s="684"/>
      <c r="CYN35" s="684"/>
      <c r="CYO35" s="684"/>
      <c r="CYP35" s="684"/>
      <c r="CYQ35" s="684"/>
      <c r="CYR35" s="684"/>
      <c r="CYS35" s="684"/>
      <c r="CYT35" s="684"/>
      <c r="CYU35" s="684"/>
      <c r="CYV35" s="684"/>
      <c r="CYW35" s="684"/>
      <c r="CYX35" s="684"/>
      <c r="CYY35" s="684"/>
      <c r="CYZ35" s="684"/>
      <c r="CZA35" s="684"/>
      <c r="CZB35" s="684"/>
      <c r="CZC35" s="684"/>
      <c r="CZD35" s="684"/>
      <c r="CZE35" s="684"/>
      <c r="CZF35" s="684"/>
      <c r="CZG35" s="684"/>
      <c r="CZH35" s="684"/>
      <c r="CZI35" s="684"/>
      <c r="CZJ35" s="684"/>
      <c r="CZK35" s="684"/>
      <c r="CZL35" s="684"/>
      <c r="CZM35" s="684"/>
      <c r="CZN35" s="684"/>
      <c r="CZO35" s="684"/>
      <c r="CZP35" s="684"/>
      <c r="CZQ35" s="684"/>
      <c r="CZR35" s="684"/>
      <c r="CZS35" s="684"/>
      <c r="CZT35" s="684"/>
      <c r="CZU35" s="684"/>
      <c r="CZV35" s="684"/>
      <c r="CZW35" s="684"/>
      <c r="CZX35" s="684"/>
      <c r="CZY35" s="684"/>
      <c r="CZZ35" s="684"/>
      <c r="DAA35" s="684"/>
      <c r="DAB35" s="684"/>
      <c r="DAC35" s="684"/>
      <c r="DAD35" s="684"/>
      <c r="DAE35" s="684"/>
      <c r="DAF35" s="684"/>
      <c r="DAG35" s="684"/>
      <c r="DAH35" s="684"/>
      <c r="DAI35" s="684"/>
      <c r="DAJ35" s="684"/>
      <c r="DAK35" s="684"/>
      <c r="DAL35" s="684"/>
      <c r="DAM35" s="684"/>
      <c r="DAN35" s="684"/>
      <c r="DAO35" s="684"/>
      <c r="DAP35" s="684"/>
      <c r="DAQ35" s="684"/>
      <c r="DAR35" s="684"/>
      <c r="DAS35" s="684"/>
      <c r="DAT35" s="684"/>
      <c r="DAU35" s="684"/>
      <c r="DAV35" s="684"/>
      <c r="DAW35" s="684"/>
      <c r="DAX35" s="684"/>
      <c r="DAY35" s="684"/>
      <c r="DAZ35" s="684"/>
      <c r="DBA35" s="684"/>
      <c r="DBB35" s="684"/>
      <c r="DBC35" s="684"/>
      <c r="DBD35" s="684"/>
      <c r="DBE35" s="684"/>
      <c r="DBF35" s="684"/>
      <c r="DBG35" s="684"/>
      <c r="DBH35" s="684"/>
      <c r="DBI35" s="684"/>
      <c r="DBJ35" s="684"/>
      <c r="DBK35" s="684"/>
      <c r="DBL35" s="684"/>
      <c r="DBM35" s="684"/>
      <c r="DBN35" s="684"/>
      <c r="DBO35" s="684"/>
      <c r="DBP35" s="684"/>
      <c r="DBQ35" s="684"/>
      <c r="DBR35" s="684"/>
      <c r="DBS35" s="684"/>
      <c r="DBT35" s="684"/>
      <c r="DBU35" s="684"/>
      <c r="DBV35" s="684"/>
      <c r="DBW35" s="684"/>
      <c r="DBX35" s="684"/>
      <c r="DBY35" s="684"/>
      <c r="DBZ35" s="684"/>
      <c r="DCA35" s="684"/>
      <c r="DCB35" s="684"/>
      <c r="DCC35" s="684"/>
      <c r="DCD35" s="684"/>
      <c r="DCE35" s="684"/>
      <c r="DCF35" s="684"/>
      <c r="DCG35" s="684"/>
      <c r="DCH35" s="684"/>
      <c r="DCI35" s="684"/>
      <c r="DCJ35" s="684"/>
      <c r="DCK35" s="684"/>
      <c r="DCL35" s="684"/>
      <c r="DCM35" s="684"/>
      <c r="DCN35" s="684"/>
      <c r="DCO35" s="684"/>
      <c r="DCP35" s="684"/>
      <c r="DCQ35" s="684"/>
      <c r="DCR35" s="684"/>
      <c r="DCS35" s="684"/>
      <c r="DCT35" s="684"/>
      <c r="DCU35" s="684"/>
      <c r="DCV35" s="684"/>
      <c r="DCW35" s="684"/>
      <c r="DCX35" s="684"/>
      <c r="DCY35" s="684"/>
      <c r="DCZ35" s="684"/>
      <c r="DDA35" s="684"/>
      <c r="DDB35" s="684"/>
      <c r="DDC35" s="684"/>
      <c r="DDD35" s="684"/>
      <c r="DDE35" s="684"/>
      <c r="DDF35" s="684"/>
      <c r="DDG35" s="684"/>
      <c r="DDH35" s="684"/>
      <c r="DDI35" s="684"/>
      <c r="DDJ35" s="684"/>
      <c r="DDK35" s="684"/>
      <c r="DDL35" s="684"/>
      <c r="DDM35" s="684"/>
      <c r="DDN35" s="684"/>
      <c r="DDO35" s="684"/>
      <c r="DDP35" s="684"/>
      <c r="DDQ35" s="684"/>
      <c r="DDR35" s="684"/>
      <c r="DDS35" s="684"/>
      <c r="DDT35" s="684"/>
      <c r="DDU35" s="684"/>
      <c r="DDV35" s="684"/>
      <c r="DDW35" s="684"/>
      <c r="DDX35" s="684"/>
      <c r="DDY35" s="684"/>
      <c r="DDZ35" s="684"/>
      <c r="DEA35" s="684"/>
      <c r="DEB35" s="684"/>
      <c r="DEC35" s="684"/>
      <c r="DED35" s="684"/>
      <c r="DEE35" s="684"/>
      <c r="DEF35" s="684"/>
      <c r="DEG35" s="684"/>
      <c r="DEH35" s="684"/>
      <c r="DEI35" s="684"/>
      <c r="DEJ35" s="684"/>
      <c r="DEK35" s="684"/>
      <c r="DEL35" s="684"/>
      <c r="DEM35" s="684"/>
      <c r="DEN35" s="684"/>
      <c r="DEO35" s="684"/>
      <c r="DEP35" s="684"/>
      <c r="DEQ35" s="684"/>
      <c r="DER35" s="684"/>
      <c r="DES35" s="684"/>
      <c r="DET35" s="684"/>
      <c r="DEU35" s="684"/>
      <c r="DEV35" s="684"/>
      <c r="DEW35" s="684"/>
      <c r="DEX35" s="684"/>
      <c r="DEY35" s="684"/>
      <c r="DEZ35" s="684"/>
      <c r="DFA35" s="684"/>
      <c r="DFB35" s="684"/>
      <c r="DFC35" s="684"/>
      <c r="DFD35" s="684"/>
      <c r="DFE35" s="684"/>
      <c r="DFF35" s="684"/>
      <c r="DFG35" s="684"/>
      <c r="DFH35" s="684"/>
      <c r="DFI35" s="684"/>
      <c r="DFJ35" s="684"/>
      <c r="DFK35" s="684"/>
      <c r="DFL35" s="684"/>
      <c r="DFM35" s="684"/>
      <c r="DFN35" s="684"/>
      <c r="DFO35" s="684"/>
      <c r="DFP35" s="684"/>
      <c r="DFQ35" s="684"/>
      <c r="DFR35" s="684"/>
      <c r="DFS35" s="684"/>
      <c r="DFT35" s="684"/>
      <c r="DFU35" s="684"/>
      <c r="DFV35" s="684"/>
      <c r="DFW35" s="684"/>
      <c r="DFX35" s="684"/>
      <c r="DFY35" s="684"/>
      <c r="DFZ35" s="684"/>
      <c r="DGA35" s="684"/>
      <c r="DGB35" s="684"/>
      <c r="DGC35" s="684"/>
      <c r="DGD35" s="684"/>
      <c r="DGE35" s="684"/>
      <c r="DGF35" s="684"/>
      <c r="DGG35" s="684"/>
      <c r="DGH35" s="684"/>
      <c r="DGI35" s="684"/>
      <c r="DGJ35" s="684"/>
      <c r="DGK35" s="684"/>
      <c r="DGL35" s="684"/>
      <c r="DGM35" s="684"/>
      <c r="DGN35" s="684"/>
      <c r="DGO35" s="684"/>
      <c r="DGP35" s="684"/>
      <c r="DGQ35" s="684"/>
      <c r="DGR35" s="684"/>
      <c r="DGS35" s="684"/>
      <c r="DGT35" s="684"/>
      <c r="DGU35" s="684"/>
      <c r="DGV35" s="684"/>
      <c r="DGW35" s="684"/>
      <c r="DGX35" s="684"/>
      <c r="DGY35" s="684"/>
      <c r="DGZ35" s="684"/>
      <c r="DHA35" s="684"/>
      <c r="DHB35" s="684"/>
      <c r="DHC35" s="684"/>
      <c r="DHD35" s="684"/>
      <c r="DHE35" s="684"/>
      <c r="DHF35" s="684"/>
      <c r="DHG35" s="684"/>
      <c r="DHH35" s="684"/>
      <c r="DHI35" s="684"/>
      <c r="DHJ35" s="684"/>
      <c r="DHK35" s="684"/>
      <c r="DHL35" s="684"/>
      <c r="DHM35" s="684"/>
      <c r="DHN35" s="684"/>
      <c r="DHO35" s="684"/>
      <c r="DHP35" s="684"/>
      <c r="DHQ35" s="684"/>
      <c r="DHR35" s="684"/>
      <c r="DHS35" s="684"/>
      <c r="DHT35" s="684"/>
      <c r="DHU35" s="684"/>
      <c r="DHV35" s="684"/>
      <c r="DHW35" s="684"/>
      <c r="DHX35" s="684"/>
      <c r="DHY35" s="684"/>
      <c r="DHZ35" s="684"/>
      <c r="DIA35" s="684"/>
      <c r="DIB35" s="684"/>
      <c r="DIC35" s="684"/>
      <c r="DID35" s="684"/>
      <c r="DIE35" s="684"/>
      <c r="DIF35" s="684"/>
      <c r="DIG35" s="684"/>
      <c r="DIH35" s="684"/>
      <c r="DII35" s="684"/>
      <c r="DIJ35" s="684"/>
      <c r="DIK35" s="684"/>
      <c r="DIL35" s="684"/>
      <c r="DIM35" s="684"/>
      <c r="DIN35" s="684"/>
      <c r="DIO35" s="684"/>
      <c r="DIP35" s="684"/>
      <c r="DIQ35" s="684"/>
      <c r="DIR35" s="684"/>
      <c r="DIS35" s="684"/>
      <c r="DIT35" s="684"/>
      <c r="DIU35" s="684"/>
      <c r="DIV35" s="684"/>
      <c r="DIW35" s="684"/>
      <c r="DIX35" s="684"/>
      <c r="DIY35" s="684"/>
      <c r="DIZ35" s="684"/>
      <c r="DJA35" s="684"/>
      <c r="DJB35" s="684"/>
      <c r="DJC35" s="684"/>
      <c r="DJD35" s="684"/>
      <c r="DJE35" s="684"/>
      <c r="DJF35" s="684"/>
      <c r="DJG35" s="684"/>
      <c r="DJH35" s="684"/>
      <c r="DJI35" s="684"/>
      <c r="DJJ35" s="684"/>
      <c r="DJK35" s="684"/>
      <c r="DJL35" s="684"/>
      <c r="DJM35" s="684"/>
      <c r="DJN35" s="684"/>
      <c r="DJO35" s="684"/>
      <c r="DJP35" s="684"/>
      <c r="DJQ35" s="684"/>
      <c r="DJR35" s="684"/>
      <c r="DJS35" s="684"/>
      <c r="DJT35" s="684"/>
      <c r="DJU35" s="684"/>
      <c r="DJV35" s="684"/>
      <c r="DJW35" s="684"/>
      <c r="DJX35" s="684"/>
      <c r="DJY35" s="684"/>
      <c r="DJZ35" s="684"/>
      <c r="DKA35" s="684"/>
      <c r="DKB35" s="684"/>
      <c r="DKC35" s="684"/>
      <c r="DKD35" s="684"/>
      <c r="DKE35" s="684"/>
      <c r="DKF35" s="684"/>
      <c r="DKG35" s="684"/>
      <c r="DKH35" s="684"/>
      <c r="DKI35" s="684"/>
      <c r="DKJ35" s="684"/>
      <c r="DKK35" s="684"/>
      <c r="DKL35" s="684"/>
      <c r="DKM35" s="684"/>
      <c r="DKN35" s="684"/>
      <c r="DKO35" s="684"/>
      <c r="DKP35" s="684"/>
      <c r="DKQ35" s="684"/>
      <c r="DKR35" s="684"/>
      <c r="DKS35" s="684"/>
      <c r="DKT35" s="684"/>
      <c r="DKU35" s="684"/>
      <c r="DKV35" s="684"/>
      <c r="DKW35" s="684"/>
      <c r="DKX35" s="684"/>
      <c r="DKY35" s="684"/>
      <c r="DKZ35" s="684"/>
      <c r="DLA35" s="684"/>
      <c r="DLB35" s="684"/>
      <c r="DLC35" s="684"/>
      <c r="DLD35" s="684"/>
      <c r="DLE35" s="684"/>
      <c r="DLF35" s="684"/>
      <c r="DLG35" s="684"/>
      <c r="DLH35" s="684"/>
      <c r="DLI35" s="684"/>
      <c r="DLJ35" s="684"/>
      <c r="DLK35" s="684"/>
      <c r="DLL35" s="684"/>
      <c r="DLM35" s="684"/>
      <c r="DLN35" s="684"/>
      <c r="DLO35" s="684"/>
      <c r="DLP35" s="684"/>
      <c r="DLQ35" s="684"/>
      <c r="DLR35" s="684"/>
      <c r="DLS35" s="684"/>
      <c r="DLT35" s="684"/>
      <c r="DLU35" s="684"/>
      <c r="DLV35" s="684"/>
      <c r="DLW35" s="684"/>
      <c r="DLX35" s="684"/>
      <c r="DLY35" s="684"/>
      <c r="DLZ35" s="684"/>
      <c r="DMA35" s="684"/>
      <c r="DMB35" s="684"/>
      <c r="DMC35" s="684"/>
      <c r="DMD35" s="684"/>
      <c r="DME35" s="684"/>
      <c r="DMF35" s="684"/>
      <c r="DMG35" s="684"/>
      <c r="DMH35" s="684"/>
      <c r="DMI35" s="684"/>
      <c r="DMJ35" s="684"/>
      <c r="DMK35" s="684"/>
      <c r="DML35" s="684"/>
      <c r="DMM35" s="684"/>
      <c r="DMN35" s="684"/>
      <c r="DMO35" s="684"/>
      <c r="DMP35" s="684"/>
      <c r="DMQ35" s="684"/>
      <c r="DMR35" s="684"/>
      <c r="DMS35" s="684"/>
      <c r="DMT35" s="684"/>
      <c r="DMU35" s="684"/>
      <c r="DMV35" s="684"/>
      <c r="DMW35" s="684"/>
      <c r="DMX35" s="684"/>
      <c r="DMY35" s="684"/>
      <c r="DMZ35" s="684"/>
      <c r="DNA35" s="684"/>
      <c r="DNB35" s="684"/>
      <c r="DNC35" s="684"/>
      <c r="DND35" s="684"/>
      <c r="DNE35" s="684"/>
      <c r="DNF35" s="684"/>
      <c r="DNG35" s="684"/>
      <c r="DNH35" s="684"/>
      <c r="DNI35" s="684"/>
      <c r="DNJ35" s="684"/>
      <c r="DNK35" s="684"/>
      <c r="DNL35" s="684"/>
      <c r="DNM35" s="684"/>
      <c r="DNN35" s="684"/>
      <c r="DNO35" s="684"/>
      <c r="DNP35" s="684"/>
      <c r="DNQ35" s="684"/>
      <c r="DNR35" s="684"/>
      <c r="DNS35" s="684"/>
      <c r="DNT35" s="684"/>
      <c r="DNU35" s="684"/>
      <c r="DNV35" s="684"/>
      <c r="DNW35" s="684"/>
      <c r="DNX35" s="684"/>
      <c r="DNY35" s="684"/>
      <c r="DNZ35" s="684"/>
      <c r="DOA35" s="684"/>
      <c r="DOB35" s="684"/>
      <c r="DOC35" s="684"/>
      <c r="DOD35" s="684"/>
      <c r="DOE35" s="684"/>
      <c r="DOF35" s="684"/>
      <c r="DOG35" s="684"/>
      <c r="DOH35" s="684"/>
      <c r="DOI35" s="684"/>
      <c r="DOJ35" s="684"/>
      <c r="DOK35" s="684"/>
      <c r="DOL35" s="684"/>
      <c r="DOM35" s="684"/>
      <c r="DON35" s="684"/>
      <c r="DOO35" s="684"/>
      <c r="DOP35" s="684"/>
      <c r="DOQ35" s="684"/>
      <c r="DOR35" s="684"/>
      <c r="DOS35" s="684"/>
      <c r="DOT35" s="684"/>
      <c r="DOU35" s="684"/>
      <c r="DOV35" s="684"/>
      <c r="DOW35" s="684"/>
      <c r="DOX35" s="684"/>
      <c r="DOY35" s="684"/>
      <c r="DOZ35" s="684"/>
      <c r="DPA35" s="684"/>
      <c r="DPB35" s="684"/>
      <c r="DPC35" s="684"/>
      <c r="DPD35" s="684"/>
      <c r="DPE35" s="684"/>
      <c r="DPF35" s="684"/>
      <c r="DPG35" s="684"/>
      <c r="DPH35" s="684"/>
      <c r="DPI35" s="684"/>
      <c r="DPJ35" s="684"/>
      <c r="DPK35" s="684"/>
      <c r="DPL35" s="684"/>
      <c r="DPM35" s="684"/>
      <c r="DPN35" s="684"/>
      <c r="DPO35" s="684"/>
      <c r="DPP35" s="684"/>
      <c r="DPQ35" s="684"/>
      <c r="DPR35" s="684"/>
      <c r="DPS35" s="684"/>
      <c r="DPT35" s="684"/>
      <c r="DPU35" s="684"/>
      <c r="DPV35" s="684"/>
      <c r="DPW35" s="684"/>
      <c r="DPX35" s="684"/>
      <c r="DPY35" s="684"/>
      <c r="DPZ35" s="684"/>
      <c r="DQA35" s="684"/>
      <c r="DQB35" s="684"/>
      <c r="DQC35" s="684"/>
      <c r="DQD35" s="684"/>
      <c r="DQE35" s="684"/>
      <c r="DQF35" s="684"/>
      <c r="DQG35" s="684"/>
      <c r="DQH35" s="684"/>
      <c r="DQI35" s="684"/>
      <c r="DQJ35" s="684"/>
      <c r="DQK35" s="684"/>
      <c r="DQL35" s="684"/>
      <c r="DQM35" s="684"/>
      <c r="DQN35" s="684"/>
      <c r="DQO35" s="684"/>
      <c r="DQP35" s="684"/>
      <c r="DQQ35" s="684"/>
      <c r="DQR35" s="684"/>
      <c r="DQS35" s="684"/>
      <c r="DQT35" s="684"/>
      <c r="DQU35" s="684"/>
      <c r="DQV35" s="684"/>
      <c r="DQW35" s="684"/>
      <c r="DQX35" s="684"/>
      <c r="DQY35" s="684"/>
      <c r="DQZ35" s="684"/>
      <c r="DRA35" s="684"/>
      <c r="DRB35" s="684"/>
      <c r="DRC35" s="684"/>
      <c r="DRD35" s="684"/>
      <c r="DRE35" s="684"/>
      <c r="DRF35" s="684"/>
      <c r="DRG35" s="684"/>
      <c r="DRH35" s="684"/>
      <c r="DRI35" s="684"/>
      <c r="DRJ35" s="684"/>
      <c r="DRK35" s="684"/>
      <c r="DRL35" s="684"/>
      <c r="DRM35" s="684"/>
      <c r="DRN35" s="684"/>
      <c r="DRO35" s="684"/>
      <c r="DRP35" s="684"/>
      <c r="DRQ35" s="684"/>
      <c r="DRR35" s="684"/>
      <c r="DRS35" s="684"/>
      <c r="DRT35" s="684"/>
      <c r="DRU35" s="684"/>
      <c r="DRV35" s="684"/>
      <c r="DRW35" s="684"/>
      <c r="DRX35" s="684"/>
      <c r="DRY35" s="684"/>
      <c r="DRZ35" s="684"/>
      <c r="DSA35" s="684"/>
      <c r="DSB35" s="684"/>
      <c r="DSC35" s="684"/>
      <c r="DSD35" s="684"/>
      <c r="DSE35" s="684"/>
      <c r="DSF35" s="684"/>
      <c r="DSG35" s="684"/>
      <c r="DSH35" s="684"/>
      <c r="DSI35" s="684"/>
      <c r="DSJ35" s="684"/>
      <c r="DSK35" s="684"/>
      <c r="DSL35" s="684"/>
      <c r="DSM35" s="684"/>
      <c r="DSN35" s="684"/>
      <c r="DSO35" s="684"/>
      <c r="DSP35" s="684"/>
      <c r="DSQ35" s="684"/>
      <c r="DSR35" s="684"/>
      <c r="DSS35" s="684"/>
      <c r="DST35" s="684"/>
      <c r="DSU35" s="684"/>
      <c r="DSV35" s="684"/>
      <c r="DSW35" s="684"/>
      <c r="DSX35" s="684"/>
      <c r="DSY35" s="684"/>
      <c r="DSZ35" s="684"/>
      <c r="DTA35" s="684"/>
      <c r="DTB35" s="684"/>
      <c r="DTC35" s="684"/>
      <c r="DTD35" s="684"/>
      <c r="DTE35" s="684"/>
      <c r="DTF35" s="684"/>
      <c r="DTG35" s="684"/>
      <c r="DTH35" s="684"/>
      <c r="DTI35" s="684"/>
      <c r="DTJ35" s="684"/>
      <c r="DTK35" s="684"/>
      <c r="DTL35" s="684"/>
      <c r="DTM35" s="684"/>
      <c r="DTN35" s="684"/>
      <c r="DTO35" s="684"/>
      <c r="DTP35" s="684"/>
      <c r="DTQ35" s="684"/>
      <c r="DTR35" s="684"/>
      <c r="DTS35" s="684"/>
      <c r="DTT35" s="684"/>
      <c r="DTU35" s="684"/>
      <c r="DTV35" s="684"/>
      <c r="DTW35" s="684"/>
      <c r="DTX35" s="684"/>
      <c r="DTY35" s="684"/>
      <c r="DTZ35" s="684"/>
      <c r="DUA35" s="684"/>
      <c r="DUB35" s="684"/>
      <c r="DUC35" s="684"/>
      <c r="DUD35" s="684"/>
      <c r="DUE35" s="684"/>
      <c r="DUF35" s="684"/>
      <c r="DUG35" s="684"/>
      <c r="DUH35" s="684"/>
      <c r="DUI35" s="684"/>
      <c r="DUJ35" s="684"/>
      <c r="DUK35" s="684"/>
      <c r="DUL35" s="684"/>
      <c r="DUM35" s="684"/>
      <c r="DUN35" s="684"/>
      <c r="DUO35" s="684"/>
      <c r="DUP35" s="684"/>
      <c r="DUQ35" s="684"/>
      <c r="DUR35" s="684"/>
      <c r="DUS35" s="684"/>
      <c r="DUT35" s="684"/>
      <c r="DUU35" s="684"/>
      <c r="DUV35" s="684"/>
      <c r="DUW35" s="684"/>
      <c r="DUX35" s="684"/>
      <c r="DUY35" s="684"/>
      <c r="DUZ35" s="684"/>
      <c r="DVA35" s="684"/>
      <c r="DVB35" s="684"/>
      <c r="DVC35" s="684"/>
      <c r="DVD35" s="684"/>
      <c r="DVE35" s="684"/>
      <c r="DVF35" s="684"/>
      <c r="DVG35" s="684"/>
      <c r="DVH35" s="684"/>
      <c r="DVI35" s="684"/>
      <c r="DVJ35" s="684"/>
      <c r="DVK35" s="684"/>
      <c r="DVL35" s="684"/>
      <c r="DVM35" s="684"/>
      <c r="DVN35" s="684"/>
      <c r="DVO35" s="684"/>
      <c r="DVP35" s="684"/>
      <c r="DVQ35" s="684"/>
      <c r="DVR35" s="684"/>
      <c r="DVS35" s="684"/>
      <c r="DVT35" s="684"/>
      <c r="DVU35" s="684"/>
      <c r="DVV35" s="684"/>
      <c r="DVW35" s="684"/>
      <c r="DVX35" s="684"/>
      <c r="DVY35" s="684"/>
      <c r="DVZ35" s="684"/>
      <c r="DWA35" s="684"/>
      <c r="DWB35" s="684"/>
      <c r="DWC35" s="684"/>
      <c r="DWD35" s="684"/>
      <c r="DWE35" s="684"/>
      <c r="DWF35" s="684"/>
      <c r="DWG35" s="684"/>
      <c r="DWH35" s="684"/>
      <c r="DWI35" s="684"/>
      <c r="DWJ35" s="684"/>
      <c r="DWK35" s="684"/>
      <c r="DWL35" s="684"/>
      <c r="DWM35" s="684"/>
      <c r="DWN35" s="684"/>
      <c r="DWO35" s="684"/>
      <c r="DWP35" s="684"/>
      <c r="DWQ35" s="684"/>
      <c r="DWR35" s="684"/>
      <c r="DWS35" s="684"/>
      <c r="DWT35" s="684"/>
      <c r="DWU35" s="684"/>
      <c r="DWV35" s="684"/>
      <c r="DWW35" s="684"/>
      <c r="DWX35" s="684"/>
      <c r="DWY35" s="684"/>
      <c r="DWZ35" s="684"/>
      <c r="DXA35" s="684"/>
      <c r="DXB35" s="684"/>
      <c r="DXC35" s="684"/>
      <c r="DXD35" s="684"/>
      <c r="DXE35" s="684"/>
      <c r="DXF35" s="684"/>
      <c r="DXG35" s="684"/>
      <c r="DXH35" s="684"/>
      <c r="DXI35" s="684"/>
      <c r="DXJ35" s="684"/>
      <c r="DXK35" s="684"/>
      <c r="DXL35" s="684"/>
      <c r="DXM35" s="684"/>
      <c r="DXN35" s="684"/>
      <c r="DXO35" s="684"/>
      <c r="DXP35" s="684"/>
      <c r="DXQ35" s="684"/>
      <c r="DXR35" s="684"/>
      <c r="DXS35" s="684"/>
      <c r="DXT35" s="684"/>
      <c r="DXU35" s="684"/>
      <c r="DXV35" s="684"/>
      <c r="DXW35" s="684"/>
      <c r="DXX35" s="684"/>
      <c r="DXY35" s="684"/>
      <c r="DXZ35" s="684"/>
      <c r="DYA35" s="684"/>
      <c r="DYB35" s="684"/>
      <c r="DYC35" s="684"/>
      <c r="DYD35" s="684"/>
      <c r="DYE35" s="684"/>
      <c r="DYF35" s="684"/>
      <c r="DYG35" s="684"/>
      <c r="DYH35" s="684"/>
      <c r="DYI35" s="684"/>
      <c r="DYJ35" s="684"/>
      <c r="DYK35" s="684"/>
      <c r="DYL35" s="684"/>
      <c r="DYM35" s="684"/>
      <c r="DYN35" s="684"/>
      <c r="DYO35" s="684"/>
      <c r="DYP35" s="684"/>
      <c r="DYQ35" s="684"/>
      <c r="DYR35" s="684"/>
      <c r="DYS35" s="684"/>
      <c r="DYT35" s="684"/>
      <c r="DYU35" s="684"/>
      <c r="DYV35" s="684"/>
      <c r="DYW35" s="684"/>
      <c r="DYX35" s="684"/>
      <c r="DYY35" s="684"/>
      <c r="DYZ35" s="684"/>
      <c r="DZA35" s="684"/>
      <c r="DZB35" s="684"/>
      <c r="DZC35" s="684"/>
      <c r="DZD35" s="684"/>
      <c r="DZE35" s="684"/>
      <c r="DZF35" s="684"/>
      <c r="DZG35" s="684"/>
      <c r="DZH35" s="684"/>
      <c r="DZI35" s="684"/>
      <c r="DZJ35" s="684"/>
      <c r="DZK35" s="684"/>
      <c r="DZL35" s="684"/>
      <c r="DZM35" s="684"/>
      <c r="DZN35" s="684"/>
      <c r="DZO35" s="684"/>
      <c r="DZP35" s="684"/>
      <c r="DZQ35" s="684"/>
      <c r="DZR35" s="684"/>
      <c r="DZS35" s="684"/>
      <c r="DZT35" s="684"/>
      <c r="DZU35" s="684"/>
      <c r="DZV35" s="684"/>
      <c r="DZW35" s="684"/>
      <c r="DZX35" s="684"/>
      <c r="DZY35" s="684"/>
      <c r="DZZ35" s="684"/>
      <c r="EAA35" s="684"/>
      <c r="EAB35" s="684"/>
      <c r="EAC35" s="684"/>
      <c r="EAD35" s="684"/>
      <c r="EAE35" s="684"/>
      <c r="EAF35" s="684"/>
      <c r="EAG35" s="684"/>
      <c r="EAH35" s="684"/>
      <c r="EAI35" s="684"/>
      <c r="EAJ35" s="684"/>
      <c r="EAK35" s="684"/>
      <c r="EAL35" s="684"/>
      <c r="EAM35" s="684"/>
      <c r="EAN35" s="684"/>
      <c r="EAO35" s="684"/>
      <c r="EAP35" s="684"/>
      <c r="EAQ35" s="684"/>
      <c r="EAR35" s="684"/>
      <c r="EAS35" s="684"/>
      <c r="EAT35" s="684"/>
      <c r="EAU35" s="684"/>
      <c r="EAV35" s="684"/>
      <c r="EAW35" s="684"/>
      <c r="EAX35" s="684"/>
      <c r="EAY35" s="684"/>
      <c r="EAZ35" s="684"/>
      <c r="EBA35" s="684"/>
      <c r="EBB35" s="684"/>
      <c r="EBC35" s="684"/>
      <c r="EBD35" s="684"/>
      <c r="EBE35" s="684"/>
      <c r="EBF35" s="684"/>
      <c r="EBG35" s="684"/>
      <c r="EBH35" s="684"/>
      <c r="EBI35" s="684"/>
      <c r="EBJ35" s="684"/>
      <c r="EBK35" s="684"/>
      <c r="EBL35" s="684"/>
      <c r="EBM35" s="684"/>
      <c r="EBN35" s="684"/>
      <c r="EBO35" s="684"/>
      <c r="EBP35" s="684"/>
      <c r="EBQ35" s="684"/>
      <c r="EBR35" s="684"/>
      <c r="EBS35" s="684"/>
      <c r="EBT35" s="684"/>
      <c r="EBU35" s="684"/>
      <c r="EBV35" s="684"/>
      <c r="EBW35" s="684"/>
      <c r="EBX35" s="684"/>
      <c r="EBY35" s="684"/>
      <c r="EBZ35" s="684"/>
      <c r="ECA35" s="684"/>
      <c r="ECB35" s="684"/>
      <c r="ECC35" s="684"/>
      <c r="ECD35" s="684"/>
      <c r="ECE35" s="684"/>
      <c r="ECF35" s="684"/>
      <c r="ECG35" s="684"/>
      <c r="ECH35" s="684"/>
      <c r="ECI35" s="684"/>
      <c r="ECJ35" s="684"/>
      <c r="ECK35" s="684"/>
      <c r="ECL35" s="684"/>
      <c r="ECM35" s="684"/>
      <c r="ECN35" s="684"/>
      <c r="ECO35" s="684"/>
      <c r="ECP35" s="684"/>
      <c r="ECQ35" s="684"/>
      <c r="ECR35" s="684"/>
      <c r="ECS35" s="684"/>
      <c r="ECT35" s="684"/>
      <c r="ECU35" s="684"/>
      <c r="ECV35" s="684"/>
      <c r="ECW35" s="684"/>
      <c r="ECX35" s="684"/>
      <c r="ECY35" s="684"/>
      <c r="ECZ35" s="684"/>
      <c r="EDA35" s="684"/>
      <c r="EDB35" s="684"/>
      <c r="EDC35" s="684"/>
      <c r="EDD35" s="684"/>
      <c r="EDE35" s="684"/>
      <c r="EDF35" s="684"/>
      <c r="EDG35" s="684"/>
      <c r="EDH35" s="684"/>
      <c r="EDI35" s="684"/>
      <c r="EDJ35" s="684"/>
      <c r="EDK35" s="684"/>
      <c r="EDL35" s="684"/>
      <c r="EDM35" s="684"/>
      <c r="EDN35" s="684"/>
      <c r="EDO35" s="684"/>
      <c r="EDP35" s="684"/>
      <c r="EDQ35" s="684"/>
      <c r="EDR35" s="684"/>
      <c r="EDS35" s="684"/>
      <c r="EDT35" s="684"/>
      <c r="EDU35" s="684"/>
      <c r="EDV35" s="684"/>
      <c r="EDW35" s="684"/>
      <c r="EDX35" s="684"/>
      <c r="EDY35" s="684"/>
      <c r="EDZ35" s="684"/>
      <c r="EEA35" s="684"/>
      <c r="EEB35" s="684"/>
      <c r="EEC35" s="684"/>
      <c r="EED35" s="684"/>
      <c r="EEE35" s="684"/>
      <c r="EEF35" s="684"/>
      <c r="EEG35" s="684"/>
      <c r="EEH35" s="684"/>
      <c r="EEI35" s="684"/>
      <c r="EEJ35" s="684"/>
      <c r="EEK35" s="684"/>
      <c r="EEL35" s="684"/>
      <c r="EEM35" s="684"/>
      <c r="EEN35" s="684"/>
      <c r="EEO35" s="684"/>
      <c r="EEP35" s="684"/>
      <c r="EEQ35" s="684"/>
      <c r="EER35" s="684"/>
      <c r="EES35" s="684"/>
      <c r="EET35" s="684"/>
      <c r="EEU35" s="684"/>
      <c r="EEV35" s="684"/>
      <c r="EEW35" s="684"/>
      <c r="EEX35" s="684"/>
      <c r="EEY35" s="684"/>
      <c r="EEZ35" s="684"/>
      <c r="EFA35" s="684"/>
      <c r="EFB35" s="684"/>
      <c r="EFC35" s="684"/>
      <c r="EFD35" s="684"/>
      <c r="EFE35" s="684"/>
      <c r="EFF35" s="684"/>
      <c r="EFG35" s="684"/>
      <c r="EFH35" s="684"/>
      <c r="EFI35" s="684"/>
      <c r="EFJ35" s="684"/>
      <c r="EFK35" s="684"/>
      <c r="EFL35" s="684"/>
      <c r="EFM35" s="684"/>
      <c r="EFN35" s="684"/>
      <c r="EFO35" s="684"/>
      <c r="EFP35" s="684"/>
      <c r="EFQ35" s="684"/>
      <c r="EFR35" s="684"/>
      <c r="EFS35" s="684"/>
      <c r="EFT35" s="684"/>
      <c r="EFU35" s="684"/>
      <c r="EFV35" s="684"/>
      <c r="EFW35" s="684"/>
      <c r="EFX35" s="684"/>
      <c r="EFY35" s="684"/>
      <c r="EFZ35" s="684"/>
      <c r="EGA35" s="684"/>
      <c r="EGB35" s="684"/>
      <c r="EGC35" s="684"/>
      <c r="EGD35" s="684"/>
      <c r="EGE35" s="684"/>
      <c r="EGF35" s="684"/>
      <c r="EGG35" s="684"/>
      <c r="EGH35" s="684"/>
      <c r="EGI35" s="684"/>
      <c r="EGJ35" s="684"/>
      <c r="EGK35" s="684"/>
      <c r="EGL35" s="684"/>
      <c r="EGM35" s="684"/>
      <c r="EGN35" s="684"/>
      <c r="EGO35" s="684"/>
      <c r="EGP35" s="684"/>
      <c r="EGQ35" s="684"/>
      <c r="EGR35" s="684"/>
      <c r="EGS35" s="684"/>
      <c r="EGT35" s="684"/>
      <c r="EGU35" s="684"/>
      <c r="EGV35" s="684"/>
      <c r="EGW35" s="684"/>
      <c r="EGX35" s="684"/>
      <c r="EGY35" s="684"/>
      <c r="EGZ35" s="684"/>
      <c r="EHA35" s="684"/>
      <c r="EHB35" s="684"/>
      <c r="EHC35" s="684"/>
      <c r="EHD35" s="684"/>
      <c r="EHE35" s="684"/>
      <c r="EHF35" s="684"/>
      <c r="EHG35" s="684"/>
      <c r="EHH35" s="684"/>
      <c r="EHI35" s="684"/>
      <c r="EHJ35" s="684"/>
      <c r="EHK35" s="684"/>
      <c r="EHL35" s="684"/>
      <c r="EHM35" s="684"/>
      <c r="EHN35" s="684"/>
      <c r="EHO35" s="684"/>
      <c r="EHP35" s="684"/>
      <c r="EHQ35" s="684"/>
      <c r="EHR35" s="684"/>
      <c r="EHS35" s="684"/>
      <c r="EHT35" s="684"/>
      <c r="EHU35" s="684"/>
      <c r="EHV35" s="684"/>
      <c r="EHW35" s="684"/>
      <c r="EHX35" s="684"/>
      <c r="EHY35" s="684"/>
      <c r="EHZ35" s="684"/>
      <c r="EIA35" s="684"/>
      <c r="EIB35" s="684"/>
      <c r="EIC35" s="684"/>
      <c r="EID35" s="684"/>
      <c r="EIE35" s="684"/>
      <c r="EIF35" s="684"/>
      <c r="EIG35" s="684"/>
      <c r="EIH35" s="684"/>
      <c r="EII35" s="684"/>
      <c r="EIJ35" s="684"/>
      <c r="EIK35" s="684"/>
      <c r="EIL35" s="684"/>
      <c r="EIM35" s="684"/>
      <c r="EIN35" s="684"/>
      <c r="EIO35" s="684"/>
      <c r="EIP35" s="684"/>
      <c r="EIQ35" s="684"/>
      <c r="EIR35" s="684"/>
      <c r="EIS35" s="684"/>
      <c r="EIT35" s="684"/>
      <c r="EIU35" s="684"/>
      <c r="EIV35" s="684"/>
      <c r="EIW35" s="684"/>
      <c r="EIX35" s="684"/>
      <c r="EIY35" s="684"/>
      <c r="EIZ35" s="684"/>
      <c r="EJA35" s="684"/>
      <c r="EJB35" s="684"/>
      <c r="EJC35" s="684"/>
      <c r="EJD35" s="684"/>
      <c r="EJE35" s="684"/>
      <c r="EJF35" s="684"/>
      <c r="EJG35" s="684"/>
      <c r="EJH35" s="684"/>
      <c r="EJI35" s="684"/>
      <c r="EJJ35" s="684"/>
      <c r="EJK35" s="684"/>
      <c r="EJL35" s="684"/>
      <c r="EJM35" s="684"/>
      <c r="EJN35" s="684"/>
      <c r="EJO35" s="684"/>
      <c r="EJP35" s="684"/>
      <c r="EJQ35" s="684"/>
      <c r="EJR35" s="684"/>
      <c r="EJS35" s="684"/>
      <c r="EJT35" s="684"/>
      <c r="EJU35" s="684"/>
      <c r="EJV35" s="684"/>
      <c r="EJW35" s="684"/>
      <c r="EJX35" s="684"/>
      <c r="EJY35" s="684"/>
      <c r="EJZ35" s="684"/>
      <c r="EKA35" s="684"/>
      <c r="EKB35" s="684"/>
      <c r="EKC35" s="684"/>
      <c r="EKD35" s="684"/>
      <c r="EKE35" s="684"/>
      <c r="EKF35" s="684"/>
      <c r="EKG35" s="684"/>
      <c r="EKH35" s="684"/>
      <c r="EKI35" s="684"/>
      <c r="EKJ35" s="684"/>
      <c r="EKK35" s="684"/>
      <c r="EKL35" s="684"/>
      <c r="EKM35" s="684"/>
      <c r="EKN35" s="684"/>
      <c r="EKO35" s="684"/>
      <c r="EKP35" s="684"/>
      <c r="EKQ35" s="684"/>
      <c r="EKR35" s="684"/>
      <c r="EKS35" s="684"/>
      <c r="EKT35" s="684"/>
      <c r="EKU35" s="684"/>
      <c r="EKV35" s="684"/>
      <c r="EKW35" s="684"/>
      <c r="EKX35" s="684"/>
      <c r="EKY35" s="684"/>
      <c r="EKZ35" s="684"/>
      <c r="ELA35" s="684"/>
      <c r="ELB35" s="684"/>
      <c r="ELC35" s="684"/>
      <c r="ELD35" s="684"/>
      <c r="ELE35" s="684"/>
      <c r="ELF35" s="684"/>
      <c r="ELG35" s="684"/>
      <c r="ELH35" s="684"/>
      <c r="ELI35" s="684"/>
      <c r="ELJ35" s="684"/>
      <c r="ELK35" s="684"/>
      <c r="ELL35" s="684"/>
      <c r="ELM35" s="684"/>
      <c r="ELN35" s="684"/>
      <c r="ELO35" s="684"/>
      <c r="ELP35" s="684"/>
      <c r="ELQ35" s="684"/>
      <c r="ELR35" s="684"/>
      <c r="ELS35" s="684"/>
      <c r="ELT35" s="684"/>
      <c r="ELU35" s="684"/>
      <c r="ELV35" s="684"/>
      <c r="ELW35" s="684"/>
      <c r="ELX35" s="684"/>
      <c r="ELY35" s="684"/>
      <c r="ELZ35" s="684"/>
      <c r="EMA35" s="684"/>
      <c r="EMB35" s="684"/>
      <c r="EMC35" s="684"/>
      <c r="EMD35" s="684"/>
      <c r="EME35" s="684"/>
      <c r="EMF35" s="684"/>
      <c r="EMG35" s="684"/>
      <c r="EMH35" s="684"/>
      <c r="EMI35" s="684"/>
      <c r="EMJ35" s="684"/>
      <c r="EMK35" s="684"/>
      <c r="EML35" s="684"/>
      <c r="EMM35" s="684"/>
      <c r="EMN35" s="684"/>
      <c r="EMO35" s="684"/>
      <c r="EMP35" s="684"/>
      <c r="EMQ35" s="684"/>
      <c r="EMR35" s="684"/>
      <c r="EMS35" s="684"/>
      <c r="EMT35" s="684"/>
      <c r="EMU35" s="684"/>
      <c r="EMV35" s="684"/>
      <c r="EMW35" s="684"/>
      <c r="EMX35" s="684"/>
      <c r="EMY35" s="684"/>
      <c r="EMZ35" s="684"/>
      <c r="ENA35" s="684"/>
      <c r="ENB35" s="684"/>
      <c r="ENC35" s="684"/>
      <c r="END35" s="684"/>
      <c r="ENE35" s="684"/>
      <c r="ENF35" s="684"/>
      <c r="ENG35" s="684"/>
      <c r="ENH35" s="684"/>
      <c r="ENI35" s="684"/>
      <c r="ENJ35" s="684"/>
      <c r="ENK35" s="684"/>
      <c r="ENL35" s="684"/>
      <c r="ENM35" s="684"/>
      <c r="ENN35" s="684"/>
      <c r="ENO35" s="684"/>
      <c r="ENP35" s="684"/>
      <c r="ENQ35" s="684"/>
      <c r="ENR35" s="684"/>
      <c r="ENS35" s="684"/>
      <c r="ENT35" s="684"/>
      <c r="ENU35" s="684"/>
      <c r="ENV35" s="684"/>
      <c r="ENW35" s="684"/>
      <c r="ENX35" s="684"/>
      <c r="ENY35" s="684"/>
      <c r="ENZ35" s="684"/>
      <c r="EOA35" s="684"/>
      <c r="EOB35" s="684"/>
      <c r="EOC35" s="684"/>
      <c r="EOD35" s="684"/>
      <c r="EOE35" s="684"/>
      <c r="EOF35" s="684"/>
      <c r="EOG35" s="684"/>
      <c r="EOH35" s="684"/>
      <c r="EOI35" s="684"/>
      <c r="EOJ35" s="684"/>
      <c r="EOK35" s="684"/>
      <c r="EOL35" s="684"/>
      <c r="EOM35" s="684"/>
      <c r="EON35" s="684"/>
      <c r="EOO35" s="684"/>
      <c r="EOP35" s="684"/>
      <c r="EOQ35" s="684"/>
      <c r="EOR35" s="684"/>
      <c r="EOS35" s="684"/>
      <c r="EOT35" s="684"/>
      <c r="EOU35" s="684"/>
      <c r="EOV35" s="684"/>
      <c r="EOW35" s="684"/>
      <c r="EOX35" s="684"/>
      <c r="EOY35" s="684"/>
      <c r="EOZ35" s="684"/>
      <c r="EPA35" s="684"/>
      <c r="EPB35" s="684"/>
      <c r="EPC35" s="684"/>
      <c r="EPD35" s="684"/>
      <c r="EPE35" s="684"/>
      <c r="EPF35" s="684"/>
      <c r="EPG35" s="684"/>
      <c r="EPH35" s="684"/>
      <c r="EPI35" s="684"/>
      <c r="EPJ35" s="684"/>
      <c r="EPK35" s="684"/>
      <c r="EPL35" s="684"/>
      <c r="EPM35" s="684"/>
      <c r="EPN35" s="684"/>
      <c r="EPO35" s="684"/>
      <c r="EPP35" s="684"/>
      <c r="EPQ35" s="684"/>
      <c r="EPR35" s="684"/>
      <c r="EPS35" s="684"/>
      <c r="EPT35" s="684"/>
      <c r="EPU35" s="684"/>
      <c r="EPV35" s="684"/>
      <c r="EPW35" s="684"/>
      <c r="EPX35" s="684"/>
      <c r="EPY35" s="684"/>
      <c r="EPZ35" s="684"/>
      <c r="EQA35" s="684"/>
      <c r="EQB35" s="684"/>
      <c r="EQC35" s="684"/>
      <c r="EQD35" s="684"/>
      <c r="EQE35" s="684"/>
      <c r="EQF35" s="684"/>
      <c r="EQG35" s="684"/>
      <c r="EQH35" s="684"/>
      <c r="EQI35" s="684"/>
      <c r="EQJ35" s="684"/>
      <c r="EQK35" s="684"/>
      <c r="EQL35" s="684"/>
      <c r="EQM35" s="684"/>
      <c r="EQN35" s="684"/>
      <c r="EQO35" s="684"/>
      <c r="EQP35" s="684"/>
      <c r="EQQ35" s="684"/>
      <c r="EQR35" s="684"/>
      <c r="EQS35" s="684"/>
      <c r="EQT35" s="684"/>
      <c r="EQU35" s="684"/>
      <c r="EQV35" s="684"/>
      <c r="EQW35" s="684"/>
      <c r="EQX35" s="684"/>
      <c r="EQY35" s="684"/>
      <c r="EQZ35" s="684"/>
      <c r="ERA35" s="684"/>
      <c r="ERB35" s="684"/>
      <c r="ERC35" s="684"/>
      <c r="ERD35" s="684"/>
      <c r="ERE35" s="684"/>
      <c r="ERF35" s="684"/>
      <c r="ERG35" s="684"/>
      <c r="ERH35" s="684"/>
      <c r="ERI35" s="684"/>
      <c r="ERJ35" s="684"/>
      <c r="ERK35" s="684"/>
      <c r="ERL35" s="684"/>
      <c r="ERM35" s="684"/>
      <c r="ERN35" s="684"/>
      <c r="ERO35" s="684"/>
      <c r="ERP35" s="684"/>
      <c r="ERQ35" s="684"/>
      <c r="ERR35" s="684"/>
      <c r="ERS35" s="684"/>
      <c r="ERT35" s="684"/>
      <c r="ERU35" s="684"/>
      <c r="ERV35" s="684"/>
      <c r="ERW35" s="684"/>
      <c r="ERX35" s="684"/>
      <c r="ERY35" s="684"/>
      <c r="ERZ35" s="684"/>
      <c r="ESA35" s="684"/>
      <c r="ESB35" s="684"/>
      <c r="ESC35" s="684"/>
      <c r="ESD35" s="684"/>
      <c r="ESE35" s="684"/>
      <c r="ESF35" s="684"/>
      <c r="ESG35" s="684"/>
      <c r="ESH35" s="684"/>
      <c r="ESI35" s="684"/>
      <c r="ESJ35" s="684"/>
      <c r="ESK35" s="684"/>
      <c r="ESL35" s="684"/>
      <c r="ESM35" s="684"/>
      <c r="ESN35" s="684"/>
      <c r="ESO35" s="684"/>
      <c r="ESP35" s="684"/>
      <c r="ESQ35" s="684"/>
      <c r="ESR35" s="684"/>
      <c r="ESS35" s="684"/>
      <c r="EST35" s="684"/>
      <c r="ESU35" s="684"/>
      <c r="ESV35" s="684"/>
      <c r="ESW35" s="684"/>
      <c r="ESX35" s="684"/>
      <c r="ESY35" s="684"/>
      <c r="ESZ35" s="684"/>
      <c r="ETA35" s="684"/>
      <c r="ETB35" s="684"/>
      <c r="ETC35" s="684"/>
      <c r="ETD35" s="684"/>
      <c r="ETE35" s="684"/>
      <c r="ETF35" s="684"/>
      <c r="ETG35" s="684"/>
      <c r="ETH35" s="684"/>
      <c r="ETI35" s="684"/>
      <c r="ETJ35" s="684"/>
      <c r="ETK35" s="684"/>
      <c r="ETL35" s="684"/>
      <c r="ETM35" s="684"/>
      <c r="ETN35" s="684"/>
      <c r="ETO35" s="684"/>
      <c r="ETP35" s="684"/>
      <c r="ETQ35" s="684"/>
      <c r="ETR35" s="684"/>
      <c r="ETS35" s="684"/>
      <c r="ETT35" s="684"/>
      <c r="ETU35" s="684"/>
      <c r="ETV35" s="684"/>
      <c r="ETW35" s="684"/>
      <c r="ETX35" s="684"/>
      <c r="ETY35" s="684"/>
      <c r="ETZ35" s="684"/>
      <c r="EUA35" s="684"/>
      <c r="EUB35" s="684"/>
      <c r="EUC35" s="684"/>
      <c r="EUD35" s="684"/>
      <c r="EUE35" s="684"/>
      <c r="EUF35" s="684"/>
      <c r="EUG35" s="684"/>
      <c r="EUH35" s="684"/>
      <c r="EUI35" s="684"/>
      <c r="EUJ35" s="684"/>
      <c r="EUK35" s="684"/>
      <c r="EUL35" s="684"/>
      <c r="EUM35" s="684"/>
      <c r="EUN35" s="684"/>
      <c r="EUO35" s="684"/>
      <c r="EUP35" s="684"/>
      <c r="EUQ35" s="684"/>
      <c r="EUR35" s="684"/>
      <c r="EUS35" s="684"/>
      <c r="EUT35" s="684"/>
      <c r="EUU35" s="684"/>
      <c r="EUV35" s="684"/>
      <c r="EUW35" s="684"/>
      <c r="EUX35" s="684"/>
      <c r="EUY35" s="684"/>
      <c r="EUZ35" s="684"/>
      <c r="EVA35" s="684"/>
      <c r="EVB35" s="684"/>
      <c r="EVC35" s="684"/>
      <c r="EVD35" s="684"/>
      <c r="EVE35" s="684"/>
      <c r="EVF35" s="684"/>
      <c r="EVG35" s="684"/>
      <c r="EVH35" s="684"/>
      <c r="EVI35" s="684"/>
      <c r="EVJ35" s="684"/>
      <c r="EVK35" s="684"/>
      <c r="EVL35" s="684"/>
      <c r="EVM35" s="684"/>
      <c r="EVN35" s="684"/>
      <c r="EVO35" s="684"/>
      <c r="EVP35" s="684"/>
      <c r="EVQ35" s="684"/>
      <c r="EVR35" s="684"/>
      <c r="EVS35" s="684"/>
      <c r="EVT35" s="684"/>
      <c r="EVU35" s="684"/>
      <c r="EVV35" s="684"/>
      <c r="EVW35" s="684"/>
      <c r="EVX35" s="684"/>
      <c r="EVY35" s="684"/>
      <c r="EVZ35" s="684"/>
      <c r="EWA35" s="684"/>
      <c r="EWB35" s="684"/>
      <c r="EWC35" s="684"/>
      <c r="EWD35" s="684"/>
      <c r="EWE35" s="684"/>
      <c r="EWF35" s="684"/>
      <c r="EWG35" s="684"/>
      <c r="EWH35" s="684"/>
      <c r="EWI35" s="684"/>
      <c r="EWJ35" s="684"/>
      <c r="EWK35" s="684"/>
      <c r="EWL35" s="684"/>
      <c r="EWM35" s="684"/>
      <c r="EWN35" s="684"/>
      <c r="EWO35" s="684"/>
      <c r="EWP35" s="684"/>
      <c r="EWQ35" s="684"/>
      <c r="EWR35" s="684"/>
      <c r="EWS35" s="684"/>
      <c r="EWT35" s="684"/>
      <c r="EWU35" s="684"/>
      <c r="EWV35" s="684"/>
      <c r="EWW35" s="684"/>
      <c r="EWX35" s="684"/>
      <c r="EWY35" s="684"/>
      <c r="EWZ35" s="684"/>
      <c r="EXA35" s="684"/>
      <c r="EXB35" s="684"/>
      <c r="EXC35" s="684"/>
      <c r="EXD35" s="684"/>
      <c r="EXE35" s="684"/>
      <c r="EXF35" s="684"/>
      <c r="EXG35" s="684"/>
      <c r="EXH35" s="684"/>
      <c r="EXI35" s="684"/>
      <c r="EXJ35" s="684"/>
      <c r="EXK35" s="684"/>
      <c r="EXL35" s="684"/>
      <c r="EXM35" s="684"/>
      <c r="EXN35" s="684"/>
      <c r="EXO35" s="684"/>
      <c r="EXP35" s="684"/>
      <c r="EXQ35" s="684"/>
      <c r="EXR35" s="684"/>
      <c r="EXS35" s="684"/>
      <c r="EXT35" s="684"/>
      <c r="EXU35" s="684"/>
      <c r="EXV35" s="684"/>
      <c r="EXW35" s="684"/>
      <c r="EXX35" s="684"/>
      <c r="EXY35" s="684"/>
      <c r="EXZ35" s="684"/>
      <c r="EYA35" s="684"/>
      <c r="EYB35" s="684"/>
      <c r="EYC35" s="684"/>
      <c r="EYD35" s="684"/>
      <c r="EYE35" s="684"/>
      <c r="EYF35" s="684"/>
      <c r="EYG35" s="684"/>
      <c r="EYH35" s="684"/>
      <c r="EYI35" s="684"/>
      <c r="EYJ35" s="684"/>
      <c r="EYK35" s="684"/>
      <c r="EYL35" s="684"/>
      <c r="EYM35" s="684"/>
      <c r="EYN35" s="684"/>
      <c r="EYO35" s="684"/>
      <c r="EYP35" s="684"/>
      <c r="EYQ35" s="684"/>
      <c r="EYR35" s="684"/>
      <c r="EYS35" s="684"/>
      <c r="EYT35" s="684"/>
      <c r="EYU35" s="684"/>
      <c r="EYV35" s="684"/>
      <c r="EYW35" s="684"/>
      <c r="EYX35" s="684"/>
      <c r="EYY35" s="684"/>
      <c r="EYZ35" s="684"/>
      <c r="EZA35" s="684"/>
      <c r="EZB35" s="684"/>
      <c r="EZC35" s="684"/>
      <c r="EZD35" s="684"/>
      <c r="EZE35" s="684"/>
      <c r="EZF35" s="684"/>
      <c r="EZG35" s="684"/>
      <c r="EZH35" s="684"/>
      <c r="EZI35" s="684"/>
      <c r="EZJ35" s="684"/>
      <c r="EZK35" s="684"/>
      <c r="EZL35" s="684"/>
      <c r="EZM35" s="684"/>
      <c r="EZN35" s="684"/>
      <c r="EZO35" s="684"/>
      <c r="EZP35" s="684"/>
      <c r="EZQ35" s="684"/>
      <c r="EZR35" s="684"/>
      <c r="EZS35" s="684"/>
      <c r="EZT35" s="684"/>
      <c r="EZU35" s="684"/>
      <c r="EZV35" s="684"/>
      <c r="EZW35" s="684"/>
      <c r="EZX35" s="684"/>
      <c r="EZY35" s="684"/>
      <c r="EZZ35" s="684"/>
      <c r="FAA35" s="684"/>
      <c r="FAB35" s="684"/>
      <c r="FAC35" s="684"/>
      <c r="FAD35" s="684"/>
      <c r="FAE35" s="684"/>
      <c r="FAF35" s="684"/>
      <c r="FAG35" s="684"/>
      <c r="FAH35" s="684"/>
      <c r="FAI35" s="684"/>
      <c r="FAJ35" s="684"/>
      <c r="FAK35" s="684"/>
      <c r="FAL35" s="684"/>
      <c r="FAM35" s="684"/>
      <c r="FAN35" s="684"/>
      <c r="FAO35" s="684"/>
      <c r="FAP35" s="684"/>
      <c r="FAQ35" s="684"/>
      <c r="FAR35" s="684"/>
      <c r="FAS35" s="684"/>
      <c r="FAT35" s="684"/>
      <c r="FAU35" s="684"/>
      <c r="FAV35" s="684"/>
      <c r="FAW35" s="684"/>
      <c r="FAX35" s="684"/>
      <c r="FAY35" s="684"/>
      <c r="FAZ35" s="684"/>
      <c r="FBA35" s="684"/>
      <c r="FBB35" s="684"/>
      <c r="FBC35" s="684"/>
      <c r="FBD35" s="684"/>
      <c r="FBE35" s="684"/>
      <c r="FBF35" s="684"/>
      <c r="FBG35" s="684"/>
      <c r="FBH35" s="684"/>
      <c r="FBI35" s="684"/>
      <c r="FBJ35" s="684"/>
      <c r="FBK35" s="684"/>
      <c r="FBL35" s="684"/>
      <c r="FBM35" s="684"/>
      <c r="FBN35" s="684"/>
      <c r="FBO35" s="684"/>
      <c r="FBP35" s="684"/>
      <c r="FBQ35" s="684"/>
      <c r="FBR35" s="684"/>
      <c r="FBS35" s="684"/>
      <c r="FBT35" s="684"/>
      <c r="FBU35" s="684"/>
      <c r="FBV35" s="684"/>
      <c r="FBW35" s="684"/>
      <c r="FBX35" s="684"/>
      <c r="FBY35" s="684"/>
      <c r="FBZ35" s="684"/>
      <c r="FCA35" s="684"/>
      <c r="FCB35" s="684"/>
      <c r="FCC35" s="684"/>
      <c r="FCD35" s="684"/>
      <c r="FCE35" s="684"/>
      <c r="FCF35" s="684"/>
      <c r="FCG35" s="684"/>
      <c r="FCH35" s="684"/>
      <c r="FCI35" s="684"/>
      <c r="FCJ35" s="684"/>
      <c r="FCK35" s="684"/>
      <c r="FCL35" s="684"/>
      <c r="FCM35" s="684"/>
      <c r="FCN35" s="684"/>
      <c r="FCO35" s="684"/>
      <c r="FCP35" s="684"/>
      <c r="FCQ35" s="684"/>
      <c r="FCR35" s="684"/>
      <c r="FCS35" s="684"/>
      <c r="FCT35" s="684"/>
      <c r="FCU35" s="684"/>
      <c r="FCV35" s="684"/>
      <c r="FCW35" s="684"/>
      <c r="FCX35" s="684"/>
      <c r="FCY35" s="684"/>
      <c r="FCZ35" s="684"/>
      <c r="FDA35" s="684"/>
      <c r="FDB35" s="684"/>
      <c r="FDC35" s="684"/>
      <c r="FDD35" s="684"/>
      <c r="FDE35" s="684"/>
      <c r="FDF35" s="684"/>
      <c r="FDG35" s="684"/>
      <c r="FDH35" s="684"/>
      <c r="FDI35" s="684"/>
      <c r="FDJ35" s="684"/>
      <c r="FDK35" s="684"/>
      <c r="FDL35" s="684"/>
      <c r="FDM35" s="684"/>
      <c r="FDN35" s="684"/>
      <c r="FDO35" s="684"/>
      <c r="FDP35" s="684"/>
      <c r="FDQ35" s="684"/>
      <c r="FDR35" s="684"/>
      <c r="FDS35" s="684"/>
      <c r="FDT35" s="684"/>
      <c r="FDU35" s="684"/>
      <c r="FDV35" s="684"/>
      <c r="FDW35" s="684"/>
      <c r="FDX35" s="684"/>
      <c r="FDY35" s="684"/>
      <c r="FDZ35" s="684"/>
      <c r="FEA35" s="684"/>
      <c r="FEB35" s="684"/>
      <c r="FEC35" s="684"/>
      <c r="FED35" s="684"/>
      <c r="FEE35" s="684"/>
      <c r="FEF35" s="684"/>
      <c r="FEG35" s="684"/>
      <c r="FEH35" s="684"/>
      <c r="FEI35" s="684"/>
      <c r="FEJ35" s="684"/>
      <c r="FEK35" s="684"/>
      <c r="FEL35" s="684"/>
      <c r="FEM35" s="684"/>
      <c r="FEN35" s="684"/>
      <c r="FEO35" s="684"/>
      <c r="FEP35" s="684"/>
      <c r="FEQ35" s="684"/>
      <c r="FER35" s="684"/>
      <c r="FES35" s="684"/>
      <c r="FET35" s="684"/>
      <c r="FEU35" s="684"/>
      <c r="FEV35" s="684"/>
      <c r="FEW35" s="684"/>
      <c r="FEX35" s="684"/>
      <c r="FEY35" s="684"/>
      <c r="FEZ35" s="684"/>
      <c r="FFA35" s="684"/>
      <c r="FFB35" s="684"/>
      <c r="FFC35" s="684"/>
      <c r="FFD35" s="684"/>
      <c r="FFE35" s="684"/>
      <c r="FFF35" s="684"/>
      <c r="FFG35" s="684"/>
      <c r="FFH35" s="684"/>
      <c r="FFI35" s="684"/>
      <c r="FFJ35" s="684"/>
      <c r="FFK35" s="684"/>
      <c r="FFL35" s="684"/>
      <c r="FFM35" s="684"/>
      <c r="FFN35" s="684"/>
      <c r="FFO35" s="684"/>
      <c r="FFP35" s="684"/>
      <c r="FFQ35" s="684"/>
      <c r="FFR35" s="684"/>
      <c r="FFS35" s="684"/>
      <c r="FFT35" s="684"/>
      <c r="FFU35" s="684"/>
      <c r="FFV35" s="684"/>
      <c r="FFW35" s="684"/>
      <c r="FFX35" s="684"/>
      <c r="FFY35" s="684"/>
      <c r="FFZ35" s="684"/>
      <c r="FGA35" s="684"/>
      <c r="FGB35" s="684"/>
      <c r="FGC35" s="684"/>
      <c r="FGD35" s="684"/>
      <c r="FGE35" s="684"/>
      <c r="FGF35" s="684"/>
      <c r="FGG35" s="684"/>
      <c r="FGH35" s="684"/>
      <c r="FGI35" s="684"/>
      <c r="FGJ35" s="684"/>
      <c r="FGK35" s="684"/>
      <c r="FGL35" s="684"/>
      <c r="FGM35" s="684"/>
      <c r="FGN35" s="684"/>
      <c r="FGO35" s="684"/>
      <c r="FGP35" s="684"/>
      <c r="FGQ35" s="684"/>
      <c r="FGR35" s="684"/>
      <c r="FGS35" s="684"/>
      <c r="FGT35" s="684"/>
      <c r="FGU35" s="684"/>
      <c r="FGV35" s="684"/>
      <c r="FGW35" s="684"/>
      <c r="FGX35" s="684"/>
      <c r="FGY35" s="684"/>
      <c r="FGZ35" s="684"/>
      <c r="FHA35" s="684"/>
      <c r="FHB35" s="684"/>
      <c r="FHC35" s="684"/>
      <c r="FHD35" s="684"/>
      <c r="FHE35" s="684"/>
      <c r="FHF35" s="684"/>
      <c r="FHG35" s="684"/>
      <c r="FHH35" s="684"/>
      <c r="FHI35" s="684"/>
      <c r="FHJ35" s="684"/>
      <c r="FHK35" s="684"/>
      <c r="FHL35" s="684"/>
      <c r="FHM35" s="684"/>
      <c r="FHN35" s="684"/>
      <c r="FHO35" s="684"/>
      <c r="FHP35" s="684"/>
      <c r="FHQ35" s="684"/>
      <c r="FHR35" s="684"/>
      <c r="FHS35" s="684"/>
      <c r="FHT35" s="684"/>
      <c r="FHU35" s="684"/>
      <c r="FHV35" s="684"/>
      <c r="FHW35" s="684"/>
      <c r="FHX35" s="684"/>
      <c r="FHY35" s="684"/>
      <c r="FHZ35" s="684"/>
      <c r="FIA35" s="684"/>
      <c r="FIB35" s="684"/>
      <c r="FIC35" s="684"/>
      <c r="FID35" s="684"/>
      <c r="FIE35" s="684"/>
      <c r="FIF35" s="684"/>
      <c r="FIG35" s="684"/>
      <c r="FIH35" s="684"/>
      <c r="FII35" s="684"/>
      <c r="FIJ35" s="684"/>
      <c r="FIK35" s="684"/>
      <c r="FIL35" s="684"/>
      <c r="FIM35" s="684"/>
      <c r="FIN35" s="684"/>
      <c r="FIO35" s="684"/>
      <c r="FIP35" s="684"/>
      <c r="FIQ35" s="684"/>
      <c r="FIR35" s="684"/>
      <c r="FIS35" s="684"/>
      <c r="FIT35" s="684"/>
      <c r="FIU35" s="684"/>
      <c r="FIV35" s="684"/>
      <c r="FIW35" s="684"/>
      <c r="FIX35" s="684"/>
      <c r="FIY35" s="684"/>
      <c r="FIZ35" s="684"/>
      <c r="FJA35" s="684"/>
      <c r="FJB35" s="684"/>
      <c r="FJC35" s="684"/>
      <c r="FJD35" s="684"/>
      <c r="FJE35" s="684"/>
      <c r="FJF35" s="684"/>
      <c r="FJG35" s="684"/>
      <c r="FJH35" s="684"/>
      <c r="FJI35" s="684"/>
      <c r="FJJ35" s="684"/>
      <c r="FJK35" s="684"/>
      <c r="FJL35" s="684"/>
      <c r="FJM35" s="684"/>
      <c r="FJN35" s="684"/>
      <c r="FJO35" s="684"/>
      <c r="FJP35" s="684"/>
      <c r="FJQ35" s="684"/>
      <c r="FJR35" s="684"/>
      <c r="FJS35" s="684"/>
      <c r="FJT35" s="684"/>
      <c r="FJU35" s="684"/>
      <c r="FJV35" s="684"/>
      <c r="FJW35" s="684"/>
      <c r="FJX35" s="684"/>
      <c r="FJY35" s="684"/>
      <c r="FJZ35" s="684"/>
      <c r="FKA35" s="684"/>
      <c r="FKB35" s="684"/>
      <c r="FKC35" s="684"/>
      <c r="FKD35" s="684"/>
      <c r="FKE35" s="684"/>
      <c r="FKF35" s="684"/>
      <c r="FKG35" s="684"/>
      <c r="FKH35" s="684"/>
      <c r="FKI35" s="684"/>
      <c r="FKJ35" s="684"/>
      <c r="FKK35" s="684"/>
      <c r="FKL35" s="684"/>
      <c r="FKM35" s="684"/>
      <c r="FKN35" s="684"/>
      <c r="FKO35" s="684"/>
      <c r="FKP35" s="684"/>
      <c r="FKQ35" s="684"/>
      <c r="FKR35" s="684"/>
      <c r="FKS35" s="684"/>
      <c r="FKT35" s="684"/>
      <c r="FKU35" s="684"/>
      <c r="FKV35" s="684"/>
      <c r="FKW35" s="684"/>
      <c r="FKX35" s="684"/>
      <c r="FKY35" s="684"/>
      <c r="FKZ35" s="684"/>
      <c r="FLA35" s="684"/>
      <c r="FLB35" s="684"/>
      <c r="FLC35" s="684"/>
      <c r="FLD35" s="684"/>
      <c r="FLE35" s="684"/>
      <c r="FLF35" s="684"/>
      <c r="FLG35" s="684"/>
      <c r="FLH35" s="684"/>
      <c r="FLI35" s="684"/>
      <c r="FLJ35" s="684"/>
      <c r="FLK35" s="684"/>
      <c r="FLL35" s="684"/>
      <c r="FLM35" s="684"/>
      <c r="FLN35" s="684"/>
      <c r="FLO35" s="684"/>
      <c r="FLP35" s="684"/>
      <c r="FLQ35" s="684"/>
      <c r="FLR35" s="684"/>
      <c r="FLS35" s="684"/>
      <c r="FLT35" s="684"/>
      <c r="FLU35" s="684"/>
      <c r="FLV35" s="684"/>
      <c r="FLW35" s="684"/>
      <c r="FLX35" s="684"/>
      <c r="FLY35" s="684"/>
      <c r="FLZ35" s="684"/>
      <c r="FMA35" s="684"/>
      <c r="FMB35" s="684"/>
      <c r="FMC35" s="684"/>
      <c r="FMD35" s="684"/>
      <c r="FME35" s="684"/>
      <c r="FMF35" s="684"/>
      <c r="FMG35" s="684"/>
      <c r="FMH35" s="684"/>
      <c r="FMI35" s="684"/>
      <c r="FMJ35" s="684"/>
      <c r="FMK35" s="684"/>
      <c r="FML35" s="684"/>
      <c r="FMM35" s="684"/>
      <c r="FMN35" s="684"/>
      <c r="FMO35" s="684"/>
      <c r="FMP35" s="684"/>
      <c r="FMQ35" s="684"/>
      <c r="FMR35" s="684"/>
      <c r="FMS35" s="684"/>
      <c r="FMT35" s="684"/>
      <c r="FMU35" s="684"/>
      <c r="FMV35" s="684"/>
      <c r="FMW35" s="684"/>
      <c r="FMX35" s="684"/>
      <c r="FMY35" s="684"/>
      <c r="FMZ35" s="684"/>
      <c r="FNA35" s="684"/>
      <c r="FNB35" s="684"/>
      <c r="FNC35" s="684"/>
      <c r="FND35" s="684"/>
      <c r="FNE35" s="684"/>
      <c r="FNF35" s="684"/>
      <c r="FNG35" s="684"/>
      <c r="FNH35" s="684"/>
      <c r="FNI35" s="684"/>
      <c r="FNJ35" s="684"/>
      <c r="FNK35" s="684"/>
      <c r="FNL35" s="684"/>
      <c r="FNM35" s="684"/>
      <c r="FNN35" s="684"/>
      <c r="FNO35" s="684"/>
      <c r="FNP35" s="684"/>
      <c r="FNQ35" s="684"/>
      <c r="FNR35" s="684"/>
      <c r="FNS35" s="684"/>
      <c r="FNT35" s="684"/>
      <c r="FNU35" s="684"/>
      <c r="FNV35" s="684"/>
      <c r="FNW35" s="684"/>
      <c r="FNX35" s="684"/>
      <c r="FNY35" s="684"/>
      <c r="FNZ35" s="684"/>
      <c r="FOA35" s="684"/>
      <c r="FOB35" s="684"/>
      <c r="FOC35" s="684"/>
      <c r="FOD35" s="684"/>
      <c r="FOE35" s="684"/>
      <c r="FOF35" s="684"/>
      <c r="FOG35" s="684"/>
      <c r="FOH35" s="684"/>
      <c r="FOI35" s="684"/>
      <c r="FOJ35" s="684"/>
      <c r="FOK35" s="684"/>
      <c r="FOL35" s="684"/>
      <c r="FOM35" s="684"/>
      <c r="FON35" s="684"/>
      <c r="FOO35" s="684"/>
      <c r="FOP35" s="684"/>
      <c r="FOQ35" s="684"/>
      <c r="FOR35" s="684"/>
      <c r="FOS35" s="684"/>
      <c r="FOT35" s="684"/>
      <c r="FOU35" s="684"/>
      <c r="FOV35" s="684"/>
      <c r="FOW35" s="684"/>
      <c r="FOX35" s="684"/>
      <c r="FOY35" s="684"/>
      <c r="FOZ35" s="684"/>
      <c r="FPA35" s="684"/>
      <c r="FPB35" s="684"/>
      <c r="FPC35" s="684"/>
      <c r="FPD35" s="684"/>
      <c r="FPE35" s="684"/>
      <c r="FPF35" s="684"/>
      <c r="FPG35" s="684"/>
      <c r="FPH35" s="684"/>
      <c r="FPI35" s="684"/>
      <c r="FPJ35" s="684"/>
      <c r="FPK35" s="684"/>
      <c r="FPL35" s="684"/>
      <c r="FPM35" s="684"/>
      <c r="FPN35" s="684"/>
      <c r="FPO35" s="684"/>
      <c r="FPP35" s="684"/>
      <c r="FPQ35" s="684"/>
      <c r="FPR35" s="684"/>
      <c r="FPS35" s="684"/>
      <c r="FPT35" s="684"/>
      <c r="FPU35" s="684"/>
      <c r="FPV35" s="684"/>
      <c r="FPW35" s="684"/>
      <c r="FPX35" s="684"/>
      <c r="FPY35" s="684"/>
      <c r="FPZ35" s="684"/>
      <c r="FQA35" s="684"/>
      <c r="FQB35" s="684"/>
      <c r="FQC35" s="684"/>
      <c r="FQD35" s="684"/>
      <c r="FQE35" s="684"/>
      <c r="FQF35" s="684"/>
      <c r="FQG35" s="684"/>
      <c r="FQH35" s="684"/>
      <c r="FQI35" s="684"/>
      <c r="FQJ35" s="684"/>
      <c r="FQK35" s="684"/>
      <c r="FQL35" s="684"/>
      <c r="FQM35" s="684"/>
      <c r="FQN35" s="684"/>
      <c r="FQO35" s="684"/>
      <c r="FQP35" s="684"/>
      <c r="FQQ35" s="684"/>
      <c r="FQR35" s="684"/>
      <c r="FQS35" s="684"/>
      <c r="FQT35" s="684"/>
      <c r="FQU35" s="684"/>
      <c r="FQV35" s="684"/>
      <c r="FQW35" s="684"/>
      <c r="FQX35" s="684"/>
      <c r="FQY35" s="684"/>
      <c r="FQZ35" s="684"/>
      <c r="FRA35" s="684"/>
      <c r="FRB35" s="684"/>
      <c r="FRC35" s="684"/>
      <c r="FRD35" s="684"/>
      <c r="FRE35" s="684"/>
      <c r="FRF35" s="684"/>
      <c r="FRG35" s="684"/>
      <c r="FRH35" s="684"/>
      <c r="FRI35" s="684"/>
      <c r="FRJ35" s="684"/>
      <c r="FRK35" s="684"/>
      <c r="FRL35" s="684"/>
      <c r="FRM35" s="684"/>
      <c r="FRN35" s="684"/>
      <c r="FRO35" s="684"/>
      <c r="FRP35" s="684"/>
      <c r="FRQ35" s="684"/>
      <c r="FRR35" s="684"/>
      <c r="FRS35" s="684"/>
      <c r="FRT35" s="684"/>
      <c r="FRU35" s="684"/>
      <c r="FRV35" s="684"/>
      <c r="FRW35" s="684"/>
      <c r="FRX35" s="684"/>
      <c r="FRY35" s="684"/>
      <c r="FRZ35" s="684"/>
      <c r="FSA35" s="684"/>
      <c r="FSB35" s="684"/>
      <c r="FSC35" s="684"/>
      <c r="FSD35" s="684"/>
      <c r="FSE35" s="684"/>
      <c r="FSF35" s="684"/>
      <c r="FSG35" s="684"/>
      <c r="FSH35" s="684"/>
      <c r="FSI35" s="684"/>
      <c r="FSJ35" s="684"/>
      <c r="FSK35" s="684"/>
      <c r="FSL35" s="684"/>
      <c r="FSM35" s="684"/>
      <c r="FSN35" s="684"/>
      <c r="FSO35" s="684"/>
      <c r="FSP35" s="684"/>
      <c r="FSQ35" s="684"/>
      <c r="FSR35" s="684"/>
      <c r="FSS35" s="684"/>
      <c r="FST35" s="684"/>
      <c r="FSU35" s="684"/>
      <c r="FSV35" s="684"/>
      <c r="FSW35" s="684"/>
      <c r="FSX35" s="684"/>
      <c r="FSY35" s="684"/>
      <c r="FSZ35" s="684"/>
      <c r="FTA35" s="684"/>
      <c r="FTB35" s="684"/>
      <c r="FTC35" s="684"/>
      <c r="FTD35" s="684"/>
      <c r="FTE35" s="684"/>
      <c r="FTF35" s="684"/>
      <c r="FTG35" s="684"/>
      <c r="FTH35" s="684"/>
      <c r="FTI35" s="684"/>
      <c r="FTJ35" s="684"/>
      <c r="FTK35" s="684"/>
      <c r="FTL35" s="684"/>
      <c r="FTM35" s="684"/>
      <c r="FTN35" s="684"/>
      <c r="FTO35" s="684"/>
      <c r="FTP35" s="684"/>
      <c r="FTQ35" s="684"/>
      <c r="FTR35" s="684"/>
      <c r="FTS35" s="684"/>
      <c r="FTT35" s="684"/>
      <c r="FTU35" s="684"/>
      <c r="FTV35" s="684"/>
      <c r="FTW35" s="684"/>
      <c r="FTX35" s="684"/>
      <c r="FTY35" s="684"/>
      <c r="FTZ35" s="684"/>
      <c r="FUA35" s="684"/>
      <c r="FUB35" s="684"/>
      <c r="FUC35" s="684"/>
      <c r="FUD35" s="684"/>
      <c r="FUE35" s="684"/>
      <c r="FUF35" s="684"/>
      <c r="FUG35" s="684"/>
      <c r="FUH35" s="684"/>
      <c r="FUI35" s="684"/>
      <c r="FUJ35" s="684"/>
      <c r="FUK35" s="684"/>
      <c r="FUL35" s="684"/>
      <c r="FUM35" s="684"/>
      <c r="FUN35" s="684"/>
      <c r="FUO35" s="684"/>
      <c r="FUP35" s="684"/>
      <c r="FUQ35" s="684"/>
      <c r="FUR35" s="684"/>
      <c r="FUS35" s="684"/>
      <c r="FUT35" s="684"/>
      <c r="FUU35" s="684"/>
      <c r="FUV35" s="684"/>
      <c r="FUW35" s="684"/>
      <c r="FUX35" s="684"/>
      <c r="FUY35" s="684"/>
      <c r="FUZ35" s="684"/>
      <c r="FVA35" s="684"/>
      <c r="FVB35" s="684"/>
      <c r="FVC35" s="684"/>
      <c r="FVD35" s="684"/>
      <c r="FVE35" s="684"/>
      <c r="FVF35" s="684"/>
      <c r="FVG35" s="684"/>
      <c r="FVH35" s="684"/>
      <c r="FVI35" s="684"/>
      <c r="FVJ35" s="684"/>
      <c r="FVK35" s="684"/>
      <c r="FVL35" s="684"/>
      <c r="FVM35" s="684"/>
      <c r="FVN35" s="684"/>
      <c r="FVO35" s="684"/>
      <c r="FVP35" s="684"/>
      <c r="FVQ35" s="684"/>
      <c r="FVR35" s="684"/>
      <c r="FVS35" s="684"/>
      <c r="FVT35" s="684"/>
      <c r="FVU35" s="684"/>
      <c r="FVV35" s="684"/>
      <c r="FVW35" s="684"/>
      <c r="FVX35" s="684"/>
      <c r="FVY35" s="684"/>
      <c r="FVZ35" s="684"/>
      <c r="FWA35" s="684"/>
      <c r="FWB35" s="684"/>
      <c r="FWC35" s="684"/>
      <c r="FWD35" s="684"/>
      <c r="FWE35" s="684"/>
      <c r="FWF35" s="684"/>
      <c r="FWG35" s="684"/>
      <c r="FWH35" s="684"/>
      <c r="FWI35" s="684"/>
      <c r="FWJ35" s="684"/>
      <c r="FWK35" s="684"/>
      <c r="FWL35" s="684"/>
      <c r="FWM35" s="684"/>
      <c r="FWN35" s="684"/>
      <c r="FWO35" s="684"/>
      <c r="FWP35" s="684"/>
      <c r="FWQ35" s="684"/>
      <c r="FWR35" s="684"/>
      <c r="FWS35" s="684"/>
      <c r="FWT35" s="684"/>
      <c r="FWU35" s="684"/>
      <c r="FWV35" s="684"/>
      <c r="FWW35" s="684"/>
      <c r="FWX35" s="684"/>
      <c r="FWY35" s="684"/>
      <c r="FWZ35" s="684"/>
      <c r="FXA35" s="684"/>
      <c r="FXB35" s="684"/>
      <c r="FXC35" s="684"/>
      <c r="FXD35" s="684"/>
      <c r="FXE35" s="684"/>
      <c r="FXF35" s="684"/>
      <c r="FXG35" s="684"/>
      <c r="FXH35" s="684"/>
      <c r="FXI35" s="684"/>
      <c r="FXJ35" s="684"/>
      <c r="FXK35" s="684"/>
      <c r="FXL35" s="684"/>
      <c r="FXM35" s="684"/>
      <c r="FXN35" s="684"/>
      <c r="FXO35" s="684"/>
      <c r="FXP35" s="684"/>
      <c r="FXQ35" s="684"/>
      <c r="FXR35" s="684"/>
      <c r="FXS35" s="684"/>
      <c r="FXT35" s="684"/>
      <c r="FXU35" s="684"/>
      <c r="FXV35" s="684"/>
      <c r="FXW35" s="684"/>
      <c r="FXX35" s="684"/>
      <c r="FXY35" s="684"/>
      <c r="FXZ35" s="684"/>
      <c r="FYA35" s="684"/>
      <c r="FYB35" s="684"/>
      <c r="FYC35" s="684"/>
      <c r="FYD35" s="684"/>
      <c r="FYE35" s="684"/>
      <c r="FYF35" s="684"/>
      <c r="FYG35" s="684"/>
      <c r="FYH35" s="684"/>
      <c r="FYI35" s="684"/>
      <c r="FYJ35" s="684"/>
      <c r="FYK35" s="684"/>
      <c r="FYL35" s="684"/>
      <c r="FYM35" s="684"/>
      <c r="FYN35" s="684"/>
      <c r="FYO35" s="684"/>
      <c r="FYP35" s="684"/>
      <c r="FYQ35" s="684"/>
      <c r="FYR35" s="684"/>
      <c r="FYS35" s="684"/>
      <c r="FYT35" s="684"/>
      <c r="FYU35" s="684"/>
      <c r="FYV35" s="684"/>
      <c r="FYW35" s="684"/>
      <c r="FYX35" s="684"/>
      <c r="FYY35" s="684"/>
      <c r="FYZ35" s="684"/>
      <c r="FZA35" s="684"/>
      <c r="FZB35" s="684"/>
      <c r="FZC35" s="684"/>
      <c r="FZD35" s="684"/>
      <c r="FZE35" s="684"/>
      <c r="FZF35" s="684"/>
      <c r="FZG35" s="684"/>
      <c r="FZH35" s="684"/>
      <c r="FZI35" s="684"/>
      <c r="FZJ35" s="684"/>
      <c r="FZK35" s="684"/>
      <c r="FZL35" s="684"/>
      <c r="FZM35" s="684"/>
      <c r="FZN35" s="684"/>
      <c r="FZO35" s="684"/>
      <c r="FZP35" s="684"/>
      <c r="FZQ35" s="684"/>
      <c r="FZR35" s="684"/>
      <c r="FZS35" s="684"/>
      <c r="FZT35" s="684"/>
      <c r="FZU35" s="684"/>
      <c r="FZV35" s="684"/>
      <c r="FZW35" s="684"/>
      <c r="FZX35" s="684"/>
      <c r="FZY35" s="684"/>
      <c r="FZZ35" s="684"/>
      <c r="GAA35" s="684"/>
      <c r="GAB35" s="684"/>
      <c r="GAC35" s="684"/>
      <c r="GAD35" s="684"/>
      <c r="GAE35" s="684"/>
      <c r="GAF35" s="684"/>
      <c r="GAG35" s="684"/>
      <c r="GAH35" s="684"/>
      <c r="GAI35" s="684"/>
      <c r="GAJ35" s="684"/>
      <c r="GAK35" s="684"/>
      <c r="GAL35" s="684"/>
      <c r="GAM35" s="684"/>
      <c r="GAN35" s="684"/>
      <c r="GAO35" s="684"/>
      <c r="GAP35" s="684"/>
      <c r="GAQ35" s="684"/>
      <c r="GAR35" s="684"/>
      <c r="GAS35" s="684"/>
      <c r="GAT35" s="684"/>
      <c r="GAU35" s="684"/>
      <c r="GAV35" s="684"/>
      <c r="GAW35" s="684"/>
      <c r="GAX35" s="684"/>
      <c r="GAY35" s="684"/>
      <c r="GAZ35" s="684"/>
      <c r="GBA35" s="684"/>
      <c r="GBB35" s="684"/>
      <c r="GBC35" s="684"/>
      <c r="GBD35" s="684"/>
      <c r="GBE35" s="684"/>
      <c r="GBF35" s="684"/>
      <c r="GBG35" s="684"/>
      <c r="GBH35" s="684"/>
      <c r="GBI35" s="684"/>
      <c r="GBJ35" s="684"/>
      <c r="GBK35" s="684"/>
      <c r="GBL35" s="684"/>
      <c r="GBM35" s="684"/>
      <c r="GBN35" s="684"/>
      <c r="GBO35" s="684"/>
      <c r="GBP35" s="684"/>
      <c r="GBQ35" s="684"/>
      <c r="GBR35" s="684"/>
      <c r="GBS35" s="684"/>
      <c r="GBT35" s="684"/>
      <c r="GBU35" s="684"/>
      <c r="GBV35" s="684"/>
      <c r="GBW35" s="684"/>
      <c r="GBX35" s="684"/>
      <c r="GBY35" s="684"/>
      <c r="GBZ35" s="684"/>
      <c r="GCA35" s="684"/>
      <c r="GCB35" s="684"/>
      <c r="GCC35" s="684"/>
      <c r="GCD35" s="684"/>
      <c r="GCE35" s="684"/>
      <c r="GCF35" s="684"/>
      <c r="GCG35" s="684"/>
      <c r="GCH35" s="684"/>
      <c r="GCI35" s="684"/>
      <c r="GCJ35" s="684"/>
      <c r="GCK35" s="684"/>
      <c r="GCL35" s="684"/>
      <c r="GCM35" s="684"/>
      <c r="GCN35" s="684"/>
      <c r="GCO35" s="684"/>
      <c r="GCP35" s="684"/>
      <c r="GCQ35" s="684"/>
      <c r="GCR35" s="684"/>
      <c r="GCS35" s="684"/>
      <c r="GCT35" s="684"/>
      <c r="GCU35" s="684"/>
      <c r="GCV35" s="684"/>
      <c r="GCW35" s="684"/>
      <c r="GCX35" s="684"/>
      <c r="GCY35" s="684"/>
      <c r="GCZ35" s="684"/>
      <c r="GDA35" s="684"/>
      <c r="GDB35" s="684"/>
      <c r="GDC35" s="684"/>
      <c r="GDD35" s="684"/>
      <c r="GDE35" s="684"/>
      <c r="GDF35" s="684"/>
      <c r="GDG35" s="684"/>
      <c r="GDH35" s="684"/>
      <c r="GDI35" s="684"/>
      <c r="GDJ35" s="684"/>
      <c r="GDK35" s="684"/>
      <c r="GDL35" s="684"/>
      <c r="GDM35" s="684"/>
      <c r="GDN35" s="684"/>
      <c r="GDO35" s="684"/>
      <c r="GDP35" s="684"/>
      <c r="GDQ35" s="684"/>
      <c r="GDR35" s="684"/>
      <c r="GDS35" s="684"/>
      <c r="GDT35" s="684"/>
      <c r="GDU35" s="684"/>
      <c r="GDV35" s="684"/>
      <c r="GDW35" s="684"/>
      <c r="GDX35" s="684"/>
      <c r="GDY35" s="684"/>
      <c r="GDZ35" s="684"/>
      <c r="GEA35" s="684"/>
      <c r="GEB35" s="684"/>
      <c r="GEC35" s="684"/>
      <c r="GED35" s="684"/>
      <c r="GEE35" s="684"/>
      <c r="GEF35" s="684"/>
      <c r="GEG35" s="684"/>
      <c r="GEH35" s="684"/>
      <c r="GEI35" s="684"/>
      <c r="GEJ35" s="684"/>
      <c r="GEK35" s="684"/>
      <c r="GEL35" s="684"/>
      <c r="GEM35" s="684"/>
      <c r="GEN35" s="684"/>
      <c r="GEO35" s="684"/>
      <c r="GEP35" s="684"/>
      <c r="GEQ35" s="684"/>
      <c r="GER35" s="684"/>
      <c r="GES35" s="684"/>
      <c r="GET35" s="684"/>
      <c r="GEU35" s="684"/>
      <c r="GEV35" s="684"/>
      <c r="GEW35" s="684"/>
      <c r="GEX35" s="684"/>
      <c r="GEY35" s="684"/>
      <c r="GEZ35" s="684"/>
      <c r="GFA35" s="684"/>
      <c r="GFB35" s="684"/>
      <c r="GFC35" s="684"/>
      <c r="GFD35" s="684"/>
      <c r="GFE35" s="684"/>
      <c r="GFF35" s="684"/>
      <c r="GFG35" s="684"/>
      <c r="GFH35" s="684"/>
      <c r="GFI35" s="684"/>
      <c r="GFJ35" s="684"/>
      <c r="GFK35" s="684"/>
      <c r="GFL35" s="684"/>
      <c r="GFM35" s="684"/>
      <c r="GFN35" s="684"/>
      <c r="GFO35" s="684"/>
      <c r="GFP35" s="684"/>
      <c r="GFQ35" s="684"/>
      <c r="GFR35" s="684"/>
      <c r="GFS35" s="684"/>
      <c r="GFT35" s="684"/>
      <c r="GFU35" s="684"/>
      <c r="GFV35" s="684"/>
      <c r="GFW35" s="684"/>
      <c r="GFX35" s="684"/>
      <c r="GFY35" s="684"/>
      <c r="GFZ35" s="684"/>
      <c r="GGA35" s="684"/>
      <c r="GGB35" s="684"/>
      <c r="GGC35" s="684"/>
      <c r="GGD35" s="684"/>
      <c r="GGE35" s="684"/>
      <c r="GGF35" s="684"/>
      <c r="GGG35" s="684"/>
      <c r="GGH35" s="684"/>
      <c r="GGI35" s="684"/>
      <c r="GGJ35" s="684"/>
      <c r="GGK35" s="684"/>
      <c r="GGL35" s="684"/>
      <c r="GGM35" s="684"/>
      <c r="GGN35" s="684"/>
      <c r="GGO35" s="684"/>
      <c r="GGP35" s="684"/>
      <c r="GGQ35" s="684"/>
      <c r="GGR35" s="684"/>
      <c r="GGS35" s="684"/>
      <c r="GGT35" s="684"/>
      <c r="GGU35" s="684"/>
      <c r="GGV35" s="684"/>
      <c r="GGW35" s="684"/>
      <c r="GGX35" s="684"/>
      <c r="GGY35" s="684"/>
      <c r="GGZ35" s="684"/>
      <c r="GHA35" s="684"/>
      <c r="GHB35" s="684"/>
      <c r="GHC35" s="684"/>
      <c r="GHD35" s="684"/>
      <c r="GHE35" s="684"/>
      <c r="GHF35" s="684"/>
      <c r="GHG35" s="684"/>
      <c r="GHH35" s="684"/>
      <c r="GHI35" s="684"/>
      <c r="GHJ35" s="684"/>
      <c r="GHK35" s="684"/>
      <c r="GHL35" s="684"/>
      <c r="GHM35" s="684"/>
      <c r="GHN35" s="684"/>
      <c r="GHO35" s="684"/>
      <c r="GHP35" s="684"/>
      <c r="GHQ35" s="684"/>
      <c r="GHR35" s="684"/>
      <c r="GHS35" s="684"/>
      <c r="GHT35" s="684"/>
      <c r="GHU35" s="684"/>
      <c r="GHV35" s="684"/>
      <c r="GHW35" s="684"/>
      <c r="GHX35" s="684"/>
      <c r="GHY35" s="684"/>
      <c r="GHZ35" s="684"/>
      <c r="GIA35" s="684"/>
      <c r="GIB35" s="684"/>
      <c r="GIC35" s="684"/>
      <c r="GID35" s="684"/>
      <c r="GIE35" s="684"/>
      <c r="GIF35" s="684"/>
      <c r="GIG35" s="684"/>
      <c r="GIH35" s="684"/>
      <c r="GII35" s="684"/>
      <c r="GIJ35" s="684"/>
      <c r="GIK35" s="684"/>
      <c r="GIL35" s="684"/>
      <c r="GIM35" s="684"/>
      <c r="GIN35" s="684"/>
      <c r="GIO35" s="684"/>
      <c r="GIP35" s="684"/>
      <c r="GIQ35" s="684"/>
      <c r="GIR35" s="684"/>
      <c r="GIS35" s="684"/>
      <c r="GIT35" s="684"/>
      <c r="GIU35" s="684"/>
      <c r="GIV35" s="684"/>
      <c r="GIW35" s="684"/>
      <c r="GIX35" s="684"/>
      <c r="GIY35" s="684"/>
      <c r="GIZ35" s="684"/>
      <c r="GJA35" s="684"/>
      <c r="GJB35" s="684"/>
      <c r="GJC35" s="684"/>
      <c r="GJD35" s="684"/>
      <c r="GJE35" s="684"/>
      <c r="GJF35" s="684"/>
      <c r="GJG35" s="684"/>
      <c r="GJH35" s="684"/>
      <c r="GJI35" s="684"/>
      <c r="GJJ35" s="684"/>
      <c r="GJK35" s="684"/>
      <c r="GJL35" s="684"/>
      <c r="GJM35" s="684"/>
      <c r="GJN35" s="684"/>
      <c r="GJO35" s="684"/>
      <c r="GJP35" s="684"/>
      <c r="GJQ35" s="684"/>
      <c r="GJR35" s="684"/>
      <c r="GJS35" s="684"/>
      <c r="GJT35" s="684"/>
      <c r="GJU35" s="684"/>
      <c r="GJV35" s="684"/>
      <c r="GJW35" s="684"/>
      <c r="GJX35" s="684"/>
      <c r="GJY35" s="684"/>
      <c r="GJZ35" s="684"/>
      <c r="GKA35" s="684"/>
      <c r="GKB35" s="684"/>
      <c r="GKC35" s="684"/>
      <c r="GKD35" s="684"/>
      <c r="GKE35" s="684"/>
      <c r="GKF35" s="684"/>
      <c r="GKG35" s="684"/>
      <c r="GKH35" s="684"/>
      <c r="GKI35" s="684"/>
      <c r="GKJ35" s="684"/>
      <c r="GKK35" s="684"/>
      <c r="GKL35" s="684"/>
      <c r="GKM35" s="684"/>
      <c r="GKN35" s="684"/>
      <c r="GKO35" s="684"/>
      <c r="GKP35" s="684"/>
      <c r="GKQ35" s="684"/>
      <c r="GKR35" s="684"/>
      <c r="GKS35" s="684"/>
      <c r="GKT35" s="684"/>
      <c r="GKU35" s="684"/>
      <c r="GKV35" s="684"/>
      <c r="GKW35" s="684"/>
      <c r="GKX35" s="684"/>
      <c r="GKY35" s="684"/>
      <c r="GKZ35" s="684"/>
      <c r="GLA35" s="684"/>
      <c r="GLB35" s="684"/>
      <c r="GLC35" s="684"/>
      <c r="GLD35" s="684"/>
      <c r="GLE35" s="684"/>
      <c r="GLF35" s="684"/>
      <c r="GLG35" s="684"/>
      <c r="GLH35" s="684"/>
      <c r="GLI35" s="684"/>
      <c r="GLJ35" s="684"/>
      <c r="GLK35" s="684"/>
      <c r="GLL35" s="684"/>
      <c r="GLM35" s="684"/>
      <c r="GLN35" s="684"/>
      <c r="GLO35" s="684"/>
      <c r="GLP35" s="684"/>
      <c r="GLQ35" s="684"/>
      <c r="GLR35" s="684"/>
      <c r="GLS35" s="684"/>
      <c r="GLT35" s="684"/>
      <c r="GLU35" s="684"/>
      <c r="GLV35" s="684"/>
      <c r="GLW35" s="684"/>
      <c r="GLX35" s="684"/>
      <c r="GLY35" s="684"/>
      <c r="GLZ35" s="684"/>
      <c r="GMA35" s="684"/>
      <c r="GMB35" s="684"/>
      <c r="GMC35" s="684"/>
      <c r="GMD35" s="684"/>
      <c r="GME35" s="684"/>
      <c r="GMF35" s="684"/>
      <c r="GMG35" s="684"/>
      <c r="GMH35" s="684"/>
      <c r="GMI35" s="684"/>
      <c r="GMJ35" s="684"/>
      <c r="GMK35" s="684"/>
      <c r="GML35" s="684"/>
      <c r="GMM35" s="684"/>
      <c r="GMN35" s="684"/>
      <c r="GMO35" s="684"/>
      <c r="GMP35" s="684"/>
      <c r="GMQ35" s="684"/>
      <c r="GMR35" s="684"/>
      <c r="GMS35" s="684"/>
      <c r="GMT35" s="684"/>
      <c r="GMU35" s="684"/>
      <c r="GMV35" s="684"/>
      <c r="GMW35" s="684"/>
      <c r="GMX35" s="684"/>
      <c r="GMY35" s="684"/>
      <c r="GMZ35" s="684"/>
      <c r="GNA35" s="684"/>
      <c r="GNB35" s="684"/>
      <c r="GNC35" s="684"/>
      <c r="GND35" s="684"/>
      <c r="GNE35" s="684"/>
      <c r="GNF35" s="684"/>
      <c r="GNG35" s="684"/>
      <c r="GNH35" s="684"/>
      <c r="GNI35" s="684"/>
      <c r="GNJ35" s="684"/>
      <c r="GNK35" s="684"/>
      <c r="GNL35" s="684"/>
      <c r="GNM35" s="684"/>
      <c r="GNN35" s="684"/>
      <c r="GNO35" s="684"/>
      <c r="GNP35" s="684"/>
      <c r="GNQ35" s="684"/>
      <c r="GNR35" s="684"/>
      <c r="GNS35" s="684"/>
      <c r="GNT35" s="684"/>
      <c r="GNU35" s="684"/>
      <c r="GNV35" s="684"/>
      <c r="GNW35" s="684"/>
      <c r="GNX35" s="684"/>
      <c r="GNY35" s="684"/>
      <c r="GNZ35" s="684"/>
      <c r="GOA35" s="684"/>
      <c r="GOB35" s="684"/>
      <c r="GOC35" s="684"/>
      <c r="GOD35" s="684"/>
      <c r="GOE35" s="684"/>
      <c r="GOF35" s="684"/>
      <c r="GOG35" s="684"/>
      <c r="GOH35" s="684"/>
      <c r="GOI35" s="684"/>
      <c r="GOJ35" s="684"/>
      <c r="GOK35" s="684"/>
      <c r="GOL35" s="684"/>
      <c r="GOM35" s="684"/>
      <c r="GON35" s="684"/>
      <c r="GOO35" s="684"/>
      <c r="GOP35" s="684"/>
      <c r="GOQ35" s="684"/>
      <c r="GOR35" s="684"/>
      <c r="GOS35" s="684"/>
      <c r="GOT35" s="684"/>
      <c r="GOU35" s="684"/>
      <c r="GOV35" s="684"/>
      <c r="GOW35" s="684"/>
      <c r="GOX35" s="684"/>
      <c r="GOY35" s="684"/>
      <c r="GOZ35" s="684"/>
      <c r="GPA35" s="684"/>
      <c r="GPB35" s="684"/>
      <c r="GPC35" s="684"/>
      <c r="GPD35" s="684"/>
      <c r="GPE35" s="684"/>
      <c r="GPF35" s="684"/>
      <c r="GPG35" s="684"/>
      <c r="GPH35" s="684"/>
      <c r="GPI35" s="684"/>
      <c r="GPJ35" s="684"/>
      <c r="GPK35" s="684"/>
      <c r="GPL35" s="684"/>
      <c r="GPM35" s="684"/>
      <c r="GPN35" s="684"/>
      <c r="GPO35" s="684"/>
      <c r="GPP35" s="684"/>
      <c r="GPQ35" s="684"/>
      <c r="GPR35" s="684"/>
      <c r="GPS35" s="684"/>
      <c r="GPT35" s="684"/>
      <c r="GPU35" s="684"/>
      <c r="GPV35" s="684"/>
      <c r="GPW35" s="684"/>
      <c r="GPX35" s="684"/>
      <c r="GPY35" s="684"/>
      <c r="GPZ35" s="684"/>
      <c r="GQA35" s="684"/>
      <c r="GQB35" s="684"/>
      <c r="GQC35" s="684"/>
      <c r="GQD35" s="684"/>
      <c r="GQE35" s="684"/>
      <c r="GQF35" s="684"/>
      <c r="GQG35" s="684"/>
      <c r="GQH35" s="684"/>
      <c r="GQI35" s="684"/>
      <c r="GQJ35" s="684"/>
      <c r="GQK35" s="684"/>
      <c r="GQL35" s="684"/>
      <c r="GQM35" s="684"/>
      <c r="GQN35" s="684"/>
      <c r="GQO35" s="684"/>
      <c r="GQP35" s="684"/>
      <c r="GQQ35" s="684"/>
      <c r="GQR35" s="684"/>
      <c r="GQS35" s="684"/>
      <c r="GQT35" s="684"/>
      <c r="GQU35" s="684"/>
      <c r="GQV35" s="684"/>
      <c r="GQW35" s="684"/>
      <c r="GQX35" s="684"/>
      <c r="GQY35" s="684"/>
      <c r="GQZ35" s="684"/>
      <c r="GRA35" s="684"/>
      <c r="GRB35" s="684"/>
      <c r="GRC35" s="684"/>
      <c r="GRD35" s="684"/>
      <c r="GRE35" s="684"/>
      <c r="GRF35" s="684"/>
      <c r="GRG35" s="684"/>
      <c r="GRH35" s="684"/>
      <c r="GRI35" s="684"/>
      <c r="GRJ35" s="684"/>
      <c r="GRK35" s="684"/>
      <c r="GRL35" s="684"/>
      <c r="GRM35" s="684"/>
      <c r="GRN35" s="684"/>
      <c r="GRO35" s="684"/>
      <c r="GRP35" s="684"/>
      <c r="GRQ35" s="684"/>
      <c r="GRR35" s="684"/>
      <c r="GRS35" s="684"/>
      <c r="GRT35" s="684"/>
      <c r="GRU35" s="684"/>
      <c r="GRV35" s="684"/>
      <c r="GRW35" s="684"/>
      <c r="GRX35" s="684"/>
      <c r="GRY35" s="684"/>
      <c r="GRZ35" s="684"/>
      <c r="GSA35" s="684"/>
      <c r="GSB35" s="684"/>
      <c r="GSC35" s="684"/>
      <c r="GSD35" s="684"/>
      <c r="GSE35" s="684"/>
      <c r="GSF35" s="684"/>
      <c r="GSG35" s="684"/>
      <c r="GSH35" s="684"/>
      <c r="GSI35" s="684"/>
      <c r="GSJ35" s="684"/>
      <c r="GSK35" s="684"/>
      <c r="GSL35" s="684"/>
      <c r="GSM35" s="684"/>
      <c r="GSN35" s="684"/>
      <c r="GSO35" s="684"/>
      <c r="GSP35" s="684"/>
      <c r="GSQ35" s="684"/>
      <c r="GSR35" s="684"/>
      <c r="GSS35" s="684"/>
      <c r="GST35" s="684"/>
      <c r="GSU35" s="684"/>
      <c r="GSV35" s="684"/>
      <c r="GSW35" s="684"/>
      <c r="GSX35" s="684"/>
      <c r="GSY35" s="684"/>
      <c r="GSZ35" s="684"/>
      <c r="GTA35" s="684"/>
      <c r="GTB35" s="684"/>
      <c r="GTC35" s="684"/>
      <c r="GTD35" s="684"/>
      <c r="GTE35" s="684"/>
      <c r="GTF35" s="684"/>
      <c r="GTG35" s="684"/>
      <c r="GTH35" s="684"/>
      <c r="GTI35" s="684"/>
      <c r="GTJ35" s="684"/>
      <c r="GTK35" s="684"/>
      <c r="GTL35" s="684"/>
      <c r="GTM35" s="684"/>
      <c r="GTN35" s="684"/>
      <c r="GTO35" s="684"/>
      <c r="GTP35" s="684"/>
      <c r="GTQ35" s="684"/>
      <c r="GTR35" s="684"/>
      <c r="GTS35" s="684"/>
      <c r="GTT35" s="684"/>
      <c r="GTU35" s="684"/>
      <c r="GTV35" s="684"/>
      <c r="GTW35" s="684"/>
      <c r="GTX35" s="684"/>
      <c r="GTY35" s="684"/>
      <c r="GTZ35" s="684"/>
      <c r="GUA35" s="684"/>
      <c r="GUB35" s="684"/>
      <c r="GUC35" s="684"/>
      <c r="GUD35" s="684"/>
      <c r="GUE35" s="684"/>
      <c r="GUF35" s="684"/>
      <c r="GUG35" s="684"/>
      <c r="GUH35" s="684"/>
      <c r="GUI35" s="684"/>
      <c r="GUJ35" s="684"/>
      <c r="GUK35" s="684"/>
      <c r="GUL35" s="684"/>
      <c r="GUM35" s="684"/>
      <c r="GUN35" s="684"/>
      <c r="GUO35" s="684"/>
      <c r="GUP35" s="684"/>
      <c r="GUQ35" s="684"/>
      <c r="GUR35" s="684"/>
      <c r="GUS35" s="684"/>
      <c r="GUT35" s="684"/>
      <c r="GUU35" s="684"/>
      <c r="GUV35" s="684"/>
      <c r="GUW35" s="684"/>
      <c r="GUX35" s="684"/>
      <c r="GUY35" s="684"/>
      <c r="GUZ35" s="684"/>
      <c r="GVA35" s="684"/>
      <c r="GVB35" s="684"/>
      <c r="GVC35" s="684"/>
      <c r="GVD35" s="684"/>
      <c r="GVE35" s="684"/>
      <c r="GVF35" s="684"/>
      <c r="GVG35" s="684"/>
      <c r="GVH35" s="684"/>
      <c r="GVI35" s="684"/>
      <c r="GVJ35" s="684"/>
      <c r="GVK35" s="684"/>
      <c r="GVL35" s="684"/>
      <c r="GVM35" s="684"/>
      <c r="GVN35" s="684"/>
      <c r="GVO35" s="684"/>
      <c r="GVP35" s="684"/>
      <c r="GVQ35" s="684"/>
      <c r="GVR35" s="684"/>
      <c r="GVS35" s="684"/>
      <c r="GVT35" s="684"/>
      <c r="GVU35" s="684"/>
      <c r="GVV35" s="684"/>
      <c r="GVW35" s="684"/>
      <c r="GVX35" s="684"/>
      <c r="GVY35" s="684"/>
      <c r="GVZ35" s="684"/>
      <c r="GWA35" s="684"/>
      <c r="GWB35" s="684"/>
      <c r="GWC35" s="684"/>
      <c r="GWD35" s="684"/>
      <c r="GWE35" s="684"/>
      <c r="GWF35" s="684"/>
      <c r="GWG35" s="684"/>
      <c r="GWH35" s="684"/>
      <c r="GWI35" s="684"/>
      <c r="GWJ35" s="684"/>
      <c r="GWK35" s="684"/>
      <c r="GWL35" s="684"/>
      <c r="GWM35" s="684"/>
      <c r="GWN35" s="684"/>
      <c r="GWO35" s="684"/>
      <c r="GWP35" s="684"/>
      <c r="GWQ35" s="684"/>
      <c r="GWR35" s="684"/>
      <c r="GWS35" s="684"/>
      <c r="GWT35" s="684"/>
      <c r="GWU35" s="684"/>
      <c r="GWV35" s="684"/>
      <c r="GWW35" s="684"/>
      <c r="GWX35" s="684"/>
      <c r="GWY35" s="684"/>
      <c r="GWZ35" s="684"/>
      <c r="GXA35" s="684"/>
      <c r="GXB35" s="684"/>
      <c r="GXC35" s="684"/>
      <c r="GXD35" s="684"/>
      <c r="GXE35" s="684"/>
      <c r="GXF35" s="684"/>
      <c r="GXG35" s="684"/>
      <c r="GXH35" s="684"/>
      <c r="GXI35" s="684"/>
      <c r="GXJ35" s="684"/>
      <c r="GXK35" s="684"/>
      <c r="GXL35" s="684"/>
      <c r="GXM35" s="684"/>
      <c r="GXN35" s="684"/>
      <c r="GXO35" s="684"/>
      <c r="GXP35" s="684"/>
      <c r="GXQ35" s="684"/>
      <c r="GXR35" s="684"/>
      <c r="GXS35" s="684"/>
      <c r="GXT35" s="684"/>
      <c r="GXU35" s="684"/>
      <c r="GXV35" s="684"/>
      <c r="GXW35" s="684"/>
      <c r="GXX35" s="684"/>
      <c r="GXY35" s="684"/>
      <c r="GXZ35" s="684"/>
      <c r="GYA35" s="684"/>
      <c r="GYB35" s="684"/>
      <c r="GYC35" s="684"/>
      <c r="GYD35" s="684"/>
      <c r="GYE35" s="684"/>
      <c r="GYF35" s="684"/>
      <c r="GYG35" s="684"/>
      <c r="GYH35" s="684"/>
      <c r="GYI35" s="684"/>
      <c r="GYJ35" s="684"/>
      <c r="GYK35" s="684"/>
      <c r="GYL35" s="684"/>
      <c r="GYM35" s="684"/>
      <c r="GYN35" s="684"/>
      <c r="GYO35" s="684"/>
      <c r="GYP35" s="684"/>
      <c r="GYQ35" s="684"/>
      <c r="GYR35" s="684"/>
      <c r="GYS35" s="684"/>
      <c r="GYT35" s="684"/>
      <c r="GYU35" s="684"/>
      <c r="GYV35" s="684"/>
      <c r="GYW35" s="684"/>
      <c r="GYX35" s="684"/>
      <c r="GYY35" s="684"/>
      <c r="GYZ35" s="684"/>
      <c r="GZA35" s="684"/>
      <c r="GZB35" s="684"/>
      <c r="GZC35" s="684"/>
      <c r="GZD35" s="684"/>
      <c r="GZE35" s="684"/>
      <c r="GZF35" s="684"/>
      <c r="GZG35" s="684"/>
      <c r="GZH35" s="684"/>
      <c r="GZI35" s="684"/>
      <c r="GZJ35" s="684"/>
      <c r="GZK35" s="684"/>
      <c r="GZL35" s="684"/>
      <c r="GZM35" s="684"/>
      <c r="GZN35" s="684"/>
      <c r="GZO35" s="684"/>
      <c r="GZP35" s="684"/>
      <c r="GZQ35" s="684"/>
      <c r="GZR35" s="684"/>
      <c r="GZS35" s="684"/>
      <c r="GZT35" s="684"/>
      <c r="GZU35" s="684"/>
      <c r="GZV35" s="684"/>
      <c r="GZW35" s="684"/>
      <c r="GZX35" s="684"/>
      <c r="GZY35" s="684"/>
      <c r="GZZ35" s="684"/>
      <c r="HAA35" s="684"/>
      <c r="HAB35" s="684"/>
      <c r="HAC35" s="684"/>
      <c r="HAD35" s="684"/>
      <c r="HAE35" s="684"/>
      <c r="HAF35" s="684"/>
      <c r="HAG35" s="684"/>
      <c r="HAH35" s="684"/>
      <c r="HAI35" s="684"/>
      <c r="HAJ35" s="684"/>
      <c r="HAK35" s="684"/>
      <c r="HAL35" s="684"/>
      <c r="HAM35" s="684"/>
      <c r="HAN35" s="684"/>
      <c r="HAO35" s="684"/>
      <c r="HAP35" s="684"/>
      <c r="HAQ35" s="684"/>
      <c r="HAR35" s="684"/>
      <c r="HAS35" s="684"/>
      <c r="HAT35" s="684"/>
      <c r="HAU35" s="684"/>
      <c r="HAV35" s="684"/>
      <c r="HAW35" s="684"/>
      <c r="HAX35" s="684"/>
      <c r="HAY35" s="684"/>
      <c r="HAZ35" s="684"/>
      <c r="HBA35" s="684"/>
      <c r="HBB35" s="684"/>
      <c r="HBC35" s="684"/>
      <c r="HBD35" s="684"/>
      <c r="HBE35" s="684"/>
      <c r="HBF35" s="684"/>
      <c r="HBG35" s="684"/>
      <c r="HBH35" s="684"/>
      <c r="HBI35" s="684"/>
      <c r="HBJ35" s="684"/>
      <c r="HBK35" s="684"/>
      <c r="HBL35" s="684"/>
      <c r="HBM35" s="684"/>
      <c r="HBN35" s="684"/>
      <c r="HBO35" s="684"/>
      <c r="HBP35" s="684"/>
      <c r="HBQ35" s="684"/>
      <c r="HBR35" s="684"/>
      <c r="HBS35" s="684"/>
      <c r="HBT35" s="684"/>
      <c r="HBU35" s="684"/>
      <c r="HBV35" s="684"/>
      <c r="HBW35" s="684"/>
      <c r="HBX35" s="684"/>
      <c r="HBY35" s="684"/>
      <c r="HBZ35" s="684"/>
      <c r="HCA35" s="684"/>
      <c r="HCB35" s="684"/>
      <c r="HCC35" s="684"/>
      <c r="HCD35" s="684"/>
      <c r="HCE35" s="684"/>
      <c r="HCF35" s="684"/>
      <c r="HCG35" s="684"/>
      <c r="HCH35" s="684"/>
      <c r="HCI35" s="684"/>
      <c r="HCJ35" s="684"/>
      <c r="HCK35" s="684"/>
      <c r="HCL35" s="684"/>
      <c r="HCM35" s="684"/>
      <c r="HCN35" s="684"/>
      <c r="HCO35" s="684"/>
      <c r="HCP35" s="684"/>
      <c r="HCQ35" s="684"/>
      <c r="HCR35" s="684"/>
      <c r="HCS35" s="684"/>
      <c r="HCT35" s="684"/>
      <c r="HCU35" s="684"/>
      <c r="HCV35" s="684"/>
      <c r="HCW35" s="684"/>
      <c r="HCX35" s="684"/>
      <c r="HCY35" s="684"/>
      <c r="HCZ35" s="684"/>
      <c r="HDA35" s="684"/>
      <c r="HDB35" s="684"/>
      <c r="HDC35" s="684"/>
      <c r="HDD35" s="684"/>
      <c r="HDE35" s="684"/>
      <c r="HDF35" s="684"/>
      <c r="HDG35" s="684"/>
      <c r="HDH35" s="684"/>
      <c r="HDI35" s="684"/>
      <c r="HDJ35" s="684"/>
      <c r="HDK35" s="684"/>
      <c r="HDL35" s="684"/>
      <c r="HDM35" s="684"/>
      <c r="HDN35" s="684"/>
      <c r="HDO35" s="684"/>
      <c r="HDP35" s="684"/>
      <c r="HDQ35" s="684"/>
      <c r="HDR35" s="684"/>
      <c r="HDS35" s="684"/>
      <c r="HDT35" s="684"/>
      <c r="HDU35" s="684"/>
      <c r="HDV35" s="684"/>
      <c r="HDW35" s="684"/>
      <c r="HDX35" s="684"/>
      <c r="HDY35" s="684"/>
      <c r="HDZ35" s="684"/>
      <c r="HEA35" s="684"/>
      <c r="HEB35" s="684"/>
      <c r="HEC35" s="684"/>
      <c r="HED35" s="684"/>
      <c r="HEE35" s="684"/>
      <c r="HEF35" s="684"/>
      <c r="HEG35" s="684"/>
      <c r="HEH35" s="684"/>
      <c r="HEI35" s="684"/>
      <c r="HEJ35" s="684"/>
      <c r="HEK35" s="684"/>
      <c r="HEL35" s="684"/>
      <c r="HEM35" s="684"/>
      <c r="HEN35" s="684"/>
      <c r="HEO35" s="684"/>
      <c r="HEP35" s="684"/>
      <c r="HEQ35" s="684"/>
      <c r="HER35" s="684"/>
      <c r="HES35" s="684"/>
      <c r="HET35" s="684"/>
      <c r="HEU35" s="684"/>
      <c r="HEV35" s="684"/>
      <c r="HEW35" s="684"/>
      <c r="HEX35" s="684"/>
      <c r="HEY35" s="684"/>
      <c r="HEZ35" s="684"/>
      <c r="HFA35" s="684"/>
      <c r="HFB35" s="684"/>
      <c r="HFC35" s="684"/>
      <c r="HFD35" s="684"/>
      <c r="HFE35" s="684"/>
      <c r="HFF35" s="684"/>
      <c r="HFG35" s="684"/>
      <c r="HFH35" s="684"/>
      <c r="HFI35" s="684"/>
      <c r="HFJ35" s="684"/>
      <c r="HFK35" s="684"/>
      <c r="HFL35" s="684"/>
      <c r="HFM35" s="684"/>
      <c r="HFN35" s="684"/>
      <c r="HFO35" s="684"/>
      <c r="HFP35" s="684"/>
      <c r="HFQ35" s="684"/>
      <c r="HFR35" s="684"/>
      <c r="HFS35" s="684"/>
      <c r="HFT35" s="684"/>
      <c r="HFU35" s="684"/>
      <c r="HFV35" s="684"/>
      <c r="HFW35" s="684"/>
      <c r="HFX35" s="684"/>
      <c r="HFY35" s="684"/>
      <c r="HFZ35" s="684"/>
      <c r="HGA35" s="684"/>
      <c r="HGB35" s="684"/>
      <c r="HGC35" s="684"/>
      <c r="HGD35" s="684"/>
      <c r="HGE35" s="684"/>
      <c r="HGF35" s="684"/>
      <c r="HGG35" s="684"/>
      <c r="HGH35" s="684"/>
      <c r="HGI35" s="684"/>
      <c r="HGJ35" s="684"/>
      <c r="HGK35" s="684"/>
      <c r="HGL35" s="684"/>
      <c r="HGM35" s="684"/>
      <c r="HGN35" s="684"/>
      <c r="HGO35" s="684"/>
      <c r="HGP35" s="684"/>
      <c r="HGQ35" s="684"/>
      <c r="HGR35" s="684"/>
      <c r="HGS35" s="684"/>
      <c r="HGT35" s="684"/>
      <c r="HGU35" s="684"/>
      <c r="HGV35" s="684"/>
      <c r="HGW35" s="684"/>
      <c r="HGX35" s="684"/>
      <c r="HGY35" s="684"/>
      <c r="HGZ35" s="684"/>
      <c r="HHA35" s="684"/>
      <c r="HHB35" s="684"/>
      <c r="HHC35" s="684"/>
      <c r="HHD35" s="684"/>
      <c r="HHE35" s="684"/>
      <c r="HHF35" s="684"/>
      <c r="HHG35" s="684"/>
      <c r="HHH35" s="684"/>
      <c r="HHI35" s="684"/>
      <c r="HHJ35" s="684"/>
      <c r="HHK35" s="684"/>
      <c r="HHL35" s="684"/>
      <c r="HHM35" s="684"/>
      <c r="HHN35" s="684"/>
      <c r="HHO35" s="684"/>
      <c r="HHP35" s="684"/>
      <c r="HHQ35" s="684"/>
      <c r="HHR35" s="684"/>
      <c r="HHS35" s="684"/>
      <c r="HHT35" s="684"/>
      <c r="HHU35" s="684"/>
      <c r="HHV35" s="684"/>
      <c r="HHW35" s="684"/>
      <c r="HHX35" s="684"/>
      <c r="HHY35" s="684"/>
      <c r="HHZ35" s="684"/>
      <c r="HIA35" s="684"/>
      <c r="HIB35" s="684"/>
      <c r="HIC35" s="684"/>
      <c r="HID35" s="684"/>
      <c r="HIE35" s="684"/>
      <c r="HIF35" s="684"/>
      <c r="HIG35" s="684"/>
      <c r="HIH35" s="684"/>
      <c r="HII35" s="684"/>
      <c r="HIJ35" s="684"/>
      <c r="HIK35" s="684"/>
      <c r="HIL35" s="684"/>
      <c r="HIM35" s="684"/>
      <c r="HIN35" s="684"/>
      <c r="HIO35" s="684"/>
      <c r="HIP35" s="684"/>
      <c r="HIQ35" s="684"/>
      <c r="HIR35" s="684"/>
      <c r="HIS35" s="684"/>
      <c r="HIT35" s="684"/>
      <c r="HIU35" s="684"/>
      <c r="HIV35" s="684"/>
      <c r="HIW35" s="684"/>
      <c r="HIX35" s="684"/>
      <c r="HIY35" s="684"/>
      <c r="HIZ35" s="684"/>
      <c r="HJA35" s="684"/>
      <c r="HJB35" s="684"/>
      <c r="HJC35" s="684"/>
      <c r="HJD35" s="684"/>
      <c r="HJE35" s="684"/>
      <c r="HJF35" s="684"/>
      <c r="HJG35" s="684"/>
      <c r="HJH35" s="684"/>
      <c r="HJI35" s="684"/>
      <c r="HJJ35" s="684"/>
      <c r="HJK35" s="684"/>
      <c r="HJL35" s="684"/>
      <c r="HJM35" s="684"/>
      <c r="HJN35" s="684"/>
      <c r="HJO35" s="684"/>
      <c r="HJP35" s="684"/>
      <c r="HJQ35" s="684"/>
      <c r="HJR35" s="684"/>
      <c r="HJS35" s="684"/>
      <c r="HJT35" s="684"/>
      <c r="HJU35" s="684"/>
      <c r="HJV35" s="684"/>
      <c r="HJW35" s="684"/>
      <c r="HJX35" s="684"/>
      <c r="HJY35" s="684"/>
      <c r="HJZ35" s="684"/>
      <c r="HKA35" s="684"/>
      <c r="HKB35" s="684"/>
      <c r="HKC35" s="684"/>
      <c r="HKD35" s="684"/>
      <c r="HKE35" s="684"/>
      <c r="HKF35" s="684"/>
      <c r="HKG35" s="684"/>
      <c r="HKH35" s="684"/>
      <c r="HKI35" s="684"/>
      <c r="HKJ35" s="684"/>
      <c r="HKK35" s="684"/>
      <c r="HKL35" s="684"/>
      <c r="HKM35" s="684"/>
      <c r="HKN35" s="684"/>
      <c r="HKO35" s="684"/>
      <c r="HKP35" s="684"/>
      <c r="HKQ35" s="684"/>
      <c r="HKR35" s="684"/>
      <c r="HKS35" s="684"/>
      <c r="HKT35" s="684"/>
      <c r="HKU35" s="684"/>
      <c r="HKV35" s="684"/>
      <c r="HKW35" s="684"/>
      <c r="HKX35" s="684"/>
      <c r="HKY35" s="684"/>
      <c r="HKZ35" s="684"/>
      <c r="HLA35" s="684"/>
      <c r="HLB35" s="684"/>
      <c r="HLC35" s="684"/>
      <c r="HLD35" s="684"/>
      <c r="HLE35" s="684"/>
      <c r="HLF35" s="684"/>
      <c r="HLG35" s="684"/>
      <c r="HLH35" s="684"/>
      <c r="HLI35" s="684"/>
      <c r="HLJ35" s="684"/>
      <c r="HLK35" s="684"/>
      <c r="HLL35" s="684"/>
      <c r="HLM35" s="684"/>
      <c r="HLN35" s="684"/>
      <c r="HLO35" s="684"/>
      <c r="HLP35" s="684"/>
      <c r="HLQ35" s="684"/>
      <c r="HLR35" s="684"/>
      <c r="HLS35" s="684"/>
      <c r="HLT35" s="684"/>
      <c r="HLU35" s="684"/>
      <c r="HLV35" s="684"/>
      <c r="HLW35" s="684"/>
      <c r="HLX35" s="684"/>
      <c r="HLY35" s="684"/>
      <c r="HLZ35" s="684"/>
      <c r="HMA35" s="684"/>
      <c r="HMB35" s="684"/>
      <c r="HMC35" s="684"/>
      <c r="HMD35" s="684"/>
      <c r="HME35" s="684"/>
      <c r="HMF35" s="684"/>
      <c r="HMG35" s="684"/>
      <c r="HMH35" s="684"/>
      <c r="HMI35" s="684"/>
      <c r="HMJ35" s="684"/>
      <c r="HMK35" s="684"/>
      <c r="HML35" s="684"/>
      <c r="HMM35" s="684"/>
      <c r="HMN35" s="684"/>
      <c r="HMO35" s="684"/>
      <c r="HMP35" s="684"/>
      <c r="HMQ35" s="684"/>
      <c r="HMR35" s="684"/>
      <c r="HMS35" s="684"/>
      <c r="HMT35" s="684"/>
      <c r="HMU35" s="684"/>
      <c r="HMV35" s="684"/>
      <c r="HMW35" s="684"/>
      <c r="HMX35" s="684"/>
      <c r="HMY35" s="684"/>
      <c r="HMZ35" s="684"/>
      <c r="HNA35" s="684"/>
      <c r="HNB35" s="684"/>
      <c r="HNC35" s="684"/>
      <c r="HND35" s="684"/>
      <c r="HNE35" s="684"/>
      <c r="HNF35" s="684"/>
      <c r="HNG35" s="684"/>
      <c r="HNH35" s="684"/>
      <c r="HNI35" s="684"/>
      <c r="HNJ35" s="684"/>
      <c r="HNK35" s="684"/>
      <c r="HNL35" s="684"/>
      <c r="HNM35" s="684"/>
      <c r="HNN35" s="684"/>
      <c r="HNO35" s="684"/>
      <c r="HNP35" s="684"/>
      <c r="HNQ35" s="684"/>
      <c r="HNR35" s="684"/>
      <c r="HNS35" s="684"/>
      <c r="HNT35" s="684"/>
      <c r="HNU35" s="684"/>
      <c r="HNV35" s="684"/>
      <c r="HNW35" s="684"/>
      <c r="HNX35" s="684"/>
      <c r="HNY35" s="684"/>
      <c r="HNZ35" s="684"/>
      <c r="HOA35" s="684"/>
      <c r="HOB35" s="684"/>
      <c r="HOC35" s="684"/>
      <c r="HOD35" s="684"/>
      <c r="HOE35" s="684"/>
      <c r="HOF35" s="684"/>
      <c r="HOG35" s="684"/>
      <c r="HOH35" s="684"/>
      <c r="HOI35" s="684"/>
      <c r="HOJ35" s="684"/>
      <c r="HOK35" s="684"/>
      <c r="HOL35" s="684"/>
      <c r="HOM35" s="684"/>
      <c r="HON35" s="684"/>
      <c r="HOO35" s="684"/>
      <c r="HOP35" s="684"/>
      <c r="HOQ35" s="684"/>
      <c r="HOR35" s="684"/>
      <c r="HOS35" s="684"/>
      <c r="HOT35" s="684"/>
      <c r="HOU35" s="684"/>
      <c r="HOV35" s="684"/>
      <c r="HOW35" s="684"/>
      <c r="HOX35" s="684"/>
      <c r="HOY35" s="684"/>
      <c r="HOZ35" s="684"/>
      <c r="HPA35" s="684"/>
      <c r="HPB35" s="684"/>
      <c r="HPC35" s="684"/>
      <c r="HPD35" s="684"/>
      <c r="HPE35" s="684"/>
      <c r="HPF35" s="684"/>
      <c r="HPG35" s="684"/>
      <c r="HPH35" s="684"/>
      <c r="HPI35" s="684"/>
      <c r="HPJ35" s="684"/>
      <c r="HPK35" s="684"/>
      <c r="HPL35" s="684"/>
      <c r="HPM35" s="684"/>
      <c r="HPN35" s="684"/>
      <c r="HPO35" s="684"/>
      <c r="HPP35" s="684"/>
      <c r="HPQ35" s="684"/>
      <c r="HPR35" s="684"/>
      <c r="HPS35" s="684"/>
      <c r="HPT35" s="684"/>
      <c r="HPU35" s="684"/>
      <c r="HPV35" s="684"/>
      <c r="HPW35" s="684"/>
      <c r="HPX35" s="684"/>
      <c r="HPY35" s="684"/>
      <c r="HPZ35" s="684"/>
      <c r="HQA35" s="684"/>
      <c r="HQB35" s="684"/>
      <c r="HQC35" s="684"/>
      <c r="HQD35" s="684"/>
      <c r="HQE35" s="684"/>
      <c r="HQF35" s="684"/>
      <c r="HQG35" s="684"/>
      <c r="HQH35" s="684"/>
      <c r="HQI35" s="684"/>
      <c r="HQJ35" s="684"/>
      <c r="HQK35" s="684"/>
      <c r="HQL35" s="684"/>
      <c r="HQM35" s="684"/>
      <c r="HQN35" s="684"/>
      <c r="HQO35" s="684"/>
      <c r="HQP35" s="684"/>
      <c r="HQQ35" s="684"/>
      <c r="HQR35" s="684"/>
      <c r="HQS35" s="684"/>
      <c r="HQT35" s="684"/>
      <c r="HQU35" s="684"/>
      <c r="HQV35" s="684"/>
      <c r="HQW35" s="684"/>
      <c r="HQX35" s="684"/>
      <c r="HQY35" s="684"/>
      <c r="HQZ35" s="684"/>
      <c r="HRA35" s="684"/>
      <c r="HRB35" s="684"/>
      <c r="HRC35" s="684"/>
      <c r="HRD35" s="684"/>
      <c r="HRE35" s="684"/>
      <c r="HRF35" s="684"/>
      <c r="HRG35" s="684"/>
      <c r="HRH35" s="684"/>
      <c r="HRI35" s="684"/>
      <c r="HRJ35" s="684"/>
      <c r="HRK35" s="684"/>
      <c r="HRL35" s="684"/>
      <c r="HRM35" s="684"/>
      <c r="HRN35" s="684"/>
      <c r="HRO35" s="684"/>
      <c r="HRP35" s="684"/>
      <c r="HRQ35" s="684"/>
      <c r="HRR35" s="684"/>
      <c r="HRS35" s="684"/>
      <c r="HRT35" s="684"/>
      <c r="HRU35" s="684"/>
      <c r="HRV35" s="684"/>
      <c r="HRW35" s="684"/>
      <c r="HRX35" s="684"/>
      <c r="HRY35" s="684"/>
      <c r="HRZ35" s="684"/>
      <c r="HSA35" s="684"/>
      <c r="HSB35" s="684"/>
      <c r="HSC35" s="684"/>
      <c r="HSD35" s="684"/>
      <c r="HSE35" s="684"/>
      <c r="HSF35" s="684"/>
      <c r="HSG35" s="684"/>
      <c r="HSH35" s="684"/>
      <c r="HSI35" s="684"/>
      <c r="HSJ35" s="684"/>
      <c r="HSK35" s="684"/>
      <c r="HSL35" s="684"/>
      <c r="HSM35" s="684"/>
      <c r="HSN35" s="684"/>
      <c r="HSO35" s="684"/>
      <c r="HSP35" s="684"/>
      <c r="HSQ35" s="684"/>
      <c r="HSR35" s="684"/>
      <c r="HSS35" s="684"/>
      <c r="HST35" s="684"/>
      <c r="HSU35" s="684"/>
      <c r="HSV35" s="684"/>
      <c r="HSW35" s="684"/>
      <c r="HSX35" s="684"/>
      <c r="HSY35" s="684"/>
      <c r="HSZ35" s="684"/>
      <c r="HTA35" s="684"/>
      <c r="HTB35" s="684"/>
      <c r="HTC35" s="684"/>
      <c r="HTD35" s="684"/>
      <c r="HTE35" s="684"/>
      <c r="HTF35" s="684"/>
      <c r="HTG35" s="684"/>
      <c r="HTH35" s="684"/>
      <c r="HTI35" s="684"/>
      <c r="HTJ35" s="684"/>
      <c r="HTK35" s="684"/>
      <c r="HTL35" s="684"/>
      <c r="HTM35" s="684"/>
      <c r="HTN35" s="684"/>
      <c r="HTO35" s="684"/>
      <c r="HTP35" s="684"/>
      <c r="HTQ35" s="684"/>
      <c r="HTR35" s="684"/>
      <c r="HTS35" s="684"/>
      <c r="HTT35" s="684"/>
      <c r="HTU35" s="684"/>
      <c r="HTV35" s="684"/>
      <c r="HTW35" s="684"/>
      <c r="HTX35" s="684"/>
      <c r="HTY35" s="684"/>
      <c r="HTZ35" s="684"/>
      <c r="HUA35" s="684"/>
      <c r="HUB35" s="684"/>
      <c r="HUC35" s="684"/>
      <c r="HUD35" s="684"/>
      <c r="HUE35" s="684"/>
      <c r="HUF35" s="684"/>
      <c r="HUG35" s="684"/>
      <c r="HUH35" s="684"/>
      <c r="HUI35" s="684"/>
      <c r="HUJ35" s="684"/>
      <c r="HUK35" s="684"/>
      <c r="HUL35" s="684"/>
      <c r="HUM35" s="684"/>
      <c r="HUN35" s="684"/>
      <c r="HUO35" s="684"/>
      <c r="HUP35" s="684"/>
      <c r="HUQ35" s="684"/>
      <c r="HUR35" s="684"/>
      <c r="HUS35" s="684"/>
      <c r="HUT35" s="684"/>
      <c r="HUU35" s="684"/>
      <c r="HUV35" s="684"/>
      <c r="HUW35" s="684"/>
      <c r="HUX35" s="684"/>
      <c r="HUY35" s="684"/>
      <c r="HUZ35" s="684"/>
      <c r="HVA35" s="684"/>
      <c r="HVB35" s="684"/>
      <c r="HVC35" s="684"/>
      <c r="HVD35" s="684"/>
      <c r="HVE35" s="684"/>
      <c r="HVF35" s="684"/>
      <c r="HVG35" s="684"/>
      <c r="HVH35" s="684"/>
      <c r="HVI35" s="684"/>
      <c r="HVJ35" s="684"/>
      <c r="HVK35" s="684"/>
      <c r="HVL35" s="684"/>
      <c r="HVM35" s="684"/>
      <c r="HVN35" s="684"/>
      <c r="HVO35" s="684"/>
      <c r="HVP35" s="684"/>
      <c r="HVQ35" s="684"/>
      <c r="HVR35" s="684"/>
      <c r="HVS35" s="684"/>
      <c r="HVT35" s="684"/>
      <c r="HVU35" s="684"/>
      <c r="HVV35" s="684"/>
      <c r="HVW35" s="684"/>
      <c r="HVX35" s="684"/>
      <c r="HVY35" s="684"/>
      <c r="HVZ35" s="684"/>
      <c r="HWA35" s="684"/>
      <c r="HWB35" s="684"/>
      <c r="HWC35" s="684"/>
      <c r="HWD35" s="684"/>
      <c r="HWE35" s="684"/>
      <c r="HWF35" s="684"/>
      <c r="HWG35" s="684"/>
      <c r="HWH35" s="684"/>
      <c r="HWI35" s="684"/>
      <c r="HWJ35" s="684"/>
      <c r="HWK35" s="684"/>
      <c r="HWL35" s="684"/>
      <c r="HWM35" s="684"/>
      <c r="HWN35" s="684"/>
      <c r="HWO35" s="684"/>
      <c r="HWP35" s="684"/>
      <c r="HWQ35" s="684"/>
      <c r="HWR35" s="684"/>
      <c r="HWS35" s="684"/>
      <c r="HWT35" s="684"/>
      <c r="HWU35" s="684"/>
      <c r="HWV35" s="684"/>
      <c r="HWW35" s="684"/>
      <c r="HWX35" s="684"/>
      <c r="HWY35" s="684"/>
      <c r="HWZ35" s="684"/>
      <c r="HXA35" s="684"/>
      <c r="HXB35" s="684"/>
      <c r="HXC35" s="684"/>
      <c r="HXD35" s="684"/>
      <c r="HXE35" s="684"/>
      <c r="HXF35" s="684"/>
      <c r="HXG35" s="684"/>
      <c r="HXH35" s="684"/>
      <c r="HXI35" s="684"/>
      <c r="HXJ35" s="684"/>
      <c r="HXK35" s="684"/>
      <c r="HXL35" s="684"/>
      <c r="HXM35" s="684"/>
      <c r="HXN35" s="684"/>
      <c r="HXO35" s="684"/>
      <c r="HXP35" s="684"/>
      <c r="HXQ35" s="684"/>
      <c r="HXR35" s="684"/>
      <c r="HXS35" s="684"/>
      <c r="HXT35" s="684"/>
      <c r="HXU35" s="684"/>
      <c r="HXV35" s="684"/>
      <c r="HXW35" s="684"/>
      <c r="HXX35" s="684"/>
      <c r="HXY35" s="684"/>
      <c r="HXZ35" s="684"/>
      <c r="HYA35" s="684"/>
      <c r="HYB35" s="684"/>
      <c r="HYC35" s="684"/>
      <c r="HYD35" s="684"/>
      <c r="HYE35" s="684"/>
      <c r="HYF35" s="684"/>
      <c r="HYG35" s="684"/>
      <c r="HYH35" s="684"/>
      <c r="HYI35" s="684"/>
      <c r="HYJ35" s="684"/>
      <c r="HYK35" s="684"/>
      <c r="HYL35" s="684"/>
      <c r="HYM35" s="684"/>
      <c r="HYN35" s="684"/>
      <c r="HYO35" s="684"/>
      <c r="HYP35" s="684"/>
      <c r="HYQ35" s="684"/>
      <c r="HYR35" s="684"/>
      <c r="HYS35" s="684"/>
      <c r="HYT35" s="684"/>
      <c r="HYU35" s="684"/>
      <c r="HYV35" s="684"/>
      <c r="HYW35" s="684"/>
      <c r="HYX35" s="684"/>
      <c r="HYY35" s="684"/>
      <c r="HYZ35" s="684"/>
      <c r="HZA35" s="684"/>
      <c r="HZB35" s="684"/>
      <c r="HZC35" s="684"/>
      <c r="HZD35" s="684"/>
      <c r="HZE35" s="684"/>
      <c r="HZF35" s="684"/>
      <c r="HZG35" s="684"/>
      <c r="HZH35" s="684"/>
      <c r="HZI35" s="684"/>
      <c r="HZJ35" s="684"/>
      <c r="HZK35" s="684"/>
      <c r="HZL35" s="684"/>
      <c r="HZM35" s="684"/>
      <c r="HZN35" s="684"/>
      <c r="HZO35" s="684"/>
      <c r="HZP35" s="684"/>
      <c r="HZQ35" s="684"/>
      <c r="HZR35" s="684"/>
      <c r="HZS35" s="684"/>
      <c r="HZT35" s="684"/>
      <c r="HZU35" s="684"/>
      <c r="HZV35" s="684"/>
      <c r="HZW35" s="684"/>
      <c r="HZX35" s="684"/>
      <c r="HZY35" s="684"/>
      <c r="HZZ35" s="684"/>
      <c r="IAA35" s="684"/>
      <c r="IAB35" s="684"/>
      <c r="IAC35" s="684"/>
      <c r="IAD35" s="684"/>
      <c r="IAE35" s="684"/>
      <c r="IAF35" s="684"/>
      <c r="IAG35" s="684"/>
      <c r="IAH35" s="684"/>
      <c r="IAI35" s="684"/>
      <c r="IAJ35" s="684"/>
      <c r="IAK35" s="684"/>
      <c r="IAL35" s="684"/>
      <c r="IAM35" s="684"/>
      <c r="IAN35" s="684"/>
      <c r="IAO35" s="684"/>
      <c r="IAP35" s="684"/>
      <c r="IAQ35" s="684"/>
      <c r="IAR35" s="684"/>
      <c r="IAS35" s="684"/>
      <c r="IAT35" s="684"/>
      <c r="IAU35" s="684"/>
      <c r="IAV35" s="684"/>
      <c r="IAW35" s="684"/>
      <c r="IAX35" s="684"/>
      <c r="IAY35" s="684"/>
      <c r="IAZ35" s="684"/>
      <c r="IBA35" s="684"/>
      <c r="IBB35" s="684"/>
      <c r="IBC35" s="684"/>
      <c r="IBD35" s="684"/>
      <c r="IBE35" s="684"/>
      <c r="IBF35" s="684"/>
      <c r="IBG35" s="684"/>
      <c r="IBH35" s="684"/>
      <c r="IBI35" s="684"/>
      <c r="IBJ35" s="684"/>
      <c r="IBK35" s="684"/>
      <c r="IBL35" s="684"/>
      <c r="IBM35" s="684"/>
      <c r="IBN35" s="684"/>
      <c r="IBO35" s="684"/>
      <c r="IBP35" s="684"/>
      <c r="IBQ35" s="684"/>
      <c r="IBR35" s="684"/>
      <c r="IBS35" s="684"/>
      <c r="IBT35" s="684"/>
      <c r="IBU35" s="684"/>
      <c r="IBV35" s="684"/>
      <c r="IBW35" s="684"/>
      <c r="IBX35" s="684"/>
      <c r="IBY35" s="684"/>
      <c r="IBZ35" s="684"/>
      <c r="ICA35" s="684"/>
      <c r="ICB35" s="684"/>
      <c r="ICC35" s="684"/>
      <c r="ICD35" s="684"/>
      <c r="ICE35" s="684"/>
      <c r="ICF35" s="684"/>
      <c r="ICG35" s="684"/>
      <c r="ICH35" s="684"/>
      <c r="ICI35" s="684"/>
      <c r="ICJ35" s="684"/>
      <c r="ICK35" s="684"/>
      <c r="ICL35" s="684"/>
      <c r="ICM35" s="684"/>
      <c r="ICN35" s="684"/>
      <c r="ICO35" s="684"/>
      <c r="ICP35" s="684"/>
      <c r="ICQ35" s="684"/>
      <c r="ICR35" s="684"/>
      <c r="ICS35" s="684"/>
      <c r="ICT35" s="684"/>
      <c r="ICU35" s="684"/>
      <c r="ICV35" s="684"/>
      <c r="ICW35" s="684"/>
      <c r="ICX35" s="684"/>
      <c r="ICY35" s="684"/>
      <c r="ICZ35" s="684"/>
      <c r="IDA35" s="684"/>
      <c r="IDB35" s="684"/>
      <c r="IDC35" s="684"/>
      <c r="IDD35" s="684"/>
      <c r="IDE35" s="684"/>
      <c r="IDF35" s="684"/>
      <c r="IDG35" s="684"/>
      <c r="IDH35" s="684"/>
      <c r="IDI35" s="684"/>
      <c r="IDJ35" s="684"/>
      <c r="IDK35" s="684"/>
      <c r="IDL35" s="684"/>
      <c r="IDM35" s="684"/>
      <c r="IDN35" s="684"/>
      <c r="IDO35" s="684"/>
      <c r="IDP35" s="684"/>
      <c r="IDQ35" s="684"/>
      <c r="IDR35" s="684"/>
      <c r="IDS35" s="684"/>
      <c r="IDT35" s="684"/>
      <c r="IDU35" s="684"/>
      <c r="IDV35" s="684"/>
      <c r="IDW35" s="684"/>
      <c r="IDX35" s="684"/>
      <c r="IDY35" s="684"/>
      <c r="IDZ35" s="684"/>
      <c r="IEA35" s="684"/>
      <c r="IEB35" s="684"/>
      <c r="IEC35" s="684"/>
      <c r="IED35" s="684"/>
      <c r="IEE35" s="684"/>
      <c r="IEF35" s="684"/>
      <c r="IEG35" s="684"/>
      <c r="IEH35" s="684"/>
      <c r="IEI35" s="684"/>
      <c r="IEJ35" s="684"/>
      <c r="IEK35" s="684"/>
      <c r="IEL35" s="684"/>
      <c r="IEM35" s="684"/>
      <c r="IEN35" s="684"/>
      <c r="IEO35" s="684"/>
      <c r="IEP35" s="684"/>
      <c r="IEQ35" s="684"/>
      <c r="IER35" s="684"/>
      <c r="IES35" s="684"/>
      <c r="IET35" s="684"/>
      <c r="IEU35" s="684"/>
      <c r="IEV35" s="684"/>
      <c r="IEW35" s="684"/>
      <c r="IEX35" s="684"/>
      <c r="IEY35" s="684"/>
      <c r="IEZ35" s="684"/>
      <c r="IFA35" s="684"/>
      <c r="IFB35" s="684"/>
      <c r="IFC35" s="684"/>
      <c r="IFD35" s="684"/>
      <c r="IFE35" s="684"/>
      <c r="IFF35" s="684"/>
      <c r="IFG35" s="684"/>
      <c r="IFH35" s="684"/>
      <c r="IFI35" s="684"/>
      <c r="IFJ35" s="684"/>
      <c r="IFK35" s="684"/>
      <c r="IFL35" s="684"/>
      <c r="IFM35" s="684"/>
      <c r="IFN35" s="684"/>
      <c r="IFO35" s="684"/>
      <c r="IFP35" s="684"/>
      <c r="IFQ35" s="684"/>
      <c r="IFR35" s="684"/>
      <c r="IFS35" s="684"/>
      <c r="IFT35" s="684"/>
      <c r="IFU35" s="684"/>
      <c r="IFV35" s="684"/>
      <c r="IFW35" s="684"/>
      <c r="IFX35" s="684"/>
      <c r="IFY35" s="684"/>
      <c r="IFZ35" s="684"/>
      <c r="IGA35" s="684"/>
      <c r="IGB35" s="684"/>
      <c r="IGC35" s="684"/>
      <c r="IGD35" s="684"/>
      <c r="IGE35" s="684"/>
      <c r="IGF35" s="684"/>
      <c r="IGG35" s="684"/>
      <c r="IGH35" s="684"/>
      <c r="IGI35" s="684"/>
      <c r="IGJ35" s="684"/>
      <c r="IGK35" s="684"/>
      <c r="IGL35" s="684"/>
      <c r="IGM35" s="684"/>
      <c r="IGN35" s="684"/>
      <c r="IGO35" s="684"/>
      <c r="IGP35" s="684"/>
      <c r="IGQ35" s="684"/>
      <c r="IGR35" s="684"/>
      <c r="IGS35" s="684"/>
      <c r="IGT35" s="684"/>
      <c r="IGU35" s="684"/>
      <c r="IGV35" s="684"/>
      <c r="IGW35" s="684"/>
      <c r="IGX35" s="684"/>
      <c r="IGY35" s="684"/>
      <c r="IGZ35" s="684"/>
      <c r="IHA35" s="684"/>
      <c r="IHB35" s="684"/>
      <c r="IHC35" s="684"/>
      <c r="IHD35" s="684"/>
      <c r="IHE35" s="684"/>
      <c r="IHF35" s="684"/>
      <c r="IHG35" s="684"/>
      <c r="IHH35" s="684"/>
      <c r="IHI35" s="684"/>
      <c r="IHJ35" s="684"/>
      <c r="IHK35" s="684"/>
      <c r="IHL35" s="684"/>
      <c r="IHM35" s="684"/>
      <c r="IHN35" s="684"/>
      <c r="IHO35" s="684"/>
      <c r="IHP35" s="684"/>
      <c r="IHQ35" s="684"/>
      <c r="IHR35" s="684"/>
      <c r="IHS35" s="684"/>
      <c r="IHT35" s="684"/>
      <c r="IHU35" s="684"/>
      <c r="IHV35" s="684"/>
      <c r="IHW35" s="684"/>
      <c r="IHX35" s="684"/>
      <c r="IHY35" s="684"/>
      <c r="IHZ35" s="684"/>
      <c r="IIA35" s="684"/>
      <c r="IIB35" s="684"/>
      <c r="IIC35" s="684"/>
      <c r="IID35" s="684"/>
      <c r="IIE35" s="684"/>
      <c r="IIF35" s="684"/>
      <c r="IIG35" s="684"/>
      <c r="IIH35" s="684"/>
      <c r="III35" s="684"/>
      <c r="IIJ35" s="684"/>
      <c r="IIK35" s="684"/>
      <c r="IIL35" s="684"/>
      <c r="IIM35" s="684"/>
      <c r="IIN35" s="684"/>
      <c r="IIO35" s="684"/>
      <c r="IIP35" s="684"/>
      <c r="IIQ35" s="684"/>
      <c r="IIR35" s="684"/>
      <c r="IIS35" s="684"/>
      <c r="IIT35" s="684"/>
      <c r="IIU35" s="684"/>
      <c r="IIV35" s="684"/>
      <c r="IIW35" s="684"/>
      <c r="IIX35" s="684"/>
      <c r="IIY35" s="684"/>
      <c r="IIZ35" s="684"/>
      <c r="IJA35" s="684"/>
      <c r="IJB35" s="684"/>
      <c r="IJC35" s="684"/>
      <c r="IJD35" s="684"/>
      <c r="IJE35" s="684"/>
      <c r="IJF35" s="684"/>
      <c r="IJG35" s="684"/>
      <c r="IJH35" s="684"/>
      <c r="IJI35" s="684"/>
      <c r="IJJ35" s="684"/>
      <c r="IJK35" s="684"/>
      <c r="IJL35" s="684"/>
      <c r="IJM35" s="684"/>
      <c r="IJN35" s="684"/>
      <c r="IJO35" s="684"/>
      <c r="IJP35" s="684"/>
      <c r="IJQ35" s="684"/>
      <c r="IJR35" s="684"/>
      <c r="IJS35" s="684"/>
      <c r="IJT35" s="684"/>
      <c r="IJU35" s="684"/>
      <c r="IJV35" s="684"/>
      <c r="IJW35" s="684"/>
      <c r="IJX35" s="684"/>
      <c r="IJY35" s="684"/>
      <c r="IJZ35" s="684"/>
      <c r="IKA35" s="684"/>
      <c r="IKB35" s="684"/>
      <c r="IKC35" s="684"/>
      <c r="IKD35" s="684"/>
      <c r="IKE35" s="684"/>
      <c r="IKF35" s="684"/>
      <c r="IKG35" s="684"/>
      <c r="IKH35" s="684"/>
      <c r="IKI35" s="684"/>
      <c r="IKJ35" s="684"/>
      <c r="IKK35" s="684"/>
      <c r="IKL35" s="684"/>
      <c r="IKM35" s="684"/>
      <c r="IKN35" s="684"/>
      <c r="IKO35" s="684"/>
      <c r="IKP35" s="684"/>
      <c r="IKQ35" s="684"/>
      <c r="IKR35" s="684"/>
      <c r="IKS35" s="684"/>
      <c r="IKT35" s="684"/>
      <c r="IKU35" s="684"/>
      <c r="IKV35" s="684"/>
      <c r="IKW35" s="684"/>
      <c r="IKX35" s="684"/>
      <c r="IKY35" s="684"/>
      <c r="IKZ35" s="684"/>
      <c r="ILA35" s="684"/>
      <c r="ILB35" s="684"/>
      <c r="ILC35" s="684"/>
      <c r="ILD35" s="684"/>
      <c r="ILE35" s="684"/>
      <c r="ILF35" s="684"/>
      <c r="ILG35" s="684"/>
      <c r="ILH35" s="684"/>
      <c r="ILI35" s="684"/>
      <c r="ILJ35" s="684"/>
      <c r="ILK35" s="684"/>
      <c r="ILL35" s="684"/>
      <c r="ILM35" s="684"/>
      <c r="ILN35" s="684"/>
      <c r="ILO35" s="684"/>
      <c r="ILP35" s="684"/>
      <c r="ILQ35" s="684"/>
      <c r="ILR35" s="684"/>
      <c r="ILS35" s="684"/>
      <c r="ILT35" s="684"/>
      <c r="ILU35" s="684"/>
      <c r="ILV35" s="684"/>
      <c r="ILW35" s="684"/>
      <c r="ILX35" s="684"/>
      <c r="ILY35" s="684"/>
      <c r="ILZ35" s="684"/>
      <c r="IMA35" s="684"/>
      <c r="IMB35" s="684"/>
      <c r="IMC35" s="684"/>
      <c r="IMD35" s="684"/>
      <c r="IME35" s="684"/>
      <c r="IMF35" s="684"/>
      <c r="IMG35" s="684"/>
      <c r="IMH35" s="684"/>
      <c r="IMI35" s="684"/>
      <c r="IMJ35" s="684"/>
      <c r="IMK35" s="684"/>
      <c r="IML35" s="684"/>
      <c r="IMM35" s="684"/>
      <c r="IMN35" s="684"/>
      <c r="IMO35" s="684"/>
      <c r="IMP35" s="684"/>
      <c r="IMQ35" s="684"/>
      <c r="IMR35" s="684"/>
      <c r="IMS35" s="684"/>
      <c r="IMT35" s="684"/>
      <c r="IMU35" s="684"/>
      <c r="IMV35" s="684"/>
      <c r="IMW35" s="684"/>
      <c r="IMX35" s="684"/>
      <c r="IMY35" s="684"/>
      <c r="IMZ35" s="684"/>
      <c r="INA35" s="684"/>
      <c r="INB35" s="684"/>
      <c r="INC35" s="684"/>
      <c r="IND35" s="684"/>
      <c r="INE35" s="684"/>
      <c r="INF35" s="684"/>
      <c r="ING35" s="684"/>
      <c r="INH35" s="684"/>
      <c r="INI35" s="684"/>
      <c r="INJ35" s="684"/>
      <c r="INK35" s="684"/>
      <c r="INL35" s="684"/>
      <c r="INM35" s="684"/>
      <c r="INN35" s="684"/>
      <c r="INO35" s="684"/>
      <c r="INP35" s="684"/>
      <c r="INQ35" s="684"/>
      <c r="INR35" s="684"/>
      <c r="INS35" s="684"/>
      <c r="INT35" s="684"/>
      <c r="INU35" s="684"/>
      <c r="INV35" s="684"/>
      <c r="INW35" s="684"/>
      <c r="INX35" s="684"/>
      <c r="INY35" s="684"/>
      <c r="INZ35" s="684"/>
      <c r="IOA35" s="684"/>
      <c r="IOB35" s="684"/>
      <c r="IOC35" s="684"/>
      <c r="IOD35" s="684"/>
      <c r="IOE35" s="684"/>
      <c r="IOF35" s="684"/>
      <c r="IOG35" s="684"/>
      <c r="IOH35" s="684"/>
      <c r="IOI35" s="684"/>
      <c r="IOJ35" s="684"/>
      <c r="IOK35" s="684"/>
      <c r="IOL35" s="684"/>
      <c r="IOM35" s="684"/>
      <c r="ION35" s="684"/>
      <c r="IOO35" s="684"/>
      <c r="IOP35" s="684"/>
      <c r="IOQ35" s="684"/>
      <c r="IOR35" s="684"/>
      <c r="IOS35" s="684"/>
      <c r="IOT35" s="684"/>
      <c r="IOU35" s="684"/>
      <c r="IOV35" s="684"/>
      <c r="IOW35" s="684"/>
      <c r="IOX35" s="684"/>
      <c r="IOY35" s="684"/>
      <c r="IOZ35" s="684"/>
      <c r="IPA35" s="684"/>
      <c r="IPB35" s="684"/>
      <c r="IPC35" s="684"/>
      <c r="IPD35" s="684"/>
      <c r="IPE35" s="684"/>
      <c r="IPF35" s="684"/>
      <c r="IPG35" s="684"/>
      <c r="IPH35" s="684"/>
      <c r="IPI35" s="684"/>
      <c r="IPJ35" s="684"/>
      <c r="IPK35" s="684"/>
      <c r="IPL35" s="684"/>
      <c r="IPM35" s="684"/>
      <c r="IPN35" s="684"/>
      <c r="IPO35" s="684"/>
      <c r="IPP35" s="684"/>
      <c r="IPQ35" s="684"/>
      <c r="IPR35" s="684"/>
      <c r="IPS35" s="684"/>
      <c r="IPT35" s="684"/>
      <c r="IPU35" s="684"/>
      <c r="IPV35" s="684"/>
      <c r="IPW35" s="684"/>
      <c r="IPX35" s="684"/>
      <c r="IPY35" s="684"/>
      <c r="IPZ35" s="684"/>
      <c r="IQA35" s="684"/>
      <c r="IQB35" s="684"/>
      <c r="IQC35" s="684"/>
      <c r="IQD35" s="684"/>
      <c r="IQE35" s="684"/>
      <c r="IQF35" s="684"/>
      <c r="IQG35" s="684"/>
      <c r="IQH35" s="684"/>
      <c r="IQI35" s="684"/>
      <c r="IQJ35" s="684"/>
      <c r="IQK35" s="684"/>
      <c r="IQL35" s="684"/>
      <c r="IQM35" s="684"/>
      <c r="IQN35" s="684"/>
      <c r="IQO35" s="684"/>
      <c r="IQP35" s="684"/>
      <c r="IQQ35" s="684"/>
      <c r="IQR35" s="684"/>
      <c r="IQS35" s="684"/>
      <c r="IQT35" s="684"/>
      <c r="IQU35" s="684"/>
      <c r="IQV35" s="684"/>
      <c r="IQW35" s="684"/>
      <c r="IQX35" s="684"/>
      <c r="IQY35" s="684"/>
      <c r="IQZ35" s="684"/>
      <c r="IRA35" s="684"/>
      <c r="IRB35" s="684"/>
      <c r="IRC35" s="684"/>
      <c r="IRD35" s="684"/>
      <c r="IRE35" s="684"/>
      <c r="IRF35" s="684"/>
      <c r="IRG35" s="684"/>
      <c r="IRH35" s="684"/>
      <c r="IRI35" s="684"/>
      <c r="IRJ35" s="684"/>
      <c r="IRK35" s="684"/>
      <c r="IRL35" s="684"/>
      <c r="IRM35" s="684"/>
      <c r="IRN35" s="684"/>
      <c r="IRO35" s="684"/>
      <c r="IRP35" s="684"/>
      <c r="IRQ35" s="684"/>
      <c r="IRR35" s="684"/>
      <c r="IRS35" s="684"/>
      <c r="IRT35" s="684"/>
      <c r="IRU35" s="684"/>
      <c r="IRV35" s="684"/>
      <c r="IRW35" s="684"/>
      <c r="IRX35" s="684"/>
      <c r="IRY35" s="684"/>
      <c r="IRZ35" s="684"/>
      <c r="ISA35" s="684"/>
      <c r="ISB35" s="684"/>
      <c r="ISC35" s="684"/>
      <c r="ISD35" s="684"/>
      <c r="ISE35" s="684"/>
      <c r="ISF35" s="684"/>
      <c r="ISG35" s="684"/>
      <c r="ISH35" s="684"/>
      <c r="ISI35" s="684"/>
      <c r="ISJ35" s="684"/>
      <c r="ISK35" s="684"/>
      <c r="ISL35" s="684"/>
      <c r="ISM35" s="684"/>
      <c r="ISN35" s="684"/>
      <c r="ISO35" s="684"/>
      <c r="ISP35" s="684"/>
      <c r="ISQ35" s="684"/>
      <c r="ISR35" s="684"/>
      <c r="ISS35" s="684"/>
      <c r="IST35" s="684"/>
      <c r="ISU35" s="684"/>
      <c r="ISV35" s="684"/>
      <c r="ISW35" s="684"/>
      <c r="ISX35" s="684"/>
      <c r="ISY35" s="684"/>
      <c r="ISZ35" s="684"/>
      <c r="ITA35" s="684"/>
      <c r="ITB35" s="684"/>
      <c r="ITC35" s="684"/>
      <c r="ITD35" s="684"/>
      <c r="ITE35" s="684"/>
      <c r="ITF35" s="684"/>
      <c r="ITG35" s="684"/>
      <c r="ITH35" s="684"/>
      <c r="ITI35" s="684"/>
      <c r="ITJ35" s="684"/>
      <c r="ITK35" s="684"/>
      <c r="ITL35" s="684"/>
      <c r="ITM35" s="684"/>
      <c r="ITN35" s="684"/>
      <c r="ITO35" s="684"/>
      <c r="ITP35" s="684"/>
      <c r="ITQ35" s="684"/>
      <c r="ITR35" s="684"/>
      <c r="ITS35" s="684"/>
      <c r="ITT35" s="684"/>
      <c r="ITU35" s="684"/>
      <c r="ITV35" s="684"/>
      <c r="ITW35" s="684"/>
      <c r="ITX35" s="684"/>
      <c r="ITY35" s="684"/>
      <c r="ITZ35" s="684"/>
      <c r="IUA35" s="684"/>
      <c r="IUB35" s="684"/>
      <c r="IUC35" s="684"/>
      <c r="IUD35" s="684"/>
      <c r="IUE35" s="684"/>
      <c r="IUF35" s="684"/>
      <c r="IUG35" s="684"/>
      <c r="IUH35" s="684"/>
      <c r="IUI35" s="684"/>
      <c r="IUJ35" s="684"/>
      <c r="IUK35" s="684"/>
      <c r="IUL35" s="684"/>
      <c r="IUM35" s="684"/>
      <c r="IUN35" s="684"/>
      <c r="IUO35" s="684"/>
      <c r="IUP35" s="684"/>
      <c r="IUQ35" s="684"/>
      <c r="IUR35" s="684"/>
      <c r="IUS35" s="684"/>
      <c r="IUT35" s="684"/>
      <c r="IUU35" s="684"/>
      <c r="IUV35" s="684"/>
      <c r="IUW35" s="684"/>
      <c r="IUX35" s="684"/>
      <c r="IUY35" s="684"/>
      <c r="IUZ35" s="684"/>
      <c r="IVA35" s="684"/>
      <c r="IVB35" s="684"/>
      <c r="IVC35" s="684"/>
      <c r="IVD35" s="684"/>
      <c r="IVE35" s="684"/>
      <c r="IVF35" s="684"/>
      <c r="IVG35" s="684"/>
      <c r="IVH35" s="684"/>
      <c r="IVI35" s="684"/>
      <c r="IVJ35" s="684"/>
      <c r="IVK35" s="684"/>
      <c r="IVL35" s="684"/>
      <c r="IVM35" s="684"/>
      <c r="IVN35" s="684"/>
      <c r="IVO35" s="684"/>
      <c r="IVP35" s="684"/>
      <c r="IVQ35" s="684"/>
      <c r="IVR35" s="684"/>
      <c r="IVS35" s="684"/>
      <c r="IVT35" s="684"/>
      <c r="IVU35" s="684"/>
      <c r="IVV35" s="684"/>
      <c r="IVW35" s="684"/>
      <c r="IVX35" s="684"/>
      <c r="IVY35" s="684"/>
      <c r="IVZ35" s="684"/>
      <c r="IWA35" s="684"/>
      <c r="IWB35" s="684"/>
      <c r="IWC35" s="684"/>
      <c r="IWD35" s="684"/>
      <c r="IWE35" s="684"/>
      <c r="IWF35" s="684"/>
      <c r="IWG35" s="684"/>
      <c r="IWH35" s="684"/>
      <c r="IWI35" s="684"/>
      <c r="IWJ35" s="684"/>
      <c r="IWK35" s="684"/>
      <c r="IWL35" s="684"/>
      <c r="IWM35" s="684"/>
      <c r="IWN35" s="684"/>
      <c r="IWO35" s="684"/>
      <c r="IWP35" s="684"/>
      <c r="IWQ35" s="684"/>
      <c r="IWR35" s="684"/>
      <c r="IWS35" s="684"/>
      <c r="IWT35" s="684"/>
      <c r="IWU35" s="684"/>
      <c r="IWV35" s="684"/>
      <c r="IWW35" s="684"/>
      <c r="IWX35" s="684"/>
      <c r="IWY35" s="684"/>
      <c r="IWZ35" s="684"/>
      <c r="IXA35" s="684"/>
      <c r="IXB35" s="684"/>
      <c r="IXC35" s="684"/>
      <c r="IXD35" s="684"/>
      <c r="IXE35" s="684"/>
      <c r="IXF35" s="684"/>
      <c r="IXG35" s="684"/>
      <c r="IXH35" s="684"/>
      <c r="IXI35" s="684"/>
      <c r="IXJ35" s="684"/>
      <c r="IXK35" s="684"/>
      <c r="IXL35" s="684"/>
      <c r="IXM35" s="684"/>
      <c r="IXN35" s="684"/>
      <c r="IXO35" s="684"/>
      <c r="IXP35" s="684"/>
      <c r="IXQ35" s="684"/>
      <c r="IXR35" s="684"/>
      <c r="IXS35" s="684"/>
      <c r="IXT35" s="684"/>
      <c r="IXU35" s="684"/>
      <c r="IXV35" s="684"/>
      <c r="IXW35" s="684"/>
      <c r="IXX35" s="684"/>
      <c r="IXY35" s="684"/>
      <c r="IXZ35" s="684"/>
      <c r="IYA35" s="684"/>
      <c r="IYB35" s="684"/>
      <c r="IYC35" s="684"/>
      <c r="IYD35" s="684"/>
      <c r="IYE35" s="684"/>
      <c r="IYF35" s="684"/>
      <c r="IYG35" s="684"/>
      <c r="IYH35" s="684"/>
      <c r="IYI35" s="684"/>
      <c r="IYJ35" s="684"/>
      <c r="IYK35" s="684"/>
      <c r="IYL35" s="684"/>
      <c r="IYM35" s="684"/>
      <c r="IYN35" s="684"/>
      <c r="IYO35" s="684"/>
      <c r="IYP35" s="684"/>
      <c r="IYQ35" s="684"/>
      <c r="IYR35" s="684"/>
      <c r="IYS35" s="684"/>
      <c r="IYT35" s="684"/>
      <c r="IYU35" s="684"/>
      <c r="IYV35" s="684"/>
      <c r="IYW35" s="684"/>
      <c r="IYX35" s="684"/>
      <c r="IYY35" s="684"/>
      <c r="IYZ35" s="684"/>
      <c r="IZA35" s="684"/>
      <c r="IZB35" s="684"/>
      <c r="IZC35" s="684"/>
      <c r="IZD35" s="684"/>
      <c r="IZE35" s="684"/>
      <c r="IZF35" s="684"/>
      <c r="IZG35" s="684"/>
      <c r="IZH35" s="684"/>
      <c r="IZI35" s="684"/>
      <c r="IZJ35" s="684"/>
      <c r="IZK35" s="684"/>
      <c r="IZL35" s="684"/>
      <c r="IZM35" s="684"/>
      <c r="IZN35" s="684"/>
      <c r="IZO35" s="684"/>
      <c r="IZP35" s="684"/>
      <c r="IZQ35" s="684"/>
      <c r="IZR35" s="684"/>
      <c r="IZS35" s="684"/>
      <c r="IZT35" s="684"/>
      <c r="IZU35" s="684"/>
      <c r="IZV35" s="684"/>
      <c r="IZW35" s="684"/>
      <c r="IZX35" s="684"/>
      <c r="IZY35" s="684"/>
      <c r="IZZ35" s="684"/>
      <c r="JAA35" s="684"/>
      <c r="JAB35" s="684"/>
      <c r="JAC35" s="684"/>
      <c r="JAD35" s="684"/>
      <c r="JAE35" s="684"/>
      <c r="JAF35" s="684"/>
      <c r="JAG35" s="684"/>
      <c r="JAH35" s="684"/>
      <c r="JAI35" s="684"/>
      <c r="JAJ35" s="684"/>
      <c r="JAK35" s="684"/>
      <c r="JAL35" s="684"/>
      <c r="JAM35" s="684"/>
      <c r="JAN35" s="684"/>
      <c r="JAO35" s="684"/>
      <c r="JAP35" s="684"/>
      <c r="JAQ35" s="684"/>
      <c r="JAR35" s="684"/>
      <c r="JAS35" s="684"/>
      <c r="JAT35" s="684"/>
      <c r="JAU35" s="684"/>
      <c r="JAV35" s="684"/>
      <c r="JAW35" s="684"/>
      <c r="JAX35" s="684"/>
      <c r="JAY35" s="684"/>
      <c r="JAZ35" s="684"/>
      <c r="JBA35" s="684"/>
      <c r="JBB35" s="684"/>
      <c r="JBC35" s="684"/>
      <c r="JBD35" s="684"/>
      <c r="JBE35" s="684"/>
      <c r="JBF35" s="684"/>
      <c r="JBG35" s="684"/>
      <c r="JBH35" s="684"/>
      <c r="JBI35" s="684"/>
      <c r="JBJ35" s="684"/>
      <c r="JBK35" s="684"/>
      <c r="JBL35" s="684"/>
      <c r="JBM35" s="684"/>
      <c r="JBN35" s="684"/>
      <c r="JBO35" s="684"/>
      <c r="JBP35" s="684"/>
      <c r="JBQ35" s="684"/>
      <c r="JBR35" s="684"/>
      <c r="JBS35" s="684"/>
      <c r="JBT35" s="684"/>
      <c r="JBU35" s="684"/>
      <c r="JBV35" s="684"/>
      <c r="JBW35" s="684"/>
      <c r="JBX35" s="684"/>
      <c r="JBY35" s="684"/>
      <c r="JBZ35" s="684"/>
      <c r="JCA35" s="684"/>
      <c r="JCB35" s="684"/>
      <c r="JCC35" s="684"/>
      <c r="JCD35" s="684"/>
      <c r="JCE35" s="684"/>
      <c r="JCF35" s="684"/>
      <c r="JCG35" s="684"/>
      <c r="JCH35" s="684"/>
      <c r="JCI35" s="684"/>
      <c r="JCJ35" s="684"/>
      <c r="JCK35" s="684"/>
      <c r="JCL35" s="684"/>
      <c r="JCM35" s="684"/>
      <c r="JCN35" s="684"/>
      <c r="JCO35" s="684"/>
      <c r="JCP35" s="684"/>
      <c r="JCQ35" s="684"/>
      <c r="JCR35" s="684"/>
      <c r="JCS35" s="684"/>
      <c r="JCT35" s="684"/>
      <c r="JCU35" s="684"/>
      <c r="JCV35" s="684"/>
      <c r="JCW35" s="684"/>
      <c r="JCX35" s="684"/>
      <c r="JCY35" s="684"/>
      <c r="JCZ35" s="684"/>
      <c r="JDA35" s="684"/>
      <c r="JDB35" s="684"/>
      <c r="JDC35" s="684"/>
      <c r="JDD35" s="684"/>
      <c r="JDE35" s="684"/>
      <c r="JDF35" s="684"/>
      <c r="JDG35" s="684"/>
      <c r="JDH35" s="684"/>
      <c r="JDI35" s="684"/>
      <c r="JDJ35" s="684"/>
      <c r="JDK35" s="684"/>
      <c r="JDL35" s="684"/>
      <c r="JDM35" s="684"/>
      <c r="JDN35" s="684"/>
      <c r="JDO35" s="684"/>
      <c r="JDP35" s="684"/>
      <c r="JDQ35" s="684"/>
      <c r="JDR35" s="684"/>
      <c r="JDS35" s="684"/>
      <c r="JDT35" s="684"/>
      <c r="JDU35" s="684"/>
      <c r="JDV35" s="684"/>
      <c r="JDW35" s="684"/>
      <c r="JDX35" s="684"/>
      <c r="JDY35" s="684"/>
      <c r="JDZ35" s="684"/>
      <c r="JEA35" s="684"/>
      <c r="JEB35" s="684"/>
      <c r="JEC35" s="684"/>
      <c r="JED35" s="684"/>
      <c r="JEE35" s="684"/>
      <c r="JEF35" s="684"/>
      <c r="JEG35" s="684"/>
      <c r="JEH35" s="684"/>
      <c r="JEI35" s="684"/>
      <c r="JEJ35" s="684"/>
      <c r="JEK35" s="684"/>
      <c r="JEL35" s="684"/>
      <c r="JEM35" s="684"/>
      <c r="JEN35" s="684"/>
      <c r="JEO35" s="684"/>
      <c r="JEP35" s="684"/>
      <c r="JEQ35" s="684"/>
      <c r="JER35" s="684"/>
      <c r="JES35" s="684"/>
      <c r="JET35" s="684"/>
      <c r="JEU35" s="684"/>
      <c r="JEV35" s="684"/>
      <c r="JEW35" s="684"/>
      <c r="JEX35" s="684"/>
      <c r="JEY35" s="684"/>
      <c r="JEZ35" s="684"/>
      <c r="JFA35" s="684"/>
      <c r="JFB35" s="684"/>
      <c r="JFC35" s="684"/>
      <c r="JFD35" s="684"/>
      <c r="JFE35" s="684"/>
      <c r="JFF35" s="684"/>
      <c r="JFG35" s="684"/>
      <c r="JFH35" s="684"/>
      <c r="JFI35" s="684"/>
      <c r="JFJ35" s="684"/>
      <c r="JFK35" s="684"/>
      <c r="JFL35" s="684"/>
      <c r="JFM35" s="684"/>
      <c r="JFN35" s="684"/>
      <c r="JFO35" s="684"/>
      <c r="JFP35" s="684"/>
      <c r="JFQ35" s="684"/>
      <c r="JFR35" s="684"/>
      <c r="JFS35" s="684"/>
      <c r="JFT35" s="684"/>
      <c r="JFU35" s="684"/>
      <c r="JFV35" s="684"/>
      <c r="JFW35" s="684"/>
      <c r="JFX35" s="684"/>
      <c r="JFY35" s="684"/>
      <c r="JFZ35" s="684"/>
      <c r="JGA35" s="684"/>
      <c r="JGB35" s="684"/>
      <c r="JGC35" s="684"/>
      <c r="JGD35" s="684"/>
      <c r="JGE35" s="684"/>
      <c r="JGF35" s="684"/>
      <c r="JGG35" s="684"/>
      <c r="JGH35" s="684"/>
      <c r="JGI35" s="684"/>
      <c r="JGJ35" s="684"/>
      <c r="JGK35" s="684"/>
      <c r="JGL35" s="684"/>
      <c r="JGM35" s="684"/>
      <c r="JGN35" s="684"/>
      <c r="JGO35" s="684"/>
      <c r="JGP35" s="684"/>
      <c r="JGQ35" s="684"/>
      <c r="JGR35" s="684"/>
      <c r="JGS35" s="684"/>
      <c r="JGT35" s="684"/>
      <c r="JGU35" s="684"/>
      <c r="JGV35" s="684"/>
      <c r="JGW35" s="684"/>
      <c r="JGX35" s="684"/>
      <c r="JGY35" s="684"/>
      <c r="JGZ35" s="684"/>
      <c r="JHA35" s="684"/>
      <c r="JHB35" s="684"/>
      <c r="JHC35" s="684"/>
      <c r="JHD35" s="684"/>
      <c r="JHE35" s="684"/>
      <c r="JHF35" s="684"/>
      <c r="JHG35" s="684"/>
      <c r="JHH35" s="684"/>
      <c r="JHI35" s="684"/>
      <c r="JHJ35" s="684"/>
      <c r="JHK35" s="684"/>
      <c r="JHL35" s="684"/>
      <c r="JHM35" s="684"/>
      <c r="JHN35" s="684"/>
      <c r="JHO35" s="684"/>
      <c r="JHP35" s="684"/>
      <c r="JHQ35" s="684"/>
      <c r="JHR35" s="684"/>
      <c r="JHS35" s="684"/>
      <c r="JHT35" s="684"/>
      <c r="JHU35" s="684"/>
      <c r="JHV35" s="684"/>
      <c r="JHW35" s="684"/>
      <c r="JHX35" s="684"/>
      <c r="JHY35" s="684"/>
      <c r="JHZ35" s="684"/>
      <c r="JIA35" s="684"/>
      <c r="JIB35" s="684"/>
      <c r="JIC35" s="684"/>
      <c r="JID35" s="684"/>
      <c r="JIE35" s="684"/>
      <c r="JIF35" s="684"/>
      <c r="JIG35" s="684"/>
      <c r="JIH35" s="684"/>
      <c r="JII35" s="684"/>
      <c r="JIJ35" s="684"/>
      <c r="JIK35" s="684"/>
      <c r="JIL35" s="684"/>
      <c r="JIM35" s="684"/>
      <c r="JIN35" s="684"/>
      <c r="JIO35" s="684"/>
      <c r="JIP35" s="684"/>
      <c r="JIQ35" s="684"/>
      <c r="JIR35" s="684"/>
      <c r="JIS35" s="684"/>
      <c r="JIT35" s="684"/>
      <c r="JIU35" s="684"/>
      <c r="JIV35" s="684"/>
      <c r="JIW35" s="684"/>
      <c r="JIX35" s="684"/>
      <c r="JIY35" s="684"/>
      <c r="JIZ35" s="684"/>
      <c r="JJA35" s="684"/>
      <c r="JJB35" s="684"/>
      <c r="JJC35" s="684"/>
      <c r="JJD35" s="684"/>
      <c r="JJE35" s="684"/>
      <c r="JJF35" s="684"/>
      <c r="JJG35" s="684"/>
      <c r="JJH35" s="684"/>
      <c r="JJI35" s="684"/>
      <c r="JJJ35" s="684"/>
      <c r="JJK35" s="684"/>
      <c r="JJL35" s="684"/>
      <c r="JJM35" s="684"/>
      <c r="JJN35" s="684"/>
      <c r="JJO35" s="684"/>
      <c r="JJP35" s="684"/>
      <c r="JJQ35" s="684"/>
      <c r="JJR35" s="684"/>
      <c r="JJS35" s="684"/>
      <c r="JJT35" s="684"/>
      <c r="JJU35" s="684"/>
      <c r="JJV35" s="684"/>
      <c r="JJW35" s="684"/>
      <c r="JJX35" s="684"/>
      <c r="JJY35" s="684"/>
      <c r="JJZ35" s="684"/>
      <c r="JKA35" s="684"/>
      <c r="JKB35" s="684"/>
      <c r="JKC35" s="684"/>
      <c r="JKD35" s="684"/>
      <c r="JKE35" s="684"/>
      <c r="JKF35" s="684"/>
      <c r="JKG35" s="684"/>
      <c r="JKH35" s="684"/>
      <c r="JKI35" s="684"/>
      <c r="JKJ35" s="684"/>
      <c r="JKK35" s="684"/>
      <c r="JKL35" s="684"/>
      <c r="JKM35" s="684"/>
      <c r="JKN35" s="684"/>
      <c r="JKO35" s="684"/>
      <c r="JKP35" s="684"/>
      <c r="JKQ35" s="684"/>
      <c r="JKR35" s="684"/>
      <c r="JKS35" s="684"/>
      <c r="JKT35" s="684"/>
      <c r="JKU35" s="684"/>
      <c r="JKV35" s="684"/>
      <c r="JKW35" s="684"/>
      <c r="JKX35" s="684"/>
      <c r="JKY35" s="684"/>
      <c r="JKZ35" s="684"/>
      <c r="JLA35" s="684"/>
      <c r="JLB35" s="684"/>
      <c r="JLC35" s="684"/>
      <c r="JLD35" s="684"/>
      <c r="JLE35" s="684"/>
      <c r="JLF35" s="684"/>
      <c r="JLG35" s="684"/>
      <c r="JLH35" s="684"/>
      <c r="JLI35" s="684"/>
      <c r="JLJ35" s="684"/>
      <c r="JLK35" s="684"/>
      <c r="JLL35" s="684"/>
      <c r="JLM35" s="684"/>
      <c r="JLN35" s="684"/>
      <c r="JLO35" s="684"/>
      <c r="JLP35" s="684"/>
      <c r="JLQ35" s="684"/>
      <c r="JLR35" s="684"/>
      <c r="JLS35" s="684"/>
      <c r="JLT35" s="684"/>
      <c r="JLU35" s="684"/>
      <c r="JLV35" s="684"/>
      <c r="JLW35" s="684"/>
      <c r="JLX35" s="684"/>
      <c r="JLY35" s="684"/>
      <c r="JLZ35" s="684"/>
      <c r="JMA35" s="684"/>
      <c r="JMB35" s="684"/>
      <c r="JMC35" s="684"/>
      <c r="JMD35" s="684"/>
      <c r="JME35" s="684"/>
      <c r="JMF35" s="684"/>
      <c r="JMG35" s="684"/>
      <c r="JMH35" s="684"/>
      <c r="JMI35" s="684"/>
      <c r="JMJ35" s="684"/>
      <c r="JMK35" s="684"/>
      <c r="JML35" s="684"/>
      <c r="JMM35" s="684"/>
      <c r="JMN35" s="684"/>
      <c r="JMO35" s="684"/>
      <c r="JMP35" s="684"/>
      <c r="JMQ35" s="684"/>
      <c r="JMR35" s="684"/>
      <c r="JMS35" s="684"/>
      <c r="JMT35" s="684"/>
      <c r="JMU35" s="684"/>
      <c r="JMV35" s="684"/>
      <c r="JMW35" s="684"/>
      <c r="JMX35" s="684"/>
      <c r="JMY35" s="684"/>
      <c r="JMZ35" s="684"/>
      <c r="JNA35" s="684"/>
      <c r="JNB35" s="684"/>
      <c r="JNC35" s="684"/>
      <c r="JND35" s="684"/>
      <c r="JNE35" s="684"/>
      <c r="JNF35" s="684"/>
      <c r="JNG35" s="684"/>
      <c r="JNH35" s="684"/>
      <c r="JNI35" s="684"/>
      <c r="JNJ35" s="684"/>
      <c r="JNK35" s="684"/>
      <c r="JNL35" s="684"/>
      <c r="JNM35" s="684"/>
      <c r="JNN35" s="684"/>
      <c r="JNO35" s="684"/>
      <c r="JNP35" s="684"/>
      <c r="JNQ35" s="684"/>
      <c r="JNR35" s="684"/>
      <c r="JNS35" s="684"/>
      <c r="JNT35" s="684"/>
      <c r="JNU35" s="684"/>
      <c r="JNV35" s="684"/>
      <c r="JNW35" s="684"/>
      <c r="JNX35" s="684"/>
      <c r="JNY35" s="684"/>
      <c r="JNZ35" s="684"/>
      <c r="JOA35" s="684"/>
      <c r="JOB35" s="684"/>
      <c r="JOC35" s="684"/>
      <c r="JOD35" s="684"/>
      <c r="JOE35" s="684"/>
      <c r="JOF35" s="684"/>
      <c r="JOG35" s="684"/>
      <c r="JOH35" s="684"/>
      <c r="JOI35" s="684"/>
      <c r="JOJ35" s="684"/>
      <c r="JOK35" s="684"/>
      <c r="JOL35" s="684"/>
      <c r="JOM35" s="684"/>
      <c r="JON35" s="684"/>
      <c r="JOO35" s="684"/>
      <c r="JOP35" s="684"/>
      <c r="JOQ35" s="684"/>
      <c r="JOR35" s="684"/>
      <c r="JOS35" s="684"/>
      <c r="JOT35" s="684"/>
      <c r="JOU35" s="684"/>
      <c r="JOV35" s="684"/>
      <c r="JOW35" s="684"/>
      <c r="JOX35" s="684"/>
      <c r="JOY35" s="684"/>
      <c r="JOZ35" s="684"/>
      <c r="JPA35" s="684"/>
      <c r="JPB35" s="684"/>
      <c r="JPC35" s="684"/>
      <c r="JPD35" s="684"/>
      <c r="JPE35" s="684"/>
      <c r="JPF35" s="684"/>
      <c r="JPG35" s="684"/>
      <c r="JPH35" s="684"/>
      <c r="JPI35" s="684"/>
      <c r="JPJ35" s="684"/>
      <c r="JPK35" s="684"/>
      <c r="JPL35" s="684"/>
      <c r="JPM35" s="684"/>
      <c r="JPN35" s="684"/>
      <c r="JPO35" s="684"/>
      <c r="JPP35" s="684"/>
      <c r="JPQ35" s="684"/>
      <c r="JPR35" s="684"/>
      <c r="JPS35" s="684"/>
      <c r="JPT35" s="684"/>
      <c r="JPU35" s="684"/>
      <c r="JPV35" s="684"/>
      <c r="JPW35" s="684"/>
      <c r="JPX35" s="684"/>
      <c r="JPY35" s="684"/>
      <c r="JPZ35" s="684"/>
      <c r="JQA35" s="684"/>
      <c r="JQB35" s="684"/>
      <c r="JQC35" s="684"/>
      <c r="JQD35" s="684"/>
      <c r="JQE35" s="684"/>
      <c r="JQF35" s="684"/>
      <c r="JQG35" s="684"/>
      <c r="JQH35" s="684"/>
      <c r="JQI35" s="684"/>
      <c r="JQJ35" s="684"/>
      <c r="JQK35" s="684"/>
      <c r="JQL35" s="684"/>
      <c r="JQM35" s="684"/>
      <c r="JQN35" s="684"/>
      <c r="JQO35" s="684"/>
      <c r="JQP35" s="684"/>
      <c r="JQQ35" s="684"/>
      <c r="JQR35" s="684"/>
      <c r="JQS35" s="684"/>
      <c r="JQT35" s="684"/>
      <c r="JQU35" s="684"/>
      <c r="JQV35" s="684"/>
      <c r="JQW35" s="684"/>
      <c r="JQX35" s="684"/>
      <c r="JQY35" s="684"/>
      <c r="JQZ35" s="684"/>
      <c r="JRA35" s="684"/>
      <c r="JRB35" s="684"/>
      <c r="JRC35" s="684"/>
      <c r="JRD35" s="684"/>
      <c r="JRE35" s="684"/>
      <c r="JRF35" s="684"/>
      <c r="JRG35" s="684"/>
      <c r="JRH35" s="684"/>
      <c r="JRI35" s="684"/>
      <c r="JRJ35" s="684"/>
      <c r="JRK35" s="684"/>
      <c r="JRL35" s="684"/>
      <c r="JRM35" s="684"/>
      <c r="JRN35" s="684"/>
      <c r="JRO35" s="684"/>
      <c r="JRP35" s="684"/>
      <c r="JRQ35" s="684"/>
      <c r="JRR35" s="684"/>
      <c r="JRS35" s="684"/>
      <c r="JRT35" s="684"/>
      <c r="JRU35" s="684"/>
      <c r="JRV35" s="684"/>
      <c r="JRW35" s="684"/>
      <c r="JRX35" s="684"/>
      <c r="JRY35" s="684"/>
      <c r="JRZ35" s="684"/>
      <c r="JSA35" s="684"/>
      <c r="JSB35" s="684"/>
      <c r="JSC35" s="684"/>
      <c r="JSD35" s="684"/>
      <c r="JSE35" s="684"/>
      <c r="JSF35" s="684"/>
      <c r="JSG35" s="684"/>
      <c r="JSH35" s="684"/>
      <c r="JSI35" s="684"/>
      <c r="JSJ35" s="684"/>
      <c r="JSK35" s="684"/>
      <c r="JSL35" s="684"/>
      <c r="JSM35" s="684"/>
      <c r="JSN35" s="684"/>
      <c r="JSO35" s="684"/>
      <c r="JSP35" s="684"/>
      <c r="JSQ35" s="684"/>
      <c r="JSR35" s="684"/>
      <c r="JSS35" s="684"/>
      <c r="JST35" s="684"/>
      <c r="JSU35" s="684"/>
      <c r="JSV35" s="684"/>
      <c r="JSW35" s="684"/>
      <c r="JSX35" s="684"/>
      <c r="JSY35" s="684"/>
      <c r="JSZ35" s="684"/>
      <c r="JTA35" s="684"/>
      <c r="JTB35" s="684"/>
      <c r="JTC35" s="684"/>
      <c r="JTD35" s="684"/>
      <c r="JTE35" s="684"/>
      <c r="JTF35" s="684"/>
      <c r="JTG35" s="684"/>
      <c r="JTH35" s="684"/>
      <c r="JTI35" s="684"/>
      <c r="JTJ35" s="684"/>
      <c r="JTK35" s="684"/>
      <c r="JTL35" s="684"/>
      <c r="JTM35" s="684"/>
      <c r="JTN35" s="684"/>
      <c r="JTO35" s="684"/>
      <c r="JTP35" s="684"/>
      <c r="JTQ35" s="684"/>
      <c r="JTR35" s="684"/>
      <c r="JTS35" s="684"/>
      <c r="JTT35" s="684"/>
      <c r="JTU35" s="684"/>
      <c r="JTV35" s="684"/>
      <c r="JTW35" s="684"/>
      <c r="JTX35" s="684"/>
      <c r="JTY35" s="684"/>
      <c r="JTZ35" s="684"/>
      <c r="JUA35" s="684"/>
      <c r="JUB35" s="684"/>
      <c r="JUC35" s="684"/>
      <c r="JUD35" s="684"/>
      <c r="JUE35" s="684"/>
      <c r="JUF35" s="684"/>
      <c r="JUG35" s="684"/>
      <c r="JUH35" s="684"/>
      <c r="JUI35" s="684"/>
      <c r="JUJ35" s="684"/>
      <c r="JUK35" s="684"/>
      <c r="JUL35" s="684"/>
      <c r="JUM35" s="684"/>
      <c r="JUN35" s="684"/>
      <c r="JUO35" s="684"/>
      <c r="JUP35" s="684"/>
      <c r="JUQ35" s="684"/>
      <c r="JUR35" s="684"/>
      <c r="JUS35" s="684"/>
      <c r="JUT35" s="684"/>
      <c r="JUU35" s="684"/>
      <c r="JUV35" s="684"/>
      <c r="JUW35" s="684"/>
      <c r="JUX35" s="684"/>
      <c r="JUY35" s="684"/>
      <c r="JUZ35" s="684"/>
      <c r="JVA35" s="684"/>
      <c r="JVB35" s="684"/>
      <c r="JVC35" s="684"/>
      <c r="JVD35" s="684"/>
      <c r="JVE35" s="684"/>
      <c r="JVF35" s="684"/>
      <c r="JVG35" s="684"/>
      <c r="JVH35" s="684"/>
      <c r="JVI35" s="684"/>
      <c r="JVJ35" s="684"/>
      <c r="JVK35" s="684"/>
      <c r="JVL35" s="684"/>
      <c r="JVM35" s="684"/>
      <c r="JVN35" s="684"/>
      <c r="JVO35" s="684"/>
      <c r="JVP35" s="684"/>
      <c r="JVQ35" s="684"/>
      <c r="JVR35" s="684"/>
      <c r="JVS35" s="684"/>
      <c r="JVT35" s="684"/>
      <c r="JVU35" s="684"/>
      <c r="JVV35" s="684"/>
      <c r="JVW35" s="684"/>
      <c r="JVX35" s="684"/>
      <c r="JVY35" s="684"/>
      <c r="JVZ35" s="684"/>
      <c r="JWA35" s="684"/>
      <c r="JWB35" s="684"/>
      <c r="JWC35" s="684"/>
      <c r="JWD35" s="684"/>
      <c r="JWE35" s="684"/>
      <c r="JWF35" s="684"/>
      <c r="JWG35" s="684"/>
      <c r="JWH35" s="684"/>
      <c r="JWI35" s="684"/>
      <c r="JWJ35" s="684"/>
      <c r="JWK35" s="684"/>
      <c r="JWL35" s="684"/>
      <c r="JWM35" s="684"/>
      <c r="JWN35" s="684"/>
      <c r="JWO35" s="684"/>
      <c r="JWP35" s="684"/>
      <c r="JWQ35" s="684"/>
      <c r="JWR35" s="684"/>
      <c r="JWS35" s="684"/>
      <c r="JWT35" s="684"/>
      <c r="JWU35" s="684"/>
      <c r="JWV35" s="684"/>
      <c r="JWW35" s="684"/>
      <c r="JWX35" s="684"/>
      <c r="JWY35" s="684"/>
      <c r="JWZ35" s="684"/>
      <c r="JXA35" s="684"/>
      <c r="JXB35" s="684"/>
      <c r="JXC35" s="684"/>
      <c r="JXD35" s="684"/>
      <c r="JXE35" s="684"/>
      <c r="JXF35" s="684"/>
      <c r="JXG35" s="684"/>
      <c r="JXH35" s="684"/>
      <c r="JXI35" s="684"/>
      <c r="JXJ35" s="684"/>
      <c r="JXK35" s="684"/>
      <c r="JXL35" s="684"/>
      <c r="JXM35" s="684"/>
      <c r="JXN35" s="684"/>
      <c r="JXO35" s="684"/>
      <c r="JXP35" s="684"/>
      <c r="JXQ35" s="684"/>
      <c r="JXR35" s="684"/>
      <c r="JXS35" s="684"/>
      <c r="JXT35" s="684"/>
      <c r="JXU35" s="684"/>
      <c r="JXV35" s="684"/>
      <c r="JXW35" s="684"/>
      <c r="JXX35" s="684"/>
      <c r="JXY35" s="684"/>
      <c r="JXZ35" s="684"/>
      <c r="JYA35" s="684"/>
      <c r="JYB35" s="684"/>
      <c r="JYC35" s="684"/>
      <c r="JYD35" s="684"/>
      <c r="JYE35" s="684"/>
      <c r="JYF35" s="684"/>
      <c r="JYG35" s="684"/>
      <c r="JYH35" s="684"/>
      <c r="JYI35" s="684"/>
      <c r="JYJ35" s="684"/>
      <c r="JYK35" s="684"/>
      <c r="JYL35" s="684"/>
      <c r="JYM35" s="684"/>
      <c r="JYN35" s="684"/>
      <c r="JYO35" s="684"/>
      <c r="JYP35" s="684"/>
      <c r="JYQ35" s="684"/>
      <c r="JYR35" s="684"/>
      <c r="JYS35" s="684"/>
      <c r="JYT35" s="684"/>
      <c r="JYU35" s="684"/>
      <c r="JYV35" s="684"/>
      <c r="JYW35" s="684"/>
      <c r="JYX35" s="684"/>
      <c r="JYY35" s="684"/>
      <c r="JYZ35" s="684"/>
      <c r="JZA35" s="684"/>
      <c r="JZB35" s="684"/>
      <c r="JZC35" s="684"/>
      <c r="JZD35" s="684"/>
      <c r="JZE35" s="684"/>
      <c r="JZF35" s="684"/>
      <c r="JZG35" s="684"/>
      <c r="JZH35" s="684"/>
      <c r="JZI35" s="684"/>
      <c r="JZJ35" s="684"/>
      <c r="JZK35" s="684"/>
      <c r="JZL35" s="684"/>
      <c r="JZM35" s="684"/>
      <c r="JZN35" s="684"/>
      <c r="JZO35" s="684"/>
      <c r="JZP35" s="684"/>
      <c r="JZQ35" s="684"/>
      <c r="JZR35" s="684"/>
      <c r="JZS35" s="684"/>
      <c r="JZT35" s="684"/>
      <c r="JZU35" s="684"/>
      <c r="JZV35" s="684"/>
      <c r="JZW35" s="684"/>
      <c r="JZX35" s="684"/>
      <c r="JZY35" s="684"/>
      <c r="JZZ35" s="684"/>
      <c r="KAA35" s="684"/>
      <c r="KAB35" s="684"/>
      <c r="KAC35" s="684"/>
      <c r="KAD35" s="684"/>
      <c r="KAE35" s="684"/>
      <c r="KAF35" s="684"/>
      <c r="KAG35" s="684"/>
      <c r="KAH35" s="684"/>
      <c r="KAI35" s="684"/>
      <c r="KAJ35" s="684"/>
      <c r="KAK35" s="684"/>
      <c r="KAL35" s="684"/>
      <c r="KAM35" s="684"/>
      <c r="KAN35" s="684"/>
      <c r="KAO35" s="684"/>
      <c r="KAP35" s="684"/>
      <c r="KAQ35" s="684"/>
      <c r="KAR35" s="684"/>
      <c r="KAS35" s="684"/>
      <c r="KAT35" s="684"/>
      <c r="KAU35" s="684"/>
      <c r="KAV35" s="684"/>
      <c r="KAW35" s="684"/>
      <c r="KAX35" s="684"/>
      <c r="KAY35" s="684"/>
      <c r="KAZ35" s="684"/>
      <c r="KBA35" s="684"/>
      <c r="KBB35" s="684"/>
      <c r="KBC35" s="684"/>
      <c r="KBD35" s="684"/>
      <c r="KBE35" s="684"/>
      <c r="KBF35" s="684"/>
      <c r="KBG35" s="684"/>
      <c r="KBH35" s="684"/>
      <c r="KBI35" s="684"/>
      <c r="KBJ35" s="684"/>
      <c r="KBK35" s="684"/>
      <c r="KBL35" s="684"/>
      <c r="KBM35" s="684"/>
      <c r="KBN35" s="684"/>
      <c r="KBO35" s="684"/>
      <c r="KBP35" s="684"/>
      <c r="KBQ35" s="684"/>
      <c r="KBR35" s="684"/>
      <c r="KBS35" s="684"/>
      <c r="KBT35" s="684"/>
      <c r="KBU35" s="684"/>
      <c r="KBV35" s="684"/>
      <c r="KBW35" s="684"/>
      <c r="KBX35" s="684"/>
      <c r="KBY35" s="684"/>
      <c r="KBZ35" s="684"/>
      <c r="KCA35" s="684"/>
      <c r="KCB35" s="684"/>
      <c r="KCC35" s="684"/>
      <c r="KCD35" s="684"/>
      <c r="KCE35" s="684"/>
      <c r="KCF35" s="684"/>
      <c r="KCG35" s="684"/>
      <c r="KCH35" s="684"/>
      <c r="KCI35" s="684"/>
      <c r="KCJ35" s="684"/>
      <c r="KCK35" s="684"/>
      <c r="KCL35" s="684"/>
      <c r="KCM35" s="684"/>
      <c r="KCN35" s="684"/>
      <c r="KCO35" s="684"/>
      <c r="KCP35" s="684"/>
      <c r="KCQ35" s="684"/>
      <c r="KCR35" s="684"/>
      <c r="KCS35" s="684"/>
      <c r="KCT35" s="684"/>
      <c r="KCU35" s="684"/>
      <c r="KCV35" s="684"/>
      <c r="KCW35" s="684"/>
      <c r="KCX35" s="684"/>
      <c r="KCY35" s="684"/>
      <c r="KCZ35" s="684"/>
      <c r="KDA35" s="684"/>
      <c r="KDB35" s="684"/>
      <c r="KDC35" s="684"/>
      <c r="KDD35" s="684"/>
      <c r="KDE35" s="684"/>
      <c r="KDF35" s="684"/>
      <c r="KDG35" s="684"/>
      <c r="KDH35" s="684"/>
      <c r="KDI35" s="684"/>
      <c r="KDJ35" s="684"/>
      <c r="KDK35" s="684"/>
      <c r="KDL35" s="684"/>
      <c r="KDM35" s="684"/>
      <c r="KDN35" s="684"/>
      <c r="KDO35" s="684"/>
      <c r="KDP35" s="684"/>
      <c r="KDQ35" s="684"/>
      <c r="KDR35" s="684"/>
      <c r="KDS35" s="684"/>
      <c r="KDT35" s="684"/>
      <c r="KDU35" s="684"/>
      <c r="KDV35" s="684"/>
      <c r="KDW35" s="684"/>
      <c r="KDX35" s="684"/>
      <c r="KDY35" s="684"/>
      <c r="KDZ35" s="684"/>
      <c r="KEA35" s="684"/>
      <c r="KEB35" s="684"/>
      <c r="KEC35" s="684"/>
      <c r="KED35" s="684"/>
      <c r="KEE35" s="684"/>
      <c r="KEF35" s="684"/>
      <c r="KEG35" s="684"/>
      <c r="KEH35" s="684"/>
      <c r="KEI35" s="684"/>
      <c r="KEJ35" s="684"/>
      <c r="KEK35" s="684"/>
      <c r="KEL35" s="684"/>
      <c r="KEM35" s="684"/>
      <c r="KEN35" s="684"/>
      <c r="KEO35" s="684"/>
      <c r="KEP35" s="684"/>
      <c r="KEQ35" s="684"/>
      <c r="KER35" s="684"/>
      <c r="KES35" s="684"/>
      <c r="KET35" s="684"/>
      <c r="KEU35" s="684"/>
      <c r="KEV35" s="684"/>
      <c r="KEW35" s="684"/>
      <c r="KEX35" s="684"/>
      <c r="KEY35" s="684"/>
      <c r="KEZ35" s="684"/>
      <c r="KFA35" s="684"/>
      <c r="KFB35" s="684"/>
      <c r="KFC35" s="684"/>
      <c r="KFD35" s="684"/>
      <c r="KFE35" s="684"/>
      <c r="KFF35" s="684"/>
      <c r="KFG35" s="684"/>
      <c r="KFH35" s="684"/>
      <c r="KFI35" s="684"/>
      <c r="KFJ35" s="684"/>
      <c r="KFK35" s="684"/>
      <c r="KFL35" s="684"/>
      <c r="KFM35" s="684"/>
      <c r="KFN35" s="684"/>
      <c r="KFO35" s="684"/>
      <c r="KFP35" s="684"/>
      <c r="KFQ35" s="684"/>
      <c r="KFR35" s="684"/>
      <c r="KFS35" s="684"/>
      <c r="KFT35" s="684"/>
      <c r="KFU35" s="684"/>
      <c r="KFV35" s="684"/>
      <c r="KFW35" s="684"/>
      <c r="KFX35" s="684"/>
      <c r="KFY35" s="684"/>
      <c r="KFZ35" s="684"/>
      <c r="KGA35" s="684"/>
      <c r="KGB35" s="684"/>
      <c r="KGC35" s="684"/>
      <c r="KGD35" s="684"/>
      <c r="KGE35" s="684"/>
      <c r="KGF35" s="684"/>
      <c r="KGG35" s="684"/>
      <c r="KGH35" s="684"/>
      <c r="KGI35" s="684"/>
      <c r="KGJ35" s="684"/>
      <c r="KGK35" s="684"/>
      <c r="KGL35" s="684"/>
      <c r="KGM35" s="684"/>
      <c r="KGN35" s="684"/>
      <c r="KGO35" s="684"/>
      <c r="KGP35" s="684"/>
      <c r="KGQ35" s="684"/>
      <c r="KGR35" s="684"/>
      <c r="KGS35" s="684"/>
      <c r="KGT35" s="684"/>
      <c r="KGU35" s="684"/>
      <c r="KGV35" s="684"/>
      <c r="KGW35" s="684"/>
      <c r="KGX35" s="684"/>
      <c r="KGY35" s="684"/>
      <c r="KGZ35" s="684"/>
      <c r="KHA35" s="684"/>
      <c r="KHB35" s="684"/>
      <c r="KHC35" s="684"/>
      <c r="KHD35" s="684"/>
      <c r="KHE35" s="684"/>
      <c r="KHF35" s="684"/>
      <c r="KHG35" s="684"/>
      <c r="KHH35" s="684"/>
      <c r="KHI35" s="684"/>
      <c r="KHJ35" s="684"/>
      <c r="KHK35" s="684"/>
      <c r="KHL35" s="684"/>
      <c r="KHM35" s="684"/>
      <c r="KHN35" s="684"/>
      <c r="KHO35" s="684"/>
      <c r="KHP35" s="684"/>
      <c r="KHQ35" s="684"/>
      <c r="KHR35" s="684"/>
      <c r="KHS35" s="684"/>
      <c r="KHT35" s="684"/>
      <c r="KHU35" s="684"/>
      <c r="KHV35" s="684"/>
      <c r="KHW35" s="684"/>
      <c r="KHX35" s="684"/>
      <c r="KHY35" s="684"/>
      <c r="KHZ35" s="684"/>
      <c r="KIA35" s="684"/>
      <c r="KIB35" s="684"/>
      <c r="KIC35" s="684"/>
      <c r="KID35" s="684"/>
      <c r="KIE35" s="684"/>
      <c r="KIF35" s="684"/>
      <c r="KIG35" s="684"/>
      <c r="KIH35" s="684"/>
      <c r="KII35" s="684"/>
      <c r="KIJ35" s="684"/>
      <c r="KIK35" s="684"/>
      <c r="KIL35" s="684"/>
      <c r="KIM35" s="684"/>
      <c r="KIN35" s="684"/>
      <c r="KIO35" s="684"/>
      <c r="KIP35" s="684"/>
      <c r="KIQ35" s="684"/>
      <c r="KIR35" s="684"/>
      <c r="KIS35" s="684"/>
      <c r="KIT35" s="684"/>
      <c r="KIU35" s="684"/>
      <c r="KIV35" s="684"/>
      <c r="KIW35" s="684"/>
      <c r="KIX35" s="684"/>
      <c r="KIY35" s="684"/>
      <c r="KIZ35" s="684"/>
      <c r="KJA35" s="684"/>
      <c r="KJB35" s="684"/>
      <c r="KJC35" s="684"/>
      <c r="KJD35" s="684"/>
      <c r="KJE35" s="684"/>
      <c r="KJF35" s="684"/>
      <c r="KJG35" s="684"/>
      <c r="KJH35" s="684"/>
      <c r="KJI35" s="684"/>
      <c r="KJJ35" s="684"/>
      <c r="KJK35" s="684"/>
      <c r="KJL35" s="684"/>
      <c r="KJM35" s="684"/>
      <c r="KJN35" s="684"/>
      <c r="KJO35" s="684"/>
      <c r="KJP35" s="684"/>
      <c r="KJQ35" s="684"/>
      <c r="KJR35" s="684"/>
      <c r="KJS35" s="684"/>
      <c r="KJT35" s="684"/>
      <c r="KJU35" s="684"/>
      <c r="KJV35" s="684"/>
      <c r="KJW35" s="684"/>
      <c r="KJX35" s="684"/>
      <c r="KJY35" s="684"/>
      <c r="KJZ35" s="684"/>
      <c r="KKA35" s="684"/>
      <c r="KKB35" s="684"/>
      <c r="KKC35" s="684"/>
      <c r="KKD35" s="684"/>
      <c r="KKE35" s="684"/>
      <c r="KKF35" s="684"/>
      <c r="KKG35" s="684"/>
      <c r="KKH35" s="684"/>
      <c r="KKI35" s="684"/>
      <c r="KKJ35" s="684"/>
      <c r="KKK35" s="684"/>
      <c r="KKL35" s="684"/>
      <c r="KKM35" s="684"/>
      <c r="KKN35" s="684"/>
      <c r="KKO35" s="684"/>
      <c r="KKP35" s="684"/>
      <c r="KKQ35" s="684"/>
      <c r="KKR35" s="684"/>
      <c r="KKS35" s="684"/>
      <c r="KKT35" s="684"/>
      <c r="KKU35" s="684"/>
      <c r="KKV35" s="684"/>
      <c r="KKW35" s="684"/>
      <c r="KKX35" s="684"/>
      <c r="KKY35" s="684"/>
      <c r="KKZ35" s="684"/>
      <c r="KLA35" s="684"/>
      <c r="KLB35" s="684"/>
      <c r="KLC35" s="684"/>
      <c r="KLD35" s="684"/>
      <c r="KLE35" s="684"/>
      <c r="KLF35" s="684"/>
      <c r="KLG35" s="684"/>
      <c r="KLH35" s="684"/>
      <c r="KLI35" s="684"/>
      <c r="KLJ35" s="684"/>
      <c r="KLK35" s="684"/>
      <c r="KLL35" s="684"/>
      <c r="KLM35" s="684"/>
      <c r="KLN35" s="684"/>
      <c r="KLO35" s="684"/>
      <c r="KLP35" s="684"/>
      <c r="KLQ35" s="684"/>
      <c r="KLR35" s="684"/>
      <c r="KLS35" s="684"/>
      <c r="KLT35" s="684"/>
      <c r="KLU35" s="684"/>
      <c r="KLV35" s="684"/>
      <c r="KLW35" s="684"/>
      <c r="KLX35" s="684"/>
      <c r="KLY35" s="684"/>
      <c r="KLZ35" s="684"/>
      <c r="KMA35" s="684"/>
      <c r="KMB35" s="684"/>
      <c r="KMC35" s="684"/>
      <c r="KMD35" s="684"/>
      <c r="KME35" s="684"/>
      <c r="KMF35" s="684"/>
      <c r="KMG35" s="684"/>
      <c r="KMH35" s="684"/>
      <c r="KMI35" s="684"/>
      <c r="KMJ35" s="684"/>
      <c r="KMK35" s="684"/>
      <c r="KML35" s="684"/>
      <c r="KMM35" s="684"/>
      <c r="KMN35" s="684"/>
      <c r="KMO35" s="684"/>
      <c r="KMP35" s="684"/>
      <c r="KMQ35" s="684"/>
      <c r="KMR35" s="684"/>
      <c r="KMS35" s="684"/>
      <c r="KMT35" s="684"/>
      <c r="KMU35" s="684"/>
      <c r="KMV35" s="684"/>
      <c r="KMW35" s="684"/>
      <c r="KMX35" s="684"/>
      <c r="KMY35" s="684"/>
      <c r="KMZ35" s="684"/>
      <c r="KNA35" s="684"/>
      <c r="KNB35" s="684"/>
      <c r="KNC35" s="684"/>
      <c r="KND35" s="684"/>
      <c r="KNE35" s="684"/>
      <c r="KNF35" s="684"/>
      <c r="KNG35" s="684"/>
      <c r="KNH35" s="684"/>
      <c r="KNI35" s="684"/>
      <c r="KNJ35" s="684"/>
      <c r="KNK35" s="684"/>
      <c r="KNL35" s="684"/>
      <c r="KNM35" s="684"/>
      <c r="KNN35" s="684"/>
      <c r="KNO35" s="684"/>
      <c r="KNP35" s="684"/>
      <c r="KNQ35" s="684"/>
      <c r="KNR35" s="684"/>
      <c r="KNS35" s="684"/>
      <c r="KNT35" s="684"/>
      <c r="KNU35" s="684"/>
      <c r="KNV35" s="684"/>
      <c r="KNW35" s="684"/>
      <c r="KNX35" s="684"/>
      <c r="KNY35" s="684"/>
      <c r="KNZ35" s="684"/>
      <c r="KOA35" s="684"/>
      <c r="KOB35" s="684"/>
      <c r="KOC35" s="684"/>
      <c r="KOD35" s="684"/>
      <c r="KOE35" s="684"/>
      <c r="KOF35" s="684"/>
      <c r="KOG35" s="684"/>
      <c r="KOH35" s="684"/>
      <c r="KOI35" s="684"/>
      <c r="KOJ35" s="684"/>
      <c r="KOK35" s="684"/>
      <c r="KOL35" s="684"/>
      <c r="KOM35" s="684"/>
      <c r="KON35" s="684"/>
      <c r="KOO35" s="684"/>
      <c r="KOP35" s="684"/>
      <c r="KOQ35" s="684"/>
      <c r="KOR35" s="684"/>
      <c r="KOS35" s="684"/>
      <c r="KOT35" s="684"/>
      <c r="KOU35" s="684"/>
      <c r="KOV35" s="684"/>
      <c r="KOW35" s="684"/>
      <c r="KOX35" s="684"/>
      <c r="KOY35" s="684"/>
      <c r="KOZ35" s="684"/>
      <c r="KPA35" s="684"/>
      <c r="KPB35" s="684"/>
      <c r="KPC35" s="684"/>
      <c r="KPD35" s="684"/>
      <c r="KPE35" s="684"/>
      <c r="KPF35" s="684"/>
      <c r="KPG35" s="684"/>
      <c r="KPH35" s="684"/>
      <c r="KPI35" s="684"/>
      <c r="KPJ35" s="684"/>
      <c r="KPK35" s="684"/>
      <c r="KPL35" s="684"/>
      <c r="KPM35" s="684"/>
      <c r="KPN35" s="684"/>
      <c r="KPO35" s="684"/>
      <c r="KPP35" s="684"/>
      <c r="KPQ35" s="684"/>
      <c r="KPR35" s="684"/>
      <c r="KPS35" s="684"/>
      <c r="KPT35" s="684"/>
      <c r="KPU35" s="684"/>
      <c r="KPV35" s="684"/>
      <c r="KPW35" s="684"/>
      <c r="KPX35" s="684"/>
      <c r="KPY35" s="684"/>
      <c r="KPZ35" s="684"/>
      <c r="KQA35" s="684"/>
      <c r="KQB35" s="684"/>
      <c r="KQC35" s="684"/>
      <c r="KQD35" s="684"/>
      <c r="KQE35" s="684"/>
      <c r="KQF35" s="684"/>
      <c r="KQG35" s="684"/>
      <c r="KQH35" s="684"/>
      <c r="KQI35" s="684"/>
      <c r="KQJ35" s="684"/>
      <c r="KQK35" s="684"/>
      <c r="KQL35" s="684"/>
      <c r="KQM35" s="684"/>
      <c r="KQN35" s="684"/>
      <c r="KQO35" s="684"/>
      <c r="KQP35" s="684"/>
      <c r="KQQ35" s="684"/>
      <c r="KQR35" s="684"/>
      <c r="KQS35" s="684"/>
      <c r="KQT35" s="684"/>
      <c r="KQU35" s="684"/>
      <c r="KQV35" s="684"/>
      <c r="KQW35" s="684"/>
      <c r="KQX35" s="684"/>
      <c r="KQY35" s="684"/>
      <c r="KQZ35" s="684"/>
      <c r="KRA35" s="684"/>
      <c r="KRB35" s="684"/>
      <c r="KRC35" s="684"/>
      <c r="KRD35" s="684"/>
      <c r="KRE35" s="684"/>
      <c r="KRF35" s="684"/>
      <c r="KRG35" s="684"/>
      <c r="KRH35" s="684"/>
      <c r="KRI35" s="684"/>
      <c r="KRJ35" s="684"/>
      <c r="KRK35" s="684"/>
      <c r="KRL35" s="684"/>
      <c r="KRM35" s="684"/>
      <c r="KRN35" s="684"/>
      <c r="KRO35" s="684"/>
      <c r="KRP35" s="684"/>
      <c r="KRQ35" s="684"/>
      <c r="KRR35" s="684"/>
      <c r="KRS35" s="684"/>
      <c r="KRT35" s="684"/>
      <c r="KRU35" s="684"/>
      <c r="KRV35" s="684"/>
      <c r="KRW35" s="684"/>
      <c r="KRX35" s="684"/>
      <c r="KRY35" s="684"/>
      <c r="KRZ35" s="684"/>
      <c r="KSA35" s="684"/>
      <c r="KSB35" s="684"/>
      <c r="KSC35" s="684"/>
      <c r="KSD35" s="684"/>
      <c r="KSE35" s="684"/>
      <c r="KSF35" s="684"/>
      <c r="KSG35" s="684"/>
      <c r="KSH35" s="684"/>
      <c r="KSI35" s="684"/>
      <c r="KSJ35" s="684"/>
      <c r="KSK35" s="684"/>
      <c r="KSL35" s="684"/>
      <c r="KSM35" s="684"/>
      <c r="KSN35" s="684"/>
      <c r="KSO35" s="684"/>
      <c r="KSP35" s="684"/>
      <c r="KSQ35" s="684"/>
      <c r="KSR35" s="684"/>
      <c r="KSS35" s="684"/>
      <c r="KST35" s="684"/>
      <c r="KSU35" s="684"/>
      <c r="KSV35" s="684"/>
      <c r="KSW35" s="684"/>
      <c r="KSX35" s="684"/>
      <c r="KSY35" s="684"/>
      <c r="KSZ35" s="684"/>
      <c r="KTA35" s="684"/>
      <c r="KTB35" s="684"/>
      <c r="KTC35" s="684"/>
      <c r="KTD35" s="684"/>
      <c r="KTE35" s="684"/>
      <c r="KTF35" s="684"/>
      <c r="KTG35" s="684"/>
      <c r="KTH35" s="684"/>
      <c r="KTI35" s="684"/>
      <c r="KTJ35" s="684"/>
      <c r="KTK35" s="684"/>
      <c r="KTL35" s="684"/>
      <c r="KTM35" s="684"/>
      <c r="KTN35" s="684"/>
      <c r="KTO35" s="684"/>
      <c r="KTP35" s="684"/>
      <c r="KTQ35" s="684"/>
      <c r="KTR35" s="684"/>
      <c r="KTS35" s="684"/>
      <c r="KTT35" s="684"/>
      <c r="KTU35" s="684"/>
      <c r="KTV35" s="684"/>
      <c r="KTW35" s="684"/>
      <c r="KTX35" s="684"/>
      <c r="KTY35" s="684"/>
      <c r="KTZ35" s="684"/>
      <c r="KUA35" s="684"/>
      <c r="KUB35" s="684"/>
      <c r="KUC35" s="684"/>
      <c r="KUD35" s="684"/>
      <c r="KUE35" s="684"/>
      <c r="KUF35" s="684"/>
      <c r="KUG35" s="684"/>
      <c r="KUH35" s="684"/>
      <c r="KUI35" s="684"/>
      <c r="KUJ35" s="684"/>
      <c r="KUK35" s="684"/>
      <c r="KUL35" s="684"/>
      <c r="KUM35" s="684"/>
      <c r="KUN35" s="684"/>
      <c r="KUO35" s="684"/>
      <c r="KUP35" s="684"/>
      <c r="KUQ35" s="684"/>
      <c r="KUR35" s="684"/>
      <c r="KUS35" s="684"/>
      <c r="KUT35" s="684"/>
      <c r="KUU35" s="684"/>
      <c r="KUV35" s="684"/>
      <c r="KUW35" s="684"/>
      <c r="KUX35" s="684"/>
      <c r="KUY35" s="684"/>
      <c r="KUZ35" s="684"/>
      <c r="KVA35" s="684"/>
      <c r="KVB35" s="684"/>
      <c r="KVC35" s="684"/>
      <c r="KVD35" s="684"/>
      <c r="KVE35" s="684"/>
      <c r="KVF35" s="684"/>
      <c r="KVG35" s="684"/>
      <c r="KVH35" s="684"/>
      <c r="KVI35" s="684"/>
      <c r="KVJ35" s="684"/>
      <c r="KVK35" s="684"/>
      <c r="KVL35" s="684"/>
      <c r="KVM35" s="684"/>
      <c r="KVN35" s="684"/>
      <c r="KVO35" s="684"/>
      <c r="KVP35" s="684"/>
      <c r="KVQ35" s="684"/>
      <c r="KVR35" s="684"/>
      <c r="KVS35" s="684"/>
      <c r="KVT35" s="684"/>
      <c r="KVU35" s="684"/>
      <c r="KVV35" s="684"/>
      <c r="KVW35" s="684"/>
      <c r="KVX35" s="684"/>
      <c r="KVY35" s="684"/>
      <c r="KVZ35" s="684"/>
      <c r="KWA35" s="684"/>
      <c r="KWB35" s="684"/>
      <c r="KWC35" s="684"/>
      <c r="KWD35" s="684"/>
      <c r="KWE35" s="684"/>
      <c r="KWF35" s="684"/>
      <c r="KWG35" s="684"/>
      <c r="KWH35" s="684"/>
      <c r="KWI35" s="684"/>
      <c r="KWJ35" s="684"/>
      <c r="KWK35" s="684"/>
      <c r="KWL35" s="684"/>
      <c r="KWM35" s="684"/>
      <c r="KWN35" s="684"/>
      <c r="KWO35" s="684"/>
      <c r="KWP35" s="684"/>
      <c r="KWQ35" s="684"/>
      <c r="KWR35" s="684"/>
      <c r="KWS35" s="684"/>
      <c r="KWT35" s="684"/>
      <c r="KWU35" s="684"/>
      <c r="KWV35" s="684"/>
      <c r="KWW35" s="684"/>
      <c r="KWX35" s="684"/>
      <c r="KWY35" s="684"/>
      <c r="KWZ35" s="684"/>
      <c r="KXA35" s="684"/>
      <c r="KXB35" s="684"/>
      <c r="KXC35" s="684"/>
      <c r="KXD35" s="684"/>
      <c r="KXE35" s="684"/>
      <c r="KXF35" s="684"/>
      <c r="KXG35" s="684"/>
      <c r="KXH35" s="684"/>
      <c r="KXI35" s="684"/>
      <c r="KXJ35" s="684"/>
      <c r="KXK35" s="684"/>
      <c r="KXL35" s="684"/>
      <c r="KXM35" s="684"/>
      <c r="KXN35" s="684"/>
      <c r="KXO35" s="684"/>
      <c r="KXP35" s="684"/>
      <c r="KXQ35" s="684"/>
      <c r="KXR35" s="684"/>
      <c r="KXS35" s="684"/>
      <c r="KXT35" s="684"/>
      <c r="KXU35" s="684"/>
      <c r="KXV35" s="684"/>
      <c r="KXW35" s="684"/>
      <c r="KXX35" s="684"/>
      <c r="KXY35" s="684"/>
      <c r="KXZ35" s="684"/>
      <c r="KYA35" s="684"/>
      <c r="KYB35" s="684"/>
      <c r="KYC35" s="684"/>
      <c r="KYD35" s="684"/>
      <c r="KYE35" s="684"/>
      <c r="KYF35" s="684"/>
      <c r="KYG35" s="684"/>
      <c r="KYH35" s="684"/>
      <c r="KYI35" s="684"/>
      <c r="KYJ35" s="684"/>
      <c r="KYK35" s="684"/>
      <c r="KYL35" s="684"/>
      <c r="KYM35" s="684"/>
      <c r="KYN35" s="684"/>
      <c r="KYO35" s="684"/>
      <c r="KYP35" s="684"/>
      <c r="KYQ35" s="684"/>
      <c r="KYR35" s="684"/>
      <c r="KYS35" s="684"/>
      <c r="KYT35" s="684"/>
      <c r="KYU35" s="684"/>
      <c r="KYV35" s="684"/>
      <c r="KYW35" s="684"/>
      <c r="KYX35" s="684"/>
      <c r="KYY35" s="684"/>
      <c r="KYZ35" s="684"/>
      <c r="KZA35" s="684"/>
      <c r="KZB35" s="684"/>
      <c r="KZC35" s="684"/>
      <c r="KZD35" s="684"/>
      <c r="KZE35" s="684"/>
      <c r="KZF35" s="684"/>
      <c r="KZG35" s="684"/>
      <c r="KZH35" s="684"/>
      <c r="KZI35" s="684"/>
      <c r="KZJ35" s="684"/>
      <c r="KZK35" s="684"/>
      <c r="KZL35" s="684"/>
      <c r="KZM35" s="684"/>
      <c r="KZN35" s="684"/>
      <c r="KZO35" s="684"/>
      <c r="KZP35" s="684"/>
      <c r="KZQ35" s="684"/>
      <c r="KZR35" s="684"/>
      <c r="KZS35" s="684"/>
      <c r="KZT35" s="684"/>
      <c r="KZU35" s="684"/>
      <c r="KZV35" s="684"/>
      <c r="KZW35" s="684"/>
      <c r="KZX35" s="684"/>
      <c r="KZY35" s="684"/>
      <c r="KZZ35" s="684"/>
      <c r="LAA35" s="684"/>
      <c r="LAB35" s="684"/>
      <c r="LAC35" s="684"/>
      <c r="LAD35" s="684"/>
      <c r="LAE35" s="684"/>
      <c r="LAF35" s="684"/>
      <c r="LAG35" s="684"/>
      <c r="LAH35" s="684"/>
      <c r="LAI35" s="684"/>
      <c r="LAJ35" s="684"/>
      <c r="LAK35" s="684"/>
      <c r="LAL35" s="684"/>
      <c r="LAM35" s="684"/>
      <c r="LAN35" s="684"/>
      <c r="LAO35" s="684"/>
      <c r="LAP35" s="684"/>
      <c r="LAQ35" s="684"/>
      <c r="LAR35" s="684"/>
      <c r="LAS35" s="684"/>
      <c r="LAT35" s="684"/>
      <c r="LAU35" s="684"/>
      <c r="LAV35" s="684"/>
      <c r="LAW35" s="684"/>
      <c r="LAX35" s="684"/>
      <c r="LAY35" s="684"/>
      <c r="LAZ35" s="684"/>
      <c r="LBA35" s="684"/>
      <c r="LBB35" s="684"/>
      <c r="LBC35" s="684"/>
      <c r="LBD35" s="684"/>
      <c r="LBE35" s="684"/>
      <c r="LBF35" s="684"/>
      <c r="LBG35" s="684"/>
      <c r="LBH35" s="684"/>
      <c r="LBI35" s="684"/>
      <c r="LBJ35" s="684"/>
      <c r="LBK35" s="684"/>
      <c r="LBL35" s="684"/>
      <c r="LBM35" s="684"/>
      <c r="LBN35" s="684"/>
      <c r="LBO35" s="684"/>
      <c r="LBP35" s="684"/>
      <c r="LBQ35" s="684"/>
      <c r="LBR35" s="684"/>
      <c r="LBS35" s="684"/>
      <c r="LBT35" s="684"/>
      <c r="LBU35" s="684"/>
      <c r="LBV35" s="684"/>
      <c r="LBW35" s="684"/>
      <c r="LBX35" s="684"/>
      <c r="LBY35" s="684"/>
      <c r="LBZ35" s="684"/>
      <c r="LCA35" s="684"/>
      <c r="LCB35" s="684"/>
      <c r="LCC35" s="684"/>
      <c r="LCD35" s="684"/>
      <c r="LCE35" s="684"/>
      <c r="LCF35" s="684"/>
      <c r="LCG35" s="684"/>
      <c r="LCH35" s="684"/>
      <c r="LCI35" s="684"/>
      <c r="LCJ35" s="684"/>
      <c r="LCK35" s="684"/>
      <c r="LCL35" s="684"/>
      <c r="LCM35" s="684"/>
      <c r="LCN35" s="684"/>
      <c r="LCO35" s="684"/>
      <c r="LCP35" s="684"/>
      <c r="LCQ35" s="684"/>
      <c r="LCR35" s="684"/>
      <c r="LCS35" s="684"/>
      <c r="LCT35" s="684"/>
      <c r="LCU35" s="684"/>
      <c r="LCV35" s="684"/>
      <c r="LCW35" s="684"/>
      <c r="LCX35" s="684"/>
      <c r="LCY35" s="684"/>
      <c r="LCZ35" s="684"/>
      <c r="LDA35" s="684"/>
      <c r="LDB35" s="684"/>
      <c r="LDC35" s="684"/>
      <c r="LDD35" s="684"/>
      <c r="LDE35" s="684"/>
      <c r="LDF35" s="684"/>
      <c r="LDG35" s="684"/>
      <c r="LDH35" s="684"/>
      <c r="LDI35" s="684"/>
      <c r="LDJ35" s="684"/>
      <c r="LDK35" s="684"/>
      <c r="LDL35" s="684"/>
      <c r="LDM35" s="684"/>
      <c r="LDN35" s="684"/>
      <c r="LDO35" s="684"/>
      <c r="LDP35" s="684"/>
      <c r="LDQ35" s="684"/>
      <c r="LDR35" s="684"/>
      <c r="LDS35" s="684"/>
      <c r="LDT35" s="684"/>
      <c r="LDU35" s="684"/>
      <c r="LDV35" s="684"/>
      <c r="LDW35" s="684"/>
      <c r="LDX35" s="684"/>
      <c r="LDY35" s="684"/>
      <c r="LDZ35" s="684"/>
      <c r="LEA35" s="684"/>
      <c r="LEB35" s="684"/>
      <c r="LEC35" s="684"/>
      <c r="LED35" s="684"/>
      <c r="LEE35" s="684"/>
      <c r="LEF35" s="684"/>
      <c r="LEG35" s="684"/>
      <c r="LEH35" s="684"/>
      <c r="LEI35" s="684"/>
      <c r="LEJ35" s="684"/>
      <c r="LEK35" s="684"/>
      <c r="LEL35" s="684"/>
      <c r="LEM35" s="684"/>
      <c r="LEN35" s="684"/>
      <c r="LEO35" s="684"/>
      <c r="LEP35" s="684"/>
      <c r="LEQ35" s="684"/>
      <c r="LER35" s="684"/>
      <c r="LES35" s="684"/>
      <c r="LET35" s="684"/>
      <c r="LEU35" s="684"/>
      <c r="LEV35" s="684"/>
      <c r="LEW35" s="684"/>
      <c r="LEX35" s="684"/>
      <c r="LEY35" s="684"/>
      <c r="LEZ35" s="684"/>
      <c r="LFA35" s="684"/>
      <c r="LFB35" s="684"/>
      <c r="LFC35" s="684"/>
      <c r="LFD35" s="684"/>
      <c r="LFE35" s="684"/>
      <c r="LFF35" s="684"/>
      <c r="LFG35" s="684"/>
      <c r="LFH35" s="684"/>
      <c r="LFI35" s="684"/>
      <c r="LFJ35" s="684"/>
      <c r="LFK35" s="684"/>
      <c r="LFL35" s="684"/>
      <c r="LFM35" s="684"/>
      <c r="LFN35" s="684"/>
      <c r="LFO35" s="684"/>
      <c r="LFP35" s="684"/>
      <c r="LFQ35" s="684"/>
      <c r="LFR35" s="684"/>
      <c r="LFS35" s="684"/>
      <c r="LFT35" s="684"/>
      <c r="LFU35" s="684"/>
      <c r="LFV35" s="684"/>
      <c r="LFW35" s="684"/>
      <c r="LFX35" s="684"/>
      <c r="LFY35" s="684"/>
      <c r="LFZ35" s="684"/>
      <c r="LGA35" s="684"/>
      <c r="LGB35" s="684"/>
      <c r="LGC35" s="684"/>
      <c r="LGD35" s="684"/>
      <c r="LGE35" s="684"/>
      <c r="LGF35" s="684"/>
      <c r="LGG35" s="684"/>
      <c r="LGH35" s="684"/>
      <c r="LGI35" s="684"/>
      <c r="LGJ35" s="684"/>
      <c r="LGK35" s="684"/>
      <c r="LGL35" s="684"/>
      <c r="LGM35" s="684"/>
      <c r="LGN35" s="684"/>
      <c r="LGO35" s="684"/>
      <c r="LGP35" s="684"/>
      <c r="LGQ35" s="684"/>
      <c r="LGR35" s="684"/>
      <c r="LGS35" s="684"/>
      <c r="LGT35" s="684"/>
      <c r="LGU35" s="684"/>
      <c r="LGV35" s="684"/>
      <c r="LGW35" s="684"/>
      <c r="LGX35" s="684"/>
      <c r="LGY35" s="684"/>
      <c r="LGZ35" s="684"/>
      <c r="LHA35" s="684"/>
      <c r="LHB35" s="684"/>
      <c r="LHC35" s="684"/>
      <c r="LHD35" s="684"/>
      <c r="LHE35" s="684"/>
      <c r="LHF35" s="684"/>
      <c r="LHG35" s="684"/>
      <c r="LHH35" s="684"/>
      <c r="LHI35" s="684"/>
      <c r="LHJ35" s="684"/>
      <c r="LHK35" s="684"/>
      <c r="LHL35" s="684"/>
      <c r="LHM35" s="684"/>
      <c r="LHN35" s="684"/>
      <c r="LHO35" s="684"/>
      <c r="LHP35" s="684"/>
      <c r="LHQ35" s="684"/>
      <c r="LHR35" s="684"/>
      <c r="LHS35" s="684"/>
      <c r="LHT35" s="684"/>
      <c r="LHU35" s="684"/>
      <c r="LHV35" s="684"/>
      <c r="LHW35" s="684"/>
      <c r="LHX35" s="684"/>
      <c r="LHY35" s="684"/>
      <c r="LHZ35" s="684"/>
      <c r="LIA35" s="684"/>
      <c r="LIB35" s="684"/>
      <c r="LIC35" s="684"/>
      <c r="LID35" s="684"/>
      <c r="LIE35" s="684"/>
      <c r="LIF35" s="684"/>
      <c r="LIG35" s="684"/>
      <c r="LIH35" s="684"/>
      <c r="LII35" s="684"/>
      <c r="LIJ35" s="684"/>
      <c r="LIK35" s="684"/>
      <c r="LIL35" s="684"/>
      <c r="LIM35" s="684"/>
      <c r="LIN35" s="684"/>
      <c r="LIO35" s="684"/>
      <c r="LIP35" s="684"/>
      <c r="LIQ35" s="684"/>
      <c r="LIR35" s="684"/>
      <c r="LIS35" s="684"/>
      <c r="LIT35" s="684"/>
      <c r="LIU35" s="684"/>
      <c r="LIV35" s="684"/>
      <c r="LIW35" s="684"/>
      <c r="LIX35" s="684"/>
      <c r="LIY35" s="684"/>
      <c r="LIZ35" s="684"/>
      <c r="LJA35" s="684"/>
      <c r="LJB35" s="684"/>
      <c r="LJC35" s="684"/>
      <c r="LJD35" s="684"/>
      <c r="LJE35" s="684"/>
      <c r="LJF35" s="684"/>
      <c r="LJG35" s="684"/>
      <c r="LJH35" s="684"/>
      <c r="LJI35" s="684"/>
      <c r="LJJ35" s="684"/>
      <c r="LJK35" s="684"/>
      <c r="LJL35" s="684"/>
      <c r="LJM35" s="684"/>
      <c r="LJN35" s="684"/>
      <c r="LJO35" s="684"/>
      <c r="LJP35" s="684"/>
      <c r="LJQ35" s="684"/>
      <c r="LJR35" s="684"/>
      <c r="LJS35" s="684"/>
      <c r="LJT35" s="684"/>
      <c r="LJU35" s="684"/>
      <c r="LJV35" s="684"/>
      <c r="LJW35" s="684"/>
      <c r="LJX35" s="684"/>
      <c r="LJY35" s="684"/>
      <c r="LJZ35" s="684"/>
      <c r="LKA35" s="684"/>
      <c r="LKB35" s="684"/>
      <c r="LKC35" s="684"/>
      <c r="LKD35" s="684"/>
      <c r="LKE35" s="684"/>
      <c r="LKF35" s="684"/>
      <c r="LKG35" s="684"/>
      <c r="LKH35" s="684"/>
      <c r="LKI35" s="684"/>
      <c r="LKJ35" s="684"/>
      <c r="LKK35" s="684"/>
      <c r="LKL35" s="684"/>
      <c r="LKM35" s="684"/>
      <c r="LKN35" s="684"/>
      <c r="LKO35" s="684"/>
      <c r="LKP35" s="684"/>
      <c r="LKQ35" s="684"/>
      <c r="LKR35" s="684"/>
      <c r="LKS35" s="684"/>
      <c r="LKT35" s="684"/>
      <c r="LKU35" s="684"/>
      <c r="LKV35" s="684"/>
      <c r="LKW35" s="684"/>
      <c r="LKX35" s="684"/>
      <c r="LKY35" s="684"/>
      <c r="LKZ35" s="684"/>
      <c r="LLA35" s="684"/>
      <c r="LLB35" s="684"/>
      <c r="LLC35" s="684"/>
      <c r="LLD35" s="684"/>
      <c r="LLE35" s="684"/>
      <c r="LLF35" s="684"/>
      <c r="LLG35" s="684"/>
      <c r="LLH35" s="684"/>
      <c r="LLI35" s="684"/>
      <c r="LLJ35" s="684"/>
      <c r="LLK35" s="684"/>
      <c r="LLL35" s="684"/>
      <c r="LLM35" s="684"/>
      <c r="LLN35" s="684"/>
      <c r="LLO35" s="684"/>
      <c r="LLP35" s="684"/>
      <c r="LLQ35" s="684"/>
      <c r="LLR35" s="684"/>
      <c r="LLS35" s="684"/>
      <c r="LLT35" s="684"/>
      <c r="LLU35" s="684"/>
      <c r="LLV35" s="684"/>
      <c r="LLW35" s="684"/>
      <c r="LLX35" s="684"/>
      <c r="LLY35" s="684"/>
      <c r="LLZ35" s="684"/>
      <c r="LMA35" s="684"/>
      <c r="LMB35" s="684"/>
      <c r="LMC35" s="684"/>
      <c r="LMD35" s="684"/>
      <c r="LME35" s="684"/>
      <c r="LMF35" s="684"/>
      <c r="LMG35" s="684"/>
      <c r="LMH35" s="684"/>
      <c r="LMI35" s="684"/>
      <c r="LMJ35" s="684"/>
      <c r="LMK35" s="684"/>
      <c r="LML35" s="684"/>
      <c r="LMM35" s="684"/>
      <c r="LMN35" s="684"/>
      <c r="LMO35" s="684"/>
      <c r="LMP35" s="684"/>
      <c r="LMQ35" s="684"/>
      <c r="LMR35" s="684"/>
      <c r="LMS35" s="684"/>
      <c r="LMT35" s="684"/>
      <c r="LMU35" s="684"/>
      <c r="LMV35" s="684"/>
      <c r="LMW35" s="684"/>
      <c r="LMX35" s="684"/>
      <c r="LMY35" s="684"/>
      <c r="LMZ35" s="684"/>
      <c r="LNA35" s="684"/>
      <c r="LNB35" s="684"/>
      <c r="LNC35" s="684"/>
      <c r="LND35" s="684"/>
      <c r="LNE35" s="684"/>
      <c r="LNF35" s="684"/>
      <c r="LNG35" s="684"/>
      <c r="LNH35" s="684"/>
      <c r="LNI35" s="684"/>
      <c r="LNJ35" s="684"/>
      <c r="LNK35" s="684"/>
      <c r="LNL35" s="684"/>
      <c r="LNM35" s="684"/>
      <c r="LNN35" s="684"/>
      <c r="LNO35" s="684"/>
      <c r="LNP35" s="684"/>
      <c r="LNQ35" s="684"/>
      <c r="LNR35" s="684"/>
      <c r="LNS35" s="684"/>
      <c r="LNT35" s="684"/>
      <c r="LNU35" s="684"/>
      <c r="LNV35" s="684"/>
      <c r="LNW35" s="684"/>
      <c r="LNX35" s="684"/>
      <c r="LNY35" s="684"/>
      <c r="LNZ35" s="684"/>
      <c r="LOA35" s="684"/>
      <c r="LOB35" s="684"/>
      <c r="LOC35" s="684"/>
      <c r="LOD35" s="684"/>
      <c r="LOE35" s="684"/>
      <c r="LOF35" s="684"/>
      <c r="LOG35" s="684"/>
      <c r="LOH35" s="684"/>
      <c r="LOI35" s="684"/>
      <c r="LOJ35" s="684"/>
      <c r="LOK35" s="684"/>
      <c r="LOL35" s="684"/>
      <c r="LOM35" s="684"/>
      <c r="LON35" s="684"/>
      <c r="LOO35" s="684"/>
      <c r="LOP35" s="684"/>
      <c r="LOQ35" s="684"/>
      <c r="LOR35" s="684"/>
      <c r="LOS35" s="684"/>
      <c r="LOT35" s="684"/>
      <c r="LOU35" s="684"/>
      <c r="LOV35" s="684"/>
      <c r="LOW35" s="684"/>
      <c r="LOX35" s="684"/>
      <c r="LOY35" s="684"/>
      <c r="LOZ35" s="684"/>
      <c r="LPA35" s="684"/>
      <c r="LPB35" s="684"/>
      <c r="LPC35" s="684"/>
      <c r="LPD35" s="684"/>
      <c r="LPE35" s="684"/>
      <c r="LPF35" s="684"/>
      <c r="LPG35" s="684"/>
      <c r="LPH35" s="684"/>
      <c r="LPI35" s="684"/>
      <c r="LPJ35" s="684"/>
      <c r="LPK35" s="684"/>
      <c r="LPL35" s="684"/>
      <c r="LPM35" s="684"/>
      <c r="LPN35" s="684"/>
      <c r="LPO35" s="684"/>
      <c r="LPP35" s="684"/>
      <c r="LPQ35" s="684"/>
      <c r="LPR35" s="684"/>
      <c r="LPS35" s="684"/>
      <c r="LPT35" s="684"/>
      <c r="LPU35" s="684"/>
      <c r="LPV35" s="684"/>
      <c r="LPW35" s="684"/>
      <c r="LPX35" s="684"/>
      <c r="LPY35" s="684"/>
      <c r="LPZ35" s="684"/>
      <c r="LQA35" s="684"/>
      <c r="LQB35" s="684"/>
      <c r="LQC35" s="684"/>
      <c r="LQD35" s="684"/>
      <c r="LQE35" s="684"/>
      <c r="LQF35" s="684"/>
      <c r="LQG35" s="684"/>
      <c r="LQH35" s="684"/>
      <c r="LQI35" s="684"/>
      <c r="LQJ35" s="684"/>
      <c r="LQK35" s="684"/>
      <c r="LQL35" s="684"/>
      <c r="LQM35" s="684"/>
      <c r="LQN35" s="684"/>
      <c r="LQO35" s="684"/>
      <c r="LQP35" s="684"/>
      <c r="LQQ35" s="684"/>
      <c r="LQR35" s="684"/>
      <c r="LQS35" s="684"/>
      <c r="LQT35" s="684"/>
      <c r="LQU35" s="684"/>
      <c r="LQV35" s="684"/>
      <c r="LQW35" s="684"/>
      <c r="LQX35" s="684"/>
      <c r="LQY35" s="684"/>
      <c r="LQZ35" s="684"/>
      <c r="LRA35" s="684"/>
      <c r="LRB35" s="684"/>
      <c r="LRC35" s="684"/>
      <c r="LRD35" s="684"/>
      <c r="LRE35" s="684"/>
      <c r="LRF35" s="684"/>
      <c r="LRG35" s="684"/>
      <c r="LRH35" s="684"/>
      <c r="LRI35" s="684"/>
      <c r="LRJ35" s="684"/>
      <c r="LRK35" s="684"/>
      <c r="LRL35" s="684"/>
      <c r="LRM35" s="684"/>
      <c r="LRN35" s="684"/>
      <c r="LRO35" s="684"/>
      <c r="LRP35" s="684"/>
      <c r="LRQ35" s="684"/>
      <c r="LRR35" s="684"/>
      <c r="LRS35" s="684"/>
      <c r="LRT35" s="684"/>
      <c r="LRU35" s="684"/>
      <c r="LRV35" s="684"/>
      <c r="LRW35" s="684"/>
      <c r="LRX35" s="684"/>
      <c r="LRY35" s="684"/>
      <c r="LRZ35" s="684"/>
      <c r="LSA35" s="684"/>
      <c r="LSB35" s="684"/>
      <c r="LSC35" s="684"/>
      <c r="LSD35" s="684"/>
      <c r="LSE35" s="684"/>
      <c r="LSF35" s="684"/>
      <c r="LSG35" s="684"/>
      <c r="LSH35" s="684"/>
      <c r="LSI35" s="684"/>
      <c r="LSJ35" s="684"/>
      <c r="LSK35" s="684"/>
      <c r="LSL35" s="684"/>
      <c r="LSM35" s="684"/>
      <c r="LSN35" s="684"/>
      <c r="LSO35" s="684"/>
      <c r="LSP35" s="684"/>
      <c r="LSQ35" s="684"/>
      <c r="LSR35" s="684"/>
      <c r="LSS35" s="684"/>
      <c r="LST35" s="684"/>
      <c r="LSU35" s="684"/>
      <c r="LSV35" s="684"/>
      <c r="LSW35" s="684"/>
      <c r="LSX35" s="684"/>
      <c r="LSY35" s="684"/>
      <c r="LSZ35" s="684"/>
      <c r="LTA35" s="684"/>
      <c r="LTB35" s="684"/>
      <c r="LTC35" s="684"/>
      <c r="LTD35" s="684"/>
      <c r="LTE35" s="684"/>
      <c r="LTF35" s="684"/>
      <c r="LTG35" s="684"/>
      <c r="LTH35" s="684"/>
      <c r="LTI35" s="684"/>
      <c r="LTJ35" s="684"/>
      <c r="LTK35" s="684"/>
      <c r="LTL35" s="684"/>
      <c r="LTM35" s="684"/>
      <c r="LTN35" s="684"/>
      <c r="LTO35" s="684"/>
      <c r="LTP35" s="684"/>
      <c r="LTQ35" s="684"/>
      <c r="LTR35" s="684"/>
      <c r="LTS35" s="684"/>
      <c r="LTT35" s="684"/>
      <c r="LTU35" s="684"/>
      <c r="LTV35" s="684"/>
      <c r="LTW35" s="684"/>
      <c r="LTX35" s="684"/>
      <c r="LTY35" s="684"/>
      <c r="LTZ35" s="684"/>
      <c r="LUA35" s="684"/>
      <c r="LUB35" s="684"/>
      <c r="LUC35" s="684"/>
      <c r="LUD35" s="684"/>
      <c r="LUE35" s="684"/>
      <c r="LUF35" s="684"/>
      <c r="LUG35" s="684"/>
      <c r="LUH35" s="684"/>
      <c r="LUI35" s="684"/>
      <c r="LUJ35" s="684"/>
      <c r="LUK35" s="684"/>
      <c r="LUL35" s="684"/>
      <c r="LUM35" s="684"/>
      <c r="LUN35" s="684"/>
      <c r="LUO35" s="684"/>
      <c r="LUP35" s="684"/>
      <c r="LUQ35" s="684"/>
      <c r="LUR35" s="684"/>
      <c r="LUS35" s="684"/>
      <c r="LUT35" s="684"/>
      <c r="LUU35" s="684"/>
      <c r="LUV35" s="684"/>
      <c r="LUW35" s="684"/>
      <c r="LUX35" s="684"/>
      <c r="LUY35" s="684"/>
      <c r="LUZ35" s="684"/>
      <c r="LVA35" s="684"/>
      <c r="LVB35" s="684"/>
      <c r="LVC35" s="684"/>
      <c r="LVD35" s="684"/>
      <c r="LVE35" s="684"/>
      <c r="LVF35" s="684"/>
      <c r="LVG35" s="684"/>
      <c r="LVH35" s="684"/>
      <c r="LVI35" s="684"/>
      <c r="LVJ35" s="684"/>
      <c r="LVK35" s="684"/>
      <c r="LVL35" s="684"/>
      <c r="LVM35" s="684"/>
      <c r="LVN35" s="684"/>
      <c r="LVO35" s="684"/>
      <c r="LVP35" s="684"/>
      <c r="LVQ35" s="684"/>
      <c r="LVR35" s="684"/>
      <c r="LVS35" s="684"/>
      <c r="LVT35" s="684"/>
      <c r="LVU35" s="684"/>
      <c r="LVV35" s="684"/>
      <c r="LVW35" s="684"/>
      <c r="LVX35" s="684"/>
      <c r="LVY35" s="684"/>
      <c r="LVZ35" s="684"/>
      <c r="LWA35" s="684"/>
      <c r="LWB35" s="684"/>
      <c r="LWC35" s="684"/>
      <c r="LWD35" s="684"/>
      <c r="LWE35" s="684"/>
      <c r="LWF35" s="684"/>
      <c r="LWG35" s="684"/>
      <c r="LWH35" s="684"/>
      <c r="LWI35" s="684"/>
      <c r="LWJ35" s="684"/>
      <c r="LWK35" s="684"/>
      <c r="LWL35" s="684"/>
      <c r="LWM35" s="684"/>
      <c r="LWN35" s="684"/>
      <c r="LWO35" s="684"/>
      <c r="LWP35" s="684"/>
      <c r="LWQ35" s="684"/>
      <c r="LWR35" s="684"/>
      <c r="LWS35" s="684"/>
      <c r="LWT35" s="684"/>
      <c r="LWU35" s="684"/>
      <c r="LWV35" s="684"/>
      <c r="LWW35" s="684"/>
      <c r="LWX35" s="684"/>
      <c r="LWY35" s="684"/>
      <c r="LWZ35" s="684"/>
      <c r="LXA35" s="684"/>
      <c r="LXB35" s="684"/>
      <c r="LXC35" s="684"/>
      <c r="LXD35" s="684"/>
      <c r="LXE35" s="684"/>
      <c r="LXF35" s="684"/>
      <c r="LXG35" s="684"/>
      <c r="LXH35" s="684"/>
      <c r="LXI35" s="684"/>
      <c r="LXJ35" s="684"/>
      <c r="LXK35" s="684"/>
      <c r="LXL35" s="684"/>
      <c r="LXM35" s="684"/>
      <c r="LXN35" s="684"/>
      <c r="LXO35" s="684"/>
      <c r="LXP35" s="684"/>
      <c r="LXQ35" s="684"/>
      <c r="LXR35" s="684"/>
      <c r="LXS35" s="684"/>
      <c r="LXT35" s="684"/>
      <c r="LXU35" s="684"/>
      <c r="LXV35" s="684"/>
      <c r="LXW35" s="684"/>
      <c r="LXX35" s="684"/>
      <c r="LXY35" s="684"/>
      <c r="LXZ35" s="684"/>
      <c r="LYA35" s="684"/>
      <c r="LYB35" s="684"/>
      <c r="LYC35" s="684"/>
      <c r="LYD35" s="684"/>
      <c r="LYE35" s="684"/>
      <c r="LYF35" s="684"/>
      <c r="LYG35" s="684"/>
      <c r="LYH35" s="684"/>
      <c r="LYI35" s="684"/>
      <c r="LYJ35" s="684"/>
      <c r="LYK35" s="684"/>
      <c r="LYL35" s="684"/>
      <c r="LYM35" s="684"/>
      <c r="LYN35" s="684"/>
      <c r="LYO35" s="684"/>
      <c r="LYP35" s="684"/>
      <c r="LYQ35" s="684"/>
      <c r="LYR35" s="684"/>
      <c r="LYS35" s="684"/>
      <c r="LYT35" s="684"/>
      <c r="LYU35" s="684"/>
      <c r="LYV35" s="684"/>
      <c r="LYW35" s="684"/>
      <c r="LYX35" s="684"/>
      <c r="LYY35" s="684"/>
      <c r="LYZ35" s="684"/>
      <c r="LZA35" s="684"/>
      <c r="LZB35" s="684"/>
      <c r="LZC35" s="684"/>
      <c r="LZD35" s="684"/>
      <c r="LZE35" s="684"/>
      <c r="LZF35" s="684"/>
      <c r="LZG35" s="684"/>
      <c r="LZH35" s="684"/>
      <c r="LZI35" s="684"/>
      <c r="LZJ35" s="684"/>
      <c r="LZK35" s="684"/>
      <c r="LZL35" s="684"/>
      <c r="LZM35" s="684"/>
      <c r="LZN35" s="684"/>
      <c r="LZO35" s="684"/>
      <c r="LZP35" s="684"/>
      <c r="LZQ35" s="684"/>
      <c r="LZR35" s="684"/>
      <c r="LZS35" s="684"/>
      <c r="LZT35" s="684"/>
      <c r="LZU35" s="684"/>
      <c r="LZV35" s="684"/>
      <c r="LZW35" s="684"/>
      <c r="LZX35" s="684"/>
      <c r="LZY35" s="684"/>
      <c r="LZZ35" s="684"/>
      <c r="MAA35" s="684"/>
      <c r="MAB35" s="684"/>
      <c r="MAC35" s="684"/>
      <c r="MAD35" s="684"/>
      <c r="MAE35" s="684"/>
      <c r="MAF35" s="684"/>
      <c r="MAG35" s="684"/>
      <c r="MAH35" s="684"/>
      <c r="MAI35" s="684"/>
      <c r="MAJ35" s="684"/>
      <c r="MAK35" s="684"/>
      <c r="MAL35" s="684"/>
      <c r="MAM35" s="684"/>
      <c r="MAN35" s="684"/>
      <c r="MAO35" s="684"/>
      <c r="MAP35" s="684"/>
      <c r="MAQ35" s="684"/>
      <c r="MAR35" s="684"/>
      <c r="MAS35" s="684"/>
      <c r="MAT35" s="684"/>
      <c r="MAU35" s="684"/>
      <c r="MAV35" s="684"/>
      <c r="MAW35" s="684"/>
      <c r="MAX35" s="684"/>
      <c r="MAY35" s="684"/>
      <c r="MAZ35" s="684"/>
      <c r="MBA35" s="684"/>
      <c r="MBB35" s="684"/>
      <c r="MBC35" s="684"/>
      <c r="MBD35" s="684"/>
      <c r="MBE35" s="684"/>
      <c r="MBF35" s="684"/>
      <c r="MBG35" s="684"/>
      <c r="MBH35" s="684"/>
      <c r="MBI35" s="684"/>
      <c r="MBJ35" s="684"/>
      <c r="MBK35" s="684"/>
      <c r="MBL35" s="684"/>
      <c r="MBM35" s="684"/>
      <c r="MBN35" s="684"/>
      <c r="MBO35" s="684"/>
      <c r="MBP35" s="684"/>
      <c r="MBQ35" s="684"/>
      <c r="MBR35" s="684"/>
      <c r="MBS35" s="684"/>
      <c r="MBT35" s="684"/>
      <c r="MBU35" s="684"/>
      <c r="MBV35" s="684"/>
      <c r="MBW35" s="684"/>
      <c r="MBX35" s="684"/>
      <c r="MBY35" s="684"/>
      <c r="MBZ35" s="684"/>
      <c r="MCA35" s="684"/>
      <c r="MCB35" s="684"/>
      <c r="MCC35" s="684"/>
      <c r="MCD35" s="684"/>
      <c r="MCE35" s="684"/>
      <c r="MCF35" s="684"/>
      <c r="MCG35" s="684"/>
      <c r="MCH35" s="684"/>
      <c r="MCI35" s="684"/>
      <c r="MCJ35" s="684"/>
      <c r="MCK35" s="684"/>
      <c r="MCL35" s="684"/>
      <c r="MCM35" s="684"/>
      <c r="MCN35" s="684"/>
      <c r="MCO35" s="684"/>
      <c r="MCP35" s="684"/>
      <c r="MCQ35" s="684"/>
      <c r="MCR35" s="684"/>
      <c r="MCS35" s="684"/>
      <c r="MCT35" s="684"/>
      <c r="MCU35" s="684"/>
      <c r="MCV35" s="684"/>
      <c r="MCW35" s="684"/>
      <c r="MCX35" s="684"/>
      <c r="MCY35" s="684"/>
      <c r="MCZ35" s="684"/>
      <c r="MDA35" s="684"/>
      <c r="MDB35" s="684"/>
      <c r="MDC35" s="684"/>
      <c r="MDD35" s="684"/>
      <c r="MDE35" s="684"/>
      <c r="MDF35" s="684"/>
      <c r="MDG35" s="684"/>
      <c r="MDH35" s="684"/>
      <c r="MDI35" s="684"/>
      <c r="MDJ35" s="684"/>
      <c r="MDK35" s="684"/>
      <c r="MDL35" s="684"/>
      <c r="MDM35" s="684"/>
      <c r="MDN35" s="684"/>
      <c r="MDO35" s="684"/>
      <c r="MDP35" s="684"/>
      <c r="MDQ35" s="684"/>
      <c r="MDR35" s="684"/>
      <c r="MDS35" s="684"/>
      <c r="MDT35" s="684"/>
      <c r="MDU35" s="684"/>
      <c r="MDV35" s="684"/>
      <c r="MDW35" s="684"/>
      <c r="MDX35" s="684"/>
      <c r="MDY35" s="684"/>
      <c r="MDZ35" s="684"/>
      <c r="MEA35" s="684"/>
      <c r="MEB35" s="684"/>
      <c r="MEC35" s="684"/>
      <c r="MED35" s="684"/>
      <c r="MEE35" s="684"/>
      <c r="MEF35" s="684"/>
      <c r="MEG35" s="684"/>
      <c r="MEH35" s="684"/>
      <c r="MEI35" s="684"/>
      <c r="MEJ35" s="684"/>
      <c r="MEK35" s="684"/>
      <c r="MEL35" s="684"/>
      <c r="MEM35" s="684"/>
      <c r="MEN35" s="684"/>
      <c r="MEO35" s="684"/>
      <c r="MEP35" s="684"/>
      <c r="MEQ35" s="684"/>
      <c r="MER35" s="684"/>
      <c r="MES35" s="684"/>
      <c r="MET35" s="684"/>
      <c r="MEU35" s="684"/>
      <c r="MEV35" s="684"/>
      <c r="MEW35" s="684"/>
      <c r="MEX35" s="684"/>
      <c r="MEY35" s="684"/>
      <c r="MEZ35" s="684"/>
      <c r="MFA35" s="684"/>
      <c r="MFB35" s="684"/>
      <c r="MFC35" s="684"/>
      <c r="MFD35" s="684"/>
      <c r="MFE35" s="684"/>
      <c r="MFF35" s="684"/>
      <c r="MFG35" s="684"/>
      <c r="MFH35" s="684"/>
      <c r="MFI35" s="684"/>
      <c r="MFJ35" s="684"/>
      <c r="MFK35" s="684"/>
      <c r="MFL35" s="684"/>
      <c r="MFM35" s="684"/>
      <c r="MFN35" s="684"/>
      <c r="MFO35" s="684"/>
      <c r="MFP35" s="684"/>
      <c r="MFQ35" s="684"/>
      <c r="MFR35" s="684"/>
      <c r="MFS35" s="684"/>
      <c r="MFT35" s="684"/>
      <c r="MFU35" s="684"/>
      <c r="MFV35" s="684"/>
      <c r="MFW35" s="684"/>
      <c r="MFX35" s="684"/>
      <c r="MFY35" s="684"/>
      <c r="MFZ35" s="684"/>
      <c r="MGA35" s="684"/>
      <c r="MGB35" s="684"/>
      <c r="MGC35" s="684"/>
      <c r="MGD35" s="684"/>
      <c r="MGE35" s="684"/>
      <c r="MGF35" s="684"/>
      <c r="MGG35" s="684"/>
      <c r="MGH35" s="684"/>
      <c r="MGI35" s="684"/>
      <c r="MGJ35" s="684"/>
      <c r="MGK35" s="684"/>
      <c r="MGL35" s="684"/>
      <c r="MGM35" s="684"/>
      <c r="MGN35" s="684"/>
      <c r="MGO35" s="684"/>
      <c r="MGP35" s="684"/>
      <c r="MGQ35" s="684"/>
      <c r="MGR35" s="684"/>
      <c r="MGS35" s="684"/>
      <c r="MGT35" s="684"/>
      <c r="MGU35" s="684"/>
      <c r="MGV35" s="684"/>
      <c r="MGW35" s="684"/>
      <c r="MGX35" s="684"/>
      <c r="MGY35" s="684"/>
      <c r="MGZ35" s="684"/>
      <c r="MHA35" s="684"/>
      <c r="MHB35" s="684"/>
      <c r="MHC35" s="684"/>
      <c r="MHD35" s="684"/>
      <c r="MHE35" s="684"/>
      <c r="MHF35" s="684"/>
      <c r="MHG35" s="684"/>
      <c r="MHH35" s="684"/>
      <c r="MHI35" s="684"/>
      <c r="MHJ35" s="684"/>
      <c r="MHK35" s="684"/>
      <c r="MHL35" s="684"/>
      <c r="MHM35" s="684"/>
      <c r="MHN35" s="684"/>
      <c r="MHO35" s="684"/>
      <c r="MHP35" s="684"/>
      <c r="MHQ35" s="684"/>
      <c r="MHR35" s="684"/>
      <c r="MHS35" s="684"/>
      <c r="MHT35" s="684"/>
      <c r="MHU35" s="684"/>
      <c r="MHV35" s="684"/>
      <c r="MHW35" s="684"/>
      <c r="MHX35" s="684"/>
      <c r="MHY35" s="684"/>
      <c r="MHZ35" s="684"/>
      <c r="MIA35" s="684"/>
      <c r="MIB35" s="684"/>
      <c r="MIC35" s="684"/>
      <c r="MID35" s="684"/>
      <c r="MIE35" s="684"/>
      <c r="MIF35" s="684"/>
      <c r="MIG35" s="684"/>
      <c r="MIH35" s="684"/>
      <c r="MII35" s="684"/>
      <c r="MIJ35" s="684"/>
      <c r="MIK35" s="684"/>
      <c r="MIL35" s="684"/>
      <c r="MIM35" s="684"/>
      <c r="MIN35" s="684"/>
      <c r="MIO35" s="684"/>
      <c r="MIP35" s="684"/>
      <c r="MIQ35" s="684"/>
      <c r="MIR35" s="684"/>
      <c r="MIS35" s="684"/>
      <c r="MIT35" s="684"/>
      <c r="MIU35" s="684"/>
      <c r="MIV35" s="684"/>
      <c r="MIW35" s="684"/>
      <c r="MIX35" s="684"/>
      <c r="MIY35" s="684"/>
      <c r="MIZ35" s="684"/>
      <c r="MJA35" s="684"/>
      <c r="MJB35" s="684"/>
      <c r="MJC35" s="684"/>
      <c r="MJD35" s="684"/>
      <c r="MJE35" s="684"/>
      <c r="MJF35" s="684"/>
      <c r="MJG35" s="684"/>
      <c r="MJH35" s="684"/>
      <c r="MJI35" s="684"/>
      <c r="MJJ35" s="684"/>
      <c r="MJK35" s="684"/>
      <c r="MJL35" s="684"/>
      <c r="MJM35" s="684"/>
      <c r="MJN35" s="684"/>
      <c r="MJO35" s="684"/>
      <c r="MJP35" s="684"/>
      <c r="MJQ35" s="684"/>
      <c r="MJR35" s="684"/>
      <c r="MJS35" s="684"/>
      <c r="MJT35" s="684"/>
      <c r="MJU35" s="684"/>
      <c r="MJV35" s="684"/>
      <c r="MJW35" s="684"/>
      <c r="MJX35" s="684"/>
      <c r="MJY35" s="684"/>
      <c r="MJZ35" s="684"/>
      <c r="MKA35" s="684"/>
      <c r="MKB35" s="684"/>
      <c r="MKC35" s="684"/>
      <c r="MKD35" s="684"/>
      <c r="MKE35" s="684"/>
      <c r="MKF35" s="684"/>
      <c r="MKG35" s="684"/>
      <c r="MKH35" s="684"/>
      <c r="MKI35" s="684"/>
      <c r="MKJ35" s="684"/>
      <c r="MKK35" s="684"/>
      <c r="MKL35" s="684"/>
      <c r="MKM35" s="684"/>
      <c r="MKN35" s="684"/>
      <c r="MKO35" s="684"/>
      <c r="MKP35" s="684"/>
      <c r="MKQ35" s="684"/>
      <c r="MKR35" s="684"/>
      <c r="MKS35" s="684"/>
      <c r="MKT35" s="684"/>
      <c r="MKU35" s="684"/>
      <c r="MKV35" s="684"/>
      <c r="MKW35" s="684"/>
      <c r="MKX35" s="684"/>
      <c r="MKY35" s="684"/>
      <c r="MKZ35" s="684"/>
      <c r="MLA35" s="684"/>
      <c r="MLB35" s="684"/>
      <c r="MLC35" s="684"/>
      <c r="MLD35" s="684"/>
      <c r="MLE35" s="684"/>
      <c r="MLF35" s="684"/>
      <c r="MLG35" s="684"/>
      <c r="MLH35" s="684"/>
      <c r="MLI35" s="684"/>
      <c r="MLJ35" s="684"/>
      <c r="MLK35" s="684"/>
      <c r="MLL35" s="684"/>
      <c r="MLM35" s="684"/>
      <c r="MLN35" s="684"/>
      <c r="MLO35" s="684"/>
      <c r="MLP35" s="684"/>
      <c r="MLQ35" s="684"/>
      <c r="MLR35" s="684"/>
      <c r="MLS35" s="684"/>
      <c r="MLT35" s="684"/>
      <c r="MLU35" s="684"/>
      <c r="MLV35" s="684"/>
      <c r="MLW35" s="684"/>
      <c r="MLX35" s="684"/>
      <c r="MLY35" s="684"/>
      <c r="MLZ35" s="684"/>
      <c r="MMA35" s="684"/>
      <c r="MMB35" s="684"/>
      <c r="MMC35" s="684"/>
      <c r="MMD35" s="684"/>
      <c r="MME35" s="684"/>
      <c r="MMF35" s="684"/>
      <c r="MMG35" s="684"/>
      <c r="MMH35" s="684"/>
      <c r="MMI35" s="684"/>
      <c r="MMJ35" s="684"/>
      <c r="MMK35" s="684"/>
      <c r="MML35" s="684"/>
      <c r="MMM35" s="684"/>
      <c r="MMN35" s="684"/>
      <c r="MMO35" s="684"/>
      <c r="MMP35" s="684"/>
      <c r="MMQ35" s="684"/>
      <c r="MMR35" s="684"/>
      <c r="MMS35" s="684"/>
      <c r="MMT35" s="684"/>
      <c r="MMU35" s="684"/>
      <c r="MMV35" s="684"/>
      <c r="MMW35" s="684"/>
      <c r="MMX35" s="684"/>
      <c r="MMY35" s="684"/>
      <c r="MMZ35" s="684"/>
      <c r="MNA35" s="684"/>
      <c r="MNB35" s="684"/>
      <c r="MNC35" s="684"/>
      <c r="MND35" s="684"/>
      <c r="MNE35" s="684"/>
      <c r="MNF35" s="684"/>
      <c r="MNG35" s="684"/>
      <c r="MNH35" s="684"/>
      <c r="MNI35" s="684"/>
      <c r="MNJ35" s="684"/>
      <c r="MNK35" s="684"/>
      <c r="MNL35" s="684"/>
      <c r="MNM35" s="684"/>
      <c r="MNN35" s="684"/>
      <c r="MNO35" s="684"/>
      <c r="MNP35" s="684"/>
      <c r="MNQ35" s="684"/>
      <c r="MNR35" s="684"/>
      <c r="MNS35" s="684"/>
      <c r="MNT35" s="684"/>
      <c r="MNU35" s="684"/>
      <c r="MNV35" s="684"/>
      <c r="MNW35" s="684"/>
      <c r="MNX35" s="684"/>
      <c r="MNY35" s="684"/>
      <c r="MNZ35" s="684"/>
      <c r="MOA35" s="684"/>
      <c r="MOB35" s="684"/>
      <c r="MOC35" s="684"/>
      <c r="MOD35" s="684"/>
      <c r="MOE35" s="684"/>
      <c r="MOF35" s="684"/>
      <c r="MOG35" s="684"/>
      <c r="MOH35" s="684"/>
      <c r="MOI35" s="684"/>
      <c r="MOJ35" s="684"/>
      <c r="MOK35" s="684"/>
      <c r="MOL35" s="684"/>
      <c r="MOM35" s="684"/>
      <c r="MON35" s="684"/>
      <c r="MOO35" s="684"/>
      <c r="MOP35" s="684"/>
      <c r="MOQ35" s="684"/>
      <c r="MOR35" s="684"/>
      <c r="MOS35" s="684"/>
      <c r="MOT35" s="684"/>
      <c r="MOU35" s="684"/>
      <c r="MOV35" s="684"/>
      <c r="MOW35" s="684"/>
      <c r="MOX35" s="684"/>
      <c r="MOY35" s="684"/>
      <c r="MOZ35" s="684"/>
      <c r="MPA35" s="684"/>
      <c r="MPB35" s="684"/>
      <c r="MPC35" s="684"/>
      <c r="MPD35" s="684"/>
      <c r="MPE35" s="684"/>
      <c r="MPF35" s="684"/>
      <c r="MPG35" s="684"/>
      <c r="MPH35" s="684"/>
      <c r="MPI35" s="684"/>
      <c r="MPJ35" s="684"/>
      <c r="MPK35" s="684"/>
      <c r="MPL35" s="684"/>
      <c r="MPM35" s="684"/>
      <c r="MPN35" s="684"/>
      <c r="MPO35" s="684"/>
      <c r="MPP35" s="684"/>
      <c r="MPQ35" s="684"/>
      <c r="MPR35" s="684"/>
      <c r="MPS35" s="684"/>
      <c r="MPT35" s="684"/>
      <c r="MPU35" s="684"/>
      <c r="MPV35" s="684"/>
      <c r="MPW35" s="684"/>
      <c r="MPX35" s="684"/>
      <c r="MPY35" s="684"/>
      <c r="MPZ35" s="684"/>
      <c r="MQA35" s="684"/>
      <c r="MQB35" s="684"/>
      <c r="MQC35" s="684"/>
      <c r="MQD35" s="684"/>
      <c r="MQE35" s="684"/>
      <c r="MQF35" s="684"/>
      <c r="MQG35" s="684"/>
      <c r="MQH35" s="684"/>
      <c r="MQI35" s="684"/>
      <c r="MQJ35" s="684"/>
      <c r="MQK35" s="684"/>
      <c r="MQL35" s="684"/>
      <c r="MQM35" s="684"/>
      <c r="MQN35" s="684"/>
      <c r="MQO35" s="684"/>
      <c r="MQP35" s="684"/>
      <c r="MQQ35" s="684"/>
      <c r="MQR35" s="684"/>
      <c r="MQS35" s="684"/>
      <c r="MQT35" s="684"/>
      <c r="MQU35" s="684"/>
      <c r="MQV35" s="684"/>
      <c r="MQW35" s="684"/>
      <c r="MQX35" s="684"/>
      <c r="MQY35" s="684"/>
      <c r="MQZ35" s="684"/>
      <c r="MRA35" s="684"/>
      <c r="MRB35" s="684"/>
      <c r="MRC35" s="684"/>
      <c r="MRD35" s="684"/>
      <c r="MRE35" s="684"/>
      <c r="MRF35" s="684"/>
      <c r="MRG35" s="684"/>
      <c r="MRH35" s="684"/>
      <c r="MRI35" s="684"/>
      <c r="MRJ35" s="684"/>
      <c r="MRK35" s="684"/>
      <c r="MRL35" s="684"/>
      <c r="MRM35" s="684"/>
      <c r="MRN35" s="684"/>
      <c r="MRO35" s="684"/>
      <c r="MRP35" s="684"/>
      <c r="MRQ35" s="684"/>
      <c r="MRR35" s="684"/>
      <c r="MRS35" s="684"/>
      <c r="MRT35" s="684"/>
      <c r="MRU35" s="684"/>
      <c r="MRV35" s="684"/>
      <c r="MRW35" s="684"/>
      <c r="MRX35" s="684"/>
      <c r="MRY35" s="684"/>
      <c r="MRZ35" s="684"/>
      <c r="MSA35" s="684"/>
      <c r="MSB35" s="684"/>
      <c r="MSC35" s="684"/>
      <c r="MSD35" s="684"/>
      <c r="MSE35" s="684"/>
      <c r="MSF35" s="684"/>
      <c r="MSG35" s="684"/>
      <c r="MSH35" s="684"/>
      <c r="MSI35" s="684"/>
      <c r="MSJ35" s="684"/>
      <c r="MSK35" s="684"/>
      <c r="MSL35" s="684"/>
      <c r="MSM35" s="684"/>
      <c r="MSN35" s="684"/>
      <c r="MSO35" s="684"/>
      <c r="MSP35" s="684"/>
      <c r="MSQ35" s="684"/>
      <c r="MSR35" s="684"/>
      <c r="MSS35" s="684"/>
      <c r="MST35" s="684"/>
      <c r="MSU35" s="684"/>
      <c r="MSV35" s="684"/>
      <c r="MSW35" s="684"/>
      <c r="MSX35" s="684"/>
      <c r="MSY35" s="684"/>
      <c r="MSZ35" s="684"/>
      <c r="MTA35" s="684"/>
      <c r="MTB35" s="684"/>
      <c r="MTC35" s="684"/>
      <c r="MTD35" s="684"/>
      <c r="MTE35" s="684"/>
      <c r="MTF35" s="684"/>
      <c r="MTG35" s="684"/>
      <c r="MTH35" s="684"/>
      <c r="MTI35" s="684"/>
      <c r="MTJ35" s="684"/>
      <c r="MTK35" s="684"/>
      <c r="MTL35" s="684"/>
      <c r="MTM35" s="684"/>
      <c r="MTN35" s="684"/>
      <c r="MTO35" s="684"/>
      <c r="MTP35" s="684"/>
      <c r="MTQ35" s="684"/>
      <c r="MTR35" s="684"/>
      <c r="MTS35" s="684"/>
      <c r="MTT35" s="684"/>
      <c r="MTU35" s="684"/>
      <c r="MTV35" s="684"/>
      <c r="MTW35" s="684"/>
      <c r="MTX35" s="684"/>
      <c r="MTY35" s="684"/>
      <c r="MTZ35" s="684"/>
      <c r="MUA35" s="684"/>
      <c r="MUB35" s="684"/>
      <c r="MUC35" s="684"/>
      <c r="MUD35" s="684"/>
      <c r="MUE35" s="684"/>
      <c r="MUF35" s="684"/>
      <c r="MUG35" s="684"/>
      <c r="MUH35" s="684"/>
      <c r="MUI35" s="684"/>
      <c r="MUJ35" s="684"/>
      <c r="MUK35" s="684"/>
      <c r="MUL35" s="684"/>
      <c r="MUM35" s="684"/>
      <c r="MUN35" s="684"/>
      <c r="MUO35" s="684"/>
      <c r="MUP35" s="684"/>
      <c r="MUQ35" s="684"/>
      <c r="MUR35" s="684"/>
      <c r="MUS35" s="684"/>
      <c r="MUT35" s="684"/>
      <c r="MUU35" s="684"/>
      <c r="MUV35" s="684"/>
      <c r="MUW35" s="684"/>
      <c r="MUX35" s="684"/>
      <c r="MUY35" s="684"/>
      <c r="MUZ35" s="684"/>
      <c r="MVA35" s="684"/>
      <c r="MVB35" s="684"/>
      <c r="MVC35" s="684"/>
      <c r="MVD35" s="684"/>
      <c r="MVE35" s="684"/>
      <c r="MVF35" s="684"/>
      <c r="MVG35" s="684"/>
      <c r="MVH35" s="684"/>
      <c r="MVI35" s="684"/>
      <c r="MVJ35" s="684"/>
      <c r="MVK35" s="684"/>
      <c r="MVL35" s="684"/>
      <c r="MVM35" s="684"/>
      <c r="MVN35" s="684"/>
      <c r="MVO35" s="684"/>
      <c r="MVP35" s="684"/>
      <c r="MVQ35" s="684"/>
      <c r="MVR35" s="684"/>
      <c r="MVS35" s="684"/>
      <c r="MVT35" s="684"/>
      <c r="MVU35" s="684"/>
      <c r="MVV35" s="684"/>
      <c r="MVW35" s="684"/>
      <c r="MVX35" s="684"/>
      <c r="MVY35" s="684"/>
      <c r="MVZ35" s="684"/>
      <c r="MWA35" s="684"/>
      <c r="MWB35" s="684"/>
      <c r="MWC35" s="684"/>
      <c r="MWD35" s="684"/>
      <c r="MWE35" s="684"/>
      <c r="MWF35" s="684"/>
      <c r="MWG35" s="684"/>
      <c r="MWH35" s="684"/>
      <c r="MWI35" s="684"/>
      <c r="MWJ35" s="684"/>
      <c r="MWK35" s="684"/>
      <c r="MWL35" s="684"/>
      <c r="MWM35" s="684"/>
      <c r="MWN35" s="684"/>
      <c r="MWO35" s="684"/>
      <c r="MWP35" s="684"/>
      <c r="MWQ35" s="684"/>
      <c r="MWR35" s="684"/>
      <c r="MWS35" s="684"/>
      <c r="MWT35" s="684"/>
      <c r="MWU35" s="684"/>
      <c r="MWV35" s="684"/>
      <c r="MWW35" s="684"/>
      <c r="MWX35" s="684"/>
      <c r="MWY35" s="684"/>
      <c r="MWZ35" s="684"/>
      <c r="MXA35" s="684"/>
      <c r="MXB35" s="684"/>
      <c r="MXC35" s="684"/>
      <c r="MXD35" s="684"/>
      <c r="MXE35" s="684"/>
      <c r="MXF35" s="684"/>
      <c r="MXG35" s="684"/>
      <c r="MXH35" s="684"/>
      <c r="MXI35" s="684"/>
      <c r="MXJ35" s="684"/>
      <c r="MXK35" s="684"/>
      <c r="MXL35" s="684"/>
      <c r="MXM35" s="684"/>
      <c r="MXN35" s="684"/>
      <c r="MXO35" s="684"/>
      <c r="MXP35" s="684"/>
      <c r="MXQ35" s="684"/>
      <c r="MXR35" s="684"/>
      <c r="MXS35" s="684"/>
      <c r="MXT35" s="684"/>
      <c r="MXU35" s="684"/>
      <c r="MXV35" s="684"/>
      <c r="MXW35" s="684"/>
      <c r="MXX35" s="684"/>
      <c r="MXY35" s="684"/>
      <c r="MXZ35" s="684"/>
      <c r="MYA35" s="684"/>
      <c r="MYB35" s="684"/>
      <c r="MYC35" s="684"/>
      <c r="MYD35" s="684"/>
      <c r="MYE35" s="684"/>
      <c r="MYF35" s="684"/>
      <c r="MYG35" s="684"/>
      <c r="MYH35" s="684"/>
      <c r="MYI35" s="684"/>
      <c r="MYJ35" s="684"/>
      <c r="MYK35" s="684"/>
      <c r="MYL35" s="684"/>
      <c r="MYM35" s="684"/>
      <c r="MYN35" s="684"/>
      <c r="MYO35" s="684"/>
      <c r="MYP35" s="684"/>
      <c r="MYQ35" s="684"/>
      <c r="MYR35" s="684"/>
      <c r="MYS35" s="684"/>
      <c r="MYT35" s="684"/>
      <c r="MYU35" s="684"/>
      <c r="MYV35" s="684"/>
      <c r="MYW35" s="684"/>
      <c r="MYX35" s="684"/>
      <c r="MYY35" s="684"/>
      <c r="MYZ35" s="684"/>
      <c r="MZA35" s="684"/>
      <c r="MZB35" s="684"/>
      <c r="MZC35" s="684"/>
      <c r="MZD35" s="684"/>
      <c r="MZE35" s="684"/>
      <c r="MZF35" s="684"/>
      <c r="MZG35" s="684"/>
      <c r="MZH35" s="684"/>
      <c r="MZI35" s="684"/>
      <c r="MZJ35" s="684"/>
      <c r="MZK35" s="684"/>
      <c r="MZL35" s="684"/>
      <c r="MZM35" s="684"/>
      <c r="MZN35" s="684"/>
      <c r="MZO35" s="684"/>
      <c r="MZP35" s="684"/>
      <c r="MZQ35" s="684"/>
      <c r="MZR35" s="684"/>
      <c r="MZS35" s="684"/>
      <c r="MZT35" s="684"/>
      <c r="MZU35" s="684"/>
      <c r="MZV35" s="684"/>
      <c r="MZW35" s="684"/>
      <c r="MZX35" s="684"/>
      <c r="MZY35" s="684"/>
      <c r="MZZ35" s="684"/>
      <c r="NAA35" s="684"/>
      <c r="NAB35" s="684"/>
      <c r="NAC35" s="684"/>
      <c r="NAD35" s="684"/>
      <c r="NAE35" s="684"/>
      <c r="NAF35" s="684"/>
      <c r="NAG35" s="684"/>
      <c r="NAH35" s="684"/>
      <c r="NAI35" s="684"/>
      <c r="NAJ35" s="684"/>
      <c r="NAK35" s="684"/>
      <c r="NAL35" s="684"/>
      <c r="NAM35" s="684"/>
      <c r="NAN35" s="684"/>
      <c r="NAO35" s="684"/>
      <c r="NAP35" s="684"/>
      <c r="NAQ35" s="684"/>
      <c r="NAR35" s="684"/>
      <c r="NAS35" s="684"/>
      <c r="NAT35" s="684"/>
      <c r="NAU35" s="684"/>
      <c r="NAV35" s="684"/>
      <c r="NAW35" s="684"/>
      <c r="NAX35" s="684"/>
      <c r="NAY35" s="684"/>
      <c r="NAZ35" s="684"/>
      <c r="NBA35" s="684"/>
      <c r="NBB35" s="684"/>
      <c r="NBC35" s="684"/>
      <c r="NBD35" s="684"/>
      <c r="NBE35" s="684"/>
      <c r="NBF35" s="684"/>
      <c r="NBG35" s="684"/>
      <c r="NBH35" s="684"/>
      <c r="NBI35" s="684"/>
      <c r="NBJ35" s="684"/>
      <c r="NBK35" s="684"/>
      <c r="NBL35" s="684"/>
      <c r="NBM35" s="684"/>
      <c r="NBN35" s="684"/>
      <c r="NBO35" s="684"/>
      <c r="NBP35" s="684"/>
      <c r="NBQ35" s="684"/>
      <c r="NBR35" s="684"/>
      <c r="NBS35" s="684"/>
      <c r="NBT35" s="684"/>
      <c r="NBU35" s="684"/>
      <c r="NBV35" s="684"/>
      <c r="NBW35" s="684"/>
      <c r="NBX35" s="684"/>
      <c r="NBY35" s="684"/>
      <c r="NBZ35" s="684"/>
      <c r="NCA35" s="684"/>
      <c r="NCB35" s="684"/>
      <c r="NCC35" s="684"/>
      <c r="NCD35" s="684"/>
      <c r="NCE35" s="684"/>
      <c r="NCF35" s="684"/>
      <c r="NCG35" s="684"/>
      <c r="NCH35" s="684"/>
      <c r="NCI35" s="684"/>
      <c r="NCJ35" s="684"/>
      <c r="NCK35" s="684"/>
      <c r="NCL35" s="684"/>
      <c r="NCM35" s="684"/>
      <c r="NCN35" s="684"/>
      <c r="NCO35" s="684"/>
      <c r="NCP35" s="684"/>
      <c r="NCQ35" s="684"/>
      <c r="NCR35" s="684"/>
      <c r="NCS35" s="684"/>
      <c r="NCT35" s="684"/>
      <c r="NCU35" s="684"/>
      <c r="NCV35" s="684"/>
      <c r="NCW35" s="684"/>
      <c r="NCX35" s="684"/>
      <c r="NCY35" s="684"/>
      <c r="NCZ35" s="684"/>
      <c r="NDA35" s="684"/>
      <c r="NDB35" s="684"/>
      <c r="NDC35" s="684"/>
      <c r="NDD35" s="684"/>
      <c r="NDE35" s="684"/>
      <c r="NDF35" s="684"/>
      <c r="NDG35" s="684"/>
      <c r="NDH35" s="684"/>
      <c r="NDI35" s="684"/>
      <c r="NDJ35" s="684"/>
      <c r="NDK35" s="684"/>
      <c r="NDL35" s="684"/>
      <c r="NDM35" s="684"/>
      <c r="NDN35" s="684"/>
      <c r="NDO35" s="684"/>
      <c r="NDP35" s="684"/>
      <c r="NDQ35" s="684"/>
      <c r="NDR35" s="684"/>
      <c r="NDS35" s="684"/>
      <c r="NDT35" s="684"/>
      <c r="NDU35" s="684"/>
      <c r="NDV35" s="684"/>
      <c r="NDW35" s="684"/>
      <c r="NDX35" s="684"/>
      <c r="NDY35" s="684"/>
      <c r="NDZ35" s="684"/>
      <c r="NEA35" s="684"/>
      <c r="NEB35" s="684"/>
      <c r="NEC35" s="684"/>
      <c r="NED35" s="684"/>
      <c r="NEE35" s="684"/>
      <c r="NEF35" s="684"/>
      <c r="NEG35" s="684"/>
      <c r="NEH35" s="684"/>
      <c r="NEI35" s="684"/>
      <c r="NEJ35" s="684"/>
      <c r="NEK35" s="684"/>
      <c r="NEL35" s="684"/>
      <c r="NEM35" s="684"/>
      <c r="NEN35" s="684"/>
      <c r="NEO35" s="684"/>
      <c r="NEP35" s="684"/>
      <c r="NEQ35" s="684"/>
      <c r="NER35" s="684"/>
      <c r="NES35" s="684"/>
      <c r="NET35" s="684"/>
      <c r="NEU35" s="684"/>
      <c r="NEV35" s="684"/>
      <c r="NEW35" s="684"/>
      <c r="NEX35" s="684"/>
      <c r="NEY35" s="684"/>
      <c r="NEZ35" s="684"/>
      <c r="NFA35" s="684"/>
      <c r="NFB35" s="684"/>
      <c r="NFC35" s="684"/>
      <c r="NFD35" s="684"/>
      <c r="NFE35" s="684"/>
      <c r="NFF35" s="684"/>
      <c r="NFG35" s="684"/>
      <c r="NFH35" s="684"/>
      <c r="NFI35" s="684"/>
      <c r="NFJ35" s="684"/>
      <c r="NFK35" s="684"/>
      <c r="NFL35" s="684"/>
      <c r="NFM35" s="684"/>
      <c r="NFN35" s="684"/>
      <c r="NFO35" s="684"/>
      <c r="NFP35" s="684"/>
      <c r="NFQ35" s="684"/>
      <c r="NFR35" s="684"/>
      <c r="NFS35" s="684"/>
      <c r="NFT35" s="684"/>
      <c r="NFU35" s="684"/>
      <c r="NFV35" s="684"/>
      <c r="NFW35" s="684"/>
      <c r="NFX35" s="684"/>
      <c r="NFY35" s="684"/>
      <c r="NFZ35" s="684"/>
      <c r="NGA35" s="684"/>
      <c r="NGB35" s="684"/>
      <c r="NGC35" s="684"/>
      <c r="NGD35" s="684"/>
      <c r="NGE35" s="684"/>
      <c r="NGF35" s="684"/>
      <c r="NGG35" s="684"/>
      <c r="NGH35" s="684"/>
      <c r="NGI35" s="684"/>
      <c r="NGJ35" s="684"/>
      <c r="NGK35" s="684"/>
      <c r="NGL35" s="684"/>
      <c r="NGM35" s="684"/>
      <c r="NGN35" s="684"/>
      <c r="NGO35" s="684"/>
      <c r="NGP35" s="684"/>
      <c r="NGQ35" s="684"/>
      <c r="NGR35" s="684"/>
      <c r="NGS35" s="684"/>
      <c r="NGT35" s="684"/>
      <c r="NGU35" s="684"/>
      <c r="NGV35" s="684"/>
      <c r="NGW35" s="684"/>
      <c r="NGX35" s="684"/>
      <c r="NGY35" s="684"/>
      <c r="NGZ35" s="684"/>
      <c r="NHA35" s="684"/>
      <c r="NHB35" s="684"/>
      <c r="NHC35" s="684"/>
      <c r="NHD35" s="684"/>
      <c r="NHE35" s="684"/>
      <c r="NHF35" s="684"/>
      <c r="NHG35" s="684"/>
      <c r="NHH35" s="684"/>
      <c r="NHI35" s="684"/>
      <c r="NHJ35" s="684"/>
      <c r="NHK35" s="684"/>
      <c r="NHL35" s="684"/>
      <c r="NHM35" s="684"/>
      <c r="NHN35" s="684"/>
      <c r="NHO35" s="684"/>
      <c r="NHP35" s="684"/>
      <c r="NHQ35" s="684"/>
      <c r="NHR35" s="684"/>
      <c r="NHS35" s="684"/>
      <c r="NHT35" s="684"/>
      <c r="NHU35" s="684"/>
      <c r="NHV35" s="684"/>
      <c r="NHW35" s="684"/>
      <c r="NHX35" s="684"/>
      <c r="NHY35" s="684"/>
      <c r="NHZ35" s="684"/>
      <c r="NIA35" s="684"/>
      <c r="NIB35" s="684"/>
      <c r="NIC35" s="684"/>
      <c r="NID35" s="684"/>
      <c r="NIE35" s="684"/>
      <c r="NIF35" s="684"/>
      <c r="NIG35" s="684"/>
      <c r="NIH35" s="684"/>
      <c r="NII35" s="684"/>
      <c r="NIJ35" s="684"/>
      <c r="NIK35" s="684"/>
      <c r="NIL35" s="684"/>
      <c r="NIM35" s="684"/>
      <c r="NIN35" s="684"/>
      <c r="NIO35" s="684"/>
      <c r="NIP35" s="684"/>
      <c r="NIQ35" s="684"/>
      <c r="NIR35" s="684"/>
      <c r="NIS35" s="684"/>
      <c r="NIT35" s="684"/>
      <c r="NIU35" s="684"/>
      <c r="NIV35" s="684"/>
      <c r="NIW35" s="684"/>
      <c r="NIX35" s="684"/>
      <c r="NIY35" s="684"/>
      <c r="NIZ35" s="684"/>
      <c r="NJA35" s="684"/>
      <c r="NJB35" s="684"/>
      <c r="NJC35" s="684"/>
      <c r="NJD35" s="684"/>
      <c r="NJE35" s="684"/>
      <c r="NJF35" s="684"/>
      <c r="NJG35" s="684"/>
      <c r="NJH35" s="684"/>
      <c r="NJI35" s="684"/>
      <c r="NJJ35" s="684"/>
      <c r="NJK35" s="684"/>
      <c r="NJL35" s="684"/>
      <c r="NJM35" s="684"/>
      <c r="NJN35" s="684"/>
      <c r="NJO35" s="684"/>
      <c r="NJP35" s="684"/>
      <c r="NJQ35" s="684"/>
      <c r="NJR35" s="684"/>
      <c r="NJS35" s="684"/>
      <c r="NJT35" s="684"/>
      <c r="NJU35" s="684"/>
      <c r="NJV35" s="684"/>
      <c r="NJW35" s="684"/>
      <c r="NJX35" s="684"/>
      <c r="NJY35" s="684"/>
      <c r="NJZ35" s="684"/>
      <c r="NKA35" s="684"/>
      <c r="NKB35" s="684"/>
      <c r="NKC35" s="684"/>
      <c r="NKD35" s="684"/>
      <c r="NKE35" s="684"/>
      <c r="NKF35" s="684"/>
      <c r="NKG35" s="684"/>
      <c r="NKH35" s="684"/>
      <c r="NKI35" s="684"/>
      <c r="NKJ35" s="684"/>
      <c r="NKK35" s="684"/>
      <c r="NKL35" s="684"/>
      <c r="NKM35" s="684"/>
      <c r="NKN35" s="684"/>
      <c r="NKO35" s="684"/>
      <c r="NKP35" s="684"/>
      <c r="NKQ35" s="684"/>
      <c r="NKR35" s="684"/>
      <c r="NKS35" s="684"/>
      <c r="NKT35" s="684"/>
      <c r="NKU35" s="684"/>
      <c r="NKV35" s="684"/>
      <c r="NKW35" s="684"/>
      <c r="NKX35" s="684"/>
      <c r="NKY35" s="684"/>
      <c r="NKZ35" s="684"/>
      <c r="NLA35" s="684"/>
      <c r="NLB35" s="684"/>
      <c r="NLC35" s="684"/>
      <c r="NLD35" s="684"/>
      <c r="NLE35" s="684"/>
      <c r="NLF35" s="684"/>
      <c r="NLG35" s="684"/>
      <c r="NLH35" s="684"/>
      <c r="NLI35" s="684"/>
      <c r="NLJ35" s="684"/>
      <c r="NLK35" s="684"/>
      <c r="NLL35" s="684"/>
      <c r="NLM35" s="684"/>
      <c r="NLN35" s="684"/>
      <c r="NLO35" s="684"/>
      <c r="NLP35" s="684"/>
      <c r="NLQ35" s="684"/>
      <c r="NLR35" s="684"/>
      <c r="NLS35" s="684"/>
      <c r="NLT35" s="684"/>
      <c r="NLU35" s="684"/>
      <c r="NLV35" s="684"/>
      <c r="NLW35" s="684"/>
      <c r="NLX35" s="684"/>
      <c r="NLY35" s="684"/>
      <c r="NLZ35" s="684"/>
      <c r="NMA35" s="684"/>
      <c r="NMB35" s="684"/>
      <c r="NMC35" s="684"/>
      <c r="NMD35" s="684"/>
      <c r="NME35" s="684"/>
      <c r="NMF35" s="684"/>
      <c r="NMG35" s="684"/>
      <c r="NMH35" s="684"/>
      <c r="NMI35" s="684"/>
      <c r="NMJ35" s="684"/>
      <c r="NMK35" s="684"/>
      <c r="NML35" s="684"/>
      <c r="NMM35" s="684"/>
      <c r="NMN35" s="684"/>
      <c r="NMO35" s="684"/>
      <c r="NMP35" s="684"/>
      <c r="NMQ35" s="684"/>
      <c r="NMR35" s="684"/>
      <c r="NMS35" s="684"/>
      <c r="NMT35" s="684"/>
      <c r="NMU35" s="684"/>
      <c r="NMV35" s="684"/>
      <c r="NMW35" s="684"/>
      <c r="NMX35" s="684"/>
      <c r="NMY35" s="684"/>
      <c r="NMZ35" s="684"/>
      <c r="NNA35" s="684"/>
      <c r="NNB35" s="684"/>
      <c r="NNC35" s="684"/>
      <c r="NND35" s="684"/>
      <c r="NNE35" s="684"/>
      <c r="NNF35" s="684"/>
      <c r="NNG35" s="684"/>
      <c r="NNH35" s="684"/>
      <c r="NNI35" s="684"/>
      <c r="NNJ35" s="684"/>
      <c r="NNK35" s="684"/>
      <c r="NNL35" s="684"/>
      <c r="NNM35" s="684"/>
      <c r="NNN35" s="684"/>
      <c r="NNO35" s="684"/>
      <c r="NNP35" s="684"/>
      <c r="NNQ35" s="684"/>
      <c r="NNR35" s="684"/>
      <c r="NNS35" s="684"/>
      <c r="NNT35" s="684"/>
      <c r="NNU35" s="684"/>
      <c r="NNV35" s="684"/>
      <c r="NNW35" s="684"/>
      <c r="NNX35" s="684"/>
      <c r="NNY35" s="684"/>
      <c r="NNZ35" s="684"/>
      <c r="NOA35" s="684"/>
      <c r="NOB35" s="684"/>
      <c r="NOC35" s="684"/>
      <c r="NOD35" s="684"/>
      <c r="NOE35" s="684"/>
      <c r="NOF35" s="684"/>
      <c r="NOG35" s="684"/>
      <c r="NOH35" s="684"/>
      <c r="NOI35" s="684"/>
      <c r="NOJ35" s="684"/>
      <c r="NOK35" s="684"/>
      <c r="NOL35" s="684"/>
      <c r="NOM35" s="684"/>
      <c r="NON35" s="684"/>
      <c r="NOO35" s="684"/>
      <c r="NOP35" s="684"/>
      <c r="NOQ35" s="684"/>
      <c r="NOR35" s="684"/>
      <c r="NOS35" s="684"/>
      <c r="NOT35" s="684"/>
      <c r="NOU35" s="684"/>
      <c r="NOV35" s="684"/>
      <c r="NOW35" s="684"/>
      <c r="NOX35" s="684"/>
      <c r="NOY35" s="684"/>
      <c r="NOZ35" s="684"/>
      <c r="NPA35" s="684"/>
      <c r="NPB35" s="684"/>
      <c r="NPC35" s="684"/>
      <c r="NPD35" s="684"/>
      <c r="NPE35" s="684"/>
      <c r="NPF35" s="684"/>
      <c r="NPG35" s="684"/>
      <c r="NPH35" s="684"/>
      <c r="NPI35" s="684"/>
      <c r="NPJ35" s="684"/>
      <c r="NPK35" s="684"/>
      <c r="NPL35" s="684"/>
      <c r="NPM35" s="684"/>
      <c r="NPN35" s="684"/>
      <c r="NPO35" s="684"/>
      <c r="NPP35" s="684"/>
      <c r="NPQ35" s="684"/>
      <c r="NPR35" s="684"/>
      <c r="NPS35" s="684"/>
      <c r="NPT35" s="684"/>
      <c r="NPU35" s="684"/>
      <c r="NPV35" s="684"/>
      <c r="NPW35" s="684"/>
      <c r="NPX35" s="684"/>
      <c r="NPY35" s="684"/>
      <c r="NPZ35" s="684"/>
      <c r="NQA35" s="684"/>
      <c r="NQB35" s="684"/>
      <c r="NQC35" s="684"/>
      <c r="NQD35" s="684"/>
      <c r="NQE35" s="684"/>
      <c r="NQF35" s="684"/>
      <c r="NQG35" s="684"/>
      <c r="NQH35" s="684"/>
      <c r="NQI35" s="684"/>
      <c r="NQJ35" s="684"/>
      <c r="NQK35" s="684"/>
      <c r="NQL35" s="684"/>
      <c r="NQM35" s="684"/>
      <c r="NQN35" s="684"/>
      <c r="NQO35" s="684"/>
      <c r="NQP35" s="684"/>
      <c r="NQQ35" s="684"/>
      <c r="NQR35" s="684"/>
      <c r="NQS35" s="684"/>
      <c r="NQT35" s="684"/>
      <c r="NQU35" s="684"/>
      <c r="NQV35" s="684"/>
      <c r="NQW35" s="684"/>
      <c r="NQX35" s="684"/>
      <c r="NQY35" s="684"/>
      <c r="NQZ35" s="684"/>
      <c r="NRA35" s="684"/>
      <c r="NRB35" s="684"/>
      <c r="NRC35" s="684"/>
      <c r="NRD35" s="684"/>
      <c r="NRE35" s="684"/>
      <c r="NRF35" s="684"/>
      <c r="NRG35" s="684"/>
      <c r="NRH35" s="684"/>
      <c r="NRI35" s="684"/>
      <c r="NRJ35" s="684"/>
      <c r="NRK35" s="684"/>
      <c r="NRL35" s="684"/>
      <c r="NRM35" s="684"/>
      <c r="NRN35" s="684"/>
      <c r="NRO35" s="684"/>
      <c r="NRP35" s="684"/>
      <c r="NRQ35" s="684"/>
      <c r="NRR35" s="684"/>
      <c r="NRS35" s="684"/>
      <c r="NRT35" s="684"/>
      <c r="NRU35" s="684"/>
      <c r="NRV35" s="684"/>
      <c r="NRW35" s="684"/>
      <c r="NRX35" s="684"/>
      <c r="NRY35" s="684"/>
      <c r="NRZ35" s="684"/>
      <c r="NSA35" s="684"/>
      <c r="NSB35" s="684"/>
      <c r="NSC35" s="684"/>
      <c r="NSD35" s="684"/>
      <c r="NSE35" s="684"/>
      <c r="NSF35" s="684"/>
      <c r="NSG35" s="684"/>
      <c r="NSH35" s="684"/>
      <c r="NSI35" s="684"/>
      <c r="NSJ35" s="684"/>
      <c r="NSK35" s="684"/>
      <c r="NSL35" s="684"/>
      <c r="NSM35" s="684"/>
      <c r="NSN35" s="684"/>
      <c r="NSO35" s="684"/>
      <c r="NSP35" s="684"/>
      <c r="NSQ35" s="684"/>
      <c r="NSR35" s="684"/>
      <c r="NSS35" s="684"/>
      <c r="NST35" s="684"/>
      <c r="NSU35" s="684"/>
      <c r="NSV35" s="684"/>
      <c r="NSW35" s="684"/>
      <c r="NSX35" s="684"/>
      <c r="NSY35" s="684"/>
      <c r="NSZ35" s="684"/>
      <c r="NTA35" s="684"/>
      <c r="NTB35" s="684"/>
      <c r="NTC35" s="684"/>
      <c r="NTD35" s="684"/>
      <c r="NTE35" s="684"/>
      <c r="NTF35" s="684"/>
      <c r="NTG35" s="684"/>
      <c r="NTH35" s="684"/>
      <c r="NTI35" s="684"/>
      <c r="NTJ35" s="684"/>
      <c r="NTK35" s="684"/>
      <c r="NTL35" s="684"/>
      <c r="NTM35" s="684"/>
      <c r="NTN35" s="684"/>
      <c r="NTO35" s="684"/>
      <c r="NTP35" s="684"/>
      <c r="NTQ35" s="684"/>
      <c r="NTR35" s="684"/>
      <c r="NTS35" s="684"/>
      <c r="NTT35" s="684"/>
      <c r="NTU35" s="684"/>
      <c r="NTV35" s="684"/>
      <c r="NTW35" s="684"/>
      <c r="NTX35" s="684"/>
      <c r="NTY35" s="684"/>
      <c r="NTZ35" s="684"/>
      <c r="NUA35" s="684"/>
      <c r="NUB35" s="684"/>
      <c r="NUC35" s="684"/>
      <c r="NUD35" s="684"/>
      <c r="NUE35" s="684"/>
      <c r="NUF35" s="684"/>
      <c r="NUG35" s="684"/>
      <c r="NUH35" s="684"/>
      <c r="NUI35" s="684"/>
      <c r="NUJ35" s="684"/>
      <c r="NUK35" s="684"/>
      <c r="NUL35" s="684"/>
      <c r="NUM35" s="684"/>
      <c r="NUN35" s="684"/>
      <c r="NUO35" s="684"/>
      <c r="NUP35" s="684"/>
      <c r="NUQ35" s="684"/>
      <c r="NUR35" s="684"/>
      <c r="NUS35" s="684"/>
      <c r="NUT35" s="684"/>
      <c r="NUU35" s="684"/>
      <c r="NUV35" s="684"/>
      <c r="NUW35" s="684"/>
      <c r="NUX35" s="684"/>
      <c r="NUY35" s="684"/>
      <c r="NUZ35" s="684"/>
      <c r="NVA35" s="684"/>
      <c r="NVB35" s="684"/>
      <c r="NVC35" s="684"/>
      <c r="NVD35" s="684"/>
      <c r="NVE35" s="684"/>
      <c r="NVF35" s="684"/>
      <c r="NVG35" s="684"/>
      <c r="NVH35" s="684"/>
      <c r="NVI35" s="684"/>
      <c r="NVJ35" s="684"/>
      <c r="NVK35" s="684"/>
      <c r="NVL35" s="684"/>
      <c r="NVM35" s="684"/>
      <c r="NVN35" s="684"/>
      <c r="NVO35" s="684"/>
      <c r="NVP35" s="684"/>
      <c r="NVQ35" s="684"/>
      <c r="NVR35" s="684"/>
      <c r="NVS35" s="684"/>
      <c r="NVT35" s="684"/>
      <c r="NVU35" s="684"/>
      <c r="NVV35" s="684"/>
      <c r="NVW35" s="684"/>
      <c r="NVX35" s="684"/>
      <c r="NVY35" s="684"/>
      <c r="NVZ35" s="684"/>
      <c r="NWA35" s="684"/>
      <c r="NWB35" s="684"/>
      <c r="NWC35" s="684"/>
      <c r="NWD35" s="684"/>
      <c r="NWE35" s="684"/>
      <c r="NWF35" s="684"/>
      <c r="NWG35" s="684"/>
      <c r="NWH35" s="684"/>
      <c r="NWI35" s="684"/>
      <c r="NWJ35" s="684"/>
      <c r="NWK35" s="684"/>
      <c r="NWL35" s="684"/>
      <c r="NWM35" s="684"/>
      <c r="NWN35" s="684"/>
      <c r="NWO35" s="684"/>
      <c r="NWP35" s="684"/>
      <c r="NWQ35" s="684"/>
      <c r="NWR35" s="684"/>
      <c r="NWS35" s="684"/>
      <c r="NWT35" s="684"/>
      <c r="NWU35" s="684"/>
      <c r="NWV35" s="684"/>
      <c r="NWW35" s="684"/>
      <c r="NWX35" s="684"/>
      <c r="NWY35" s="684"/>
      <c r="NWZ35" s="684"/>
      <c r="NXA35" s="684"/>
      <c r="NXB35" s="684"/>
      <c r="NXC35" s="684"/>
      <c r="NXD35" s="684"/>
      <c r="NXE35" s="684"/>
      <c r="NXF35" s="684"/>
      <c r="NXG35" s="684"/>
      <c r="NXH35" s="684"/>
      <c r="NXI35" s="684"/>
      <c r="NXJ35" s="684"/>
      <c r="NXK35" s="684"/>
      <c r="NXL35" s="684"/>
      <c r="NXM35" s="684"/>
      <c r="NXN35" s="684"/>
      <c r="NXO35" s="684"/>
      <c r="NXP35" s="684"/>
      <c r="NXQ35" s="684"/>
      <c r="NXR35" s="684"/>
      <c r="NXS35" s="684"/>
      <c r="NXT35" s="684"/>
      <c r="NXU35" s="684"/>
      <c r="NXV35" s="684"/>
      <c r="NXW35" s="684"/>
      <c r="NXX35" s="684"/>
      <c r="NXY35" s="684"/>
      <c r="NXZ35" s="684"/>
      <c r="NYA35" s="684"/>
      <c r="NYB35" s="684"/>
      <c r="NYC35" s="684"/>
      <c r="NYD35" s="684"/>
      <c r="NYE35" s="684"/>
      <c r="NYF35" s="684"/>
      <c r="NYG35" s="684"/>
      <c r="NYH35" s="684"/>
      <c r="NYI35" s="684"/>
      <c r="NYJ35" s="684"/>
      <c r="NYK35" s="684"/>
      <c r="NYL35" s="684"/>
      <c r="NYM35" s="684"/>
      <c r="NYN35" s="684"/>
      <c r="NYO35" s="684"/>
      <c r="NYP35" s="684"/>
      <c r="NYQ35" s="684"/>
      <c r="NYR35" s="684"/>
      <c r="NYS35" s="684"/>
      <c r="NYT35" s="684"/>
      <c r="NYU35" s="684"/>
      <c r="NYV35" s="684"/>
      <c r="NYW35" s="684"/>
      <c r="NYX35" s="684"/>
      <c r="NYY35" s="684"/>
      <c r="NYZ35" s="684"/>
      <c r="NZA35" s="684"/>
      <c r="NZB35" s="684"/>
      <c r="NZC35" s="684"/>
      <c r="NZD35" s="684"/>
      <c r="NZE35" s="684"/>
      <c r="NZF35" s="684"/>
      <c r="NZG35" s="684"/>
      <c r="NZH35" s="684"/>
      <c r="NZI35" s="684"/>
      <c r="NZJ35" s="684"/>
      <c r="NZK35" s="684"/>
      <c r="NZL35" s="684"/>
      <c r="NZM35" s="684"/>
      <c r="NZN35" s="684"/>
      <c r="NZO35" s="684"/>
      <c r="NZP35" s="684"/>
      <c r="NZQ35" s="684"/>
      <c r="NZR35" s="684"/>
      <c r="NZS35" s="684"/>
      <c r="NZT35" s="684"/>
      <c r="NZU35" s="684"/>
      <c r="NZV35" s="684"/>
      <c r="NZW35" s="684"/>
      <c r="NZX35" s="684"/>
      <c r="NZY35" s="684"/>
      <c r="NZZ35" s="684"/>
      <c r="OAA35" s="684"/>
      <c r="OAB35" s="684"/>
      <c r="OAC35" s="684"/>
      <c r="OAD35" s="684"/>
      <c r="OAE35" s="684"/>
      <c r="OAF35" s="684"/>
      <c r="OAG35" s="684"/>
      <c r="OAH35" s="684"/>
      <c r="OAI35" s="684"/>
      <c r="OAJ35" s="684"/>
      <c r="OAK35" s="684"/>
      <c r="OAL35" s="684"/>
      <c r="OAM35" s="684"/>
      <c r="OAN35" s="684"/>
      <c r="OAO35" s="684"/>
      <c r="OAP35" s="684"/>
      <c r="OAQ35" s="684"/>
      <c r="OAR35" s="684"/>
      <c r="OAS35" s="684"/>
      <c r="OAT35" s="684"/>
      <c r="OAU35" s="684"/>
      <c r="OAV35" s="684"/>
      <c r="OAW35" s="684"/>
      <c r="OAX35" s="684"/>
      <c r="OAY35" s="684"/>
      <c r="OAZ35" s="684"/>
      <c r="OBA35" s="684"/>
      <c r="OBB35" s="684"/>
      <c r="OBC35" s="684"/>
      <c r="OBD35" s="684"/>
      <c r="OBE35" s="684"/>
      <c r="OBF35" s="684"/>
      <c r="OBG35" s="684"/>
      <c r="OBH35" s="684"/>
      <c r="OBI35" s="684"/>
      <c r="OBJ35" s="684"/>
      <c r="OBK35" s="684"/>
      <c r="OBL35" s="684"/>
      <c r="OBM35" s="684"/>
      <c r="OBN35" s="684"/>
      <c r="OBO35" s="684"/>
      <c r="OBP35" s="684"/>
      <c r="OBQ35" s="684"/>
      <c r="OBR35" s="684"/>
      <c r="OBS35" s="684"/>
      <c r="OBT35" s="684"/>
      <c r="OBU35" s="684"/>
      <c r="OBV35" s="684"/>
      <c r="OBW35" s="684"/>
      <c r="OBX35" s="684"/>
      <c r="OBY35" s="684"/>
      <c r="OBZ35" s="684"/>
      <c r="OCA35" s="684"/>
      <c r="OCB35" s="684"/>
      <c r="OCC35" s="684"/>
      <c r="OCD35" s="684"/>
      <c r="OCE35" s="684"/>
      <c r="OCF35" s="684"/>
      <c r="OCG35" s="684"/>
      <c r="OCH35" s="684"/>
      <c r="OCI35" s="684"/>
      <c r="OCJ35" s="684"/>
      <c r="OCK35" s="684"/>
      <c r="OCL35" s="684"/>
      <c r="OCM35" s="684"/>
      <c r="OCN35" s="684"/>
      <c r="OCO35" s="684"/>
      <c r="OCP35" s="684"/>
      <c r="OCQ35" s="684"/>
      <c r="OCR35" s="684"/>
      <c r="OCS35" s="684"/>
      <c r="OCT35" s="684"/>
      <c r="OCU35" s="684"/>
      <c r="OCV35" s="684"/>
      <c r="OCW35" s="684"/>
      <c r="OCX35" s="684"/>
      <c r="OCY35" s="684"/>
      <c r="OCZ35" s="684"/>
      <c r="ODA35" s="684"/>
      <c r="ODB35" s="684"/>
      <c r="ODC35" s="684"/>
      <c r="ODD35" s="684"/>
      <c r="ODE35" s="684"/>
      <c r="ODF35" s="684"/>
      <c r="ODG35" s="684"/>
      <c r="ODH35" s="684"/>
      <c r="ODI35" s="684"/>
      <c r="ODJ35" s="684"/>
      <c r="ODK35" s="684"/>
      <c r="ODL35" s="684"/>
      <c r="ODM35" s="684"/>
      <c r="ODN35" s="684"/>
      <c r="ODO35" s="684"/>
      <c r="ODP35" s="684"/>
      <c r="ODQ35" s="684"/>
      <c r="ODR35" s="684"/>
      <c r="ODS35" s="684"/>
      <c r="ODT35" s="684"/>
      <c r="ODU35" s="684"/>
      <c r="ODV35" s="684"/>
      <c r="ODW35" s="684"/>
      <c r="ODX35" s="684"/>
      <c r="ODY35" s="684"/>
      <c r="ODZ35" s="684"/>
      <c r="OEA35" s="684"/>
      <c r="OEB35" s="684"/>
      <c r="OEC35" s="684"/>
      <c r="OED35" s="684"/>
      <c r="OEE35" s="684"/>
      <c r="OEF35" s="684"/>
      <c r="OEG35" s="684"/>
      <c r="OEH35" s="684"/>
      <c r="OEI35" s="684"/>
      <c r="OEJ35" s="684"/>
      <c r="OEK35" s="684"/>
      <c r="OEL35" s="684"/>
      <c r="OEM35" s="684"/>
      <c r="OEN35" s="684"/>
      <c r="OEO35" s="684"/>
      <c r="OEP35" s="684"/>
      <c r="OEQ35" s="684"/>
      <c r="OER35" s="684"/>
      <c r="OES35" s="684"/>
      <c r="OET35" s="684"/>
      <c r="OEU35" s="684"/>
      <c r="OEV35" s="684"/>
      <c r="OEW35" s="684"/>
      <c r="OEX35" s="684"/>
      <c r="OEY35" s="684"/>
      <c r="OEZ35" s="684"/>
      <c r="OFA35" s="684"/>
      <c r="OFB35" s="684"/>
      <c r="OFC35" s="684"/>
      <c r="OFD35" s="684"/>
      <c r="OFE35" s="684"/>
      <c r="OFF35" s="684"/>
      <c r="OFG35" s="684"/>
      <c r="OFH35" s="684"/>
      <c r="OFI35" s="684"/>
      <c r="OFJ35" s="684"/>
      <c r="OFK35" s="684"/>
      <c r="OFL35" s="684"/>
      <c r="OFM35" s="684"/>
      <c r="OFN35" s="684"/>
      <c r="OFO35" s="684"/>
      <c r="OFP35" s="684"/>
      <c r="OFQ35" s="684"/>
      <c r="OFR35" s="684"/>
      <c r="OFS35" s="684"/>
      <c r="OFT35" s="684"/>
      <c r="OFU35" s="684"/>
      <c r="OFV35" s="684"/>
      <c r="OFW35" s="684"/>
      <c r="OFX35" s="684"/>
      <c r="OFY35" s="684"/>
      <c r="OFZ35" s="684"/>
      <c r="OGA35" s="684"/>
      <c r="OGB35" s="684"/>
      <c r="OGC35" s="684"/>
      <c r="OGD35" s="684"/>
      <c r="OGE35" s="684"/>
      <c r="OGF35" s="684"/>
      <c r="OGG35" s="684"/>
      <c r="OGH35" s="684"/>
      <c r="OGI35" s="684"/>
      <c r="OGJ35" s="684"/>
      <c r="OGK35" s="684"/>
      <c r="OGL35" s="684"/>
      <c r="OGM35" s="684"/>
      <c r="OGN35" s="684"/>
      <c r="OGO35" s="684"/>
      <c r="OGP35" s="684"/>
      <c r="OGQ35" s="684"/>
      <c r="OGR35" s="684"/>
      <c r="OGS35" s="684"/>
      <c r="OGT35" s="684"/>
      <c r="OGU35" s="684"/>
      <c r="OGV35" s="684"/>
      <c r="OGW35" s="684"/>
      <c r="OGX35" s="684"/>
      <c r="OGY35" s="684"/>
      <c r="OGZ35" s="684"/>
      <c r="OHA35" s="684"/>
      <c r="OHB35" s="684"/>
      <c r="OHC35" s="684"/>
      <c r="OHD35" s="684"/>
      <c r="OHE35" s="684"/>
      <c r="OHF35" s="684"/>
      <c r="OHG35" s="684"/>
      <c r="OHH35" s="684"/>
      <c r="OHI35" s="684"/>
      <c r="OHJ35" s="684"/>
      <c r="OHK35" s="684"/>
      <c r="OHL35" s="684"/>
      <c r="OHM35" s="684"/>
      <c r="OHN35" s="684"/>
      <c r="OHO35" s="684"/>
      <c r="OHP35" s="684"/>
      <c r="OHQ35" s="684"/>
      <c r="OHR35" s="684"/>
      <c r="OHS35" s="684"/>
      <c r="OHT35" s="684"/>
      <c r="OHU35" s="684"/>
      <c r="OHV35" s="684"/>
      <c r="OHW35" s="684"/>
      <c r="OHX35" s="684"/>
      <c r="OHY35" s="684"/>
      <c r="OHZ35" s="684"/>
      <c r="OIA35" s="684"/>
      <c r="OIB35" s="684"/>
      <c r="OIC35" s="684"/>
      <c r="OID35" s="684"/>
      <c r="OIE35" s="684"/>
      <c r="OIF35" s="684"/>
      <c r="OIG35" s="684"/>
      <c r="OIH35" s="684"/>
      <c r="OII35" s="684"/>
      <c r="OIJ35" s="684"/>
      <c r="OIK35" s="684"/>
      <c r="OIL35" s="684"/>
      <c r="OIM35" s="684"/>
      <c r="OIN35" s="684"/>
      <c r="OIO35" s="684"/>
      <c r="OIP35" s="684"/>
      <c r="OIQ35" s="684"/>
      <c r="OIR35" s="684"/>
      <c r="OIS35" s="684"/>
      <c r="OIT35" s="684"/>
      <c r="OIU35" s="684"/>
      <c r="OIV35" s="684"/>
      <c r="OIW35" s="684"/>
      <c r="OIX35" s="684"/>
      <c r="OIY35" s="684"/>
      <c r="OIZ35" s="684"/>
      <c r="OJA35" s="684"/>
      <c r="OJB35" s="684"/>
      <c r="OJC35" s="684"/>
      <c r="OJD35" s="684"/>
      <c r="OJE35" s="684"/>
      <c r="OJF35" s="684"/>
      <c r="OJG35" s="684"/>
      <c r="OJH35" s="684"/>
      <c r="OJI35" s="684"/>
      <c r="OJJ35" s="684"/>
      <c r="OJK35" s="684"/>
      <c r="OJL35" s="684"/>
      <c r="OJM35" s="684"/>
      <c r="OJN35" s="684"/>
      <c r="OJO35" s="684"/>
      <c r="OJP35" s="684"/>
      <c r="OJQ35" s="684"/>
      <c r="OJR35" s="684"/>
      <c r="OJS35" s="684"/>
      <c r="OJT35" s="684"/>
      <c r="OJU35" s="684"/>
      <c r="OJV35" s="684"/>
      <c r="OJW35" s="684"/>
      <c r="OJX35" s="684"/>
      <c r="OJY35" s="684"/>
      <c r="OJZ35" s="684"/>
      <c r="OKA35" s="684"/>
      <c r="OKB35" s="684"/>
      <c r="OKC35" s="684"/>
      <c r="OKD35" s="684"/>
      <c r="OKE35" s="684"/>
      <c r="OKF35" s="684"/>
      <c r="OKG35" s="684"/>
      <c r="OKH35" s="684"/>
      <c r="OKI35" s="684"/>
      <c r="OKJ35" s="684"/>
      <c r="OKK35" s="684"/>
      <c r="OKL35" s="684"/>
      <c r="OKM35" s="684"/>
      <c r="OKN35" s="684"/>
      <c r="OKO35" s="684"/>
      <c r="OKP35" s="684"/>
      <c r="OKQ35" s="684"/>
      <c r="OKR35" s="684"/>
      <c r="OKS35" s="684"/>
      <c r="OKT35" s="684"/>
      <c r="OKU35" s="684"/>
      <c r="OKV35" s="684"/>
      <c r="OKW35" s="684"/>
      <c r="OKX35" s="684"/>
      <c r="OKY35" s="684"/>
      <c r="OKZ35" s="684"/>
      <c r="OLA35" s="684"/>
      <c r="OLB35" s="684"/>
      <c r="OLC35" s="684"/>
      <c r="OLD35" s="684"/>
      <c r="OLE35" s="684"/>
      <c r="OLF35" s="684"/>
      <c r="OLG35" s="684"/>
      <c r="OLH35" s="684"/>
      <c r="OLI35" s="684"/>
      <c r="OLJ35" s="684"/>
      <c r="OLK35" s="684"/>
      <c r="OLL35" s="684"/>
      <c r="OLM35" s="684"/>
      <c r="OLN35" s="684"/>
      <c r="OLO35" s="684"/>
      <c r="OLP35" s="684"/>
      <c r="OLQ35" s="684"/>
      <c r="OLR35" s="684"/>
      <c r="OLS35" s="684"/>
      <c r="OLT35" s="684"/>
      <c r="OLU35" s="684"/>
      <c r="OLV35" s="684"/>
      <c r="OLW35" s="684"/>
      <c r="OLX35" s="684"/>
      <c r="OLY35" s="684"/>
      <c r="OLZ35" s="684"/>
      <c r="OMA35" s="684"/>
      <c r="OMB35" s="684"/>
      <c r="OMC35" s="684"/>
      <c r="OMD35" s="684"/>
      <c r="OME35" s="684"/>
      <c r="OMF35" s="684"/>
      <c r="OMG35" s="684"/>
      <c r="OMH35" s="684"/>
      <c r="OMI35" s="684"/>
      <c r="OMJ35" s="684"/>
      <c r="OMK35" s="684"/>
      <c r="OML35" s="684"/>
      <c r="OMM35" s="684"/>
      <c r="OMN35" s="684"/>
      <c r="OMO35" s="684"/>
      <c r="OMP35" s="684"/>
      <c r="OMQ35" s="684"/>
      <c r="OMR35" s="684"/>
      <c r="OMS35" s="684"/>
      <c r="OMT35" s="684"/>
      <c r="OMU35" s="684"/>
      <c r="OMV35" s="684"/>
      <c r="OMW35" s="684"/>
      <c r="OMX35" s="684"/>
      <c r="OMY35" s="684"/>
      <c r="OMZ35" s="684"/>
      <c r="ONA35" s="684"/>
      <c r="ONB35" s="684"/>
      <c r="ONC35" s="684"/>
      <c r="OND35" s="684"/>
      <c r="ONE35" s="684"/>
      <c r="ONF35" s="684"/>
      <c r="ONG35" s="684"/>
      <c r="ONH35" s="684"/>
      <c r="ONI35" s="684"/>
      <c r="ONJ35" s="684"/>
      <c r="ONK35" s="684"/>
      <c r="ONL35" s="684"/>
      <c r="ONM35" s="684"/>
      <c r="ONN35" s="684"/>
      <c r="ONO35" s="684"/>
      <c r="ONP35" s="684"/>
      <c r="ONQ35" s="684"/>
      <c r="ONR35" s="684"/>
      <c r="ONS35" s="684"/>
      <c r="ONT35" s="684"/>
      <c r="ONU35" s="684"/>
      <c r="ONV35" s="684"/>
      <c r="ONW35" s="684"/>
      <c r="ONX35" s="684"/>
      <c r="ONY35" s="684"/>
      <c r="ONZ35" s="684"/>
      <c r="OOA35" s="684"/>
      <c r="OOB35" s="684"/>
      <c r="OOC35" s="684"/>
      <c r="OOD35" s="684"/>
      <c r="OOE35" s="684"/>
      <c r="OOF35" s="684"/>
      <c r="OOG35" s="684"/>
      <c r="OOH35" s="684"/>
      <c r="OOI35" s="684"/>
      <c r="OOJ35" s="684"/>
      <c r="OOK35" s="684"/>
      <c r="OOL35" s="684"/>
      <c r="OOM35" s="684"/>
      <c r="OON35" s="684"/>
      <c r="OOO35" s="684"/>
      <c r="OOP35" s="684"/>
      <c r="OOQ35" s="684"/>
      <c r="OOR35" s="684"/>
      <c r="OOS35" s="684"/>
      <c r="OOT35" s="684"/>
      <c r="OOU35" s="684"/>
      <c r="OOV35" s="684"/>
      <c r="OOW35" s="684"/>
      <c r="OOX35" s="684"/>
      <c r="OOY35" s="684"/>
      <c r="OOZ35" s="684"/>
      <c r="OPA35" s="684"/>
      <c r="OPB35" s="684"/>
      <c r="OPC35" s="684"/>
      <c r="OPD35" s="684"/>
      <c r="OPE35" s="684"/>
      <c r="OPF35" s="684"/>
      <c r="OPG35" s="684"/>
      <c r="OPH35" s="684"/>
      <c r="OPI35" s="684"/>
      <c r="OPJ35" s="684"/>
      <c r="OPK35" s="684"/>
      <c r="OPL35" s="684"/>
      <c r="OPM35" s="684"/>
      <c r="OPN35" s="684"/>
      <c r="OPO35" s="684"/>
      <c r="OPP35" s="684"/>
      <c r="OPQ35" s="684"/>
      <c r="OPR35" s="684"/>
      <c r="OPS35" s="684"/>
      <c r="OPT35" s="684"/>
      <c r="OPU35" s="684"/>
      <c r="OPV35" s="684"/>
      <c r="OPW35" s="684"/>
      <c r="OPX35" s="684"/>
      <c r="OPY35" s="684"/>
      <c r="OPZ35" s="684"/>
      <c r="OQA35" s="684"/>
      <c r="OQB35" s="684"/>
      <c r="OQC35" s="684"/>
      <c r="OQD35" s="684"/>
      <c r="OQE35" s="684"/>
      <c r="OQF35" s="684"/>
      <c r="OQG35" s="684"/>
      <c r="OQH35" s="684"/>
      <c r="OQI35" s="684"/>
      <c r="OQJ35" s="684"/>
      <c r="OQK35" s="684"/>
      <c r="OQL35" s="684"/>
      <c r="OQM35" s="684"/>
      <c r="OQN35" s="684"/>
      <c r="OQO35" s="684"/>
      <c r="OQP35" s="684"/>
      <c r="OQQ35" s="684"/>
      <c r="OQR35" s="684"/>
      <c r="OQS35" s="684"/>
      <c r="OQT35" s="684"/>
      <c r="OQU35" s="684"/>
      <c r="OQV35" s="684"/>
      <c r="OQW35" s="684"/>
      <c r="OQX35" s="684"/>
      <c r="OQY35" s="684"/>
      <c r="OQZ35" s="684"/>
      <c r="ORA35" s="684"/>
      <c r="ORB35" s="684"/>
      <c r="ORC35" s="684"/>
      <c r="ORD35" s="684"/>
      <c r="ORE35" s="684"/>
      <c r="ORF35" s="684"/>
      <c r="ORG35" s="684"/>
      <c r="ORH35" s="684"/>
      <c r="ORI35" s="684"/>
      <c r="ORJ35" s="684"/>
      <c r="ORK35" s="684"/>
      <c r="ORL35" s="684"/>
      <c r="ORM35" s="684"/>
      <c r="ORN35" s="684"/>
      <c r="ORO35" s="684"/>
      <c r="ORP35" s="684"/>
      <c r="ORQ35" s="684"/>
      <c r="ORR35" s="684"/>
      <c r="ORS35" s="684"/>
      <c r="ORT35" s="684"/>
      <c r="ORU35" s="684"/>
      <c r="ORV35" s="684"/>
      <c r="ORW35" s="684"/>
      <c r="ORX35" s="684"/>
      <c r="ORY35" s="684"/>
      <c r="ORZ35" s="684"/>
      <c r="OSA35" s="684"/>
      <c r="OSB35" s="684"/>
      <c r="OSC35" s="684"/>
      <c r="OSD35" s="684"/>
      <c r="OSE35" s="684"/>
      <c r="OSF35" s="684"/>
      <c r="OSG35" s="684"/>
      <c r="OSH35" s="684"/>
      <c r="OSI35" s="684"/>
      <c r="OSJ35" s="684"/>
      <c r="OSK35" s="684"/>
      <c r="OSL35" s="684"/>
      <c r="OSM35" s="684"/>
      <c r="OSN35" s="684"/>
      <c r="OSO35" s="684"/>
      <c r="OSP35" s="684"/>
      <c r="OSQ35" s="684"/>
      <c r="OSR35" s="684"/>
      <c r="OSS35" s="684"/>
      <c r="OST35" s="684"/>
      <c r="OSU35" s="684"/>
      <c r="OSV35" s="684"/>
      <c r="OSW35" s="684"/>
      <c r="OSX35" s="684"/>
      <c r="OSY35" s="684"/>
      <c r="OSZ35" s="684"/>
      <c r="OTA35" s="684"/>
      <c r="OTB35" s="684"/>
      <c r="OTC35" s="684"/>
      <c r="OTD35" s="684"/>
      <c r="OTE35" s="684"/>
      <c r="OTF35" s="684"/>
      <c r="OTG35" s="684"/>
      <c r="OTH35" s="684"/>
      <c r="OTI35" s="684"/>
      <c r="OTJ35" s="684"/>
      <c r="OTK35" s="684"/>
      <c r="OTL35" s="684"/>
      <c r="OTM35" s="684"/>
      <c r="OTN35" s="684"/>
      <c r="OTO35" s="684"/>
      <c r="OTP35" s="684"/>
      <c r="OTQ35" s="684"/>
      <c r="OTR35" s="684"/>
      <c r="OTS35" s="684"/>
      <c r="OTT35" s="684"/>
      <c r="OTU35" s="684"/>
      <c r="OTV35" s="684"/>
      <c r="OTW35" s="684"/>
      <c r="OTX35" s="684"/>
      <c r="OTY35" s="684"/>
      <c r="OTZ35" s="684"/>
      <c r="OUA35" s="684"/>
      <c r="OUB35" s="684"/>
      <c r="OUC35" s="684"/>
      <c r="OUD35" s="684"/>
      <c r="OUE35" s="684"/>
      <c r="OUF35" s="684"/>
      <c r="OUG35" s="684"/>
      <c r="OUH35" s="684"/>
      <c r="OUI35" s="684"/>
      <c r="OUJ35" s="684"/>
      <c r="OUK35" s="684"/>
      <c r="OUL35" s="684"/>
      <c r="OUM35" s="684"/>
      <c r="OUN35" s="684"/>
      <c r="OUO35" s="684"/>
      <c r="OUP35" s="684"/>
      <c r="OUQ35" s="684"/>
      <c r="OUR35" s="684"/>
      <c r="OUS35" s="684"/>
      <c r="OUT35" s="684"/>
      <c r="OUU35" s="684"/>
      <c r="OUV35" s="684"/>
      <c r="OUW35" s="684"/>
      <c r="OUX35" s="684"/>
      <c r="OUY35" s="684"/>
      <c r="OUZ35" s="684"/>
      <c r="OVA35" s="684"/>
      <c r="OVB35" s="684"/>
      <c r="OVC35" s="684"/>
      <c r="OVD35" s="684"/>
      <c r="OVE35" s="684"/>
      <c r="OVF35" s="684"/>
      <c r="OVG35" s="684"/>
      <c r="OVH35" s="684"/>
      <c r="OVI35" s="684"/>
      <c r="OVJ35" s="684"/>
      <c r="OVK35" s="684"/>
      <c r="OVL35" s="684"/>
      <c r="OVM35" s="684"/>
      <c r="OVN35" s="684"/>
      <c r="OVO35" s="684"/>
      <c r="OVP35" s="684"/>
      <c r="OVQ35" s="684"/>
      <c r="OVR35" s="684"/>
      <c r="OVS35" s="684"/>
      <c r="OVT35" s="684"/>
      <c r="OVU35" s="684"/>
      <c r="OVV35" s="684"/>
      <c r="OVW35" s="684"/>
      <c r="OVX35" s="684"/>
      <c r="OVY35" s="684"/>
      <c r="OVZ35" s="684"/>
      <c r="OWA35" s="684"/>
      <c r="OWB35" s="684"/>
      <c r="OWC35" s="684"/>
      <c r="OWD35" s="684"/>
      <c r="OWE35" s="684"/>
      <c r="OWF35" s="684"/>
      <c r="OWG35" s="684"/>
      <c r="OWH35" s="684"/>
      <c r="OWI35" s="684"/>
      <c r="OWJ35" s="684"/>
      <c r="OWK35" s="684"/>
      <c r="OWL35" s="684"/>
      <c r="OWM35" s="684"/>
      <c r="OWN35" s="684"/>
      <c r="OWO35" s="684"/>
      <c r="OWP35" s="684"/>
      <c r="OWQ35" s="684"/>
      <c r="OWR35" s="684"/>
      <c r="OWS35" s="684"/>
      <c r="OWT35" s="684"/>
      <c r="OWU35" s="684"/>
      <c r="OWV35" s="684"/>
      <c r="OWW35" s="684"/>
      <c r="OWX35" s="684"/>
      <c r="OWY35" s="684"/>
      <c r="OWZ35" s="684"/>
      <c r="OXA35" s="684"/>
      <c r="OXB35" s="684"/>
      <c r="OXC35" s="684"/>
      <c r="OXD35" s="684"/>
      <c r="OXE35" s="684"/>
      <c r="OXF35" s="684"/>
      <c r="OXG35" s="684"/>
      <c r="OXH35" s="684"/>
      <c r="OXI35" s="684"/>
      <c r="OXJ35" s="684"/>
      <c r="OXK35" s="684"/>
      <c r="OXL35" s="684"/>
      <c r="OXM35" s="684"/>
      <c r="OXN35" s="684"/>
      <c r="OXO35" s="684"/>
      <c r="OXP35" s="684"/>
      <c r="OXQ35" s="684"/>
      <c r="OXR35" s="684"/>
      <c r="OXS35" s="684"/>
      <c r="OXT35" s="684"/>
      <c r="OXU35" s="684"/>
      <c r="OXV35" s="684"/>
      <c r="OXW35" s="684"/>
      <c r="OXX35" s="684"/>
      <c r="OXY35" s="684"/>
      <c r="OXZ35" s="684"/>
      <c r="OYA35" s="684"/>
      <c r="OYB35" s="684"/>
      <c r="OYC35" s="684"/>
      <c r="OYD35" s="684"/>
      <c r="OYE35" s="684"/>
      <c r="OYF35" s="684"/>
      <c r="OYG35" s="684"/>
      <c r="OYH35" s="684"/>
      <c r="OYI35" s="684"/>
      <c r="OYJ35" s="684"/>
      <c r="OYK35" s="684"/>
      <c r="OYL35" s="684"/>
      <c r="OYM35" s="684"/>
      <c r="OYN35" s="684"/>
      <c r="OYO35" s="684"/>
      <c r="OYP35" s="684"/>
      <c r="OYQ35" s="684"/>
      <c r="OYR35" s="684"/>
      <c r="OYS35" s="684"/>
      <c r="OYT35" s="684"/>
      <c r="OYU35" s="684"/>
      <c r="OYV35" s="684"/>
      <c r="OYW35" s="684"/>
      <c r="OYX35" s="684"/>
      <c r="OYY35" s="684"/>
      <c r="OYZ35" s="684"/>
      <c r="OZA35" s="684"/>
      <c r="OZB35" s="684"/>
      <c r="OZC35" s="684"/>
      <c r="OZD35" s="684"/>
      <c r="OZE35" s="684"/>
      <c r="OZF35" s="684"/>
      <c r="OZG35" s="684"/>
      <c r="OZH35" s="684"/>
      <c r="OZI35" s="684"/>
      <c r="OZJ35" s="684"/>
      <c r="OZK35" s="684"/>
      <c r="OZL35" s="684"/>
      <c r="OZM35" s="684"/>
      <c r="OZN35" s="684"/>
      <c r="OZO35" s="684"/>
      <c r="OZP35" s="684"/>
      <c r="OZQ35" s="684"/>
      <c r="OZR35" s="684"/>
      <c r="OZS35" s="684"/>
      <c r="OZT35" s="684"/>
      <c r="OZU35" s="684"/>
      <c r="OZV35" s="684"/>
      <c r="OZW35" s="684"/>
      <c r="OZX35" s="684"/>
      <c r="OZY35" s="684"/>
      <c r="OZZ35" s="684"/>
      <c r="PAA35" s="684"/>
      <c r="PAB35" s="684"/>
      <c r="PAC35" s="684"/>
      <c r="PAD35" s="684"/>
      <c r="PAE35" s="684"/>
      <c r="PAF35" s="684"/>
      <c r="PAG35" s="684"/>
      <c r="PAH35" s="684"/>
      <c r="PAI35" s="684"/>
      <c r="PAJ35" s="684"/>
      <c r="PAK35" s="684"/>
      <c r="PAL35" s="684"/>
      <c r="PAM35" s="684"/>
      <c r="PAN35" s="684"/>
      <c r="PAO35" s="684"/>
      <c r="PAP35" s="684"/>
      <c r="PAQ35" s="684"/>
      <c r="PAR35" s="684"/>
      <c r="PAS35" s="684"/>
      <c r="PAT35" s="684"/>
      <c r="PAU35" s="684"/>
      <c r="PAV35" s="684"/>
      <c r="PAW35" s="684"/>
      <c r="PAX35" s="684"/>
      <c r="PAY35" s="684"/>
      <c r="PAZ35" s="684"/>
      <c r="PBA35" s="684"/>
      <c r="PBB35" s="684"/>
      <c r="PBC35" s="684"/>
      <c r="PBD35" s="684"/>
      <c r="PBE35" s="684"/>
      <c r="PBF35" s="684"/>
      <c r="PBG35" s="684"/>
      <c r="PBH35" s="684"/>
      <c r="PBI35" s="684"/>
      <c r="PBJ35" s="684"/>
      <c r="PBK35" s="684"/>
      <c r="PBL35" s="684"/>
      <c r="PBM35" s="684"/>
      <c r="PBN35" s="684"/>
      <c r="PBO35" s="684"/>
      <c r="PBP35" s="684"/>
      <c r="PBQ35" s="684"/>
      <c r="PBR35" s="684"/>
      <c r="PBS35" s="684"/>
      <c r="PBT35" s="684"/>
      <c r="PBU35" s="684"/>
      <c r="PBV35" s="684"/>
      <c r="PBW35" s="684"/>
      <c r="PBX35" s="684"/>
      <c r="PBY35" s="684"/>
      <c r="PBZ35" s="684"/>
      <c r="PCA35" s="684"/>
      <c r="PCB35" s="684"/>
      <c r="PCC35" s="684"/>
      <c r="PCD35" s="684"/>
      <c r="PCE35" s="684"/>
      <c r="PCF35" s="684"/>
      <c r="PCG35" s="684"/>
      <c r="PCH35" s="684"/>
      <c r="PCI35" s="684"/>
      <c r="PCJ35" s="684"/>
      <c r="PCK35" s="684"/>
      <c r="PCL35" s="684"/>
      <c r="PCM35" s="684"/>
      <c r="PCN35" s="684"/>
      <c r="PCO35" s="684"/>
      <c r="PCP35" s="684"/>
      <c r="PCQ35" s="684"/>
      <c r="PCR35" s="684"/>
      <c r="PCS35" s="684"/>
      <c r="PCT35" s="684"/>
      <c r="PCU35" s="684"/>
      <c r="PCV35" s="684"/>
      <c r="PCW35" s="684"/>
      <c r="PCX35" s="684"/>
      <c r="PCY35" s="684"/>
      <c r="PCZ35" s="684"/>
      <c r="PDA35" s="684"/>
      <c r="PDB35" s="684"/>
      <c r="PDC35" s="684"/>
      <c r="PDD35" s="684"/>
      <c r="PDE35" s="684"/>
      <c r="PDF35" s="684"/>
      <c r="PDG35" s="684"/>
      <c r="PDH35" s="684"/>
      <c r="PDI35" s="684"/>
      <c r="PDJ35" s="684"/>
      <c r="PDK35" s="684"/>
      <c r="PDL35" s="684"/>
      <c r="PDM35" s="684"/>
      <c r="PDN35" s="684"/>
      <c r="PDO35" s="684"/>
      <c r="PDP35" s="684"/>
      <c r="PDQ35" s="684"/>
      <c r="PDR35" s="684"/>
      <c r="PDS35" s="684"/>
      <c r="PDT35" s="684"/>
      <c r="PDU35" s="684"/>
      <c r="PDV35" s="684"/>
      <c r="PDW35" s="684"/>
      <c r="PDX35" s="684"/>
      <c r="PDY35" s="684"/>
      <c r="PDZ35" s="684"/>
      <c r="PEA35" s="684"/>
      <c r="PEB35" s="684"/>
      <c r="PEC35" s="684"/>
      <c r="PED35" s="684"/>
      <c r="PEE35" s="684"/>
      <c r="PEF35" s="684"/>
      <c r="PEG35" s="684"/>
      <c r="PEH35" s="684"/>
      <c r="PEI35" s="684"/>
      <c r="PEJ35" s="684"/>
      <c r="PEK35" s="684"/>
      <c r="PEL35" s="684"/>
      <c r="PEM35" s="684"/>
      <c r="PEN35" s="684"/>
      <c r="PEO35" s="684"/>
      <c r="PEP35" s="684"/>
      <c r="PEQ35" s="684"/>
      <c r="PER35" s="684"/>
      <c r="PES35" s="684"/>
      <c r="PET35" s="684"/>
      <c r="PEU35" s="684"/>
      <c r="PEV35" s="684"/>
      <c r="PEW35" s="684"/>
      <c r="PEX35" s="684"/>
      <c r="PEY35" s="684"/>
      <c r="PEZ35" s="684"/>
      <c r="PFA35" s="684"/>
      <c r="PFB35" s="684"/>
      <c r="PFC35" s="684"/>
      <c r="PFD35" s="684"/>
      <c r="PFE35" s="684"/>
      <c r="PFF35" s="684"/>
      <c r="PFG35" s="684"/>
      <c r="PFH35" s="684"/>
      <c r="PFI35" s="684"/>
      <c r="PFJ35" s="684"/>
      <c r="PFK35" s="684"/>
      <c r="PFL35" s="684"/>
      <c r="PFM35" s="684"/>
      <c r="PFN35" s="684"/>
      <c r="PFO35" s="684"/>
      <c r="PFP35" s="684"/>
      <c r="PFQ35" s="684"/>
      <c r="PFR35" s="684"/>
      <c r="PFS35" s="684"/>
      <c r="PFT35" s="684"/>
      <c r="PFU35" s="684"/>
      <c r="PFV35" s="684"/>
      <c r="PFW35" s="684"/>
      <c r="PFX35" s="684"/>
      <c r="PFY35" s="684"/>
      <c r="PFZ35" s="684"/>
      <c r="PGA35" s="684"/>
      <c r="PGB35" s="684"/>
      <c r="PGC35" s="684"/>
      <c r="PGD35" s="684"/>
      <c r="PGE35" s="684"/>
      <c r="PGF35" s="684"/>
      <c r="PGG35" s="684"/>
      <c r="PGH35" s="684"/>
      <c r="PGI35" s="684"/>
      <c r="PGJ35" s="684"/>
      <c r="PGK35" s="684"/>
      <c r="PGL35" s="684"/>
      <c r="PGM35" s="684"/>
      <c r="PGN35" s="684"/>
      <c r="PGO35" s="684"/>
      <c r="PGP35" s="684"/>
      <c r="PGQ35" s="684"/>
      <c r="PGR35" s="684"/>
      <c r="PGS35" s="684"/>
      <c r="PGT35" s="684"/>
      <c r="PGU35" s="684"/>
      <c r="PGV35" s="684"/>
      <c r="PGW35" s="684"/>
      <c r="PGX35" s="684"/>
      <c r="PGY35" s="684"/>
      <c r="PGZ35" s="684"/>
      <c r="PHA35" s="684"/>
      <c r="PHB35" s="684"/>
      <c r="PHC35" s="684"/>
      <c r="PHD35" s="684"/>
      <c r="PHE35" s="684"/>
      <c r="PHF35" s="684"/>
      <c r="PHG35" s="684"/>
      <c r="PHH35" s="684"/>
      <c r="PHI35" s="684"/>
      <c r="PHJ35" s="684"/>
      <c r="PHK35" s="684"/>
      <c r="PHL35" s="684"/>
      <c r="PHM35" s="684"/>
      <c r="PHN35" s="684"/>
      <c r="PHO35" s="684"/>
      <c r="PHP35" s="684"/>
      <c r="PHQ35" s="684"/>
      <c r="PHR35" s="684"/>
      <c r="PHS35" s="684"/>
      <c r="PHT35" s="684"/>
      <c r="PHU35" s="684"/>
      <c r="PHV35" s="684"/>
      <c r="PHW35" s="684"/>
      <c r="PHX35" s="684"/>
      <c r="PHY35" s="684"/>
      <c r="PHZ35" s="684"/>
      <c r="PIA35" s="684"/>
      <c r="PIB35" s="684"/>
      <c r="PIC35" s="684"/>
      <c r="PID35" s="684"/>
      <c r="PIE35" s="684"/>
      <c r="PIF35" s="684"/>
      <c r="PIG35" s="684"/>
      <c r="PIH35" s="684"/>
      <c r="PII35" s="684"/>
      <c r="PIJ35" s="684"/>
      <c r="PIK35" s="684"/>
      <c r="PIL35" s="684"/>
      <c r="PIM35" s="684"/>
      <c r="PIN35" s="684"/>
      <c r="PIO35" s="684"/>
      <c r="PIP35" s="684"/>
      <c r="PIQ35" s="684"/>
      <c r="PIR35" s="684"/>
      <c r="PIS35" s="684"/>
      <c r="PIT35" s="684"/>
      <c r="PIU35" s="684"/>
      <c r="PIV35" s="684"/>
      <c r="PIW35" s="684"/>
      <c r="PIX35" s="684"/>
      <c r="PIY35" s="684"/>
      <c r="PIZ35" s="684"/>
      <c r="PJA35" s="684"/>
      <c r="PJB35" s="684"/>
      <c r="PJC35" s="684"/>
      <c r="PJD35" s="684"/>
      <c r="PJE35" s="684"/>
      <c r="PJF35" s="684"/>
      <c r="PJG35" s="684"/>
      <c r="PJH35" s="684"/>
      <c r="PJI35" s="684"/>
      <c r="PJJ35" s="684"/>
      <c r="PJK35" s="684"/>
      <c r="PJL35" s="684"/>
      <c r="PJM35" s="684"/>
      <c r="PJN35" s="684"/>
      <c r="PJO35" s="684"/>
      <c r="PJP35" s="684"/>
      <c r="PJQ35" s="684"/>
      <c r="PJR35" s="684"/>
      <c r="PJS35" s="684"/>
      <c r="PJT35" s="684"/>
      <c r="PJU35" s="684"/>
      <c r="PJV35" s="684"/>
      <c r="PJW35" s="684"/>
      <c r="PJX35" s="684"/>
      <c r="PJY35" s="684"/>
      <c r="PJZ35" s="684"/>
      <c r="PKA35" s="684"/>
      <c r="PKB35" s="684"/>
      <c r="PKC35" s="684"/>
      <c r="PKD35" s="684"/>
      <c r="PKE35" s="684"/>
      <c r="PKF35" s="684"/>
      <c r="PKG35" s="684"/>
      <c r="PKH35" s="684"/>
      <c r="PKI35" s="684"/>
      <c r="PKJ35" s="684"/>
      <c r="PKK35" s="684"/>
      <c r="PKL35" s="684"/>
      <c r="PKM35" s="684"/>
      <c r="PKN35" s="684"/>
      <c r="PKO35" s="684"/>
      <c r="PKP35" s="684"/>
      <c r="PKQ35" s="684"/>
      <c r="PKR35" s="684"/>
      <c r="PKS35" s="684"/>
      <c r="PKT35" s="684"/>
      <c r="PKU35" s="684"/>
      <c r="PKV35" s="684"/>
      <c r="PKW35" s="684"/>
      <c r="PKX35" s="684"/>
      <c r="PKY35" s="684"/>
      <c r="PKZ35" s="684"/>
      <c r="PLA35" s="684"/>
      <c r="PLB35" s="684"/>
      <c r="PLC35" s="684"/>
      <c r="PLD35" s="684"/>
      <c r="PLE35" s="684"/>
      <c r="PLF35" s="684"/>
      <c r="PLG35" s="684"/>
      <c r="PLH35" s="684"/>
      <c r="PLI35" s="684"/>
      <c r="PLJ35" s="684"/>
      <c r="PLK35" s="684"/>
      <c r="PLL35" s="684"/>
      <c r="PLM35" s="684"/>
      <c r="PLN35" s="684"/>
      <c r="PLO35" s="684"/>
      <c r="PLP35" s="684"/>
      <c r="PLQ35" s="684"/>
      <c r="PLR35" s="684"/>
      <c r="PLS35" s="684"/>
      <c r="PLT35" s="684"/>
      <c r="PLU35" s="684"/>
      <c r="PLV35" s="684"/>
      <c r="PLW35" s="684"/>
      <c r="PLX35" s="684"/>
      <c r="PLY35" s="684"/>
      <c r="PLZ35" s="684"/>
      <c r="PMA35" s="684"/>
      <c r="PMB35" s="684"/>
      <c r="PMC35" s="684"/>
      <c r="PMD35" s="684"/>
      <c r="PME35" s="684"/>
      <c r="PMF35" s="684"/>
      <c r="PMG35" s="684"/>
      <c r="PMH35" s="684"/>
      <c r="PMI35" s="684"/>
      <c r="PMJ35" s="684"/>
      <c r="PMK35" s="684"/>
      <c r="PML35" s="684"/>
      <c r="PMM35" s="684"/>
      <c r="PMN35" s="684"/>
      <c r="PMO35" s="684"/>
      <c r="PMP35" s="684"/>
      <c r="PMQ35" s="684"/>
      <c r="PMR35" s="684"/>
      <c r="PMS35" s="684"/>
      <c r="PMT35" s="684"/>
      <c r="PMU35" s="684"/>
      <c r="PMV35" s="684"/>
      <c r="PMW35" s="684"/>
      <c r="PMX35" s="684"/>
      <c r="PMY35" s="684"/>
      <c r="PMZ35" s="684"/>
      <c r="PNA35" s="684"/>
      <c r="PNB35" s="684"/>
      <c r="PNC35" s="684"/>
      <c r="PND35" s="684"/>
      <c r="PNE35" s="684"/>
      <c r="PNF35" s="684"/>
      <c r="PNG35" s="684"/>
      <c r="PNH35" s="684"/>
      <c r="PNI35" s="684"/>
      <c r="PNJ35" s="684"/>
      <c r="PNK35" s="684"/>
      <c r="PNL35" s="684"/>
      <c r="PNM35" s="684"/>
      <c r="PNN35" s="684"/>
      <c r="PNO35" s="684"/>
      <c r="PNP35" s="684"/>
      <c r="PNQ35" s="684"/>
      <c r="PNR35" s="684"/>
      <c r="PNS35" s="684"/>
      <c r="PNT35" s="684"/>
      <c r="PNU35" s="684"/>
      <c r="PNV35" s="684"/>
      <c r="PNW35" s="684"/>
      <c r="PNX35" s="684"/>
      <c r="PNY35" s="684"/>
      <c r="PNZ35" s="684"/>
      <c r="POA35" s="684"/>
      <c r="POB35" s="684"/>
      <c r="POC35" s="684"/>
      <c r="POD35" s="684"/>
      <c r="POE35" s="684"/>
      <c r="POF35" s="684"/>
      <c r="POG35" s="684"/>
      <c r="POH35" s="684"/>
      <c r="POI35" s="684"/>
      <c r="POJ35" s="684"/>
      <c r="POK35" s="684"/>
      <c r="POL35" s="684"/>
      <c r="POM35" s="684"/>
      <c r="PON35" s="684"/>
      <c r="POO35" s="684"/>
      <c r="POP35" s="684"/>
      <c r="POQ35" s="684"/>
      <c r="POR35" s="684"/>
      <c r="POS35" s="684"/>
      <c r="POT35" s="684"/>
      <c r="POU35" s="684"/>
      <c r="POV35" s="684"/>
      <c r="POW35" s="684"/>
      <c r="POX35" s="684"/>
      <c r="POY35" s="684"/>
      <c r="POZ35" s="684"/>
      <c r="PPA35" s="684"/>
      <c r="PPB35" s="684"/>
      <c r="PPC35" s="684"/>
      <c r="PPD35" s="684"/>
      <c r="PPE35" s="684"/>
      <c r="PPF35" s="684"/>
      <c r="PPG35" s="684"/>
      <c r="PPH35" s="684"/>
      <c r="PPI35" s="684"/>
      <c r="PPJ35" s="684"/>
      <c r="PPK35" s="684"/>
      <c r="PPL35" s="684"/>
      <c r="PPM35" s="684"/>
      <c r="PPN35" s="684"/>
      <c r="PPO35" s="684"/>
      <c r="PPP35" s="684"/>
      <c r="PPQ35" s="684"/>
      <c r="PPR35" s="684"/>
      <c r="PPS35" s="684"/>
      <c r="PPT35" s="684"/>
      <c r="PPU35" s="684"/>
      <c r="PPV35" s="684"/>
      <c r="PPW35" s="684"/>
      <c r="PPX35" s="684"/>
      <c r="PPY35" s="684"/>
      <c r="PPZ35" s="684"/>
      <c r="PQA35" s="684"/>
      <c r="PQB35" s="684"/>
      <c r="PQC35" s="684"/>
      <c r="PQD35" s="684"/>
      <c r="PQE35" s="684"/>
      <c r="PQF35" s="684"/>
      <c r="PQG35" s="684"/>
      <c r="PQH35" s="684"/>
      <c r="PQI35" s="684"/>
      <c r="PQJ35" s="684"/>
      <c r="PQK35" s="684"/>
      <c r="PQL35" s="684"/>
      <c r="PQM35" s="684"/>
      <c r="PQN35" s="684"/>
      <c r="PQO35" s="684"/>
      <c r="PQP35" s="684"/>
      <c r="PQQ35" s="684"/>
      <c r="PQR35" s="684"/>
      <c r="PQS35" s="684"/>
      <c r="PQT35" s="684"/>
      <c r="PQU35" s="684"/>
      <c r="PQV35" s="684"/>
      <c r="PQW35" s="684"/>
      <c r="PQX35" s="684"/>
      <c r="PQY35" s="684"/>
      <c r="PQZ35" s="684"/>
      <c r="PRA35" s="684"/>
      <c r="PRB35" s="684"/>
      <c r="PRC35" s="684"/>
      <c r="PRD35" s="684"/>
      <c r="PRE35" s="684"/>
      <c r="PRF35" s="684"/>
      <c r="PRG35" s="684"/>
      <c r="PRH35" s="684"/>
      <c r="PRI35" s="684"/>
      <c r="PRJ35" s="684"/>
      <c r="PRK35" s="684"/>
      <c r="PRL35" s="684"/>
      <c r="PRM35" s="684"/>
      <c r="PRN35" s="684"/>
      <c r="PRO35" s="684"/>
      <c r="PRP35" s="684"/>
      <c r="PRQ35" s="684"/>
      <c r="PRR35" s="684"/>
      <c r="PRS35" s="684"/>
      <c r="PRT35" s="684"/>
      <c r="PRU35" s="684"/>
      <c r="PRV35" s="684"/>
      <c r="PRW35" s="684"/>
      <c r="PRX35" s="684"/>
      <c r="PRY35" s="684"/>
      <c r="PRZ35" s="684"/>
      <c r="PSA35" s="684"/>
      <c r="PSB35" s="684"/>
      <c r="PSC35" s="684"/>
      <c r="PSD35" s="684"/>
      <c r="PSE35" s="684"/>
      <c r="PSF35" s="684"/>
      <c r="PSG35" s="684"/>
      <c r="PSH35" s="684"/>
      <c r="PSI35" s="684"/>
      <c r="PSJ35" s="684"/>
      <c r="PSK35" s="684"/>
      <c r="PSL35" s="684"/>
      <c r="PSM35" s="684"/>
      <c r="PSN35" s="684"/>
      <c r="PSO35" s="684"/>
      <c r="PSP35" s="684"/>
      <c r="PSQ35" s="684"/>
      <c r="PSR35" s="684"/>
      <c r="PSS35" s="684"/>
      <c r="PST35" s="684"/>
      <c r="PSU35" s="684"/>
      <c r="PSV35" s="684"/>
      <c r="PSW35" s="684"/>
      <c r="PSX35" s="684"/>
      <c r="PSY35" s="684"/>
      <c r="PSZ35" s="684"/>
      <c r="PTA35" s="684"/>
      <c r="PTB35" s="684"/>
      <c r="PTC35" s="684"/>
      <c r="PTD35" s="684"/>
      <c r="PTE35" s="684"/>
      <c r="PTF35" s="684"/>
      <c r="PTG35" s="684"/>
      <c r="PTH35" s="684"/>
      <c r="PTI35" s="684"/>
      <c r="PTJ35" s="684"/>
      <c r="PTK35" s="684"/>
      <c r="PTL35" s="684"/>
      <c r="PTM35" s="684"/>
      <c r="PTN35" s="684"/>
      <c r="PTO35" s="684"/>
      <c r="PTP35" s="684"/>
      <c r="PTQ35" s="684"/>
      <c r="PTR35" s="684"/>
      <c r="PTS35" s="684"/>
      <c r="PTT35" s="684"/>
      <c r="PTU35" s="684"/>
      <c r="PTV35" s="684"/>
      <c r="PTW35" s="684"/>
      <c r="PTX35" s="684"/>
      <c r="PTY35" s="684"/>
      <c r="PTZ35" s="684"/>
      <c r="PUA35" s="684"/>
      <c r="PUB35" s="684"/>
      <c r="PUC35" s="684"/>
      <c r="PUD35" s="684"/>
      <c r="PUE35" s="684"/>
      <c r="PUF35" s="684"/>
      <c r="PUG35" s="684"/>
      <c r="PUH35" s="684"/>
      <c r="PUI35" s="684"/>
      <c r="PUJ35" s="684"/>
      <c r="PUK35" s="684"/>
      <c r="PUL35" s="684"/>
      <c r="PUM35" s="684"/>
      <c r="PUN35" s="684"/>
      <c r="PUO35" s="684"/>
      <c r="PUP35" s="684"/>
      <c r="PUQ35" s="684"/>
      <c r="PUR35" s="684"/>
      <c r="PUS35" s="684"/>
      <c r="PUT35" s="684"/>
      <c r="PUU35" s="684"/>
      <c r="PUV35" s="684"/>
      <c r="PUW35" s="684"/>
      <c r="PUX35" s="684"/>
      <c r="PUY35" s="684"/>
      <c r="PUZ35" s="684"/>
      <c r="PVA35" s="684"/>
      <c r="PVB35" s="684"/>
      <c r="PVC35" s="684"/>
      <c r="PVD35" s="684"/>
      <c r="PVE35" s="684"/>
      <c r="PVF35" s="684"/>
      <c r="PVG35" s="684"/>
      <c r="PVH35" s="684"/>
      <c r="PVI35" s="684"/>
      <c r="PVJ35" s="684"/>
      <c r="PVK35" s="684"/>
      <c r="PVL35" s="684"/>
      <c r="PVM35" s="684"/>
      <c r="PVN35" s="684"/>
      <c r="PVO35" s="684"/>
      <c r="PVP35" s="684"/>
      <c r="PVQ35" s="684"/>
      <c r="PVR35" s="684"/>
      <c r="PVS35" s="684"/>
      <c r="PVT35" s="684"/>
      <c r="PVU35" s="684"/>
      <c r="PVV35" s="684"/>
      <c r="PVW35" s="684"/>
      <c r="PVX35" s="684"/>
      <c r="PVY35" s="684"/>
      <c r="PVZ35" s="684"/>
      <c r="PWA35" s="684"/>
      <c r="PWB35" s="684"/>
      <c r="PWC35" s="684"/>
      <c r="PWD35" s="684"/>
      <c r="PWE35" s="684"/>
      <c r="PWF35" s="684"/>
      <c r="PWG35" s="684"/>
      <c r="PWH35" s="684"/>
      <c r="PWI35" s="684"/>
      <c r="PWJ35" s="684"/>
      <c r="PWK35" s="684"/>
      <c r="PWL35" s="684"/>
      <c r="PWM35" s="684"/>
      <c r="PWN35" s="684"/>
      <c r="PWO35" s="684"/>
      <c r="PWP35" s="684"/>
      <c r="PWQ35" s="684"/>
      <c r="PWR35" s="684"/>
      <c r="PWS35" s="684"/>
      <c r="PWT35" s="684"/>
      <c r="PWU35" s="684"/>
      <c r="PWV35" s="684"/>
      <c r="PWW35" s="684"/>
      <c r="PWX35" s="684"/>
      <c r="PWY35" s="684"/>
      <c r="PWZ35" s="684"/>
      <c r="PXA35" s="684"/>
      <c r="PXB35" s="684"/>
      <c r="PXC35" s="684"/>
      <c r="PXD35" s="684"/>
      <c r="PXE35" s="684"/>
      <c r="PXF35" s="684"/>
      <c r="PXG35" s="684"/>
      <c r="PXH35" s="684"/>
      <c r="PXI35" s="684"/>
      <c r="PXJ35" s="684"/>
      <c r="PXK35" s="684"/>
      <c r="PXL35" s="684"/>
      <c r="PXM35" s="684"/>
      <c r="PXN35" s="684"/>
      <c r="PXO35" s="684"/>
      <c r="PXP35" s="684"/>
      <c r="PXQ35" s="684"/>
      <c r="PXR35" s="684"/>
      <c r="PXS35" s="684"/>
      <c r="PXT35" s="684"/>
      <c r="PXU35" s="684"/>
      <c r="PXV35" s="684"/>
      <c r="PXW35" s="684"/>
      <c r="PXX35" s="684"/>
      <c r="PXY35" s="684"/>
      <c r="PXZ35" s="684"/>
      <c r="PYA35" s="684"/>
      <c r="PYB35" s="684"/>
      <c r="PYC35" s="684"/>
      <c r="PYD35" s="684"/>
      <c r="PYE35" s="684"/>
      <c r="PYF35" s="684"/>
      <c r="PYG35" s="684"/>
      <c r="PYH35" s="684"/>
      <c r="PYI35" s="684"/>
      <c r="PYJ35" s="684"/>
      <c r="PYK35" s="684"/>
      <c r="PYL35" s="684"/>
      <c r="PYM35" s="684"/>
      <c r="PYN35" s="684"/>
      <c r="PYO35" s="684"/>
      <c r="PYP35" s="684"/>
      <c r="PYQ35" s="684"/>
      <c r="PYR35" s="684"/>
      <c r="PYS35" s="684"/>
      <c r="PYT35" s="684"/>
      <c r="PYU35" s="684"/>
      <c r="PYV35" s="684"/>
      <c r="PYW35" s="684"/>
      <c r="PYX35" s="684"/>
      <c r="PYY35" s="684"/>
      <c r="PYZ35" s="684"/>
      <c r="PZA35" s="684"/>
      <c r="PZB35" s="684"/>
      <c r="PZC35" s="684"/>
      <c r="PZD35" s="684"/>
      <c r="PZE35" s="684"/>
      <c r="PZF35" s="684"/>
      <c r="PZG35" s="684"/>
      <c r="PZH35" s="684"/>
      <c r="PZI35" s="684"/>
      <c r="PZJ35" s="684"/>
      <c r="PZK35" s="684"/>
      <c r="PZL35" s="684"/>
      <c r="PZM35" s="684"/>
      <c r="PZN35" s="684"/>
      <c r="PZO35" s="684"/>
      <c r="PZP35" s="684"/>
      <c r="PZQ35" s="684"/>
      <c r="PZR35" s="684"/>
      <c r="PZS35" s="684"/>
      <c r="PZT35" s="684"/>
      <c r="PZU35" s="684"/>
      <c r="PZV35" s="684"/>
      <c r="PZW35" s="684"/>
      <c r="PZX35" s="684"/>
      <c r="PZY35" s="684"/>
      <c r="PZZ35" s="684"/>
      <c r="QAA35" s="684"/>
      <c r="QAB35" s="684"/>
      <c r="QAC35" s="684"/>
      <c r="QAD35" s="684"/>
      <c r="QAE35" s="684"/>
      <c r="QAF35" s="684"/>
      <c r="QAG35" s="684"/>
      <c r="QAH35" s="684"/>
      <c r="QAI35" s="684"/>
      <c r="QAJ35" s="684"/>
      <c r="QAK35" s="684"/>
      <c r="QAL35" s="684"/>
      <c r="QAM35" s="684"/>
      <c r="QAN35" s="684"/>
      <c r="QAO35" s="684"/>
      <c r="QAP35" s="684"/>
      <c r="QAQ35" s="684"/>
      <c r="QAR35" s="684"/>
      <c r="QAS35" s="684"/>
      <c r="QAT35" s="684"/>
      <c r="QAU35" s="684"/>
      <c r="QAV35" s="684"/>
      <c r="QAW35" s="684"/>
      <c r="QAX35" s="684"/>
      <c r="QAY35" s="684"/>
      <c r="QAZ35" s="684"/>
      <c r="QBA35" s="684"/>
      <c r="QBB35" s="684"/>
      <c r="QBC35" s="684"/>
      <c r="QBD35" s="684"/>
      <c r="QBE35" s="684"/>
      <c r="QBF35" s="684"/>
      <c r="QBG35" s="684"/>
      <c r="QBH35" s="684"/>
      <c r="QBI35" s="684"/>
      <c r="QBJ35" s="684"/>
      <c r="QBK35" s="684"/>
      <c r="QBL35" s="684"/>
      <c r="QBM35" s="684"/>
      <c r="QBN35" s="684"/>
      <c r="QBO35" s="684"/>
      <c r="QBP35" s="684"/>
      <c r="QBQ35" s="684"/>
      <c r="QBR35" s="684"/>
      <c r="QBS35" s="684"/>
      <c r="QBT35" s="684"/>
      <c r="QBU35" s="684"/>
      <c r="QBV35" s="684"/>
      <c r="QBW35" s="684"/>
      <c r="QBX35" s="684"/>
      <c r="QBY35" s="684"/>
      <c r="QBZ35" s="684"/>
      <c r="QCA35" s="684"/>
      <c r="QCB35" s="684"/>
      <c r="QCC35" s="684"/>
      <c r="QCD35" s="684"/>
      <c r="QCE35" s="684"/>
      <c r="QCF35" s="684"/>
      <c r="QCG35" s="684"/>
      <c r="QCH35" s="684"/>
      <c r="QCI35" s="684"/>
      <c r="QCJ35" s="684"/>
      <c r="QCK35" s="684"/>
      <c r="QCL35" s="684"/>
      <c r="QCM35" s="684"/>
      <c r="QCN35" s="684"/>
      <c r="QCO35" s="684"/>
      <c r="QCP35" s="684"/>
      <c r="QCQ35" s="684"/>
      <c r="QCR35" s="684"/>
      <c r="QCS35" s="684"/>
      <c r="QCT35" s="684"/>
      <c r="QCU35" s="684"/>
      <c r="QCV35" s="684"/>
      <c r="QCW35" s="684"/>
      <c r="QCX35" s="684"/>
      <c r="QCY35" s="684"/>
      <c r="QCZ35" s="684"/>
      <c r="QDA35" s="684"/>
      <c r="QDB35" s="684"/>
      <c r="QDC35" s="684"/>
      <c r="QDD35" s="684"/>
      <c r="QDE35" s="684"/>
      <c r="QDF35" s="684"/>
      <c r="QDG35" s="684"/>
      <c r="QDH35" s="684"/>
      <c r="QDI35" s="684"/>
      <c r="QDJ35" s="684"/>
      <c r="QDK35" s="684"/>
      <c r="QDL35" s="684"/>
      <c r="QDM35" s="684"/>
      <c r="QDN35" s="684"/>
      <c r="QDO35" s="684"/>
      <c r="QDP35" s="684"/>
      <c r="QDQ35" s="684"/>
      <c r="QDR35" s="684"/>
      <c r="QDS35" s="684"/>
      <c r="QDT35" s="684"/>
      <c r="QDU35" s="684"/>
      <c r="QDV35" s="684"/>
      <c r="QDW35" s="684"/>
      <c r="QDX35" s="684"/>
      <c r="QDY35" s="684"/>
      <c r="QDZ35" s="684"/>
      <c r="QEA35" s="684"/>
      <c r="QEB35" s="684"/>
      <c r="QEC35" s="684"/>
      <c r="QED35" s="684"/>
      <c r="QEE35" s="684"/>
      <c r="QEF35" s="684"/>
      <c r="QEG35" s="684"/>
      <c r="QEH35" s="684"/>
      <c r="QEI35" s="684"/>
      <c r="QEJ35" s="684"/>
      <c r="QEK35" s="684"/>
      <c r="QEL35" s="684"/>
      <c r="QEM35" s="684"/>
      <c r="QEN35" s="684"/>
      <c r="QEO35" s="684"/>
      <c r="QEP35" s="684"/>
      <c r="QEQ35" s="684"/>
      <c r="QER35" s="684"/>
      <c r="QES35" s="684"/>
      <c r="QET35" s="684"/>
      <c r="QEU35" s="684"/>
      <c r="QEV35" s="684"/>
      <c r="QEW35" s="684"/>
      <c r="QEX35" s="684"/>
      <c r="QEY35" s="684"/>
      <c r="QEZ35" s="684"/>
      <c r="QFA35" s="684"/>
      <c r="QFB35" s="684"/>
      <c r="QFC35" s="684"/>
      <c r="QFD35" s="684"/>
      <c r="QFE35" s="684"/>
      <c r="QFF35" s="684"/>
      <c r="QFG35" s="684"/>
      <c r="QFH35" s="684"/>
      <c r="QFI35" s="684"/>
      <c r="QFJ35" s="684"/>
      <c r="QFK35" s="684"/>
      <c r="QFL35" s="684"/>
      <c r="QFM35" s="684"/>
      <c r="QFN35" s="684"/>
      <c r="QFO35" s="684"/>
      <c r="QFP35" s="684"/>
      <c r="QFQ35" s="684"/>
      <c r="QFR35" s="684"/>
      <c r="QFS35" s="684"/>
      <c r="QFT35" s="684"/>
      <c r="QFU35" s="684"/>
      <c r="QFV35" s="684"/>
      <c r="QFW35" s="684"/>
      <c r="QFX35" s="684"/>
      <c r="QFY35" s="684"/>
      <c r="QFZ35" s="684"/>
      <c r="QGA35" s="684"/>
      <c r="QGB35" s="684"/>
      <c r="QGC35" s="684"/>
      <c r="QGD35" s="684"/>
      <c r="QGE35" s="684"/>
      <c r="QGF35" s="684"/>
      <c r="QGG35" s="684"/>
      <c r="QGH35" s="684"/>
      <c r="QGI35" s="684"/>
      <c r="QGJ35" s="684"/>
      <c r="QGK35" s="684"/>
      <c r="QGL35" s="684"/>
      <c r="QGM35" s="684"/>
      <c r="QGN35" s="684"/>
      <c r="QGO35" s="684"/>
      <c r="QGP35" s="684"/>
      <c r="QGQ35" s="684"/>
      <c r="QGR35" s="684"/>
      <c r="QGS35" s="684"/>
      <c r="QGT35" s="684"/>
      <c r="QGU35" s="684"/>
      <c r="QGV35" s="684"/>
      <c r="QGW35" s="684"/>
      <c r="QGX35" s="684"/>
      <c r="QGY35" s="684"/>
      <c r="QGZ35" s="684"/>
      <c r="QHA35" s="684"/>
      <c r="QHB35" s="684"/>
      <c r="QHC35" s="684"/>
      <c r="QHD35" s="684"/>
      <c r="QHE35" s="684"/>
      <c r="QHF35" s="684"/>
      <c r="QHG35" s="684"/>
      <c r="QHH35" s="684"/>
      <c r="QHI35" s="684"/>
      <c r="QHJ35" s="684"/>
      <c r="QHK35" s="684"/>
      <c r="QHL35" s="684"/>
      <c r="QHM35" s="684"/>
      <c r="QHN35" s="684"/>
      <c r="QHO35" s="684"/>
      <c r="QHP35" s="684"/>
      <c r="QHQ35" s="684"/>
      <c r="QHR35" s="684"/>
      <c r="QHS35" s="684"/>
      <c r="QHT35" s="684"/>
      <c r="QHU35" s="684"/>
      <c r="QHV35" s="684"/>
      <c r="QHW35" s="684"/>
      <c r="QHX35" s="684"/>
      <c r="QHY35" s="684"/>
      <c r="QHZ35" s="684"/>
      <c r="QIA35" s="684"/>
      <c r="QIB35" s="684"/>
      <c r="QIC35" s="684"/>
      <c r="QID35" s="684"/>
      <c r="QIE35" s="684"/>
      <c r="QIF35" s="684"/>
      <c r="QIG35" s="684"/>
      <c r="QIH35" s="684"/>
      <c r="QII35" s="684"/>
      <c r="QIJ35" s="684"/>
      <c r="QIK35" s="684"/>
      <c r="QIL35" s="684"/>
      <c r="QIM35" s="684"/>
      <c r="QIN35" s="684"/>
      <c r="QIO35" s="684"/>
      <c r="QIP35" s="684"/>
      <c r="QIQ35" s="684"/>
      <c r="QIR35" s="684"/>
      <c r="QIS35" s="684"/>
      <c r="QIT35" s="684"/>
      <c r="QIU35" s="684"/>
      <c r="QIV35" s="684"/>
      <c r="QIW35" s="684"/>
      <c r="QIX35" s="684"/>
      <c r="QIY35" s="684"/>
      <c r="QIZ35" s="684"/>
      <c r="QJA35" s="684"/>
      <c r="QJB35" s="684"/>
      <c r="QJC35" s="684"/>
      <c r="QJD35" s="684"/>
      <c r="QJE35" s="684"/>
      <c r="QJF35" s="684"/>
      <c r="QJG35" s="684"/>
      <c r="QJH35" s="684"/>
      <c r="QJI35" s="684"/>
      <c r="QJJ35" s="684"/>
      <c r="QJK35" s="684"/>
      <c r="QJL35" s="684"/>
      <c r="QJM35" s="684"/>
      <c r="QJN35" s="684"/>
      <c r="QJO35" s="684"/>
      <c r="QJP35" s="684"/>
      <c r="QJQ35" s="684"/>
      <c r="QJR35" s="684"/>
      <c r="QJS35" s="684"/>
      <c r="QJT35" s="684"/>
      <c r="QJU35" s="684"/>
      <c r="QJV35" s="684"/>
      <c r="QJW35" s="684"/>
      <c r="QJX35" s="684"/>
      <c r="QJY35" s="684"/>
      <c r="QJZ35" s="684"/>
      <c r="QKA35" s="684"/>
      <c r="QKB35" s="684"/>
      <c r="QKC35" s="684"/>
      <c r="QKD35" s="684"/>
      <c r="QKE35" s="684"/>
      <c r="QKF35" s="684"/>
      <c r="QKG35" s="684"/>
      <c r="QKH35" s="684"/>
      <c r="QKI35" s="684"/>
      <c r="QKJ35" s="684"/>
      <c r="QKK35" s="684"/>
      <c r="QKL35" s="684"/>
      <c r="QKM35" s="684"/>
      <c r="QKN35" s="684"/>
      <c r="QKO35" s="684"/>
      <c r="QKP35" s="684"/>
      <c r="QKQ35" s="684"/>
      <c r="QKR35" s="684"/>
      <c r="QKS35" s="684"/>
      <c r="QKT35" s="684"/>
      <c r="QKU35" s="684"/>
      <c r="QKV35" s="684"/>
      <c r="QKW35" s="684"/>
      <c r="QKX35" s="684"/>
      <c r="QKY35" s="684"/>
      <c r="QKZ35" s="684"/>
      <c r="QLA35" s="684"/>
      <c r="QLB35" s="684"/>
      <c r="QLC35" s="684"/>
      <c r="QLD35" s="684"/>
      <c r="QLE35" s="684"/>
      <c r="QLF35" s="684"/>
      <c r="QLG35" s="684"/>
      <c r="QLH35" s="684"/>
      <c r="QLI35" s="684"/>
      <c r="QLJ35" s="684"/>
      <c r="QLK35" s="684"/>
      <c r="QLL35" s="684"/>
      <c r="QLM35" s="684"/>
      <c r="QLN35" s="684"/>
      <c r="QLO35" s="684"/>
      <c r="QLP35" s="684"/>
      <c r="QLQ35" s="684"/>
      <c r="QLR35" s="684"/>
      <c r="QLS35" s="684"/>
      <c r="QLT35" s="684"/>
      <c r="QLU35" s="684"/>
      <c r="QLV35" s="684"/>
      <c r="QLW35" s="684"/>
      <c r="QLX35" s="684"/>
      <c r="QLY35" s="684"/>
      <c r="QLZ35" s="684"/>
      <c r="QMA35" s="684"/>
      <c r="QMB35" s="684"/>
      <c r="QMC35" s="684"/>
      <c r="QMD35" s="684"/>
      <c r="QME35" s="684"/>
      <c r="QMF35" s="684"/>
      <c r="QMG35" s="684"/>
      <c r="QMH35" s="684"/>
      <c r="QMI35" s="684"/>
      <c r="QMJ35" s="684"/>
      <c r="QMK35" s="684"/>
      <c r="QML35" s="684"/>
      <c r="QMM35" s="684"/>
      <c r="QMN35" s="684"/>
      <c r="QMO35" s="684"/>
      <c r="QMP35" s="684"/>
      <c r="QMQ35" s="684"/>
      <c r="QMR35" s="684"/>
      <c r="QMS35" s="684"/>
      <c r="QMT35" s="684"/>
      <c r="QMU35" s="684"/>
      <c r="QMV35" s="684"/>
      <c r="QMW35" s="684"/>
      <c r="QMX35" s="684"/>
      <c r="QMY35" s="684"/>
      <c r="QMZ35" s="684"/>
      <c r="QNA35" s="684"/>
      <c r="QNB35" s="684"/>
      <c r="QNC35" s="684"/>
      <c r="QND35" s="684"/>
      <c r="QNE35" s="684"/>
      <c r="QNF35" s="684"/>
      <c r="QNG35" s="684"/>
      <c r="QNH35" s="684"/>
      <c r="QNI35" s="684"/>
      <c r="QNJ35" s="684"/>
      <c r="QNK35" s="684"/>
      <c r="QNL35" s="684"/>
      <c r="QNM35" s="684"/>
      <c r="QNN35" s="684"/>
      <c r="QNO35" s="684"/>
      <c r="QNP35" s="684"/>
      <c r="QNQ35" s="684"/>
      <c r="QNR35" s="684"/>
      <c r="QNS35" s="684"/>
      <c r="QNT35" s="684"/>
      <c r="QNU35" s="684"/>
      <c r="QNV35" s="684"/>
      <c r="QNW35" s="684"/>
      <c r="QNX35" s="684"/>
      <c r="QNY35" s="684"/>
      <c r="QNZ35" s="684"/>
      <c r="QOA35" s="684"/>
      <c r="QOB35" s="684"/>
      <c r="QOC35" s="684"/>
      <c r="QOD35" s="684"/>
      <c r="QOE35" s="684"/>
      <c r="QOF35" s="684"/>
      <c r="QOG35" s="684"/>
      <c r="QOH35" s="684"/>
      <c r="QOI35" s="684"/>
      <c r="QOJ35" s="684"/>
      <c r="QOK35" s="684"/>
      <c r="QOL35" s="684"/>
      <c r="QOM35" s="684"/>
      <c r="QON35" s="684"/>
      <c r="QOO35" s="684"/>
      <c r="QOP35" s="684"/>
      <c r="QOQ35" s="684"/>
      <c r="QOR35" s="684"/>
      <c r="QOS35" s="684"/>
      <c r="QOT35" s="684"/>
      <c r="QOU35" s="684"/>
      <c r="QOV35" s="684"/>
      <c r="QOW35" s="684"/>
      <c r="QOX35" s="684"/>
      <c r="QOY35" s="684"/>
      <c r="QOZ35" s="684"/>
      <c r="QPA35" s="684"/>
      <c r="QPB35" s="684"/>
      <c r="QPC35" s="684"/>
      <c r="QPD35" s="684"/>
      <c r="QPE35" s="684"/>
      <c r="QPF35" s="684"/>
      <c r="QPG35" s="684"/>
      <c r="QPH35" s="684"/>
      <c r="QPI35" s="684"/>
      <c r="QPJ35" s="684"/>
      <c r="QPK35" s="684"/>
      <c r="QPL35" s="684"/>
      <c r="QPM35" s="684"/>
      <c r="QPN35" s="684"/>
      <c r="QPO35" s="684"/>
      <c r="QPP35" s="684"/>
      <c r="QPQ35" s="684"/>
      <c r="QPR35" s="684"/>
      <c r="QPS35" s="684"/>
      <c r="QPT35" s="684"/>
      <c r="QPU35" s="684"/>
      <c r="QPV35" s="684"/>
      <c r="QPW35" s="684"/>
      <c r="QPX35" s="684"/>
      <c r="QPY35" s="684"/>
      <c r="QPZ35" s="684"/>
      <c r="QQA35" s="684"/>
      <c r="QQB35" s="684"/>
      <c r="QQC35" s="684"/>
      <c r="QQD35" s="684"/>
      <c r="QQE35" s="684"/>
      <c r="QQF35" s="684"/>
      <c r="QQG35" s="684"/>
      <c r="QQH35" s="684"/>
      <c r="QQI35" s="684"/>
      <c r="QQJ35" s="684"/>
      <c r="QQK35" s="684"/>
      <c r="QQL35" s="684"/>
      <c r="QQM35" s="684"/>
      <c r="QQN35" s="684"/>
      <c r="QQO35" s="684"/>
      <c r="QQP35" s="684"/>
      <c r="QQQ35" s="684"/>
      <c r="QQR35" s="684"/>
      <c r="QQS35" s="684"/>
      <c r="QQT35" s="684"/>
      <c r="QQU35" s="684"/>
      <c r="QQV35" s="684"/>
      <c r="QQW35" s="684"/>
      <c r="QQX35" s="684"/>
      <c r="QQY35" s="684"/>
      <c r="QQZ35" s="684"/>
      <c r="QRA35" s="684"/>
      <c r="QRB35" s="684"/>
      <c r="QRC35" s="684"/>
      <c r="QRD35" s="684"/>
      <c r="QRE35" s="684"/>
      <c r="QRF35" s="684"/>
      <c r="QRG35" s="684"/>
      <c r="QRH35" s="684"/>
      <c r="QRI35" s="684"/>
      <c r="QRJ35" s="684"/>
      <c r="QRK35" s="684"/>
      <c r="QRL35" s="684"/>
      <c r="QRM35" s="684"/>
      <c r="QRN35" s="684"/>
      <c r="QRO35" s="684"/>
      <c r="QRP35" s="684"/>
      <c r="QRQ35" s="684"/>
      <c r="QRR35" s="684"/>
      <c r="QRS35" s="684"/>
      <c r="QRT35" s="684"/>
      <c r="QRU35" s="684"/>
      <c r="QRV35" s="684"/>
      <c r="QRW35" s="684"/>
      <c r="QRX35" s="684"/>
      <c r="QRY35" s="684"/>
      <c r="QRZ35" s="684"/>
      <c r="QSA35" s="684"/>
      <c r="QSB35" s="684"/>
      <c r="QSC35" s="684"/>
      <c r="QSD35" s="684"/>
      <c r="QSE35" s="684"/>
      <c r="QSF35" s="684"/>
      <c r="QSG35" s="684"/>
      <c r="QSH35" s="684"/>
      <c r="QSI35" s="684"/>
      <c r="QSJ35" s="684"/>
      <c r="QSK35" s="684"/>
      <c r="QSL35" s="684"/>
      <c r="QSM35" s="684"/>
      <c r="QSN35" s="684"/>
      <c r="QSO35" s="684"/>
      <c r="QSP35" s="684"/>
      <c r="QSQ35" s="684"/>
      <c r="QSR35" s="684"/>
      <c r="QSS35" s="684"/>
      <c r="QST35" s="684"/>
      <c r="QSU35" s="684"/>
      <c r="QSV35" s="684"/>
      <c r="QSW35" s="684"/>
      <c r="QSX35" s="684"/>
      <c r="QSY35" s="684"/>
      <c r="QSZ35" s="684"/>
      <c r="QTA35" s="684"/>
      <c r="QTB35" s="684"/>
      <c r="QTC35" s="684"/>
      <c r="QTD35" s="684"/>
      <c r="QTE35" s="684"/>
      <c r="QTF35" s="684"/>
      <c r="QTG35" s="684"/>
      <c r="QTH35" s="684"/>
      <c r="QTI35" s="684"/>
      <c r="QTJ35" s="684"/>
      <c r="QTK35" s="684"/>
      <c r="QTL35" s="684"/>
      <c r="QTM35" s="684"/>
      <c r="QTN35" s="684"/>
      <c r="QTO35" s="684"/>
      <c r="QTP35" s="684"/>
      <c r="QTQ35" s="684"/>
      <c r="QTR35" s="684"/>
      <c r="QTS35" s="684"/>
      <c r="QTT35" s="684"/>
      <c r="QTU35" s="684"/>
      <c r="QTV35" s="684"/>
      <c r="QTW35" s="684"/>
      <c r="QTX35" s="684"/>
      <c r="QTY35" s="684"/>
      <c r="QTZ35" s="684"/>
      <c r="QUA35" s="684"/>
      <c r="QUB35" s="684"/>
      <c r="QUC35" s="684"/>
      <c r="QUD35" s="684"/>
      <c r="QUE35" s="684"/>
      <c r="QUF35" s="684"/>
      <c r="QUG35" s="684"/>
      <c r="QUH35" s="684"/>
      <c r="QUI35" s="684"/>
      <c r="QUJ35" s="684"/>
      <c r="QUK35" s="684"/>
      <c r="QUL35" s="684"/>
      <c r="QUM35" s="684"/>
      <c r="QUN35" s="684"/>
      <c r="QUO35" s="684"/>
      <c r="QUP35" s="684"/>
      <c r="QUQ35" s="684"/>
      <c r="QUR35" s="684"/>
      <c r="QUS35" s="684"/>
      <c r="QUT35" s="684"/>
      <c r="QUU35" s="684"/>
      <c r="QUV35" s="684"/>
      <c r="QUW35" s="684"/>
      <c r="QUX35" s="684"/>
      <c r="QUY35" s="684"/>
      <c r="QUZ35" s="684"/>
      <c r="QVA35" s="684"/>
      <c r="QVB35" s="684"/>
      <c r="QVC35" s="684"/>
      <c r="QVD35" s="684"/>
      <c r="QVE35" s="684"/>
      <c r="QVF35" s="684"/>
      <c r="QVG35" s="684"/>
      <c r="QVH35" s="684"/>
      <c r="QVI35" s="684"/>
      <c r="QVJ35" s="684"/>
      <c r="QVK35" s="684"/>
      <c r="QVL35" s="684"/>
      <c r="QVM35" s="684"/>
      <c r="QVN35" s="684"/>
      <c r="QVO35" s="684"/>
      <c r="QVP35" s="684"/>
      <c r="QVQ35" s="684"/>
      <c r="QVR35" s="684"/>
      <c r="QVS35" s="684"/>
      <c r="QVT35" s="684"/>
      <c r="QVU35" s="684"/>
      <c r="QVV35" s="684"/>
      <c r="QVW35" s="684"/>
      <c r="QVX35" s="684"/>
      <c r="QVY35" s="684"/>
      <c r="QVZ35" s="684"/>
      <c r="QWA35" s="684"/>
      <c r="QWB35" s="684"/>
      <c r="QWC35" s="684"/>
      <c r="QWD35" s="684"/>
      <c r="QWE35" s="684"/>
      <c r="QWF35" s="684"/>
      <c r="QWG35" s="684"/>
      <c r="QWH35" s="684"/>
      <c r="QWI35" s="684"/>
      <c r="QWJ35" s="684"/>
      <c r="QWK35" s="684"/>
      <c r="QWL35" s="684"/>
      <c r="QWM35" s="684"/>
      <c r="QWN35" s="684"/>
      <c r="QWO35" s="684"/>
      <c r="QWP35" s="684"/>
      <c r="QWQ35" s="684"/>
      <c r="QWR35" s="684"/>
      <c r="QWS35" s="684"/>
      <c r="QWT35" s="684"/>
      <c r="QWU35" s="684"/>
      <c r="QWV35" s="684"/>
      <c r="QWW35" s="684"/>
      <c r="QWX35" s="684"/>
      <c r="QWY35" s="684"/>
      <c r="QWZ35" s="684"/>
      <c r="QXA35" s="684"/>
      <c r="QXB35" s="684"/>
      <c r="QXC35" s="684"/>
      <c r="QXD35" s="684"/>
      <c r="QXE35" s="684"/>
      <c r="QXF35" s="684"/>
      <c r="QXG35" s="684"/>
      <c r="QXH35" s="684"/>
      <c r="QXI35" s="684"/>
      <c r="QXJ35" s="684"/>
      <c r="QXK35" s="684"/>
      <c r="QXL35" s="684"/>
      <c r="QXM35" s="684"/>
      <c r="QXN35" s="684"/>
      <c r="QXO35" s="684"/>
      <c r="QXP35" s="684"/>
      <c r="QXQ35" s="684"/>
      <c r="QXR35" s="684"/>
      <c r="QXS35" s="684"/>
      <c r="QXT35" s="684"/>
      <c r="QXU35" s="684"/>
      <c r="QXV35" s="684"/>
      <c r="QXW35" s="684"/>
      <c r="QXX35" s="684"/>
      <c r="QXY35" s="684"/>
      <c r="QXZ35" s="684"/>
      <c r="QYA35" s="684"/>
      <c r="QYB35" s="684"/>
      <c r="QYC35" s="684"/>
      <c r="QYD35" s="684"/>
      <c r="QYE35" s="684"/>
      <c r="QYF35" s="684"/>
      <c r="QYG35" s="684"/>
      <c r="QYH35" s="684"/>
      <c r="QYI35" s="684"/>
      <c r="QYJ35" s="684"/>
      <c r="QYK35" s="684"/>
      <c r="QYL35" s="684"/>
      <c r="QYM35" s="684"/>
      <c r="QYN35" s="684"/>
      <c r="QYO35" s="684"/>
      <c r="QYP35" s="684"/>
      <c r="QYQ35" s="684"/>
      <c r="QYR35" s="684"/>
      <c r="QYS35" s="684"/>
      <c r="QYT35" s="684"/>
      <c r="QYU35" s="684"/>
      <c r="QYV35" s="684"/>
      <c r="QYW35" s="684"/>
      <c r="QYX35" s="684"/>
      <c r="QYY35" s="684"/>
      <c r="QYZ35" s="684"/>
      <c r="QZA35" s="684"/>
      <c r="QZB35" s="684"/>
      <c r="QZC35" s="684"/>
      <c r="QZD35" s="684"/>
      <c r="QZE35" s="684"/>
      <c r="QZF35" s="684"/>
      <c r="QZG35" s="684"/>
      <c r="QZH35" s="684"/>
      <c r="QZI35" s="684"/>
      <c r="QZJ35" s="684"/>
      <c r="QZK35" s="684"/>
      <c r="QZL35" s="684"/>
      <c r="QZM35" s="684"/>
      <c r="QZN35" s="684"/>
      <c r="QZO35" s="684"/>
      <c r="QZP35" s="684"/>
      <c r="QZQ35" s="684"/>
      <c r="QZR35" s="684"/>
      <c r="QZS35" s="684"/>
      <c r="QZT35" s="684"/>
      <c r="QZU35" s="684"/>
      <c r="QZV35" s="684"/>
      <c r="QZW35" s="684"/>
      <c r="QZX35" s="684"/>
      <c r="QZY35" s="684"/>
      <c r="QZZ35" s="684"/>
      <c r="RAA35" s="684"/>
      <c r="RAB35" s="684"/>
      <c r="RAC35" s="684"/>
      <c r="RAD35" s="684"/>
      <c r="RAE35" s="684"/>
      <c r="RAF35" s="684"/>
      <c r="RAG35" s="684"/>
      <c r="RAH35" s="684"/>
      <c r="RAI35" s="684"/>
      <c r="RAJ35" s="684"/>
      <c r="RAK35" s="684"/>
      <c r="RAL35" s="684"/>
      <c r="RAM35" s="684"/>
      <c r="RAN35" s="684"/>
      <c r="RAO35" s="684"/>
      <c r="RAP35" s="684"/>
      <c r="RAQ35" s="684"/>
      <c r="RAR35" s="684"/>
      <c r="RAS35" s="684"/>
      <c r="RAT35" s="684"/>
      <c r="RAU35" s="684"/>
      <c r="RAV35" s="684"/>
      <c r="RAW35" s="684"/>
      <c r="RAX35" s="684"/>
      <c r="RAY35" s="684"/>
      <c r="RAZ35" s="684"/>
      <c r="RBA35" s="684"/>
      <c r="RBB35" s="684"/>
      <c r="RBC35" s="684"/>
      <c r="RBD35" s="684"/>
      <c r="RBE35" s="684"/>
      <c r="RBF35" s="684"/>
      <c r="RBG35" s="684"/>
      <c r="RBH35" s="684"/>
      <c r="RBI35" s="684"/>
      <c r="RBJ35" s="684"/>
      <c r="RBK35" s="684"/>
      <c r="RBL35" s="684"/>
      <c r="RBM35" s="684"/>
      <c r="RBN35" s="684"/>
      <c r="RBO35" s="684"/>
      <c r="RBP35" s="684"/>
      <c r="RBQ35" s="684"/>
      <c r="RBR35" s="684"/>
      <c r="RBS35" s="684"/>
      <c r="RBT35" s="684"/>
      <c r="RBU35" s="684"/>
      <c r="RBV35" s="684"/>
      <c r="RBW35" s="684"/>
      <c r="RBX35" s="684"/>
      <c r="RBY35" s="684"/>
      <c r="RBZ35" s="684"/>
      <c r="RCA35" s="684"/>
      <c r="RCB35" s="684"/>
      <c r="RCC35" s="684"/>
      <c r="RCD35" s="684"/>
      <c r="RCE35" s="684"/>
      <c r="RCF35" s="684"/>
      <c r="RCG35" s="684"/>
      <c r="RCH35" s="684"/>
      <c r="RCI35" s="684"/>
      <c r="RCJ35" s="684"/>
      <c r="RCK35" s="684"/>
      <c r="RCL35" s="684"/>
      <c r="RCM35" s="684"/>
      <c r="RCN35" s="684"/>
      <c r="RCO35" s="684"/>
      <c r="RCP35" s="684"/>
      <c r="RCQ35" s="684"/>
      <c r="RCR35" s="684"/>
      <c r="RCS35" s="684"/>
      <c r="RCT35" s="684"/>
      <c r="RCU35" s="684"/>
      <c r="RCV35" s="684"/>
      <c r="RCW35" s="684"/>
      <c r="RCX35" s="684"/>
      <c r="RCY35" s="684"/>
      <c r="RCZ35" s="684"/>
      <c r="RDA35" s="684"/>
      <c r="RDB35" s="684"/>
      <c r="RDC35" s="684"/>
      <c r="RDD35" s="684"/>
      <c r="RDE35" s="684"/>
      <c r="RDF35" s="684"/>
      <c r="RDG35" s="684"/>
      <c r="RDH35" s="684"/>
      <c r="RDI35" s="684"/>
      <c r="RDJ35" s="684"/>
      <c r="RDK35" s="684"/>
      <c r="RDL35" s="684"/>
      <c r="RDM35" s="684"/>
      <c r="RDN35" s="684"/>
      <c r="RDO35" s="684"/>
      <c r="RDP35" s="684"/>
      <c r="RDQ35" s="684"/>
      <c r="RDR35" s="684"/>
      <c r="RDS35" s="684"/>
      <c r="RDT35" s="684"/>
      <c r="RDU35" s="684"/>
      <c r="RDV35" s="684"/>
      <c r="RDW35" s="684"/>
      <c r="RDX35" s="684"/>
      <c r="RDY35" s="684"/>
      <c r="RDZ35" s="684"/>
      <c r="REA35" s="684"/>
      <c r="REB35" s="684"/>
      <c r="REC35" s="684"/>
      <c r="RED35" s="684"/>
      <c r="REE35" s="684"/>
      <c r="REF35" s="684"/>
      <c r="REG35" s="684"/>
      <c r="REH35" s="684"/>
      <c r="REI35" s="684"/>
      <c r="REJ35" s="684"/>
      <c r="REK35" s="684"/>
      <c r="REL35" s="684"/>
      <c r="REM35" s="684"/>
      <c r="REN35" s="684"/>
      <c r="REO35" s="684"/>
      <c r="REP35" s="684"/>
      <c r="REQ35" s="684"/>
      <c r="RER35" s="684"/>
      <c r="RES35" s="684"/>
      <c r="RET35" s="684"/>
      <c r="REU35" s="684"/>
      <c r="REV35" s="684"/>
      <c r="REW35" s="684"/>
      <c r="REX35" s="684"/>
      <c r="REY35" s="684"/>
      <c r="REZ35" s="684"/>
      <c r="RFA35" s="684"/>
      <c r="RFB35" s="684"/>
      <c r="RFC35" s="684"/>
      <c r="RFD35" s="684"/>
      <c r="RFE35" s="684"/>
      <c r="RFF35" s="684"/>
      <c r="RFG35" s="684"/>
      <c r="RFH35" s="684"/>
      <c r="RFI35" s="684"/>
      <c r="RFJ35" s="684"/>
      <c r="RFK35" s="684"/>
      <c r="RFL35" s="684"/>
      <c r="RFM35" s="684"/>
      <c r="RFN35" s="684"/>
      <c r="RFO35" s="684"/>
      <c r="RFP35" s="684"/>
      <c r="RFQ35" s="684"/>
      <c r="RFR35" s="684"/>
      <c r="RFS35" s="684"/>
      <c r="RFT35" s="684"/>
      <c r="RFU35" s="684"/>
      <c r="RFV35" s="684"/>
      <c r="RFW35" s="684"/>
      <c r="RFX35" s="684"/>
      <c r="RFY35" s="684"/>
      <c r="RFZ35" s="684"/>
      <c r="RGA35" s="684"/>
      <c r="RGB35" s="684"/>
      <c r="RGC35" s="684"/>
      <c r="RGD35" s="684"/>
      <c r="RGE35" s="684"/>
      <c r="RGF35" s="684"/>
      <c r="RGG35" s="684"/>
      <c r="RGH35" s="684"/>
      <c r="RGI35" s="684"/>
      <c r="RGJ35" s="684"/>
      <c r="RGK35" s="684"/>
      <c r="RGL35" s="684"/>
      <c r="RGM35" s="684"/>
      <c r="RGN35" s="684"/>
      <c r="RGO35" s="684"/>
      <c r="RGP35" s="684"/>
      <c r="RGQ35" s="684"/>
      <c r="RGR35" s="684"/>
      <c r="RGS35" s="684"/>
      <c r="RGT35" s="684"/>
      <c r="RGU35" s="684"/>
      <c r="RGV35" s="684"/>
      <c r="RGW35" s="684"/>
      <c r="RGX35" s="684"/>
      <c r="RGY35" s="684"/>
      <c r="RGZ35" s="684"/>
      <c r="RHA35" s="684"/>
      <c r="RHB35" s="684"/>
      <c r="RHC35" s="684"/>
      <c r="RHD35" s="684"/>
      <c r="RHE35" s="684"/>
      <c r="RHF35" s="684"/>
      <c r="RHG35" s="684"/>
      <c r="RHH35" s="684"/>
      <c r="RHI35" s="684"/>
      <c r="RHJ35" s="684"/>
      <c r="RHK35" s="684"/>
      <c r="RHL35" s="684"/>
      <c r="RHM35" s="684"/>
      <c r="RHN35" s="684"/>
      <c r="RHO35" s="684"/>
      <c r="RHP35" s="684"/>
      <c r="RHQ35" s="684"/>
      <c r="RHR35" s="684"/>
      <c r="RHS35" s="684"/>
      <c r="RHT35" s="684"/>
      <c r="RHU35" s="684"/>
      <c r="RHV35" s="684"/>
      <c r="RHW35" s="684"/>
      <c r="RHX35" s="684"/>
      <c r="RHY35" s="684"/>
      <c r="RHZ35" s="684"/>
      <c r="RIA35" s="684"/>
      <c r="RIB35" s="684"/>
      <c r="RIC35" s="684"/>
      <c r="RID35" s="684"/>
      <c r="RIE35" s="684"/>
      <c r="RIF35" s="684"/>
      <c r="RIG35" s="684"/>
      <c r="RIH35" s="684"/>
      <c r="RII35" s="684"/>
      <c r="RIJ35" s="684"/>
      <c r="RIK35" s="684"/>
      <c r="RIL35" s="684"/>
      <c r="RIM35" s="684"/>
      <c r="RIN35" s="684"/>
      <c r="RIO35" s="684"/>
      <c r="RIP35" s="684"/>
      <c r="RIQ35" s="684"/>
      <c r="RIR35" s="684"/>
      <c r="RIS35" s="684"/>
      <c r="RIT35" s="684"/>
      <c r="RIU35" s="684"/>
      <c r="RIV35" s="684"/>
      <c r="RIW35" s="684"/>
      <c r="RIX35" s="684"/>
      <c r="RIY35" s="684"/>
      <c r="RIZ35" s="684"/>
      <c r="RJA35" s="684"/>
      <c r="RJB35" s="684"/>
      <c r="RJC35" s="684"/>
      <c r="RJD35" s="684"/>
      <c r="RJE35" s="684"/>
      <c r="RJF35" s="684"/>
      <c r="RJG35" s="684"/>
      <c r="RJH35" s="684"/>
      <c r="RJI35" s="684"/>
      <c r="RJJ35" s="684"/>
      <c r="RJK35" s="684"/>
      <c r="RJL35" s="684"/>
      <c r="RJM35" s="684"/>
      <c r="RJN35" s="684"/>
      <c r="RJO35" s="684"/>
      <c r="RJP35" s="684"/>
      <c r="RJQ35" s="684"/>
      <c r="RJR35" s="684"/>
      <c r="RJS35" s="684"/>
      <c r="RJT35" s="684"/>
      <c r="RJU35" s="684"/>
      <c r="RJV35" s="684"/>
      <c r="RJW35" s="684"/>
      <c r="RJX35" s="684"/>
      <c r="RJY35" s="684"/>
      <c r="RJZ35" s="684"/>
      <c r="RKA35" s="684"/>
      <c r="RKB35" s="684"/>
      <c r="RKC35" s="684"/>
      <c r="RKD35" s="684"/>
      <c r="RKE35" s="684"/>
      <c r="RKF35" s="684"/>
      <c r="RKG35" s="684"/>
      <c r="RKH35" s="684"/>
      <c r="RKI35" s="684"/>
      <c r="RKJ35" s="684"/>
      <c r="RKK35" s="684"/>
      <c r="RKL35" s="684"/>
      <c r="RKM35" s="684"/>
      <c r="RKN35" s="684"/>
      <c r="RKO35" s="684"/>
      <c r="RKP35" s="684"/>
      <c r="RKQ35" s="684"/>
      <c r="RKR35" s="684"/>
      <c r="RKS35" s="684"/>
      <c r="RKT35" s="684"/>
      <c r="RKU35" s="684"/>
      <c r="RKV35" s="684"/>
      <c r="RKW35" s="684"/>
      <c r="RKX35" s="684"/>
      <c r="RKY35" s="684"/>
      <c r="RKZ35" s="684"/>
      <c r="RLA35" s="684"/>
      <c r="RLB35" s="684"/>
      <c r="RLC35" s="684"/>
      <c r="RLD35" s="684"/>
      <c r="RLE35" s="684"/>
      <c r="RLF35" s="684"/>
      <c r="RLG35" s="684"/>
      <c r="RLH35" s="684"/>
      <c r="RLI35" s="684"/>
      <c r="RLJ35" s="684"/>
      <c r="RLK35" s="684"/>
      <c r="RLL35" s="684"/>
      <c r="RLM35" s="684"/>
      <c r="RLN35" s="684"/>
      <c r="RLO35" s="684"/>
      <c r="RLP35" s="684"/>
      <c r="RLQ35" s="684"/>
      <c r="RLR35" s="684"/>
      <c r="RLS35" s="684"/>
      <c r="RLT35" s="684"/>
      <c r="RLU35" s="684"/>
      <c r="RLV35" s="684"/>
      <c r="RLW35" s="684"/>
      <c r="RLX35" s="684"/>
      <c r="RLY35" s="684"/>
      <c r="RLZ35" s="684"/>
      <c r="RMA35" s="684"/>
      <c r="RMB35" s="684"/>
      <c r="RMC35" s="684"/>
      <c r="RMD35" s="684"/>
      <c r="RME35" s="684"/>
      <c r="RMF35" s="684"/>
      <c r="RMG35" s="684"/>
      <c r="RMH35" s="684"/>
      <c r="RMI35" s="684"/>
      <c r="RMJ35" s="684"/>
      <c r="RMK35" s="684"/>
      <c r="RML35" s="684"/>
      <c r="RMM35" s="684"/>
      <c r="RMN35" s="684"/>
      <c r="RMO35" s="684"/>
      <c r="RMP35" s="684"/>
      <c r="RMQ35" s="684"/>
      <c r="RMR35" s="684"/>
      <c r="RMS35" s="684"/>
      <c r="RMT35" s="684"/>
      <c r="RMU35" s="684"/>
      <c r="RMV35" s="684"/>
      <c r="RMW35" s="684"/>
      <c r="RMX35" s="684"/>
      <c r="RMY35" s="684"/>
      <c r="RMZ35" s="684"/>
      <c r="RNA35" s="684"/>
      <c r="RNB35" s="684"/>
      <c r="RNC35" s="684"/>
      <c r="RND35" s="684"/>
      <c r="RNE35" s="684"/>
      <c r="RNF35" s="684"/>
      <c r="RNG35" s="684"/>
      <c r="RNH35" s="684"/>
      <c r="RNI35" s="684"/>
      <c r="RNJ35" s="684"/>
      <c r="RNK35" s="684"/>
      <c r="RNL35" s="684"/>
      <c r="RNM35" s="684"/>
      <c r="RNN35" s="684"/>
      <c r="RNO35" s="684"/>
      <c r="RNP35" s="684"/>
      <c r="RNQ35" s="684"/>
      <c r="RNR35" s="684"/>
      <c r="RNS35" s="684"/>
      <c r="RNT35" s="684"/>
      <c r="RNU35" s="684"/>
      <c r="RNV35" s="684"/>
      <c r="RNW35" s="684"/>
      <c r="RNX35" s="684"/>
      <c r="RNY35" s="684"/>
      <c r="RNZ35" s="684"/>
      <c r="ROA35" s="684"/>
      <c r="ROB35" s="684"/>
      <c r="ROC35" s="684"/>
      <c r="ROD35" s="684"/>
      <c r="ROE35" s="684"/>
      <c r="ROF35" s="684"/>
      <c r="ROG35" s="684"/>
      <c r="ROH35" s="684"/>
      <c r="ROI35" s="684"/>
      <c r="ROJ35" s="684"/>
      <c r="ROK35" s="684"/>
      <c r="ROL35" s="684"/>
      <c r="ROM35" s="684"/>
      <c r="RON35" s="684"/>
      <c r="ROO35" s="684"/>
      <c r="ROP35" s="684"/>
      <c r="ROQ35" s="684"/>
      <c r="ROR35" s="684"/>
      <c r="ROS35" s="684"/>
      <c r="ROT35" s="684"/>
      <c r="ROU35" s="684"/>
      <c r="ROV35" s="684"/>
      <c r="ROW35" s="684"/>
      <c r="ROX35" s="684"/>
      <c r="ROY35" s="684"/>
      <c r="ROZ35" s="684"/>
      <c r="RPA35" s="684"/>
      <c r="RPB35" s="684"/>
      <c r="RPC35" s="684"/>
      <c r="RPD35" s="684"/>
      <c r="RPE35" s="684"/>
      <c r="RPF35" s="684"/>
      <c r="RPG35" s="684"/>
      <c r="RPH35" s="684"/>
      <c r="RPI35" s="684"/>
      <c r="RPJ35" s="684"/>
      <c r="RPK35" s="684"/>
      <c r="RPL35" s="684"/>
      <c r="RPM35" s="684"/>
      <c r="RPN35" s="684"/>
      <c r="RPO35" s="684"/>
      <c r="RPP35" s="684"/>
      <c r="RPQ35" s="684"/>
      <c r="RPR35" s="684"/>
      <c r="RPS35" s="684"/>
      <c r="RPT35" s="684"/>
      <c r="RPU35" s="684"/>
      <c r="RPV35" s="684"/>
      <c r="RPW35" s="684"/>
      <c r="RPX35" s="684"/>
      <c r="RPY35" s="684"/>
      <c r="RPZ35" s="684"/>
      <c r="RQA35" s="684"/>
      <c r="RQB35" s="684"/>
      <c r="RQC35" s="684"/>
      <c r="RQD35" s="684"/>
      <c r="RQE35" s="684"/>
      <c r="RQF35" s="684"/>
      <c r="RQG35" s="684"/>
      <c r="RQH35" s="684"/>
      <c r="RQI35" s="684"/>
      <c r="RQJ35" s="684"/>
      <c r="RQK35" s="684"/>
      <c r="RQL35" s="684"/>
      <c r="RQM35" s="684"/>
      <c r="RQN35" s="684"/>
      <c r="RQO35" s="684"/>
      <c r="RQP35" s="684"/>
      <c r="RQQ35" s="684"/>
      <c r="RQR35" s="684"/>
      <c r="RQS35" s="684"/>
      <c r="RQT35" s="684"/>
      <c r="RQU35" s="684"/>
      <c r="RQV35" s="684"/>
      <c r="RQW35" s="684"/>
      <c r="RQX35" s="684"/>
      <c r="RQY35" s="684"/>
      <c r="RQZ35" s="684"/>
      <c r="RRA35" s="684"/>
      <c r="RRB35" s="684"/>
      <c r="RRC35" s="684"/>
      <c r="RRD35" s="684"/>
      <c r="RRE35" s="684"/>
      <c r="RRF35" s="684"/>
      <c r="RRG35" s="684"/>
      <c r="RRH35" s="684"/>
      <c r="RRI35" s="684"/>
      <c r="RRJ35" s="684"/>
      <c r="RRK35" s="684"/>
      <c r="RRL35" s="684"/>
      <c r="RRM35" s="684"/>
      <c r="RRN35" s="684"/>
      <c r="RRO35" s="684"/>
      <c r="RRP35" s="684"/>
      <c r="RRQ35" s="684"/>
      <c r="RRR35" s="684"/>
      <c r="RRS35" s="684"/>
      <c r="RRT35" s="684"/>
      <c r="RRU35" s="684"/>
      <c r="RRV35" s="684"/>
      <c r="RRW35" s="684"/>
      <c r="RRX35" s="684"/>
      <c r="RRY35" s="684"/>
      <c r="RRZ35" s="684"/>
      <c r="RSA35" s="684"/>
      <c r="RSB35" s="684"/>
      <c r="RSC35" s="684"/>
      <c r="RSD35" s="684"/>
      <c r="RSE35" s="684"/>
      <c r="RSF35" s="684"/>
      <c r="RSG35" s="684"/>
      <c r="RSH35" s="684"/>
      <c r="RSI35" s="684"/>
      <c r="RSJ35" s="684"/>
      <c r="RSK35" s="684"/>
      <c r="RSL35" s="684"/>
      <c r="RSM35" s="684"/>
      <c r="RSN35" s="684"/>
      <c r="RSO35" s="684"/>
      <c r="RSP35" s="684"/>
      <c r="RSQ35" s="684"/>
      <c r="RSR35" s="684"/>
      <c r="RSS35" s="684"/>
      <c r="RST35" s="684"/>
      <c r="RSU35" s="684"/>
      <c r="RSV35" s="684"/>
      <c r="RSW35" s="684"/>
      <c r="RSX35" s="684"/>
      <c r="RSY35" s="684"/>
      <c r="RSZ35" s="684"/>
      <c r="RTA35" s="684"/>
      <c r="RTB35" s="684"/>
      <c r="RTC35" s="684"/>
      <c r="RTD35" s="684"/>
      <c r="RTE35" s="684"/>
      <c r="RTF35" s="684"/>
      <c r="RTG35" s="684"/>
      <c r="RTH35" s="684"/>
      <c r="RTI35" s="684"/>
      <c r="RTJ35" s="684"/>
      <c r="RTK35" s="684"/>
      <c r="RTL35" s="684"/>
      <c r="RTM35" s="684"/>
      <c r="RTN35" s="684"/>
      <c r="RTO35" s="684"/>
      <c r="RTP35" s="684"/>
      <c r="RTQ35" s="684"/>
      <c r="RTR35" s="684"/>
      <c r="RTS35" s="684"/>
      <c r="RTT35" s="684"/>
      <c r="RTU35" s="684"/>
      <c r="RTV35" s="684"/>
      <c r="RTW35" s="684"/>
      <c r="RTX35" s="684"/>
      <c r="RTY35" s="684"/>
      <c r="RTZ35" s="684"/>
      <c r="RUA35" s="684"/>
      <c r="RUB35" s="684"/>
      <c r="RUC35" s="684"/>
      <c r="RUD35" s="684"/>
      <c r="RUE35" s="684"/>
      <c r="RUF35" s="684"/>
      <c r="RUG35" s="684"/>
      <c r="RUH35" s="684"/>
      <c r="RUI35" s="684"/>
      <c r="RUJ35" s="684"/>
      <c r="RUK35" s="684"/>
      <c r="RUL35" s="684"/>
      <c r="RUM35" s="684"/>
      <c r="RUN35" s="684"/>
      <c r="RUO35" s="684"/>
      <c r="RUP35" s="684"/>
      <c r="RUQ35" s="684"/>
      <c r="RUR35" s="684"/>
      <c r="RUS35" s="684"/>
      <c r="RUT35" s="684"/>
      <c r="RUU35" s="684"/>
      <c r="RUV35" s="684"/>
      <c r="RUW35" s="684"/>
      <c r="RUX35" s="684"/>
      <c r="RUY35" s="684"/>
      <c r="RUZ35" s="684"/>
      <c r="RVA35" s="684"/>
      <c r="RVB35" s="684"/>
      <c r="RVC35" s="684"/>
      <c r="RVD35" s="684"/>
      <c r="RVE35" s="684"/>
      <c r="RVF35" s="684"/>
      <c r="RVG35" s="684"/>
      <c r="RVH35" s="684"/>
      <c r="RVI35" s="684"/>
      <c r="RVJ35" s="684"/>
      <c r="RVK35" s="684"/>
      <c r="RVL35" s="684"/>
      <c r="RVM35" s="684"/>
      <c r="RVN35" s="684"/>
      <c r="RVO35" s="684"/>
      <c r="RVP35" s="684"/>
      <c r="RVQ35" s="684"/>
      <c r="RVR35" s="684"/>
      <c r="RVS35" s="684"/>
      <c r="RVT35" s="684"/>
      <c r="RVU35" s="684"/>
      <c r="RVV35" s="684"/>
      <c r="RVW35" s="684"/>
      <c r="RVX35" s="684"/>
      <c r="RVY35" s="684"/>
      <c r="RVZ35" s="684"/>
      <c r="RWA35" s="684"/>
      <c r="RWB35" s="684"/>
      <c r="RWC35" s="684"/>
      <c r="RWD35" s="684"/>
      <c r="RWE35" s="684"/>
      <c r="RWF35" s="684"/>
      <c r="RWG35" s="684"/>
      <c r="RWH35" s="684"/>
      <c r="RWI35" s="684"/>
      <c r="RWJ35" s="684"/>
      <c r="RWK35" s="684"/>
      <c r="RWL35" s="684"/>
      <c r="RWM35" s="684"/>
      <c r="RWN35" s="684"/>
      <c r="RWO35" s="684"/>
      <c r="RWP35" s="684"/>
      <c r="RWQ35" s="684"/>
      <c r="RWR35" s="684"/>
      <c r="RWS35" s="684"/>
      <c r="RWT35" s="684"/>
      <c r="RWU35" s="684"/>
      <c r="RWV35" s="684"/>
      <c r="RWW35" s="684"/>
      <c r="RWX35" s="684"/>
      <c r="RWY35" s="684"/>
      <c r="RWZ35" s="684"/>
      <c r="RXA35" s="684"/>
      <c r="RXB35" s="684"/>
      <c r="RXC35" s="684"/>
      <c r="RXD35" s="684"/>
      <c r="RXE35" s="684"/>
      <c r="RXF35" s="684"/>
      <c r="RXG35" s="684"/>
      <c r="RXH35" s="684"/>
      <c r="RXI35" s="684"/>
      <c r="RXJ35" s="684"/>
      <c r="RXK35" s="684"/>
      <c r="RXL35" s="684"/>
      <c r="RXM35" s="684"/>
      <c r="RXN35" s="684"/>
      <c r="RXO35" s="684"/>
      <c r="RXP35" s="684"/>
      <c r="RXQ35" s="684"/>
      <c r="RXR35" s="684"/>
      <c r="RXS35" s="684"/>
      <c r="RXT35" s="684"/>
      <c r="RXU35" s="684"/>
      <c r="RXV35" s="684"/>
      <c r="RXW35" s="684"/>
      <c r="RXX35" s="684"/>
      <c r="RXY35" s="684"/>
      <c r="RXZ35" s="684"/>
      <c r="RYA35" s="684"/>
      <c r="RYB35" s="684"/>
      <c r="RYC35" s="684"/>
      <c r="RYD35" s="684"/>
      <c r="RYE35" s="684"/>
      <c r="RYF35" s="684"/>
      <c r="RYG35" s="684"/>
      <c r="RYH35" s="684"/>
      <c r="RYI35" s="684"/>
      <c r="RYJ35" s="684"/>
      <c r="RYK35" s="684"/>
      <c r="RYL35" s="684"/>
      <c r="RYM35" s="684"/>
      <c r="RYN35" s="684"/>
      <c r="RYO35" s="684"/>
      <c r="RYP35" s="684"/>
      <c r="RYQ35" s="684"/>
      <c r="RYR35" s="684"/>
      <c r="RYS35" s="684"/>
      <c r="RYT35" s="684"/>
      <c r="RYU35" s="684"/>
      <c r="RYV35" s="684"/>
      <c r="RYW35" s="684"/>
      <c r="RYX35" s="684"/>
      <c r="RYY35" s="684"/>
      <c r="RYZ35" s="684"/>
      <c r="RZA35" s="684"/>
      <c r="RZB35" s="684"/>
      <c r="RZC35" s="684"/>
      <c r="RZD35" s="684"/>
      <c r="RZE35" s="684"/>
      <c r="RZF35" s="684"/>
      <c r="RZG35" s="684"/>
      <c r="RZH35" s="684"/>
      <c r="RZI35" s="684"/>
      <c r="RZJ35" s="684"/>
      <c r="RZK35" s="684"/>
      <c r="RZL35" s="684"/>
      <c r="RZM35" s="684"/>
      <c r="RZN35" s="684"/>
      <c r="RZO35" s="684"/>
      <c r="RZP35" s="684"/>
      <c r="RZQ35" s="684"/>
      <c r="RZR35" s="684"/>
      <c r="RZS35" s="684"/>
      <c r="RZT35" s="684"/>
      <c r="RZU35" s="684"/>
      <c r="RZV35" s="684"/>
      <c r="RZW35" s="684"/>
      <c r="RZX35" s="684"/>
      <c r="RZY35" s="684"/>
      <c r="RZZ35" s="684"/>
      <c r="SAA35" s="684"/>
      <c r="SAB35" s="684"/>
      <c r="SAC35" s="684"/>
      <c r="SAD35" s="684"/>
      <c r="SAE35" s="684"/>
      <c r="SAF35" s="684"/>
      <c r="SAG35" s="684"/>
      <c r="SAH35" s="684"/>
      <c r="SAI35" s="684"/>
      <c r="SAJ35" s="684"/>
      <c r="SAK35" s="684"/>
      <c r="SAL35" s="684"/>
      <c r="SAM35" s="684"/>
      <c r="SAN35" s="684"/>
      <c r="SAO35" s="684"/>
      <c r="SAP35" s="684"/>
      <c r="SAQ35" s="684"/>
      <c r="SAR35" s="684"/>
      <c r="SAS35" s="684"/>
      <c r="SAT35" s="684"/>
      <c r="SAU35" s="684"/>
      <c r="SAV35" s="684"/>
      <c r="SAW35" s="684"/>
      <c r="SAX35" s="684"/>
      <c r="SAY35" s="684"/>
      <c r="SAZ35" s="684"/>
      <c r="SBA35" s="684"/>
      <c r="SBB35" s="684"/>
      <c r="SBC35" s="684"/>
      <c r="SBD35" s="684"/>
      <c r="SBE35" s="684"/>
      <c r="SBF35" s="684"/>
      <c r="SBG35" s="684"/>
      <c r="SBH35" s="684"/>
      <c r="SBI35" s="684"/>
      <c r="SBJ35" s="684"/>
      <c r="SBK35" s="684"/>
      <c r="SBL35" s="684"/>
      <c r="SBM35" s="684"/>
      <c r="SBN35" s="684"/>
      <c r="SBO35" s="684"/>
      <c r="SBP35" s="684"/>
      <c r="SBQ35" s="684"/>
      <c r="SBR35" s="684"/>
      <c r="SBS35" s="684"/>
      <c r="SBT35" s="684"/>
      <c r="SBU35" s="684"/>
      <c r="SBV35" s="684"/>
      <c r="SBW35" s="684"/>
      <c r="SBX35" s="684"/>
      <c r="SBY35" s="684"/>
      <c r="SBZ35" s="684"/>
      <c r="SCA35" s="684"/>
      <c r="SCB35" s="684"/>
      <c r="SCC35" s="684"/>
      <c r="SCD35" s="684"/>
      <c r="SCE35" s="684"/>
      <c r="SCF35" s="684"/>
      <c r="SCG35" s="684"/>
      <c r="SCH35" s="684"/>
      <c r="SCI35" s="684"/>
      <c r="SCJ35" s="684"/>
      <c r="SCK35" s="684"/>
      <c r="SCL35" s="684"/>
      <c r="SCM35" s="684"/>
      <c r="SCN35" s="684"/>
      <c r="SCO35" s="684"/>
      <c r="SCP35" s="684"/>
      <c r="SCQ35" s="684"/>
      <c r="SCR35" s="684"/>
      <c r="SCS35" s="684"/>
      <c r="SCT35" s="684"/>
      <c r="SCU35" s="684"/>
      <c r="SCV35" s="684"/>
      <c r="SCW35" s="684"/>
      <c r="SCX35" s="684"/>
      <c r="SCY35" s="684"/>
      <c r="SCZ35" s="684"/>
      <c r="SDA35" s="684"/>
      <c r="SDB35" s="684"/>
      <c r="SDC35" s="684"/>
      <c r="SDD35" s="684"/>
      <c r="SDE35" s="684"/>
      <c r="SDF35" s="684"/>
      <c r="SDG35" s="684"/>
      <c r="SDH35" s="684"/>
      <c r="SDI35" s="684"/>
      <c r="SDJ35" s="684"/>
      <c r="SDK35" s="684"/>
      <c r="SDL35" s="684"/>
      <c r="SDM35" s="684"/>
      <c r="SDN35" s="684"/>
      <c r="SDO35" s="684"/>
      <c r="SDP35" s="684"/>
      <c r="SDQ35" s="684"/>
      <c r="SDR35" s="684"/>
      <c r="SDS35" s="684"/>
      <c r="SDT35" s="684"/>
      <c r="SDU35" s="684"/>
      <c r="SDV35" s="684"/>
      <c r="SDW35" s="684"/>
      <c r="SDX35" s="684"/>
      <c r="SDY35" s="684"/>
      <c r="SDZ35" s="684"/>
      <c r="SEA35" s="684"/>
      <c r="SEB35" s="684"/>
      <c r="SEC35" s="684"/>
      <c r="SED35" s="684"/>
      <c r="SEE35" s="684"/>
      <c r="SEF35" s="684"/>
      <c r="SEG35" s="684"/>
      <c r="SEH35" s="684"/>
      <c r="SEI35" s="684"/>
      <c r="SEJ35" s="684"/>
      <c r="SEK35" s="684"/>
      <c r="SEL35" s="684"/>
      <c r="SEM35" s="684"/>
      <c r="SEN35" s="684"/>
      <c r="SEO35" s="684"/>
      <c r="SEP35" s="684"/>
      <c r="SEQ35" s="684"/>
      <c r="SER35" s="684"/>
      <c r="SES35" s="684"/>
      <c r="SET35" s="684"/>
      <c r="SEU35" s="684"/>
      <c r="SEV35" s="684"/>
      <c r="SEW35" s="684"/>
      <c r="SEX35" s="684"/>
      <c r="SEY35" s="684"/>
      <c r="SEZ35" s="684"/>
      <c r="SFA35" s="684"/>
      <c r="SFB35" s="684"/>
      <c r="SFC35" s="684"/>
      <c r="SFD35" s="684"/>
      <c r="SFE35" s="684"/>
      <c r="SFF35" s="684"/>
      <c r="SFG35" s="684"/>
      <c r="SFH35" s="684"/>
      <c r="SFI35" s="684"/>
      <c r="SFJ35" s="684"/>
      <c r="SFK35" s="684"/>
      <c r="SFL35" s="684"/>
      <c r="SFM35" s="684"/>
      <c r="SFN35" s="684"/>
      <c r="SFO35" s="684"/>
      <c r="SFP35" s="684"/>
      <c r="SFQ35" s="684"/>
      <c r="SFR35" s="684"/>
      <c r="SFS35" s="684"/>
      <c r="SFT35" s="684"/>
      <c r="SFU35" s="684"/>
      <c r="SFV35" s="684"/>
      <c r="SFW35" s="684"/>
      <c r="SFX35" s="684"/>
      <c r="SFY35" s="684"/>
      <c r="SFZ35" s="684"/>
      <c r="SGA35" s="684"/>
      <c r="SGB35" s="684"/>
      <c r="SGC35" s="684"/>
      <c r="SGD35" s="684"/>
      <c r="SGE35" s="684"/>
      <c r="SGF35" s="684"/>
      <c r="SGG35" s="684"/>
      <c r="SGH35" s="684"/>
      <c r="SGI35" s="684"/>
      <c r="SGJ35" s="684"/>
      <c r="SGK35" s="684"/>
      <c r="SGL35" s="684"/>
      <c r="SGM35" s="684"/>
      <c r="SGN35" s="684"/>
      <c r="SGO35" s="684"/>
      <c r="SGP35" s="684"/>
      <c r="SGQ35" s="684"/>
      <c r="SGR35" s="684"/>
      <c r="SGS35" s="684"/>
      <c r="SGT35" s="684"/>
      <c r="SGU35" s="684"/>
      <c r="SGV35" s="684"/>
      <c r="SGW35" s="684"/>
      <c r="SGX35" s="684"/>
      <c r="SGY35" s="684"/>
      <c r="SGZ35" s="684"/>
      <c r="SHA35" s="684"/>
      <c r="SHB35" s="684"/>
      <c r="SHC35" s="684"/>
      <c r="SHD35" s="684"/>
      <c r="SHE35" s="684"/>
      <c r="SHF35" s="684"/>
      <c r="SHG35" s="684"/>
      <c r="SHH35" s="684"/>
      <c r="SHI35" s="684"/>
      <c r="SHJ35" s="684"/>
      <c r="SHK35" s="684"/>
      <c r="SHL35" s="684"/>
      <c r="SHM35" s="684"/>
      <c r="SHN35" s="684"/>
      <c r="SHO35" s="684"/>
      <c r="SHP35" s="684"/>
      <c r="SHQ35" s="684"/>
      <c r="SHR35" s="684"/>
      <c r="SHS35" s="684"/>
      <c r="SHT35" s="684"/>
      <c r="SHU35" s="684"/>
      <c r="SHV35" s="684"/>
      <c r="SHW35" s="684"/>
      <c r="SHX35" s="684"/>
      <c r="SHY35" s="684"/>
      <c r="SHZ35" s="684"/>
      <c r="SIA35" s="684"/>
      <c r="SIB35" s="684"/>
      <c r="SIC35" s="684"/>
      <c r="SID35" s="684"/>
      <c r="SIE35" s="684"/>
      <c r="SIF35" s="684"/>
      <c r="SIG35" s="684"/>
      <c r="SIH35" s="684"/>
      <c r="SII35" s="684"/>
      <c r="SIJ35" s="684"/>
      <c r="SIK35" s="684"/>
      <c r="SIL35" s="684"/>
      <c r="SIM35" s="684"/>
      <c r="SIN35" s="684"/>
      <c r="SIO35" s="684"/>
      <c r="SIP35" s="684"/>
      <c r="SIQ35" s="684"/>
      <c r="SIR35" s="684"/>
      <c r="SIS35" s="684"/>
      <c r="SIT35" s="684"/>
      <c r="SIU35" s="684"/>
      <c r="SIV35" s="684"/>
      <c r="SIW35" s="684"/>
      <c r="SIX35" s="684"/>
      <c r="SIY35" s="684"/>
      <c r="SIZ35" s="684"/>
      <c r="SJA35" s="684"/>
      <c r="SJB35" s="684"/>
      <c r="SJC35" s="684"/>
      <c r="SJD35" s="684"/>
      <c r="SJE35" s="684"/>
      <c r="SJF35" s="684"/>
      <c r="SJG35" s="684"/>
      <c r="SJH35" s="684"/>
      <c r="SJI35" s="684"/>
      <c r="SJJ35" s="684"/>
      <c r="SJK35" s="684"/>
      <c r="SJL35" s="684"/>
      <c r="SJM35" s="684"/>
      <c r="SJN35" s="684"/>
      <c r="SJO35" s="684"/>
      <c r="SJP35" s="684"/>
      <c r="SJQ35" s="684"/>
      <c r="SJR35" s="684"/>
      <c r="SJS35" s="684"/>
      <c r="SJT35" s="684"/>
      <c r="SJU35" s="684"/>
      <c r="SJV35" s="684"/>
      <c r="SJW35" s="684"/>
      <c r="SJX35" s="684"/>
      <c r="SJY35" s="684"/>
      <c r="SJZ35" s="684"/>
      <c r="SKA35" s="684"/>
      <c r="SKB35" s="684"/>
      <c r="SKC35" s="684"/>
      <c r="SKD35" s="684"/>
      <c r="SKE35" s="684"/>
      <c r="SKF35" s="684"/>
      <c r="SKG35" s="684"/>
      <c r="SKH35" s="684"/>
      <c r="SKI35" s="684"/>
      <c r="SKJ35" s="684"/>
      <c r="SKK35" s="684"/>
      <c r="SKL35" s="684"/>
      <c r="SKM35" s="684"/>
      <c r="SKN35" s="684"/>
      <c r="SKO35" s="684"/>
      <c r="SKP35" s="684"/>
      <c r="SKQ35" s="684"/>
      <c r="SKR35" s="684"/>
      <c r="SKS35" s="684"/>
      <c r="SKT35" s="684"/>
      <c r="SKU35" s="684"/>
      <c r="SKV35" s="684"/>
      <c r="SKW35" s="684"/>
      <c r="SKX35" s="684"/>
      <c r="SKY35" s="684"/>
      <c r="SKZ35" s="684"/>
      <c r="SLA35" s="684"/>
      <c r="SLB35" s="684"/>
      <c r="SLC35" s="684"/>
      <c r="SLD35" s="684"/>
      <c r="SLE35" s="684"/>
      <c r="SLF35" s="684"/>
      <c r="SLG35" s="684"/>
      <c r="SLH35" s="684"/>
      <c r="SLI35" s="684"/>
      <c r="SLJ35" s="684"/>
      <c r="SLK35" s="684"/>
      <c r="SLL35" s="684"/>
      <c r="SLM35" s="684"/>
      <c r="SLN35" s="684"/>
      <c r="SLO35" s="684"/>
      <c r="SLP35" s="684"/>
      <c r="SLQ35" s="684"/>
      <c r="SLR35" s="684"/>
      <c r="SLS35" s="684"/>
      <c r="SLT35" s="684"/>
      <c r="SLU35" s="684"/>
      <c r="SLV35" s="684"/>
      <c r="SLW35" s="684"/>
      <c r="SLX35" s="684"/>
      <c r="SLY35" s="684"/>
      <c r="SLZ35" s="684"/>
      <c r="SMA35" s="684"/>
      <c r="SMB35" s="684"/>
      <c r="SMC35" s="684"/>
      <c r="SMD35" s="684"/>
      <c r="SME35" s="684"/>
      <c r="SMF35" s="684"/>
      <c r="SMG35" s="684"/>
      <c r="SMH35" s="684"/>
      <c r="SMI35" s="684"/>
      <c r="SMJ35" s="684"/>
      <c r="SMK35" s="684"/>
      <c r="SML35" s="684"/>
      <c r="SMM35" s="684"/>
      <c r="SMN35" s="684"/>
      <c r="SMO35" s="684"/>
      <c r="SMP35" s="684"/>
      <c r="SMQ35" s="684"/>
      <c r="SMR35" s="684"/>
      <c r="SMS35" s="684"/>
      <c r="SMT35" s="684"/>
      <c r="SMU35" s="684"/>
      <c r="SMV35" s="684"/>
      <c r="SMW35" s="684"/>
      <c r="SMX35" s="684"/>
      <c r="SMY35" s="684"/>
      <c r="SMZ35" s="684"/>
      <c r="SNA35" s="684"/>
      <c r="SNB35" s="684"/>
      <c r="SNC35" s="684"/>
      <c r="SND35" s="684"/>
      <c r="SNE35" s="684"/>
      <c r="SNF35" s="684"/>
      <c r="SNG35" s="684"/>
      <c r="SNH35" s="684"/>
      <c r="SNI35" s="684"/>
      <c r="SNJ35" s="684"/>
      <c r="SNK35" s="684"/>
      <c r="SNL35" s="684"/>
      <c r="SNM35" s="684"/>
      <c r="SNN35" s="684"/>
      <c r="SNO35" s="684"/>
      <c r="SNP35" s="684"/>
      <c r="SNQ35" s="684"/>
      <c r="SNR35" s="684"/>
      <c r="SNS35" s="684"/>
      <c r="SNT35" s="684"/>
      <c r="SNU35" s="684"/>
      <c r="SNV35" s="684"/>
      <c r="SNW35" s="684"/>
      <c r="SNX35" s="684"/>
      <c r="SNY35" s="684"/>
      <c r="SNZ35" s="684"/>
      <c r="SOA35" s="684"/>
      <c r="SOB35" s="684"/>
      <c r="SOC35" s="684"/>
      <c r="SOD35" s="684"/>
      <c r="SOE35" s="684"/>
      <c r="SOF35" s="684"/>
      <c r="SOG35" s="684"/>
      <c r="SOH35" s="684"/>
      <c r="SOI35" s="684"/>
      <c r="SOJ35" s="684"/>
      <c r="SOK35" s="684"/>
      <c r="SOL35" s="684"/>
      <c r="SOM35" s="684"/>
      <c r="SON35" s="684"/>
      <c r="SOO35" s="684"/>
      <c r="SOP35" s="684"/>
      <c r="SOQ35" s="684"/>
      <c r="SOR35" s="684"/>
      <c r="SOS35" s="684"/>
      <c r="SOT35" s="684"/>
      <c r="SOU35" s="684"/>
      <c r="SOV35" s="684"/>
      <c r="SOW35" s="684"/>
      <c r="SOX35" s="684"/>
      <c r="SOY35" s="684"/>
      <c r="SOZ35" s="684"/>
      <c r="SPA35" s="684"/>
      <c r="SPB35" s="684"/>
      <c r="SPC35" s="684"/>
      <c r="SPD35" s="684"/>
      <c r="SPE35" s="684"/>
      <c r="SPF35" s="684"/>
      <c r="SPG35" s="684"/>
      <c r="SPH35" s="684"/>
      <c r="SPI35" s="684"/>
      <c r="SPJ35" s="684"/>
      <c r="SPK35" s="684"/>
      <c r="SPL35" s="684"/>
      <c r="SPM35" s="684"/>
      <c r="SPN35" s="684"/>
      <c r="SPO35" s="684"/>
      <c r="SPP35" s="684"/>
      <c r="SPQ35" s="684"/>
      <c r="SPR35" s="684"/>
      <c r="SPS35" s="684"/>
      <c r="SPT35" s="684"/>
      <c r="SPU35" s="684"/>
      <c r="SPV35" s="684"/>
      <c r="SPW35" s="684"/>
      <c r="SPX35" s="684"/>
      <c r="SPY35" s="684"/>
      <c r="SPZ35" s="684"/>
      <c r="SQA35" s="684"/>
      <c r="SQB35" s="684"/>
      <c r="SQC35" s="684"/>
      <c r="SQD35" s="684"/>
      <c r="SQE35" s="684"/>
      <c r="SQF35" s="684"/>
      <c r="SQG35" s="684"/>
      <c r="SQH35" s="684"/>
      <c r="SQI35" s="684"/>
      <c r="SQJ35" s="684"/>
      <c r="SQK35" s="684"/>
      <c r="SQL35" s="684"/>
      <c r="SQM35" s="684"/>
      <c r="SQN35" s="684"/>
      <c r="SQO35" s="684"/>
      <c r="SQP35" s="684"/>
      <c r="SQQ35" s="684"/>
      <c r="SQR35" s="684"/>
      <c r="SQS35" s="684"/>
      <c r="SQT35" s="684"/>
      <c r="SQU35" s="684"/>
      <c r="SQV35" s="684"/>
      <c r="SQW35" s="684"/>
      <c r="SQX35" s="684"/>
      <c r="SQY35" s="684"/>
      <c r="SQZ35" s="684"/>
      <c r="SRA35" s="684"/>
      <c r="SRB35" s="684"/>
      <c r="SRC35" s="684"/>
      <c r="SRD35" s="684"/>
      <c r="SRE35" s="684"/>
      <c r="SRF35" s="684"/>
      <c r="SRG35" s="684"/>
      <c r="SRH35" s="684"/>
      <c r="SRI35" s="684"/>
      <c r="SRJ35" s="684"/>
      <c r="SRK35" s="684"/>
      <c r="SRL35" s="684"/>
      <c r="SRM35" s="684"/>
      <c r="SRN35" s="684"/>
      <c r="SRO35" s="684"/>
      <c r="SRP35" s="684"/>
      <c r="SRQ35" s="684"/>
      <c r="SRR35" s="684"/>
      <c r="SRS35" s="684"/>
      <c r="SRT35" s="684"/>
      <c r="SRU35" s="684"/>
      <c r="SRV35" s="684"/>
      <c r="SRW35" s="684"/>
      <c r="SRX35" s="684"/>
      <c r="SRY35" s="684"/>
      <c r="SRZ35" s="684"/>
      <c r="SSA35" s="684"/>
      <c r="SSB35" s="684"/>
      <c r="SSC35" s="684"/>
      <c r="SSD35" s="684"/>
      <c r="SSE35" s="684"/>
      <c r="SSF35" s="684"/>
      <c r="SSG35" s="684"/>
      <c r="SSH35" s="684"/>
      <c r="SSI35" s="684"/>
      <c r="SSJ35" s="684"/>
      <c r="SSK35" s="684"/>
      <c r="SSL35" s="684"/>
      <c r="SSM35" s="684"/>
      <c r="SSN35" s="684"/>
      <c r="SSO35" s="684"/>
      <c r="SSP35" s="684"/>
      <c r="SSQ35" s="684"/>
      <c r="SSR35" s="684"/>
      <c r="SSS35" s="684"/>
      <c r="SST35" s="684"/>
      <c r="SSU35" s="684"/>
      <c r="SSV35" s="684"/>
      <c r="SSW35" s="684"/>
      <c r="SSX35" s="684"/>
      <c r="SSY35" s="684"/>
      <c r="SSZ35" s="684"/>
      <c r="STA35" s="684"/>
      <c r="STB35" s="684"/>
      <c r="STC35" s="684"/>
      <c r="STD35" s="684"/>
      <c r="STE35" s="684"/>
      <c r="STF35" s="684"/>
      <c r="STG35" s="684"/>
      <c r="STH35" s="684"/>
      <c r="STI35" s="684"/>
      <c r="STJ35" s="684"/>
      <c r="STK35" s="684"/>
      <c r="STL35" s="684"/>
      <c r="STM35" s="684"/>
      <c r="STN35" s="684"/>
      <c r="STO35" s="684"/>
      <c r="STP35" s="684"/>
      <c r="STQ35" s="684"/>
      <c r="STR35" s="684"/>
      <c r="STS35" s="684"/>
      <c r="STT35" s="684"/>
      <c r="STU35" s="684"/>
      <c r="STV35" s="684"/>
      <c r="STW35" s="684"/>
      <c r="STX35" s="684"/>
      <c r="STY35" s="684"/>
      <c r="STZ35" s="684"/>
      <c r="SUA35" s="684"/>
      <c r="SUB35" s="684"/>
      <c r="SUC35" s="684"/>
      <c r="SUD35" s="684"/>
      <c r="SUE35" s="684"/>
      <c r="SUF35" s="684"/>
      <c r="SUG35" s="684"/>
      <c r="SUH35" s="684"/>
      <c r="SUI35" s="684"/>
      <c r="SUJ35" s="684"/>
      <c r="SUK35" s="684"/>
      <c r="SUL35" s="684"/>
      <c r="SUM35" s="684"/>
      <c r="SUN35" s="684"/>
      <c r="SUO35" s="684"/>
      <c r="SUP35" s="684"/>
      <c r="SUQ35" s="684"/>
      <c r="SUR35" s="684"/>
      <c r="SUS35" s="684"/>
      <c r="SUT35" s="684"/>
      <c r="SUU35" s="684"/>
      <c r="SUV35" s="684"/>
      <c r="SUW35" s="684"/>
      <c r="SUX35" s="684"/>
      <c r="SUY35" s="684"/>
      <c r="SUZ35" s="684"/>
      <c r="SVA35" s="684"/>
      <c r="SVB35" s="684"/>
      <c r="SVC35" s="684"/>
      <c r="SVD35" s="684"/>
      <c r="SVE35" s="684"/>
      <c r="SVF35" s="684"/>
      <c r="SVG35" s="684"/>
      <c r="SVH35" s="684"/>
      <c r="SVI35" s="684"/>
      <c r="SVJ35" s="684"/>
      <c r="SVK35" s="684"/>
      <c r="SVL35" s="684"/>
      <c r="SVM35" s="684"/>
      <c r="SVN35" s="684"/>
      <c r="SVO35" s="684"/>
      <c r="SVP35" s="684"/>
      <c r="SVQ35" s="684"/>
      <c r="SVR35" s="684"/>
      <c r="SVS35" s="684"/>
      <c r="SVT35" s="684"/>
      <c r="SVU35" s="684"/>
      <c r="SVV35" s="684"/>
      <c r="SVW35" s="684"/>
      <c r="SVX35" s="684"/>
      <c r="SVY35" s="684"/>
      <c r="SVZ35" s="684"/>
      <c r="SWA35" s="684"/>
      <c r="SWB35" s="684"/>
      <c r="SWC35" s="684"/>
      <c r="SWD35" s="684"/>
      <c r="SWE35" s="684"/>
      <c r="SWF35" s="684"/>
      <c r="SWG35" s="684"/>
      <c r="SWH35" s="684"/>
      <c r="SWI35" s="684"/>
      <c r="SWJ35" s="684"/>
      <c r="SWK35" s="684"/>
      <c r="SWL35" s="684"/>
      <c r="SWM35" s="684"/>
      <c r="SWN35" s="684"/>
      <c r="SWO35" s="684"/>
      <c r="SWP35" s="684"/>
      <c r="SWQ35" s="684"/>
      <c r="SWR35" s="684"/>
      <c r="SWS35" s="684"/>
      <c r="SWT35" s="684"/>
      <c r="SWU35" s="684"/>
      <c r="SWV35" s="684"/>
      <c r="SWW35" s="684"/>
      <c r="SWX35" s="684"/>
      <c r="SWY35" s="684"/>
      <c r="SWZ35" s="684"/>
      <c r="SXA35" s="684"/>
      <c r="SXB35" s="684"/>
      <c r="SXC35" s="684"/>
      <c r="SXD35" s="684"/>
      <c r="SXE35" s="684"/>
      <c r="SXF35" s="684"/>
      <c r="SXG35" s="684"/>
      <c r="SXH35" s="684"/>
      <c r="SXI35" s="684"/>
      <c r="SXJ35" s="684"/>
      <c r="SXK35" s="684"/>
      <c r="SXL35" s="684"/>
      <c r="SXM35" s="684"/>
      <c r="SXN35" s="684"/>
      <c r="SXO35" s="684"/>
      <c r="SXP35" s="684"/>
      <c r="SXQ35" s="684"/>
      <c r="SXR35" s="684"/>
      <c r="SXS35" s="684"/>
      <c r="SXT35" s="684"/>
      <c r="SXU35" s="684"/>
      <c r="SXV35" s="684"/>
      <c r="SXW35" s="684"/>
      <c r="SXX35" s="684"/>
      <c r="SXY35" s="684"/>
      <c r="SXZ35" s="684"/>
      <c r="SYA35" s="684"/>
      <c r="SYB35" s="684"/>
      <c r="SYC35" s="684"/>
      <c r="SYD35" s="684"/>
      <c r="SYE35" s="684"/>
      <c r="SYF35" s="684"/>
      <c r="SYG35" s="684"/>
      <c r="SYH35" s="684"/>
      <c r="SYI35" s="684"/>
      <c r="SYJ35" s="684"/>
      <c r="SYK35" s="684"/>
      <c r="SYL35" s="684"/>
      <c r="SYM35" s="684"/>
      <c r="SYN35" s="684"/>
      <c r="SYO35" s="684"/>
      <c r="SYP35" s="684"/>
      <c r="SYQ35" s="684"/>
      <c r="SYR35" s="684"/>
      <c r="SYS35" s="684"/>
      <c r="SYT35" s="684"/>
      <c r="SYU35" s="684"/>
      <c r="SYV35" s="684"/>
      <c r="SYW35" s="684"/>
      <c r="SYX35" s="684"/>
      <c r="SYY35" s="684"/>
      <c r="SYZ35" s="684"/>
      <c r="SZA35" s="684"/>
      <c r="SZB35" s="684"/>
      <c r="SZC35" s="684"/>
      <c r="SZD35" s="684"/>
      <c r="SZE35" s="684"/>
      <c r="SZF35" s="684"/>
      <c r="SZG35" s="684"/>
      <c r="SZH35" s="684"/>
      <c r="SZI35" s="684"/>
      <c r="SZJ35" s="684"/>
      <c r="SZK35" s="684"/>
      <c r="SZL35" s="684"/>
      <c r="SZM35" s="684"/>
      <c r="SZN35" s="684"/>
      <c r="SZO35" s="684"/>
      <c r="SZP35" s="684"/>
      <c r="SZQ35" s="684"/>
      <c r="SZR35" s="684"/>
      <c r="SZS35" s="684"/>
      <c r="SZT35" s="684"/>
      <c r="SZU35" s="684"/>
      <c r="SZV35" s="684"/>
      <c r="SZW35" s="684"/>
      <c r="SZX35" s="684"/>
      <c r="SZY35" s="684"/>
      <c r="SZZ35" s="684"/>
      <c r="TAA35" s="684"/>
      <c r="TAB35" s="684"/>
      <c r="TAC35" s="684"/>
      <c r="TAD35" s="684"/>
      <c r="TAE35" s="684"/>
      <c r="TAF35" s="684"/>
      <c r="TAG35" s="684"/>
      <c r="TAH35" s="684"/>
      <c r="TAI35" s="684"/>
      <c r="TAJ35" s="684"/>
      <c r="TAK35" s="684"/>
      <c r="TAL35" s="684"/>
      <c r="TAM35" s="684"/>
      <c r="TAN35" s="684"/>
      <c r="TAO35" s="684"/>
      <c r="TAP35" s="684"/>
      <c r="TAQ35" s="684"/>
      <c r="TAR35" s="684"/>
      <c r="TAS35" s="684"/>
      <c r="TAT35" s="684"/>
      <c r="TAU35" s="684"/>
      <c r="TAV35" s="684"/>
      <c r="TAW35" s="684"/>
      <c r="TAX35" s="684"/>
      <c r="TAY35" s="684"/>
      <c r="TAZ35" s="684"/>
      <c r="TBA35" s="684"/>
      <c r="TBB35" s="684"/>
      <c r="TBC35" s="684"/>
      <c r="TBD35" s="684"/>
      <c r="TBE35" s="684"/>
      <c r="TBF35" s="684"/>
      <c r="TBG35" s="684"/>
      <c r="TBH35" s="684"/>
      <c r="TBI35" s="684"/>
      <c r="TBJ35" s="684"/>
      <c r="TBK35" s="684"/>
      <c r="TBL35" s="684"/>
      <c r="TBM35" s="684"/>
      <c r="TBN35" s="684"/>
      <c r="TBO35" s="684"/>
      <c r="TBP35" s="684"/>
      <c r="TBQ35" s="684"/>
      <c r="TBR35" s="684"/>
      <c r="TBS35" s="684"/>
      <c r="TBT35" s="684"/>
      <c r="TBU35" s="684"/>
      <c r="TBV35" s="684"/>
      <c r="TBW35" s="684"/>
      <c r="TBX35" s="684"/>
      <c r="TBY35" s="684"/>
      <c r="TBZ35" s="684"/>
      <c r="TCA35" s="684"/>
      <c r="TCB35" s="684"/>
      <c r="TCC35" s="684"/>
      <c r="TCD35" s="684"/>
      <c r="TCE35" s="684"/>
      <c r="TCF35" s="684"/>
      <c r="TCG35" s="684"/>
      <c r="TCH35" s="684"/>
      <c r="TCI35" s="684"/>
      <c r="TCJ35" s="684"/>
      <c r="TCK35" s="684"/>
      <c r="TCL35" s="684"/>
      <c r="TCM35" s="684"/>
      <c r="TCN35" s="684"/>
      <c r="TCO35" s="684"/>
      <c r="TCP35" s="684"/>
      <c r="TCQ35" s="684"/>
      <c r="TCR35" s="684"/>
      <c r="TCS35" s="684"/>
      <c r="TCT35" s="684"/>
      <c r="TCU35" s="684"/>
      <c r="TCV35" s="684"/>
      <c r="TCW35" s="684"/>
      <c r="TCX35" s="684"/>
      <c r="TCY35" s="684"/>
      <c r="TCZ35" s="684"/>
      <c r="TDA35" s="684"/>
      <c r="TDB35" s="684"/>
      <c r="TDC35" s="684"/>
      <c r="TDD35" s="684"/>
      <c r="TDE35" s="684"/>
      <c r="TDF35" s="684"/>
      <c r="TDG35" s="684"/>
      <c r="TDH35" s="684"/>
      <c r="TDI35" s="684"/>
      <c r="TDJ35" s="684"/>
      <c r="TDK35" s="684"/>
      <c r="TDL35" s="684"/>
      <c r="TDM35" s="684"/>
      <c r="TDN35" s="684"/>
      <c r="TDO35" s="684"/>
      <c r="TDP35" s="684"/>
      <c r="TDQ35" s="684"/>
      <c r="TDR35" s="684"/>
      <c r="TDS35" s="684"/>
      <c r="TDT35" s="684"/>
      <c r="TDU35" s="684"/>
      <c r="TDV35" s="684"/>
      <c r="TDW35" s="684"/>
      <c r="TDX35" s="684"/>
      <c r="TDY35" s="684"/>
      <c r="TDZ35" s="684"/>
      <c r="TEA35" s="684"/>
      <c r="TEB35" s="684"/>
      <c r="TEC35" s="684"/>
      <c r="TED35" s="684"/>
      <c r="TEE35" s="684"/>
      <c r="TEF35" s="684"/>
      <c r="TEG35" s="684"/>
      <c r="TEH35" s="684"/>
      <c r="TEI35" s="684"/>
      <c r="TEJ35" s="684"/>
      <c r="TEK35" s="684"/>
      <c r="TEL35" s="684"/>
      <c r="TEM35" s="684"/>
      <c r="TEN35" s="684"/>
      <c r="TEO35" s="684"/>
      <c r="TEP35" s="684"/>
      <c r="TEQ35" s="684"/>
      <c r="TER35" s="684"/>
      <c r="TES35" s="684"/>
      <c r="TET35" s="684"/>
      <c r="TEU35" s="684"/>
      <c r="TEV35" s="684"/>
      <c r="TEW35" s="684"/>
      <c r="TEX35" s="684"/>
      <c r="TEY35" s="684"/>
      <c r="TEZ35" s="684"/>
      <c r="TFA35" s="684"/>
      <c r="TFB35" s="684"/>
      <c r="TFC35" s="684"/>
      <c r="TFD35" s="684"/>
      <c r="TFE35" s="684"/>
      <c r="TFF35" s="684"/>
      <c r="TFG35" s="684"/>
      <c r="TFH35" s="684"/>
      <c r="TFI35" s="684"/>
      <c r="TFJ35" s="684"/>
      <c r="TFK35" s="684"/>
      <c r="TFL35" s="684"/>
      <c r="TFM35" s="684"/>
      <c r="TFN35" s="684"/>
      <c r="TFO35" s="684"/>
      <c r="TFP35" s="684"/>
      <c r="TFQ35" s="684"/>
      <c r="TFR35" s="684"/>
      <c r="TFS35" s="684"/>
      <c r="TFT35" s="684"/>
      <c r="TFU35" s="684"/>
      <c r="TFV35" s="684"/>
      <c r="TFW35" s="684"/>
      <c r="TFX35" s="684"/>
      <c r="TFY35" s="684"/>
      <c r="TFZ35" s="684"/>
      <c r="TGA35" s="684"/>
      <c r="TGB35" s="684"/>
      <c r="TGC35" s="684"/>
      <c r="TGD35" s="684"/>
      <c r="TGE35" s="684"/>
      <c r="TGF35" s="684"/>
      <c r="TGG35" s="684"/>
      <c r="TGH35" s="684"/>
      <c r="TGI35" s="684"/>
      <c r="TGJ35" s="684"/>
      <c r="TGK35" s="684"/>
      <c r="TGL35" s="684"/>
      <c r="TGM35" s="684"/>
      <c r="TGN35" s="684"/>
      <c r="TGO35" s="684"/>
      <c r="TGP35" s="684"/>
      <c r="TGQ35" s="684"/>
      <c r="TGR35" s="684"/>
      <c r="TGS35" s="684"/>
      <c r="TGT35" s="684"/>
      <c r="TGU35" s="684"/>
      <c r="TGV35" s="684"/>
      <c r="TGW35" s="684"/>
      <c r="TGX35" s="684"/>
      <c r="TGY35" s="684"/>
      <c r="TGZ35" s="684"/>
      <c r="THA35" s="684"/>
      <c r="THB35" s="684"/>
      <c r="THC35" s="684"/>
      <c r="THD35" s="684"/>
      <c r="THE35" s="684"/>
      <c r="THF35" s="684"/>
      <c r="THG35" s="684"/>
      <c r="THH35" s="684"/>
      <c r="THI35" s="684"/>
      <c r="THJ35" s="684"/>
      <c r="THK35" s="684"/>
      <c r="THL35" s="684"/>
      <c r="THM35" s="684"/>
      <c r="THN35" s="684"/>
      <c r="THO35" s="684"/>
      <c r="THP35" s="684"/>
      <c r="THQ35" s="684"/>
      <c r="THR35" s="684"/>
      <c r="THS35" s="684"/>
      <c r="THT35" s="684"/>
      <c r="THU35" s="684"/>
      <c r="THV35" s="684"/>
      <c r="THW35" s="684"/>
      <c r="THX35" s="684"/>
      <c r="THY35" s="684"/>
      <c r="THZ35" s="684"/>
      <c r="TIA35" s="684"/>
      <c r="TIB35" s="684"/>
      <c r="TIC35" s="684"/>
      <c r="TID35" s="684"/>
      <c r="TIE35" s="684"/>
      <c r="TIF35" s="684"/>
      <c r="TIG35" s="684"/>
      <c r="TIH35" s="684"/>
      <c r="TII35" s="684"/>
      <c r="TIJ35" s="684"/>
      <c r="TIK35" s="684"/>
      <c r="TIL35" s="684"/>
      <c r="TIM35" s="684"/>
      <c r="TIN35" s="684"/>
      <c r="TIO35" s="684"/>
      <c r="TIP35" s="684"/>
      <c r="TIQ35" s="684"/>
      <c r="TIR35" s="684"/>
      <c r="TIS35" s="684"/>
      <c r="TIT35" s="684"/>
      <c r="TIU35" s="684"/>
      <c r="TIV35" s="684"/>
      <c r="TIW35" s="684"/>
      <c r="TIX35" s="684"/>
      <c r="TIY35" s="684"/>
      <c r="TIZ35" s="684"/>
      <c r="TJA35" s="684"/>
      <c r="TJB35" s="684"/>
      <c r="TJC35" s="684"/>
      <c r="TJD35" s="684"/>
      <c r="TJE35" s="684"/>
      <c r="TJF35" s="684"/>
      <c r="TJG35" s="684"/>
      <c r="TJH35" s="684"/>
      <c r="TJI35" s="684"/>
      <c r="TJJ35" s="684"/>
      <c r="TJK35" s="684"/>
      <c r="TJL35" s="684"/>
      <c r="TJM35" s="684"/>
      <c r="TJN35" s="684"/>
      <c r="TJO35" s="684"/>
      <c r="TJP35" s="684"/>
      <c r="TJQ35" s="684"/>
      <c r="TJR35" s="684"/>
      <c r="TJS35" s="684"/>
      <c r="TJT35" s="684"/>
      <c r="TJU35" s="684"/>
      <c r="TJV35" s="684"/>
      <c r="TJW35" s="684"/>
      <c r="TJX35" s="684"/>
      <c r="TJY35" s="684"/>
      <c r="TJZ35" s="684"/>
      <c r="TKA35" s="684"/>
      <c r="TKB35" s="684"/>
      <c r="TKC35" s="684"/>
      <c r="TKD35" s="684"/>
      <c r="TKE35" s="684"/>
      <c r="TKF35" s="684"/>
      <c r="TKG35" s="684"/>
      <c r="TKH35" s="684"/>
      <c r="TKI35" s="684"/>
      <c r="TKJ35" s="684"/>
      <c r="TKK35" s="684"/>
      <c r="TKL35" s="684"/>
      <c r="TKM35" s="684"/>
      <c r="TKN35" s="684"/>
      <c r="TKO35" s="684"/>
      <c r="TKP35" s="684"/>
      <c r="TKQ35" s="684"/>
      <c r="TKR35" s="684"/>
      <c r="TKS35" s="684"/>
      <c r="TKT35" s="684"/>
      <c r="TKU35" s="684"/>
      <c r="TKV35" s="684"/>
      <c r="TKW35" s="684"/>
      <c r="TKX35" s="684"/>
      <c r="TKY35" s="684"/>
      <c r="TKZ35" s="684"/>
      <c r="TLA35" s="684"/>
      <c r="TLB35" s="684"/>
      <c r="TLC35" s="684"/>
      <c r="TLD35" s="684"/>
      <c r="TLE35" s="684"/>
      <c r="TLF35" s="684"/>
      <c r="TLG35" s="684"/>
      <c r="TLH35" s="684"/>
      <c r="TLI35" s="684"/>
      <c r="TLJ35" s="684"/>
      <c r="TLK35" s="684"/>
      <c r="TLL35" s="684"/>
      <c r="TLM35" s="684"/>
      <c r="TLN35" s="684"/>
      <c r="TLO35" s="684"/>
      <c r="TLP35" s="684"/>
      <c r="TLQ35" s="684"/>
      <c r="TLR35" s="684"/>
      <c r="TLS35" s="684"/>
      <c r="TLT35" s="684"/>
      <c r="TLU35" s="684"/>
      <c r="TLV35" s="684"/>
      <c r="TLW35" s="684"/>
      <c r="TLX35" s="684"/>
      <c r="TLY35" s="684"/>
      <c r="TLZ35" s="684"/>
      <c r="TMA35" s="684"/>
      <c r="TMB35" s="684"/>
      <c r="TMC35" s="684"/>
      <c r="TMD35" s="684"/>
      <c r="TME35" s="684"/>
      <c r="TMF35" s="684"/>
      <c r="TMG35" s="684"/>
      <c r="TMH35" s="684"/>
      <c r="TMI35" s="684"/>
      <c r="TMJ35" s="684"/>
      <c r="TMK35" s="684"/>
      <c r="TML35" s="684"/>
      <c r="TMM35" s="684"/>
      <c r="TMN35" s="684"/>
      <c r="TMO35" s="684"/>
      <c r="TMP35" s="684"/>
      <c r="TMQ35" s="684"/>
      <c r="TMR35" s="684"/>
      <c r="TMS35" s="684"/>
      <c r="TMT35" s="684"/>
      <c r="TMU35" s="684"/>
      <c r="TMV35" s="684"/>
      <c r="TMW35" s="684"/>
      <c r="TMX35" s="684"/>
      <c r="TMY35" s="684"/>
      <c r="TMZ35" s="684"/>
      <c r="TNA35" s="684"/>
      <c r="TNB35" s="684"/>
      <c r="TNC35" s="684"/>
      <c r="TND35" s="684"/>
      <c r="TNE35" s="684"/>
      <c r="TNF35" s="684"/>
      <c r="TNG35" s="684"/>
      <c r="TNH35" s="684"/>
      <c r="TNI35" s="684"/>
      <c r="TNJ35" s="684"/>
      <c r="TNK35" s="684"/>
      <c r="TNL35" s="684"/>
      <c r="TNM35" s="684"/>
      <c r="TNN35" s="684"/>
      <c r="TNO35" s="684"/>
      <c r="TNP35" s="684"/>
      <c r="TNQ35" s="684"/>
      <c r="TNR35" s="684"/>
      <c r="TNS35" s="684"/>
      <c r="TNT35" s="684"/>
      <c r="TNU35" s="684"/>
      <c r="TNV35" s="684"/>
      <c r="TNW35" s="684"/>
      <c r="TNX35" s="684"/>
      <c r="TNY35" s="684"/>
      <c r="TNZ35" s="684"/>
      <c r="TOA35" s="684"/>
      <c r="TOB35" s="684"/>
      <c r="TOC35" s="684"/>
      <c r="TOD35" s="684"/>
      <c r="TOE35" s="684"/>
      <c r="TOF35" s="684"/>
      <c r="TOG35" s="684"/>
      <c r="TOH35" s="684"/>
      <c r="TOI35" s="684"/>
      <c r="TOJ35" s="684"/>
      <c r="TOK35" s="684"/>
      <c r="TOL35" s="684"/>
      <c r="TOM35" s="684"/>
      <c r="TON35" s="684"/>
      <c r="TOO35" s="684"/>
      <c r="TOP35" s="684"/>
      <c r="TOQ35" s="684"/>
      <c r="TOR35" s="684"/>
      <c r="TOS35" s="684"/>
      <c r="TOT35" s="684"/>
      <c r="TOU35" s="684"/>
      <c r="TOV35" s="684"/>
      <c r="TOW35" s="684"/>
      <c r="TOX35" s="684"/>
      <c r="TOY35" s="684"/>
      <c r="TOZ35" s="684"/>
      <c r="TPA35" s="684"/>
      <c r="TPB35" s="684"/>
      <c r="TPC35" s="684"/>
      <c r="TPD35" s="684"/>
      <c r="TPE35" s="684"/>
      <c r="TPF35" s="684"/>
      <c r="TPG35" s="684"/>
      <c r="TPH35" s="684"/>
      <c r="TPI35" s="684"/>
      <c r="TPJ35" s="684"/>
      <c r="TPK35" s="684"/>
      <c r="TPL35" s="684"/>
      <c r="TPM35" s="684"/>
      <c r="TPN35" s="684"/>
      <c r="TPO35" s="684"/>
      <c r="TPP35" s="684"/>
      <c r="TPQ35" s="684"/>
      <c r="TPR35" s="684"/>
      <c r="TPS35" s="684"/>
      <c r="TPT35" s="684"/>
      <c r="TPU35" s="684"/>
      <c r="TPV35" s="684"/>
      <c r="TPW35" s="684"/>
      <c r="TPX35" s="684"/>
      <c r="TPY35" s="684"/>
      <c r="TPZ35" s="684"/>
      <c r="TQA35" s="684"/>
      <c r="TQB35" s="684"/>
      <c r="TQC35" s="684"/>
      <c r="TQD35" s="684"/>
      <c r="TQE35" s="684"/>
      <c r="TQF35" s="684"/>
      <c r="TQG35" s="684"/>
      <c r="TQH35" s="684"/>
      <c r="TQI35" s="684"/>
      <c r="TQJ35" s="684"/>
      <c r="TQK35" s="684"/>
      <c r="TQL35" s="684"/>
      <c r="TQM35" s="684"/>
      <c r="TQN35" s="684"/>
      <c r="TQO35" s="684"/>
      <c r="TQP35" s="684"/>
      <c r="TQQ35" s="684"/>
      <c r="TQR35" s="684"/>
      <c r="TQS35" s="684"/>
      <c r="TQT35" s="684"/>
      <c r="TQU35" s="684"/>
      <c r="TQV35" s="684"/>
      <c r="TQW35" s="684"/>
      <c r="TQX35" s="684"/>
      <c r="TQY35" s="684"/>
      <c r="TQZ35" s="684"/>
      <c r="TRA35" s="684"/>
      <c r="TRB35" s="684"/>
      <c r="TRC35" s="684"/>
      <c r="TRD35" s="684"/>
      <c r="TRE35" s="684"/>
      <c r="TRF35" s="684"/>
      <c r="TRG35" s="684"/>
      <c r="TRH35" s="684"/>
      <c r="TRI35" s="684"/>
      <c r="TRJ35" s="684"/>
      <c r="TRK35" s="684"/>
      <c r="TRL35" s="684"/>
      <c r="TRM35" s="684"/>
      <c r="TRN35" s="684"/>
      <c r="TRO35" s="684"/>
      <c r="TRP35" s="684"/>
      <c r="TRQ35" s="684"/>
      <c r="TRR35" s="684"/>
      <c r="TRS35" s="684"/>
      <c r="TRT35" s="684"/>
      <c r="TRU35" s="684"/>
      <c r="TRV35" s="684"/>
      <c r="TRW35" s="684"/>
      <c r="TRX35" s="684"/>
      <c r="TRY35" s="684"/>
      <c r="TRZ35" s="684"/>
      <c r="TSA35" s="684"/>
      <c r="TSB35" s="684"/>
      <c r="TSC35" s="684"/>
      <c r="TSD35" s="684"/>
      <c r="TSE35" s="684"/>
      <c r="TSF35" s="684"/>
      <c r="TSG35" s="684"/>
      <c r="TSH35" s="684"/>
      <c r="TSI35" s="684"/>
      <c r="TSJ35" s="684"/>
      <c r="TSK35" s="684"/>
      <c r="TSL35" s="684"/>
      <c r="TSM35" s="684"/>
      <c r="TSN35" s="684"/>
      <c r="TSO35" s="684"/>
      <c r="TSP35" s="684"/>
      <c r="TSQ35" s="684"/>
      <c r="TSR35" s="684"/>
      <c r="TSS35" s="684"/>
      <c r="TST35" s="684"/>
      <c r="TSU35" s="684"/>
      <c r="TSV35" s="684"/>
      <c r="TSW35" s="684"/>
      <c r="TSX35" s="684"/>
      <c r="TSY35" s="684"/>
      <c r="TSZ35" s="684"/>
      <c r="TTA35" s="684"/>
      <c r="TTB35" s="684"/>
      <c r="TTC35" s="684"/>
      <c r="TTD35" s="684"/>
      <c r="TTE35" s="684"/>
      <c r="TTF35" s="684"/>
      <c r="TTG35" s="684"/>
      <c r="TTH35" s="684"/>
      <c r="TTI35" s="684"/>
      <c r="TTJ35" s="684"/>
      <c r="TTK35" s="684"/>
      <c r="TTL35" s="684"/>
      <c r="TTM35" s="684"/>
      <c r="TTN35" s="684"/>
      <c r="TTO35" s="684"/>
      <c r="TTP35" s="684"/>
      <c r="TTQ35" s="684"/>
      <c r="TTR35" s="684"/>
      <c r="TTS35" s="684"/>
      <c r="TTT35" s="684"/>
      <c r="TTU35" s="684"/>
      <c r="TTV35" s="684"/>
      <c r="TTW35" s="684"/>
      <c r="TTX35" s="684"/>
      <c r="TTY35" s="684"/>
      <c r="TTZ35" s="684"/>
      <c r="TUA35" s="684"/>
      <c r="TUB35" s="684"/>
      <c r="TUC35" s="684"/>
      <c r="TUD35" s="684"/>
      <c r="TUE35" s="684"/>
      <c r="TUF35" s="684"/>
      <c r="TUG35" s="684"/>
      <c r="TUH35" s="684"/>
      <c r="TUI35" s="684"/>
      <c r="TUJ35" s="684"/>
      <c r="TUK35" s="684"/>
      <c r="TUL35" s="684"/>
      <c r="TUM35" s="684"/>
      <c r="TUN35" s="684"/>
      <c r="TUO35" s="684"/>
      <c r="TUP35" s="684"/>
      <c r="TUQ35" s="684"/>
      <c r="TUR35" s="684"/>
      <c r="TUS35" s="684"/>
      <c r="TUT35" s="684"/>
      <c r="TUU35" s="684"/>
      <c r="TUV35" s="684"/>
      <c r="TUW35" s="684"/>
      <c r="TUX35" s="684"/>
      <c r="TUY35" s="684"/>
      <c r="TUZ35" s="684"/>
      <c r="TVA35" s="684"/>
      <c r="TVB35" s="684"/>
      <c r="TVC35" s="684"/>
      <c r="TVD35" s="684"/>
      <c r="TVE35" s="684"/>
      <c r="TVF35" s="684"/>
      <c r="TVG35" s="684"/>
      <c r="TVH35" s="684"/>
      <c r="TVI35" s="684"/>
      <c r="TVJ35" s="684"/>
      <c r="TVK35" s="684"/>
      <c r="TVL35" s="684"/>
      <c r="TVM35" s="684"/>
      <c r="TVN35" s="684"/>
      <c r="TVO35" s="684"/>
      <c r="TVP35" s="684"/>
      <c r="TVQ35" s="684"/>
      <c r="TVR35" s="684"/>
      <c r="TVS35" s="684"/>
      <c r="TVT35" s="684"/>
      <c r="TVU35" s="684"/>
      <c r="TVV35" s="684"/>
      <c r="TVW35" s="684"/>
      <c r="TVX35" s="684"/>
      <c r="TVY35" s="684"/>
      <c r="TVZ35" s="684"/>
      <c r="TWA35" s="684"/>
      <c r="TWB35" s="684"/>
      <c r="TWC35" s="684"/>
      <c r="TWD35" s="684"/>
      <c r="TWE35" s="684"/>
      <c r="TWF35" s="684"/>
      <c r="TWG35" s="684"/>
      <c r="TWH35" s="684"/>
      <c r="TWI35" s="684"/>
      <c r="TWJ35" s="684"/>
      <c r="TWK35" s="684"/>
      <c r="TWL35" s="684"/>
      <c r="TWM35" s="684"/>
      <c r="TWN35" s="684"/>
      <c r="TWO35" s="684"/>
      <c r="TWP35" s="684"/>
      <c r="TWQ35" s="684"/>
      <c r="TWR35" s="684"/>
      <c r="TWS35" s="684"/>
      <c r="TWT35" s="684"/>
      <c r="TWU35" s="684"/>
      <c r="TWV35" s="684"/>
      <c r="TWW35" s="684"/>
      <c r="TWX35" s="684"/>
      <c r="TWY35" s="684"/>
      <c r="TWZ35" s="684"/>
      <c r="TXA35" s="684"/>
      <c r="TXB35" s="684"/>
      <c r="TXC35" s="684"/>
      <c r="TXD35" s="684"/>
      <c r="TXE35" s="684"/>
      <c r="TXF35" s="684"/>
      <c r="TXG35" s="684"/>
      <c r="TXH35" s="684"/>
      <c r="TXI35" s="684"/>
      <c r="TXJ35" s="684"/>
      <c r="TXK35" s="684"/>
      <c r="TXL35" s="684"/>
      <c r="TXM35" s="684"/>
      <c r="TXN35" s="684"/>
      <c r="TXO35" s="684"/>
      <c r="TXP35" s="684"/>
      <c r="TXQ35" s="684"/>
      <c r="TXR35" s="684"/>
      <c r="TXS35" s="684"/>
      <c r="TXT35" s="684"/>
      <c r="TXU35" s="684"/>
      <c r="TXV35" s="684"/>
      <c r="TXW35" s="684"/>
      <c r="TXX35" s="684"/>
      <c r="TXY35" s="684"/>
      <c r="TXZ35" s="684"/>
      <c r="TYA35" s="684"/>
      <c r="TYB35" s="684"/>
      <c r="TYC35" s="684"/>
      <c r="TYD35" s="684"/>
      <c r="TYE35" s="684"/>
      <c r="TYF35" s="684"/>
      <c r="TYG35" s="684"/>
      <c r="TYH35" s="684"/>
      <c r="TYI35" s="684"/>
      <c r="TYJ35" s="684"/>
      <c r="TYK35" s="684"/>
      <c r="TYL35" s="684"/>
      <c r="TYM35" s="684"/>
      <c r="TYN35" s="684"/>
      <c r="TYO35" s="684"/>
      <c r="TYP35" s="684"/>
      <c r="TYQ35" s="684"/>
      <c r="TYR35" s="684"/>
      <c r="TYS35" s="684"/>
      <c r="TYT35" s="684"/>
      <c r="TYU35" s="684"/>
      <c r="TYV35" s="684"/>
      <c r="TYW35" s="684"/>
      <c r="TYX35" s="684"/>
      <c r="TYY35" s="684"/>
      <c r="TYZ35" s="684"/>
      <c r="TZA35" s="684"/>
      <c r="TZB35" s="684"/>
      <c r="TZC35" s="684"/>
      <c r="TZD35" s="684"/>
      <c r="TZE35" s="684"/>
      <c r="TZF35" s="684"/>
      <c r="TZG35" s="684"/>
      <c r="TZH35" s="684"/>
      <c r="TZI35" s="684"/>
      <c r="TZJ35" s="684"/>
      <c r="TZK35" s="684"/>
      <c r="TZL35" s="684"/>
      <c r="TZM35" s="684"/>
      <c r="TZN35" s="684"/>
      <c r="TZO35" s="684"/>
      <c r="TZP35" s="684"/>
      <c r="TZQ35" s="684"/>
      <c r="TZR35" s="684"/>
      <c r="TZS35" s="684"/>
      <c r="TZT35" s="684"/>
      <c r="TZU35" s="684"/>
      <c r="TZV35" s="684"/>
      <c r="TZW35" s="684"/>
      <c r="TZX35" s="684"/>
      <c r="TZY35" s="684"/>
      <c r="TZZ35" s="684"/>
      <c r="UAA35" s="684"/>
      <c r="UAB35" s="684"/>
      <c r="UAC35" s="684"/>
      <c r="UAD35" s="684"/>
      <c r="UAE35" s="684"/>
      <c r="UAF35" s="684"/>
      <c r="UAG35" s="684"/>
      <c r="UAH35" s="684"/>
      <c r="UAI35" s="684"/>
      <c r="UAJ35" s="684"/>
      <c r="UAK35" s="684"/>
      <c r="UAL35" s="684"/>
      <c r="UAM35" s="684"/>
      <c r="UAN35" s="684"/>
      <c r="UAO35" s="684"/>
      <c r="UAP35" s="684"/>
      <c r="UAQ35" s="684"/>
      <c r="UAR35" s="684"/>
      <c r="UAS35" s="684"/>
      <c r="UAT35" s="684"/>
      <c r="UAU35" s="684"/>
      <c r="UAV35" s="684"/>
      <c r="UAW35" s="684"/>
      <c r="UAX35" s="684"/>
      <c r="UAY35" s="684"/>
      <c r="UAZ35" s="684"/>
      <c r="UBA35" s="684"/>
      <c r="UBB35" s="684"/>
      <c r="UBC35" s="684"/>
      <c r="UBD35" s="684"/>
      <c r="UBE35" s="684"/>
      <c r="UBF35" s="684"/>
      <c r="UBG35" s="684"/>
      <c r="UBH35" s="684"/>
      <c r="UBI35" s="684"/>
      <c r="UBJ35" s="684"/>
      <c r="UBK35" s="684"/>
      <c r="UBL35" s="684"/>
      <c r="UBM35" s="684"/>
      <c r="UBN35" s="684"/>
      <c r="UBO35" s="684"/>
      <c r="UBP35" s="684"/>
      <c r="UBQ35" s="684"/>
      <c r="UBR35" s="684"/>
      <c r="UBS35" s="684"/>
      <c r="UBT35" s="684"/>
      <c r="UBU35" s="684"/>
      <c r="UBV35" s="684"/>
      <c r="UBW35" s="684"/>
      <c r="UBX35" s="684"/>
      <c r="UBY35" s="684"/>
      <c r="UBZ35" s="684"/>
      <c r="UCA35" s="684"/>
      <c r="UCB35" s="684"/>
      <c r="UCC35" s="684"/>
      <c r="UCD35" s="684"/>
      <c r="UCE35" s="684"/>
      <c r="UCF35" s="684"/>
      <c r="UCG35" s="684"/>
      <c r="UCH35" s="684"/>
      <c r="UCI35" s="684"/>
      <c r="UCJ35" s="684"/>
      <c r="UCK35" s="684"/>
      <c r="UCL35" s="684"/>
      <c r="UCM35" s="684"/>
      <c r="UCN35" s="684"/>
      <c r="UCO35" s="684"/>
      <c r="UCP35" s="684"/>
      <c r="UCQ35" s="684"/>
      <c r="UCR35" s="684"/>
      <c r="UCS35" s="684"/>
      <c r="UCT35" s="684"/>
      <c r="UCU35" s="684"/>
      <c r="UCV35" s="684"/>
      <c r="UCW35" s="684"/>
      <c r="UCX35" s="684"/>
      <c r="UCY35" s="684"/>
      <c r="UCZ35" s="684"/>
      <c r="UDA35" s="684"/>
      <c r="UDB35" s="684"/>
      <c r="UDC35" s="684"/>
      <c r="UDD35" s="684"/>
      <c r="UDE35" s="684"/>
      <c r="UDF35" s="684"/>
      <c r="UDG35" s="684"/>
      <c r="UDH35" s="684"/>
      <c r="UDI35" s="684"/>
      <c r="UDJ35" s="684"/>
      <c r="UDK35" s="684"/>
      <c r="UDL35" s="684"/>
      <c r="UDM35" s="684"/>
      <c r="UDN35" s="684"/>
      <c r="UDO35" s="684"/>
      <c r="UDP35" s="684"/>
      <c r="UDQ35" s="684"/>
      <c r="UDR35" s="684"/>
      <c r="UDS35" s="684"/>
      <c r="UDT35" s="684"/>
      <c r="UDU35" s="684"/>
      <c r="UDV35" s="684"/>
      <c r="UDW35" s="684"/>
      <c r="UDX35" s="684"/>
      <c r="UDY35" s="684"/>
      <c r="UDZ35" s="684"/>
      <c r="UEA35" s="684"/>
      <c r="UEB35" s="684"/>
      <c r="UEC35" s="684"/>
      <c r="UED35" s="684"/>
      <c r="UEE35" s="684"/>
      <c r="UEF35" s="684"/>
      <c r="UEG35" s="684"/>
      <c r="UEH35" s="684"/>
      <c r="UEI35" s="684"/>
      <c r="UEJ35" s="684"/>
      <c r="UEK35" s="684"/>
      <c r="UEL35" s="684"/>
      <c r="UEM35" s="684"/>
      <c r="UEN35" s="684"/>
      <c r="UEO35" s="684"/>
      <c r="UEP35" s="684"/>
      <c r="UEQ35" s="684"/>
      <c r="UER35" s="684"/>
      <c r="UES35" s="684"/>
      <c r="UET35" s="684"/>
      <c r="UEU35" s="684"/>
      <c r="UEV35" s="684"/>
      <c r="UEW35" s="684"/>
      <c r="UEX35" s="684"/>
      <c r="UEY35" s="684"/>
      <c r="UEZ35" s="684"/>
      <c r="UFA35" s="684"/>
      <c r="UFB35" s="684"/>
      <c r="UFC35" s="684"/>
      <c r="UFD35" s="684"/>
      <c r="UFE35" s="684"/>
      <c r="UFF35" s="684"/>
      <c r="UFG35" s="684"/>
      <c r="UFH35" s="684"/>
      <c r="UFI35" s="684"/>
      <c r="UFJ35" s="684"/>
      <c r="UFK35" s="684"/>
      <c r="UFL35" s="684"/>
      <c r="UFM35" s="684"/>
      <c r="UFN35" s="684"/>
      <c r="UFO35" s="684"/>
      <c r="UFP35" s="684"/>
      <c r="UFQ35" s="684"/>
      <c r="UFR35" s="684"/>
      <c r="UFS35" s="684"/>
      <c r="UFT35" s="684"/>
      <c r="UFU35" s="684"/>
      <c r="UFV35" s="684"/>
      <c r="UFW35" s="684"/>
      <c r="UFX35" s="684"/>
      <c r="UFY35" s="684"/>
      <c r="UFZ35" s="684"/>
      <c r="UGA35" s="684"/>
      <c r="UGB35" s="684"/>
      <c r="UGC35" s="684"/>
      <c r="UGD35" s="684"/>
      <c r="UGE35" s="684"/>
      <c r="UGF35" s="684"/>
      <c r="UGG35" s="684"/>
      <c r="UGH35" s="684"/>
      <c r="UGI35" s="684"/>
      <c r="UGJ35" s="684"/>
      <c r="UGK35" s="684"/>
      <c r="UGL35" s="684"/>
      <c r="UGM35" s="684"/>
      <c r="UGN35" s="684"/>
      <c r="UGO35" s="684"/>
      <c r="UGP35" s="684"/>
      <c r="UGQ35" s="684"/>
      <c r="UGR35" s="684"/>
      <c r="UGS35" s="684"/>
      <c r="UGT35" s="684"/>
      <c r="UGU35" s="684"/>
      <c r="UGV35" s="684"/>
      <c r="UGW35" s="684"/>
      <c r="UGX35" s="684"/>
      <c r="UGY35" s="684"/>
      <c r="UGZ35" s="684"/>
      <c r="UHA35" s="684"/>
      <c r="UHB35" s="684"/>
      <c r="UHC35" s="684"/>
      <c r="UHD35" s="684"/>
      <c r="UHE35" s="684"/>
      <c r="UHF35" s="684"/>
      <c r="UHG35" s="684"/>
      <c r="UHH35" s="684"/>
      <c r="UHI35" s="684"/>
      <c r="UHJ35" s="684"/>
      <c r="UHK35" s="684"/>
      <c r="UHL35" s="684"/>
      <c r="UHM35" s="684"/>
      <c r="UHN35" s="684"/>
      <c r="UHO35" s="684"/>
      <c r="UHP35" s="684"/>
      <c r="UHQ35" s="684"/>
      <c r="UHR35" s="684"/>
      <c r="UHS35" s="684"/>
      <c r="UHT35" s="684"/>
      <c r="UHU35" s="684"/>
      <c r="UHV35" s="684"/>
      <c r="UHW35" s="684"/>
      <c r="UHX35" s="684"/>
      <c r="UHY35" s="684"/>
      <c r="UHZ35" s="684"/>
      <c r="UIA35" s="684"/>
      <c r="UIB35" s="684"/>
      <c r="UIC35" s="684"/>
      <c r="UID35" s="684"/>
      <c r="UIE35" s="684"/>
      <c r="UIF35" s="684"/>
      <c r="UIG35" s="684"/>
      <c r="UIH35" s="684"/>
      <c r="UII35" s="684"/>
      <c r="UIJ35" s="684"/>
      <c r="UIK35" s="684"/>
      <c r="UIL35" s="684"/>
      <c r="UIM35" s="684"/>
      <c r="UIN35" s="684"/>
      <c r="UIO35" s="684"/>
      <c r="UIP35" s="684"/>
      <c r="UIQ35" s="684"/>
      <c r="UIR35" s="684"/>
      <c r="UIS35" s="684"/>
      <c r="UIT35" s="684"/>
      <c r="UIU35" s="684"/>
      <c r="UIV35" s="684"/>
      <c r="UIW35" s="684"/>
      <c r="UIX35" s="684"/>
      <c r="UIY35" s="684"/>
      <c r="UIZ35" s="684"/>
      <c r="UJA35" s="684"/>
      <c r="UJB35" s="684"/>
      <c r="UJC35" s="684"/>
      <c r="UJD35" s="684"/>
      <c r="UJE35" s="684"/>
      <c r="UJF35" s="684"/>
      <c r="UJG35" s="684"/>
      <c r="UJH35" s="684"/>
      <c r="UJI35" s="684"/>
      <c r="UJJ35" s="684"/>
      <c r="UJK35" s="684"/>
      <c r="UJL35" s="684"/>
      <c r="UJM35" s="684"/>
      <c r="UJN35" s="684"/>
      <c r="UJO35" s="684"/>
      <c r="UJP35" s="684"/>
      <c r="UJQ35" s="684"/>
      <c r="UJR35" s="684"/>
      <c r="UJS35" s="684"/>
      <c r="UJT35" s="684"/>
      <c r="UJU35" s="684"/>
      <c r="UJV35" s="684"/>
      <c r="UJW35" s="684"/>
      <c r="UJX35" s="684"/>
      <c r="UJY35" s="684"/>
      <c r="UJZ35" s="684"/>
      <c r="UKA35" s="684"/>
      <c r="UKB35" s="684"/>
      <c r="UKC35" s="684"/>
      <c r="UKD35" s="684"/>
      <c r="UKE35" s="684"/>
      <c r="UKF35" s="684"/>
      <c r="UKG35" s="684"/>
      <c r="UKH35" s="684"/>
      <c r="UKI35" s="684"/>
      <c r="UKJ35" s="684"/>
      <c r="UKK35" s="684"/>
      <c r="UKL35" s="684"/>
      <c r="UKM35" s="684"/>
      <c r="UKN35" s="684"/>
      <c r="UKO35" s="684"/>
      <c r="UKP35" s="684"/>
      <c r="UKQ35" s="684"/>
      <c r="UKR35" s="684"/>
      <c r="UKS35" s="684"/>
      <c r="UKT35" s="684"/>
      <c r="UKU35" s="684"/>
      <c r="UKV35" s="684"/>
      <c r="UKW35" s="684"/>
      <c r="UKX35" s="684"/>
      <c r="UKY35" s="684"/>
      <c r="UKZ35" s="684"/>
      <c r="ULA35" s="684"/>
      <c r="ULB35" s="684"/>
      <c r="ULC35" s="684"/>
      <c r="ULD35" s="684"/>
      <c r="ULE35" s="684"/>
      <c r="ULF35" s="684"/>
      <c r="ULG35" s="684"/>
      <c r="ULH35" s="684"/>
      <c r="ULI35" s="684"/>
      <c r="ULJ35" s="684"/>
      <c r="ULK35" s="684"/>
      <c r="ULL35" s="684"/>
      <c r="ULM35" s="684"/>
      <c r="ULN35" s="684"/>
      <c r="ULO35" s="684"/>
      <c r="ULP35" s="684"/>
      <c r="ULQ35" s="684"/>
      <c r="ULR35" s="684"/>
      <c r="ULS35" s="684"/>
      <c r="ULT35" s="684"/>
      <c r="ULU35" s="684"/>
      <c r="ULV35" s="684"/>
      <c r="ULW35" s="684"/>
      <c r="ULX35" s="684"/>
      <c r="ULY35" s="684"/>
      <c r="ULZ35" s="684"/>
      <c r="UMA35" s="684"/>
      <c r="UMB35" s="684"/>
      <c r="UMC35" s="684"/>
      <c r="UMD35" s="684"/>
      <c r="UME35" s="684"/>
      <c r="UMF35" s="684"/>
      <c r="UMG35" s="684"/>
      <c r="UMH35" s="684"/>
      <c r="UMI35" s="684"/>
      <c r="UMJ35" s="684"/>
      <c r="UMK35" s="684"/>
      <c r="UML35" s="684"/>
      <c r="UMM35" s="684"/>
      <c r="UMN35" s="684"/>
      <c r="UMO35" s="684"/>
      <c r="UMP35" s="684"/>
      <c r="UMQ35" s="684"/>
      <c r="UMR35" s="684"/>
      <c r="UMS35" s="684"/>
      <c r="UMT35" s="684"/>
      <c r="UMU35" s="684"/>
      <c r="UMV35" s="684"/>
      <c r="UMW35" s="684"/>
      <c r="UMX35" s="684"/>
      <c r="UMY35" s="684"/>
      <c r="UMZ35" s="684"/>
      <c r="UNA35" s="684"/>
      <c r="UNB35" s="684"/>
      <c r="UNC35" s="684"/>
      <c r="UND35" s="684"/>
      <c r="UNE35" s="684"/>
      <c r="UNF35" s="684"/>
      <c r="UNG35" s="684"/>
      <c r="UNH35" s="684"/>
      <c r="UNI35" s="684"/>
      <c r="UNJ35" s="684"/>
      <c r="UNK35" s="684"/>
      <c r="UNL35" s="684"/>
      <c r="UNM35" s="684"/>
      <c r="UNN35" s="684"/>
      <c r="UNO35" s="684"/>
      <c r="UNP35" s="684"/>
      <c r="UNQ35" s="684"/>
      <c r="UNR35" s="684"/>
      <c r="UNS35" s="684"/>
      <c r="UNT35" s="684"/>
      <c r="UNU35" s="684"/>
      <c r="UNV35" s="684"/>
      <c r="UNW35" s="684"/>
      <c r="UNX35" s="684"/>
      <c r="UNY35" s="684"/>
      <c r="UNZ35" s="684"/>
      <c r="UOA35" s="684"/>
      <c r="UOB35" s="684"/>
      <c r="UOC35" s="684"/>
      <c r="UOD35" s="684"/>
      <c r="UOE35" s="684"/>
      <c r="UOF35" s="684"/>
      <c r="UOG35" s="684"/>
      <c r="UOH35" s="684"/>
      <c r="UOI35" s="684"/>
      <c r="UOJ35" s="684"/>
      <c r="UOK35" s="684"/>
      <c r="UOL35" s="684"/>
      <c r="UOM35" s="684"/>
      <c r="UON35" s="684"/>
      <c r="UOO35" s="684"/>
      <c r="UOP35" s="684"/>
      <c r="UOQ35" s="684"/>
      <c r="UOR35" s="684"/>
      <c r="UOS35" s="684"/>
      <c r="UOT35" s="684"/>
      <c r="UOU35" s="684"/>
      <c r="UOV35" s="684"/>
      <c r="UOW35" s="684"/>
      <c r="UOX35" s="684"/>
      <c r="UOY35" s="684"/>
      <c r="UOZ35" s="684"/>
      <c r="UPA35" s="684"/>
      <c r="UPB35" s="684"/>
      <c r="UPC35" s="684"/>
      <c r="UPD35" s="684"/>
      <c r="UPE35" s="684"/>
      <c r="UPF35" s="684"/>
      <c r="UPG35" s="684"/>
      <c r="UPH35" s="684"/>
      <c r="UPI35" s="684"/>
      <c r="UPJ35" s="684"/>
      <c r="UPK35" s="684"/>
      <c r="UPL35" s="684"/>
      <c r="UPM35" s="684"/>
      <c r="UPN35" s="684"/>
      <c r="UPO35" s="684"/>
      <c r="UPP35" s="684"/>
      <c r="UPQ35" s="684"/>
      <c r="UPR35" s="684"/>
      <c r="UPS35" s="684"/>
      <c r="UPT35" s="684"/>
      <c r="UPU35" s="684"/>
      <c r="UPV35" s="684"/>
      <c r="UPW35" s="684"/>
      <c r="UPX35" s="684"/>
      <c r="UPY35" s="684"/>
      <c r="UPZ35" s="684"/>
      <c r="UQA35" s="684"/>
      <c r="UQB35" s="684"/>
      <c r="UQC35" s="684"/>
      <c r="UQD35" s="684"/>
      <c r="UQE35" s="684"/>
      <c r="UQF35" s="684"/>
      <c r="UQG35" s="684"/>
      <c r="UQH35" s="684"/>
      <c r="UQI35" s="684"/>
      <c r="UQJ35" s="684"/>
      <c r="UQK35" s="684"/>
      <c r="UQL35" s="684"/>
      <c r="UQM35" s="684"/>
      <c r="UQN35" s="684"/>
      <c r="UQO35" s="684"/>
      <c r="UQP35" s="684"/>
      <c r="UQQ35" s="684"/>
      <c r="UQR35" s="684"/>
      <c r="UQS35" s="684"/>
      <c r="UQT35" s="684"/>
      <c r="UQU35" s="684"/>
      <c r="UQV35" s="684"/>
      <c r="UQW35" s="684"/>
      <c r="UQX35" s="684"/>
      <c r="UQY35" s="684"/>
      <c r="UQZ35" s="684"/>
      <c r="URA35" s="684"/>
      <c r="URB35" s="684"/>
      <c r="URC35" s="684"/>
      <c r="URD35" s="684"/>
      <c r="URE35" s="684"/>
      <c r="URF35" s="684"/>
      <c r="URG35" s="684"/>
      <c r="URH35" s="684"/>
      <c r="URI35" s="684"/>
      <c r="URJ35" s="684"/>
      <c r="URK35" s="684"/>
      <c r="URL35" s="684"/>
      <c r="URM35" s="684"/>
      <c r="URN35" s="684"/>
      <c r="URO35" s="684"/>
      <c r="URP35" s="684"/>
      <c r="URQ35" s="684"/>
      <c r="URR35" s="684"/>
      <c r="URS35" s="684"/>
      <c r="URT35" s="684"/>
      <c r="URU35" s="684"/>
      <c r="URV35" s="684"/>
      <c r="URW35" s="684"/>
      <c r="URX35" s="684"/>
      <c r="URY35" s="684"/>
      <c r="URZ35" s="684"/>
      <c r="USA35" s="684"/>
      <c r="USB35" s="684"/>
      <c r="USC35" s="684"/>
      <c r="USD35" s="684"/>
      <c r="USE35" s="684"/>
      <c r="USF35" s="684"/>
      <c r="USG35" s="684"/>
      <c r="USH35" s="684"/>
      <c r="USI35" s="684"/>
      <c r="USJ35" s="684"/>
      <c r="USK35" s="684"/>
      <c r="USL35" s="684"/>
      <c r="USM35" s="684"/>
      <c r="USN35" s="684"/>
      <c r="USO35" s="684"/>
      <c r="USP35" s="684"/>
      <c r="USQ35" s="684"/>
      <c r="USR35" s="684"/>
      <c r="USS35" s="684"/>
      <c r="UST35" s="684"/>
      <c r="USU35" s="684"/>
      <c r="USV35" s="684"/>
      <c r="USW35" s="684"/>
      <c r="USX35" s="684"/>
      <c r="USY35" s="684"/>
      <c r="USZ35" s="684"/>
      <c r="UTA35" s="684"/>
      <c r="UTB35" s="684"/>
      <c r="UTC35" s="684"/>
      <c r="UTD35" s="684"/>
      <c r="UTE35" s="684"/>
      <c r="UTF35" s="684"/>
      <c r="UTG35" s="684"/>
      <c r="UTH35" s="684"/>
      <c r="UTI35" s="684"/>
      <c r="UTJ35" s="684"/>
      <c r="UTK35" s="684"/>
      <c r="UTL35" s="684"/>
      <c r="UTM35" s="684"/>
      <c r="UTN35" s="684"/>
      <c r="UTO35" s="684"/>
      <c r="UTP35" s="684"/>
      <c r="UTQ35" s="684"/>
      <c r="UTR35" s="684"/>
      <c r="UTS35" s="684"/>
      <c r="UTT35" s="684"/>
      <c r="UTU35" s="684"/>
      <c r="UTV35" s="684"/>
      <c r="UTW35" s="684"/>
      <c r="UTX35" s="684"/>
      <c r="UTY35" s="684"/>
      <c r="UTZ35" s="684"/>
      <c r="UUA35" s="684"/>
      <c r="UUB35" s="684"/>
      <c r="UUC35" s="684"/>
      <c r="UUD35" s="684"/>
      <c r="UUE35" s="684"/>
      <c r="UUF35" s="684"/>
      <c r="UUG35" s="684"/>
      <c r="UUH35" s="684"/>
      <c r="UUI35" s="684"/>
      <c r="UUJ35" s="684"/>
      <c r="UUK35" s="684"/>
      <c r="UUL35" s="684"/>
      <c r="UUM35" s="684"/>
      <c r="UUN35" s="684"/>
      <c r="UUO35" s="684"/>
      <c r="UUP35" s="684"/>
      <c r="UUQ35" s="684"/>
      <c r="UUR35" s="684"/>
      <c r="UUS35" s="684"/>
      <c r="UUT35" s="684"/>
      <c r="UUU35" s="684"/>
      <c r="UUV35" s="684"/>
      <c r="UUW35" s="684"/>
      <c r="UUX35" s="684"/>
      <c r="UUY35" s="684"/>
      <c r="UUZ35" s="684"/>
      <c r="UVA35" s="684"/>
      <c r="UVB35" s="684"/>
      <c r="UVC35" s="684"/>
      <c r="UVD35" s="684"/>
      <c r="UVE35" s="684"/>
      <c r="UVF35" s="684"/>
      <c r="UVG35" s="684"/>
      <c r="UVH35" s="684"/>
      <c r="UVI35" s="684"/>
      <c r="UVJ35" s="684"/>
      <c r="UVK35" s="684"/>
      <c r="UVL35" s="684"/>
      <c r="UVM35" s="684"/>
      <c r="UVN35" s="684"/>
      <c r="UVO35" s="684"/>
      <c r="UVP35" s="684"/>
      <c r="UVQ35" s="684"/>
      <c r="UVR35" s="684"/>
      <c r="UVS35" s="684"/>
      <c r="UVT35" s="684"/>
      <c r="UVU35" s="684"/>
      <c r="UVV35" s="684"/>
      <c r="UVW35" s="684"/>
      <c r="UVX35" s="684"/>
      <c r="UVY35" s="684"/>
      <c r="UVZ35" s="684"/>
      <c r="UWA35" s="684"/>
      <c r="UWB35" s="684"/>
      <c r="UWC35" s="684"/>
      <c r="UWD35" s="684"/>
      <c r="UWE35" s="684"/>
      <c r="UWF35" s="684"/>
      <c r="UWG35" s="684"/>
      <c r="UWH35" s="684"/>
      <c r="UWI35" s="684"/>
      <c r="UWJ35" s="684"/>
      <c r="UWK35" s="684"/>
      <c r="UWL35" s="684"/>
      <c r="UWM35" s="684"/>
      <c r="UWN35" s="684"/>
      <c r="UWO35" s="684"/>
      <c r="UWP35" s="684"/>
      <c r="UWQ35" s="684"/>
      <c r="UWR35" s="684"/>
      <c r="UWS35" s="684"/>
      <c r="UWT35" s="684"/>
      <c r="UWU35" s="684"/>
      <c r="UWV35" s="684"/>
      <c r="UWW35" s="684"/>
      <c r="UWX35" s="684"/>
      <c r="UWY35" s="684"/>
      <c r="UWZ35" s="684"/>
      <c r="UXA35" s="684"/>
      <c r="UXB35" s="684"/>
      <c r="UXC35" s="684"/>
      <c r="UXD35" s="684"/>
      <c r="UXE35" s="684"/>
      <c r="UXF35" s="684"/>
      <c r="UXG35" s="684"/>
      <c r="UXH35" s="684"/>
      <c r="UXI35" s="684"/>
      <c r="UXJ35" s="684"/>
      <c r="UXK35" s="684"/>
      <c r="UXL35" s="684"/>
      <c r="UXM35" s="684"/>
      <c r="UXN35" s="684"/>
      <c r="UXO35" s="684"/>
      <c r="UXP35" s="684"/>
      <c r="UXQ35" s="684"/>
      <c r="UXR35" s="684"/>
      <c r="UXS35" s="684"/>
      <c r="UXT35" s="684"/>
      <c r="UXU35" s="684"/>
      <c r="UXV35" s="684"/>
      <c r="UXW35" s="684"/>
      <c r="UXX35" s="684"/>
      <c r="UXY35" s="684"/>
      <c r="UXZ35" s="684"/>
      <c r="UYA35" s="684"/>
      <c r="UYB35" s="684"/>
      <c r="UYC35" s="684"/>
      <c r="UYD35" s="684"/>
      <c r="UYE35" s="684"/>
      <c r="UYF35" s="684"/>
      <c r="UYG35" s="684"/>
      <c r="UYH35" s="684"/>
      <c r="UYI35" s="684"/>
      <c r="UYJ35" s="684"/>
      <c r="UYK35" s="684"/>
      <c r="UYL35" s="684"/>
      <c r="UYM35" s="684"/>
      <c r="UYN35" s="684"/>
      <c r="UYO35" s="684"/>
      <c r="UYP35" s="684"/>
      <c r="UYQ35" s="684"/>
      <c r="UYR35" s="684"/>
      <c r="UYS35" s="684"/>
      <c r="UYT35" s="684"/>
      <c r="UYU35" s="684"/>
      <c r="UYV35" s="684"/>
      <c r="UYW35" s="684"/>
      <c r="UYX35" s="684"/>
      <c r="UYY35" s="684"/>
      <c r="UYZ35" s="684"/>
      <c r="UZA35" s="684"/>
      <c r="UZB35" s="684"/>
      <c r="UZC35" s="684"/>
      <c r="UZD35" s="684"/>
      <c r="UZE35" s="684"/>
      <c r="UZF35" s="684"/>
      <c r="UZG35" s="684"/>
      <c r="UZH35" s="684"/>
      <c r="UZI35" s="684"/>
      <c r="UZJ35" s="684"/>
      <c r="UZK35" s="684"/>
      <c r="UZL35" s="684"/>
      <c r="UZM35" s="684"/>
      <c r="UZN35" s="684"/>
      <c r="UZO35" s="684"/>
      <c r="UZP35" s="684"/>
      <c r="UZQ35" s="684"/>
      <c r="UZR35" s="684"/>
      <c r="UZS35" s="684"/>
      <c r="UZT35" s="684"/>
      <c r="UZU35" s="684"/>
      <c r="UZV35" s="684"/>
      <c r="UZW35" s="684"/>
      <c r="UZX35" s="684"/>
      <c r="UZY35" s="684"/>
      <c r="UZZ35" s="684"/>
      <c r="VAA35" s="684"/>
      <c r="VAB35" s="684"/>
      <c r="VAC35" s="684"/>
      <c r="VAD35" s="684"/>
      <c r="VAE35" s="684"/>
      <c r="VAF35" s="684"/>
      <c r="VAG35" s="684"/>
      <c r="VAH35" s="684"/>
      <c r="VAI35" s="684"/>
      <c r="VAJ35" s="684"/>
      <c r="VAK35" s="684"/>
      <c r="VAL35" s="684"/>
      <c r="VAM35" s="684"/>
      <c r="VAN35" s="684"/>
      <c r="VAO35" s="684"/>
      <c r="VAP35" s="684"/>
      <c r="VAQ35" s="684"/>
      <c r="VAR35" s="684"/>
      <c r="VAS35" s="684"/>
      <c r="VAT35" s="684"/>
      <c r="VAU35" s="684"/>
      <c r="VAV35" s="684"/>
      <c r="VAW35" s="684"/>
      <c r="VAX35" s="684"/>
      <c r="VAY35" s="684"/>
      <c r="VAZ35" s="684"/>
      <c r="VBA35" s="684"/>
      <c r="VBB35" s="684"/>
      <c r="VBC35" s="684"/>
      <c r="VBD35" s="684"/>
      <c r="VBE35" s="684"/>
      <c r="VBF35" s="684"/>
      <c r="VBG35" s="684"/>
      <c r="VBH35" s="684"/>
      <c r="VBI35" s="684"/>
      <c r="VBJ35" s="684"/>
      <c r="VBK35" s="684"/>
      <c r="VBL35" s="684"/>
      <c r="VBM35" s="684"/>
      <c r="VBN35" s="684"/>
      <c r="VBO35" s="684"/>
      <c r="VBP35" s="684"/>
      <c r="VBQ35" s="684"/>
      <c r="VBR35" s="684"/>
      <c r="VBS35" s="684"/>
      <c r="VBT35" s="684"/>
      <c r="VBU35" s="684"/>
      <c r="VBV35" s="684"/>
      <c r="VBW35" s="684"/>
      <c r="VBX35" s="684"/>
      <c r="VBY35" s="684"/>
      <c r="VBZ35" s="684"/>
      <c r="VCA35" s="684"/>
      <c r="VCB35" s="684"/>
      <c r="VCC35" s="684"/>
      <c r="VCD35" s="684"/>
      <c r="VCE35" s="684"/>
      <c r="VCF35" s="684"/>
      <c r="VCG35" s="684"/>
      <c r="VCH35" s="684"/>
      <c r="VCI35" s="684"/>
      <c r="VCJ35" s="684"/>
      <c r="VCK35" s="684"/>
      <c r="VCL35" s="684"/>
      <c r="VCM35" s="684"/>
      <c r="VCN35" s="684"/>
      <c r="VCO35" s="684"/>
      <c r="VCP35" s="684"/>
      <c r="VCQ35" s="684"/>
      <c r="VCR35" s="684"/>
      <c r="VCS35" s="684"/>
      <c r="VCT35" s="684"/>
      <c r="VCU35" s="684"/>
      <c r="VCV35" s="684"/>
      <c r="VCW35" s="684"/>
      <c r="VCX35" s="684"/>
      <c r="VCY35" s="684"/>
      <c r="VCZ35" s="684"/>
      <c r="VDA35" s="684"/>
      <c r="VDB35" s="684"/>
      <c r="VDC35" s="684"/>
      <c r="VDD35" s="684"/>
      <c r="VDE35" s="684"/>
      <c r="VDF35" s="684"/>
      <c r="VDG35" s="684"/>
      <c r="VDH35" s="684"/>
      <c r="VDI35" s="684"/>
      <c r="VDJ35" s="684"/>
      <c r="VDK35" s="684"/>
      <c r="VDL35" s="684"/>
      <c r="VDM35" s="684"/>
      <c r="VDN35" s="684"/>
      <c r="VDO35" s="684"/>
      <c r="VDP35" s="684"/>
      <c r="VDQ35" s="684"/>
      <c r="VDR35" s="684"/>
      <c r="VDS35" s="684"/>
      <c r="VDT35" s="684"/>
      <c r="VDU35" s="684"/>
      <c r="VDV35" s="684"/>
      <c r="VDW35" s="684"/>
      <c r="VDX35" s="684"/>
      <c r="VDY35" s="684"/>
      <c r="VDZ35" s="684"/>
      <c r="VEA35" s="684"/>
      <c r="VEB35" s="684"/>
      <c r="VEC35" s="684"/>
      <c r="VED35" s="684"/>
      <c r="VEE35" s="684"/>
      <c r="VEF35" s="684"/>
      <c r="VEG35" s="684"/>
      <c r="VEH35" s="684"/>
      <c r="VEI35" s="684"/>
      <c r="VEJ35" s="684"/>
      <c r="VEK35" s="684"/>
      <c r="VEL35" s="684"/>
      <c r="VEM35" s="684"/>
      <c r="VEN35" s="684"/>
      <c r="VEO35" s="684"/>
      <c r="VEP35" s="684"/>
      <c r="VEQ35" s="684"/>
      <c r="VER35" s="684"/>
      <c r="VES35" s="684"/>
      <c r="VET35" s="684"/>
      <c r="VEU35" s="684"/>
      <c r="VEV35" s="684"/>
      <c r="VEW35" s="684"/>
      <c r="VEX35" s="684"/>
      <c r="VEY35" s="684"/>
      <c r="VEZ35" s="684"/>
      <c r="VFA35" s="684"/>
      <c r="VFB35" s="684"/>
      <c r="VFC35" s="684"/>
      <c r="VFD35" s="684"/>
      <c r="VFE35" s="684"/>
      <c r="VFF35" s="684"/>
      <c r="VFG35" s="684"/>
      <c r="VFH35" s="684"/>
      <c r="VFI35" s="684"/>
      <c r="VFJ35" s="684"/>
      <c r="VFK35" s="684"/>
      <c r="VFL35" s="684"/>
      <c r="VFM35" s="684"/>
      <c r="VFN35" s="684"/>
      <c r="VFO35" s="684"/>
      <c r="VFP35" s="684"/>
      <c r="VFQ35" s="684"/>
      <c r="VFR35" s="684"/>
      <c r="VFS35" s="684"/>
      <c r="VFT35" s="684"/>
      <c r="VFU35" s="684"/>
      <c r="VFV35" s="684"/>
      <c r="VFW35" s="684"/>
      <c r="VFX35" s="684"/>
      <c r="VFY35" s="684"/>
      <c r="VFZ35" s="684"/>
      <c r="VGA35" s="684"/>
      <c r="VGB35" s="684"/>
      <c r="VGC35" s="684"/>
      <c r="VGD35" s="684"/>
      <c r="VGE35" s="684"/>
      <c r="VGF35" s="684"/>
      <c r="VGG35" s="684"/>
      <c r="VGH35" s="684"/>
      <c r="VGI35" s="684"/>
      <c r="VGJ35" s="684"/>
      <c r="VGK35" s="684"/>
      <c r="VGL35" s="684"/>
      <c r="VGM35" s="684"/>
      <c r="VGN35" s="684"/>
      <c r="VGO35" s="684"/>
      <c r="VGP35" s="684"/>
      <c r="VGQ35" s="684"/>
      <c r="VGR35" s="684"/>
      <c r="VGS35" s="684"/>
      <c r="VGT35" s="684"/>
      <c r="VGU35" s="684"/>
      <c r="VGV35" s="684"/>
      <c r="VGW35" s="684"/>
      <c r="VGX35" s="684"/>
      <c r="VGY35" s="684"/>
      <c r="VGZ35" s="684"/>
      <c r="VHA35" s="684"/>
      <c r="VHB35" s="684"/>
      <c r="VHC35" s="684"/>
      <c r="VHD35" s="684"/>
      <c r="VHE35" s="684"/>
      <c r="VHF35" s="684"/>
      <c r="VHG35" s="684"/>
      <c r="VHH35" s="684"/>
      <c r="VHI35" s="684"/>
      <c r="VHJ35" s="684"/>
      <c r="VHK35" s="684"/>
      <c r="VHL35" s="684"/>
      <c r="VHM35" s="684"/>
      <c r="VHN35" s="684"/>
      <c r="VHO35" s="684"/>
      <c r="VHP35" s="684"/>
      <c r="VHQ35" s="684"/>
      <c r="VHR35" s="684"/>
      <c r="VHS35" s="684"/>
      <c r="VHT35" s="684"/>
      <c r="VHU35" s="684"/>
      <c r="VHV35" s="684"/>
      <c r="VHW35" s="684"/>
      <c r="VHX35" s="684"/>
      <c r="VHY35" s="684"/>
      <c r="VHZ35" s="684"/>
      <c r="VIA35" s="684"/>
      <c r="VIB35" s="684"/>
      <c r="VIC35" s="684"/>
      <c r="VID35" s="684"/>
      <c r="VIE35" s="684"/>
      <c r="VIF35" s="684"/>
      <c r="VIG35" s="684"/>
      <c r="VIH35" s="684"/>
      <c r="VII35" s="684"/>
      <c r="VIJ35" s="684"/>
      <c r="VIK35" s="684"/>
      <c r="VIL35" s="684"/>
      <c r="VIM35" s="684"/>
      <c r="VIN35" s="684"/>
      <c r="VIO35" s="684"/>
      <c r="VIP35" s="684"/>
      <c r="VIQ35" s="684"/>
      <c r="VIR35" s="684"/>
      <c r="VIS35" s="684"/>
      <c r="VIT35" s="684"/>
      <c r="VIU35" s="684"/>
      <c r="VIV35" s="684"/>
      <c r="VIW35" s="684"/>
      <c r="VIX35" s="684"/>
      <c r="VIY35" s="684"/>
      <c r="VIZ35" s="684"/>
      <c r="VJA35" s="684"/>
      <c r="VJB35" s="684"/>
      <c r="VJC35" s="684"/>
      <c r="VJD35" s="684"/>
      <c r="VJE35" s="684"/>
      <c r="VJF35" s="684"/>
      <c r="VJG35" s="684"/>
      <c r="VJH35" s="684"/>
      <c r="VJI35" s="684"/>
      <c r="VJJ35" s="684"/>
      <c r="VJK35" s="684"/>
      <c r="VJL35" s="684"/>
      <c r="VJM35" s="684"/>
      <c r="VJN35" s="684"/>
      <c r="VJO35" s="684"/>
      <c r="VJP35" s="684"/>
      <c r="VJQ35" s="684"/>
      <c r="VJR35" s="684"/>
      <c r="VJS35" s="684"/>
      <c r="VJT35" s="684"/>
      <c r="VJU35" s="684"/>
      <c r="VJV35" s="684"/>
      <c r="VJW35" s="684"/>
      <c r="VJX35" s="684"/>
      <c r="VJY35" s="684"/>
      <c r="VJZ35" s="684"/>
      <c r="VKA35" s="684"/>
      <c r="VKB35" s="684"/>
      <c r="VKC35" s="684"/>
      <c r="VKD35" s="684"/>
      <c r="VKE35" s="684"/>
      <c r="VKF35" s="684"/>
      <c r="VKG35" s="684"/>
      <c r="VKH35" s="684"/>
      <c r="VKI35" s="684"/>
      <c r="VKJ35" s="684"/>
      <c r="VKK35" s="684"/>
      <c r="VKL35" s="684"/>
      <c r="VKM35" s="684"/>
      <c r="VKN35" s="684"/>
      <c r="VKO35" s="684"/>
      <c r="VKP35" s="684"/>
      <c r="VKQ35" s="684"/>
      <c r="VKR35" s="684"/>
      <c r="VKS35" s="684"/>
      <c r="VKT35" s="684"/>
      <c r="VKU35" s="684"/>
      <c r="VKV35" s="684"/>
      <c r="VKW35" s="684"/>
      <c r="VKX35" s="684"/>
      <c r="VKY35" s="684"/>
      <c r="VKZ35" s="684"/>
      <c r="VLA35" s="684"/>
      <c r="VLB35" s="684"/>
      <c r="VLC35" s="684"/>
      <c r="VLD35" s="684"/>
      <c r="VLE35" s="684"/>
      <c r="VLF35" s="684"/>
      <c r="VLG35" s="684"/>
      <c r="VLH35" s="684"/>
      <c r="VLI35" s="684"/>
      <c r="VLJ35" s="684"/>
      <c r="VLK35" s="684"/>
      <c r="VLL35" s="684"/>
      <c r="VLM35" s="684"/>
      <c r="VLN35" s="684"/>
      <c r="VLO35" s="684"/>
      <c r="VLP35" s="684"/>
      <c r="VLQ35" s="684"/>
      <c r="VLR35" s="684"/>
      <c r="VLS35" s="684"/>
      <c r="VLT35" s="684"/>
      <c r="VLU35" s="684"/>
      <c r="VLV35" s="684"/>
      <c r="VLW35" s="684"/>
      <c r="VLX35" s="684"/>
      <c r="VLY35" s="684"/>
      <c r="VLZ35" s="684"/>
      <c r="VMA35" s="684"/>
      <c r="VMB35" s="684"/>
      <c r="VMC35" s="684"/>
      <c r="VMD35" s="684"/>
      <c r="VME35" s="684"/>
      <c r="VMF35" s="684"/>
      <c r="VMG35" s="684"/>
      <c r="VMH35" s="684"/>
      <c r="VMI35" s="684"/>
      <c r="VMJ35" s="684"/>
      <c r="VMK35" s="684"/>
      <c r="VML35" s="684"/>
      <c r="VMM35" s="684"/>
      <c r="VMN35" s="684"/>
      <c r="VMO35" s="684"/>
      <c r="VMP35" s="684"/>
      <c r="VMQ35" s="684"/>
      <c r="VMR35" s="684"/>
      <c r="VMS35" s="684"/>
      <c r="VMT35" s="684"/>
      <c r="VMU35" s="684"/>
      <c r="VMV35" s="684"/>
      <c r="VMW35" s="684"/>
      <c r="VMX35" s="684"/>
      <c r="VMY35" s="684"/>
      <c r="VMZ35" s="684"/>
      <c r="VNA35" s="684"/>
      <c r="VNB35" s="684"/>
      <c r="VNC35" s="684"/>
      <c r="VND35" s="684"/>
      <c r="VNE35" s="684"/>
      <c r="VNF35" s="684"/>
      <c r="VNG35" s="684"/>
      <c r="VNH35" s="684"/>
      <c r="VNI35" s="684"/>
      <c r="VNJ35" s="684"/>
      <c r="VNK35" s="684"/>
      <c r="VNL35" s="684"/>
      <c r="VNM35" s="684"/>
      <c r="VNN35" s="684"/>
      <c r="VNO35" s="684"/>
      <c r="VNP35" s="684"/>
      <c r="VNQ35" s="684"/>
      <c r="VNR35" s="684"/>
      <c r="VNS35" s="684"/>
      <c r="VNT35" s="684"/>
      <c r="VNU35" s="684"/>
      <c r="VNV35" s="684"/>
      <c r="VNW35" s="684"/>
      <c r="VNX35" s="684"/>
      <c r="VNY35" s="684"/>
      <c r="VNZ35" s="684"/>
      <c r="VOA35" s="684"/>
      <c r="VOB35" s="684"/>
      <c r="VOC35" s="684"/>
      <c r="VOD35" s="684"/>
      <c r="VOE35" s="684"/>
      <c r="VOF35" s="684"/>
      <c r="VOG35" s="684"/>
      <c r="VOH35" s="684"/>
      <c r="VOI35" s="684"/>
      <c r="VOJ35" s="684"/>
      <c r="VOK35" s="684"/>
      <c r="VOL35" s="684"/>
      <c r="VOM35" s="684"/>
      <c r="VON35" s="684"/>
      <c r="VOO35" s="684"/>
      <c r="VOP35" s="684"/>
      <c r="VOQ35" s="684"/>
      <c r="VOR35" s="684"/>
      <c r="VOS35" s="684"/>
      <c r="VOT35" s="684"/>
      <c r="VOU35" s="684"/>
      <c r="VOV35" s="684"/>
      <c r="VOW35" s="684"/>
      <c r="VOX35" s="684"/>
      <c r="VOY35" s="684"/>
      <c r="VOZ35" s="684"/>
      <c r="VPA35" s="684"/>
      <c r="VPB35" s="684"/>
      <c r="VPC35" s="684"/>
      <c r="VPD35" s="684"/>
      <c r="VPE35" s="684"/>
      <c r="VPF35" s="684"/>
      <c r="VPG35" s="684"/>
      <c r="VPH35" s="684"/>
      <c r="VPI35" s="684"/>
      <c r="VPJ35" s="684"/>
      <c r="VPK35" s="684"/>
      <c r="VPL35" s="684"/>
      <c r="VPM35" s="684"/>
      <c r="VPN35" s="684"/>
      <c r="VPO35" s="684"/>
      <c r="VPP35" s="684"/>
      <c r="VPQ35" s="684"/>
      <c r="VPR35" s="684"/>
      <c r="VPS35" s="684"/>
      <c r="VPT35" s="684"/>
      <c r="VPU35" s="684"/>
      <c r="VPV35" s="684"/>
      <c r="VPW35" s="684"/>
      <c r="VPX35" s="684"/>
      <c r="VPY35" s="684"/>
      <c r="VPZ35" s="684"/>
      <c r="VQA35" s="684"/>
      <c r="VQB35" s="684"/>
      <c r="VQC35" s="684"/>
      <c r="VQD35" s="684"/>
      <c r="VQE35" s="684"/>
      <c r="VQF35" s="684"/>
      <c r="VQG35" s="684"/>
      <c r="VQH35" s="684"/>
      <c r="VQI35" s="684"/>
      <c r="VQJ35" s="684"/>
      <c r="VQK35" s="684"/>
      <c r="VQL35" s="684"/>
      <c r="VQM35" s="684"/>
      <c r="VQN35" s="684"/>
      <c r="VQO35" s="684"/>
      <c r="VQP35" s="684"/>
      <c r="VQQ35" s="684"/>
      <c r="VQR35" s="684"/>
      <c r="VQS35" s="684"/>
      <c r="VQT35" s="684"/>
      <c r="VQU35" s="684"/>
      <c r="VQV35" s="684"/>
      <c r="VQW35" s="684"/>
      <c r="VQX35" s="684"/>
      <c r="VQY35" s="684"/>
      <c r="VQZ35" s="684"/>
      <c r="VRA35" s="684"/>
      <c r="VRB35" s="684"/>
      <c r="VRC35" s="684"/>
      <c r="VRD35" s="684"/>
      <c r="VRE35" s="684"/>
      <c r="VRF35" s="684"/>
      <c r="VRG35" s="684"/>
      <c r="VRH35" s="684"/>
      <c r="VRI35" s="684"/>
      <c r="VRJ35" s="684"/>
      <c r="VRK35" s="684"/>
      <c r="VRL35" s="684"/>
      <c r="VRM35" s="684"/>
      <c r="VRN35" s="684"/>
      <c r="VRO35" s="684"/>
      <c r="VRP35" s="684"/>
      <c r="VRQ35" s="684"/>
      <c r="VRR35" s="684"/>
      <c r="VRS35" s="684"/>
      <c r="VRT35" s="684"/>
      <c r="VRU35" s="684"/>
      <c r="VRV35" s="684"/>
      <c r="VRW35" s="684"/>
      <c r="VRX35" s="684"/>
      <c r="VRY35" s="684"/>
      <c r="VRZ35" s="684"/>
      <c r="VSA35" s="684"/>
      <c r="VSB35" s="684"/>
      <c r="VSC35" s="684"/>
      <c r="VSD35" s="684"/>
      <c r="VSE35" s="684"/>
      <c r="VSF35" s="684"/>
      <c r="VSG35" s="684"/>
      <c r="VSH35" s="684"/>
      <c r="VSI35" s="684"/>
      <c r="VSJ35" s="684"/>
      <c r="VSK35" s="684"/>
      <c r="VSL35" s="684"/>
      <c r="VSM35" s="684"/>
      <c r="VSN35" s="684"/>
      <c r="VSO35" s="684"/>
      <c r="VSP35" s="684"/>
      <c r="VSQ35" s="684"/>
      <c r="VSR35" s="684"/>
      <c r="VSS35" s="684"/>
      <c r="VST35" s="684"/>
      <c r="VSU35" s="684"/>
      <c r="VSV35" s="684"/>
      <c r="VSW35" s="684"/>
      <c r="VSX35" s="684"/>
      <c r="VSY35" s="684"/>
      <c r="VSZ35" s="684"/>
      <c r="VTA35" s="684"/>
      <c r="VTB35" s="684"/>
      <c r="VTC35" s="684"/>
      <c r="VTD35" s="684"/>
      <c r="VTE35" s="684"/>
      <c r="VTF35" s="684"/>
      <c r="VTG35" s="684"/>
      <c r="VTH35" s="684"/>
      <c r="VTI35" s="684"/>
      <c r="VTJ35" s="684"/>
      <c r="VTK35" s="684"/>
      <c r="VTL35" s="684"/>
      <c r="VTM35" s="684"/>
      <c r="VTN35" s="684"/>
      <c r="VTO35" s="684"/>
      <c r="VTP35" s="684"/>
      <c r="VTQ35" s="684"/>
      <c r="VTR35" s="684"/>
      <c r="VTS35" s="684"/>
      <c r="VTT35" s="684"/>
      <c r="VTU35" s="684"/>
      <c r="VTV35" s="684"/>
      <c r="VTW35" s="684"/>
      <c r="VTX35" s="684"/>
      <c r="VTY35" s="684"/>
      <c r="VTZ35" s="684"/>
      <c r="VUA35" s="684"/>
      <c r="VUB35" s="684"/>
      <c r="VUC35" s="684"/>
      <c r="VUD35" s="684"/>
      <c r="VUE35" s="684"/>
      <c r="VUF35" s="684"/>
      <c r="VUG35" s="684"/>
      <c r="VUH35" s="684"/>
      <c r="VUI35" s="684"/>
      <c r="VUJ35" s="684"/>
      <c r="VUK35" s="684"/>
      <c r="VUL35" s="684"/>
      <c r="VUM35" s="684"/>
      <c r="VUN35" s="684"/>
      <c r="VUO35" s="684"/>
      <c r="VUP35" s="684"/>
      <c r="VUQ35" s="684"/>
      <c r="VUR35" s="684"/>
      <c r="VUS35" s="684"/>
      <c r="VUT35" s="684"/>
      <c r="VUU35" s="684"/>
      <c r="VUV35" s="684"/>
      <c r="VUW35" s="684"/>
      <c r="VUX35" s="684"/>
      <c r="VUY35" s="684"/>
      <c r="VUZ35" s="684"/>
      <c r="VVA35" s="684"/>
      <c r="VVB35" s="684"/>
      <c r="VVC35" s="684"/>
      <c r="VVD35" s="684"/>
      <c r="VVE35" s="684"/>
      <c r="VVF35" s="684"/>
      <c r="VVG35" s="684"/>
      <c r="VVH35" s="684"/>
      <c r="VVI35" s="684"/>
      <c r="VVJ35" s="684"/>
      <c r="VVK35" s="684"/>
      <c r="VVL35" s="684"/>
      <c r="VVM35" s="684"/>
      <c r="VVN35" s="684"/>
      <c r="VVO35" s="684"/>
      <c r="VVP35" s="684"/>
      <c r="VVQ35" s="684"/>
      <c r="VVR35" s="684"/>
      <c r="VVS35" s="684"/>
      <c r="VVT35" s="684"/>
      <c r="VVU35" s="684"/>
      <c r="VVV35" s="684"/>
      <c r="VVW35" s="684"/>
      <c r="VVX35" s="684"/>
      <c r="VVY35" s="684"/>
      <c r="VVZ35" s="684"/>
      <c r="VWA35" s="684"/>
      <c r="VWB35" s="684"/>
      <c r="VWC35" s="684"/>
      <c r="VWD35" s="684"/>
      <c r="VWE35" s="684"/>
      <c r="VWF35" s="684"/>
      <c r="VWG35" s="684"/>
      <c r="VWH35" s="684"/>
      <c r="VWI35" s="684"/>
      <c r="VWJ35" s="684"/>
      <c r="VWK35" s="684"/>
      <c r="VWL35" s="684"/>
      <c r="VWM35" s="684"/>
      <c r="VWN35" s="684"/>
      <c r="VWO35" s="684"/>
      <c r="VWP35" s="684"/>
      <c r="VWQ35" s="684"/>
      <c r="VWR35" s="684"/>
      <c r="VWS35" s="684"/>
      <c r="VWT35" s="684"/>
      <c r="VWU35" s="684"/>
      <c r="VWV35" s="684"/>
      <c r="VWW35" s="684"/>
      <c r="VWX35" s="684"/>
      <c r="VWY35" s="684"/>
      <c r="VWZ35" s="684"/>
      <c r="VXA35" s="684"/>
      <c r="VXB35" s="684"/>
      <c r="VXC35" s="684"/>
      <c r="VXD35" s="684"/>
      <c r="VXE35" s="684"/>
      <c r="VXF35" s="684"/>
      <c r="VXG35" s="684"/>
      <c r="VXH35" s="684"/>
      <c r="VXI35" s="684"/>
      <c r="VXJ35" s="684"/>
      <c r="VXK35" s="684"/>
      <c r="VXL35" s="684"/>
      <c r="VXM35" s="684"/>
      <c r="VXN35" s="684"/>
      <c r="VXO35" s="684"/>
      <c r="VXP35" s="684"/>
      <c r="VXQ35" s="684"/>
      <c r="VXR35" s="684"/>
      <c r="VXS35" s="684"/>
      <c r="VXT35" s="684"/>
      <c r="VXU35" s="684"/>
      <c r="VXV35" s="684"/>
      <c r="VXW35" s="684"/>
      <c r="VXX35" s="684"/>
      <c r="VXY35" s="684"/>
      <c r="VXZ35" s="684"/>
      <c r="VYA35" s="684"/>
      <c r="VYB35" s="684"/>
      <c r="VYC35" s="684"/>
      <c r="VYD35" s="684"/>
      <c r="VYE35" s="684"/>
      <c r="VYF35" s="684"/>
      <c r="VYG35" s="684"/>
      <c r="VYH35" s="684"/>
      <c r="VYI35" s="684"/>
      <c r="VYJ35" s="684"/>
      <c r="VYK35" s="684"/>
      <c r="VYL35" s="684"/>
      <c r="VYM35" s="684"/>
      <c r="VYN35" s="684"/>
      <c r="VYO35" s="684"/>
      <c r="VYP35" s="684"/>
      <c r="VYQ35" s="684"/>
      <c r="VYR35" s="684"/>
      <c r="VYS35" s="684"/>
      <c r="VYT35" s="684"/>
      <c r="VYU35" s="684"/>
      <c r="VYV35" s="684"/>
      <c r="VYW35" s="684"/>
      <c r="VYX35" s="684"/>
      <c r="VYY35" s="684"/>
      <c r="VYZ35" s="684"/>
      <c r="VZA35" s="684"/>
      <c r="VZB35" s="684"/>
      <c r="VZC35" s="684"/>
      <c r="VZD35" s="684"/>
      <c r="VZE35" s="684"/>
      <c r="VZF35" s="684"/>
      <c r="VZG35" s="684"/>
      <c r="VZH35" s="684"/>
      <c r="VZI35" s="684"/>
      <c r="VZJ35" s="684"/>
      <c r="VZK35" s="684"/>
      <c r="VZL35" s="684"/>
      <c r="VZM35" s="684"/>
      <c r="VZN35" s="684"/>
      <c r="VZO35" s="684"/>
      <c r="VZP35" s="684"/>
      <c r="VZQ35" s="684"/>
      <c r="VZR35" s="684"/>
      <c r="VZS35" s="684"/>
      <c r="VZT35" s="684"/>
      <c r="VZU35" s="684"/>
      <c r="VZV35" s="684"/>
      <c r="VZW35" s="684"/>
      <c r="VZX35" s="684"/>
      <c r="VZY35" s="684"/>
      <c r="VZZ35" s="684"/>
      <c r="WAA35" s="684"/>
      <c r="WAB35" s="684"/>
      <c r="WAC35" s="684"/>
      <c r="WAD35" s="684"/>
      <c r="WAE35" s="684"/>
      <c r="WAF35" s="684"/>
      <c r="WAG35" s="684"/>
      <c r="WAH35" s="684"/>
      <c r="WAI35" s="684"/>
      <c r="WAJ35" s="684"/>
      <c r="WAK35" s="684"/>
      <c r="WAL35" s="684"/>
      <c r="WAM35" s="684"/>
      <c r="WAN35" s="684"/>
      <c r="WAO35" s="684"/>
      <c r="WAP35" s="684"/>
      <c r="WAQ35" s="684"/>
      <c r="WAR35" s="684"/>
      <c r="WAS35" s="684"/>
      <c r="WAT35" s="684"/>
      <c r="WAU35" s="684"/>
      <c r="WAV35" s="684"/>
      <c r="WAW35" s="684"/>
      <c r="WAX35" s="684"/>
      <c r="WAY35" s="684"/>
      <c r="WAZ35" s="684"/>
      <c r="WBA35" s="684"/>
      <c r="WBB35" s="684"/>
      <c r="WBC35" s="684"/>
      <c r="WBD35" s="684"/>
      <c r="WBE35" s="684"/>
      <c r="WBF35" s="684"/>
      <c r="WBG35" s="684"/>
      <c r="WBH35" s="684"/>
      <c r="WBI35" s="684"/>
      <c r="WBJ35" s="684"/>
      <c r="WBK35" s="684"/>
      <c r="WBL35" s="684"/>
      <c r="WBM35" s="684"/>
      <c r="WBN35" s="684"/>
      <c r="WBO35" s="684"/>
      <c r="WBP35" s="684"/>
      <c r="WBQ35" s="684"/>
      <c r="WBR35" s="684"/>
      <c r="WBS35" s="684"/>
      <c r="WBT35" s="684"/>
      <c r="WBU35" s="684"/>
      <c r="WBV35" s="684"/>
      <c r="WBW35" s="684"/>
      <c r="WBX35" s="684"/>
      <c r="WBY35" s="684"/>
      <c r="WBZ35" s="684"/>
      <c r="WCA35" s="684"/>
      <c r="WCB35" s="684"/>
      <c r="WCC35" s="684"/>
      <c r="WCD35" s="684"/>
      <c r="WCE35" s="684"/>
      <c r="WCF35" s="684"/>
      <c r="WCG35" s="684"/>
      <c r="WCH35" s="684"/>
      <c r="WCI35" s="684"/>
      <c r="WCJ35" s="684"/>
      <c r="WCK35" s="684"/>
      <c r="WCL35" s="684"/>
      <c r="WCM35" s="684"/>
      <c r="WCN35" s="684"/>
      <c r="WCO35" s="684"/>
      <c r="WCP35" s="684"/>
      <c r="WCQ35" s="684"/>
      <c r="WCR35" s="684"/>
      <c r="WCS35" s="684"/>
      <c r="WCT35" s="684"/>
      <c r="WCU35" s="684"/>
      <c r="WCV35" s="684"/>
      <c r="WCW35" s="684"/>
      <c r="WCX35" s="684"/>
      <c r="WCY35" s="684"/>
      <c r="WCZ35" s="684"/>
      <c r="WDA35" s="684"/>
      <c r="WDB35" s="684"/>
      <c r="WDC35" s="684"/>
      <c r="WDD35" s="684"/>
      <c r="WDE35" s="684"/>
      <c r="WDF35" s="684"/>
      <c r="WDG35" s="684"/>
      <c r="WDH35" s="684"/>
      <c r="WDI35" s="684"/>
      <c r="WDJ35" s="684"/>
      <c r="WDK35" s="684"/>
      <c r="WDL35" s="684"/>
      <c r="WDM35" s="684"/>
      <c r="WDN35" s="684"/>
      <c r="WDO35" s="684"/>
      <c r="WDP35" s="684"/>
      <c r="WDQ35" s="684"/>
      <c r="WDR35" s="684"/>
      <c r="WDS35" s="684"/>
      <c r="WDT35" s="684"/>
      <c r="WDU35" s="684"/>
      <c r="WDV35" s="684"/>
      <c r="WDW35" s="684"/>
      <c r="WDX35" s="684"/>
      <c r="WDY35" s="684"/>
      <c r="WDZ35" s="684"/>
      <c r="WEA35" s="684"/>
      <c r="WEB35" s="684"/>
      <c r="WEC35" s="684"/>
      <c r="WED35" s="684"/>
      <c r="WEE35" s="684"/>
      <c r="WEF35" s="684"/>
      <c r="WEG35" s="684"/>
      <c r="WEH35" s="684"/>
      <c r="WEI35" s="684"/>
      <c r="WEJ35" s="684"/>
      <c r="WEK35" s="684"/>
      <c r="WEL35" s="684"/>
      <c r="WEM35" s="684"/>
      <c r="WEN35" s="684"/>
      <c r="WEO35" s="684"/>
      <c r="WEP35" s="684"/>
      <c r="WEQ35" s="684"/>
      <c r="WER35" s="684"/>
      <c r="WES35" s="684"/>
      <c r="WET35" s="684"/>
      <c r="WEU35" s="684"/>
      <c r="WEV35" s="684"/>
      <c r="WEW35" s="684"/>
      <c r="WEX35" s="684"/>
      <c r="WEY35" s="684"/>
      <c r="WEZ35" s="684"/>
      <c r="WFA35" s="684"/>
      <c r="WFB35" s="684"/>
      <c r="WFC35" s="684"/>
      <c r="WFD35" s="684"/>
      <c r="WFE35" s="684"/>
      <c r="WFF35" s="684"/>
      <c r="WFG35" s="684"/>
      <c r="WFH35" s="684"/>
      <c r="WFI35" s="684"/>
      <c r="WFJ35" s="684"/>
      <c r="WFK35" s="684"/>
      <c r="WFL35" s="684"/>
      <c r="WFM35" s="684"/>
      <c r="WFN35" s="684"/>
      <c r="WFO35" s="684"/>
      <c r="WFP35" s="684"/>
      <c r="WFQ35" s="684"/>
      <c r="WFR35" s="684"/>
      <c r="WFS35" s="684"/>
      <c r="WFT35" s="684"/>
      <c r="WFU35" s="684"/>
      <c r="WFV35" s="684"/>
      <c r="WFW35" s="684"/>
      <c r="WFX35" s="684"/>
      <c r="WFY35" s="684"/>
      <c r="WFZ35" s="684"/>
      <c r="WGA35" s="684"/>
      <c r="WGB35" s="684"/>
      <c r="WGC35" s="684"/>
      <c r="WGD35" s="684"/>
      <c r="WGE35" s="684"/>
      <c r="WGF35" s="684"/>
      <c r="WGG35" s="684"/>
      <c r="WGH35" s="684"/>
      <c r="WGI35" s="684"/>
      <c r="WGJ35" s="684"/>
      <c r="WGK35" s="684"/>
      <c r="WGL35" s="684"/>
      <c r="WGM35" s="684"/>
      <c r="WGN35" s="684"/>
      <c r="WGO35" s="684"/>
      <c r="WGP35" s="684"/>
      <c r="WGQ35" s="684"/>
      <c r="WGR35" s="684"/>
      <c r="WGS35" s="684"/>
      <c r="WGT35" s="684"/>
      <c r="WGU35" s="684"/>
      <c r="WGV35" s="684"/>
      <c r="WGW35" s="684"/>
      <c r="WGX35" s="684"/>
      <c r="WGY35" s="684"/>
      <c r="WGZ35" s="684"/>
      <c r="WHA35" s="684"/>
      <c r="WHB35" s="684"/>
      <c r="WHC35" s="684"/>
      <c r="WHD35" s="684"/>
      <c r="WHE35" s="684"/>
      <c r="WHF35" s="684"/>
      <c r="WHG35" s="684"/>
      <c r="WHH35" s="684"/>
      <c r="WHI35" s="684"/>
      <c r="WHJ35" s="684"/>
      <c r="WHK35" s="684"/>
      <c r="WHL35" s="684"/>
      <c r="WHM35" s="684"/>
      <c r="WHN35" s="684"/>
      <c r="WHO35" s="684"/>
      <c r="WHP35" s="684"/>
      <c r="WHQ35" s="684"/>
      <c r="WHR35" s="684"/>
      <c r="WHS35" s="684"/>
      <c r="WHT35" s="684"/>
      <c r="WHU35" s="684"/>
      <c r="WHV35" s="684"/>
      <c r="WHW35" s="684"/>
      <c r="WHX35" s="684"/>
      <c r="WHY35" s="684"/>
      <c r="WHZ35" s="684"/>
      <c r="WIA35" s="684"/>
      <c r="WIB35" s="684"/>
      <c r="WIC35" s="684"/>
      <c r="WID35" s="684"/>
      <c r="WIE35" s="684"/>
      <c r="WIF35" s="684"/>
      <c r="WIG35" s="684"/>
      <c r="WIH35" s="684"/>
      <c r="WII35" s="684"/>
      <c r="WIJ35" s="684"/>
      <c r="WIK35" s="684"/>
      <c r="WIL35" s="684"/>
      <c r="WIM35" s="684"/>
      <c r="WIN35" s="684"/>
      <c r="WIO35" s="684"/>
      <c r="WIP35" s="684"/>
      <c r="WIQ35" s="684"/>
      <c r="WIR35" s="684"/>
      <c r="WIS35" s="684"/>
      <c r="WIT35" s="684"/>
      <c r="WIU35" s="684"/>
      <c r="WIV35" s="684"/>
      <c r="WIW35" s="684"/>
      <c r="WIX35" s="684"/>
      <c r="WIY35" s="684"/>
      <c r="WIZ35" s="684"/>
      <c r="WJA35" s="684"/>
      <c r="WJB35" s="684"/>
      <c r="WJC35" s="684"/>
      <c r="WJD35" s="684"/>
      <c r="WJE35" s="684"/>
      <c r="WJF35" s="684"/>
      <c r="WJG35" s="684"/>
      <c r="WJH35" s="684"/>
      <c r="WJI35" s="684"/>
      <c r="WJJ35" s="684"/>
      <c r="WJK35" s="684"/>
      <c r="WJL35" s="684"/>
      <c r="WJM35" s="684"/>
      <c r="WJN35" s="684"/>
      <c r="WJO35" s="684"/>
      <c r="WJP35" s="684"/>
      <c r="WJQ35" s="684"/>
      <c r="WJR35" s="684"/>
      <c r="WJS35" s="684"/>
      <c r="WJT35" s="684"/>
      <c r="WJU35" s="684"/>
      <c r="WJV35" s="684"/>
      <c r="WJW35" s="684"/>
      <c r="WJX35" s="684"/>
      <c r="WJY35" s="684"/>
      <c r="WJZ35" s="684"/>
      <c r="WKA35" s="684"/>
      <c r="WKB35" s="684"/>
      <c r="WKC35" s="684"/>
      <c r="WKD35" s="684"/>
      <c r="WKE35" s="684"/>
      <c r="WKF35" s="684"/>
      <c r="WKG35" s="684"/>
      <c r="WKH35" s="684"/>
      <c r="WKI35" s="684"/>
      <c r="WKJ35" s="684"/>
      <c r="WKK35" s="684"/>
      <c r="WKL35" s="684"/>
      <c r="WKM35" s="684"/>
      <c r="WKN35" s="684"/>
      <c r="WKO35" s="684"/>
      <c r="WKP35" s="684"/>
      <c r="WKQ35" s="684"/>
      <c r="WKR35" s="684"/>
      <c r="WKS35" s="684"/>
      <c r="WKT35" s="684"/>
      <c r="WKU35" s="684"/>
      <c r="WKV35" s="684"/>
      <c r="WKW35" s="684"/>
      <c r="WKX35" s="684"/>
      <c r="WKY35" s="684"/>
      <c r="WKZ35" s="684"/>
      <c r="WLA35" s="684"/>
      <c r="WLB35" s="684"/>
      <c r="WLC35" s="684"/>
      <c r="WLD35" s="684"/>
      <c r="WLE35" s="684"/>
      <c r="WLF35" s="684"/>
      <c r="WLG35" s="684"/>
      <c r="WLH35" s="684"/>
      <c r="WLI35" s="684"/>
      <c r="WLJ35" s="684"/>
      <c r="WLK35" s="684"/>
      <c r="WLL35" s="684"/>
      <c r="WLM35" s="684"/>
      <c r="WLN35" s="684"/>
      <c r="WLO35" s="684"/>
      <c r="WLP35" s="684"/>
      <c r="WLQ35" s="684"/>
      <c r="WLR35" s="684"/>
      <c r="WLS35" s="684"/>
      <c r="WLT35" s="684"/>
      <c r="WLU35" s="684"/>
      <c r="WLV35" s="684"/>
      <c r="WLW35" s="684"/>
      <c r="WLX35" s="684"/>
      <c r="WLY35" s="684"/>
      <c r="WLZ35" s="684"/>
      <c r="WMA35" s="684"/>
      <c r="WMB35" s="684"/>
      <c r="WMC35" s="684"/>
      <c r="WMD35" s="684"/>
      <c r="WME35" s="684"/>
      <c r="WMF35" s="684"/>
      <c r="WMG35" s="684"/>
      <c r="WMH35" s="684"/>
      <c r="WMI35" s="684"/>
      <c r="WMJ35" s="684"/>
      <c r="WMK35" s="684"/>
      <c r="WML35" s="684"/>
      <c r="WMM35" s="684"/>
      <c r="WMN35" s="684"/>
      <c r="WMO35" s="684"/>
      <c r="WMP35" s="684"/>
      <c r="WMQ35" s="684"/>
      <c r="WMR35" s="684"/>
      <c r="WMS35" s="684"/>
      <c r="WMT35" s="684"/>
      <c r="WMU35" s="684"/>
      <c r="WMV35" s="684"/>
      <c r="WMW35" s="684"/>
      <c r="WMX35" s="684"/>
      <c r="WMY35" s="684"/>
      <c r="WMZ35" s="684"/>
      <c r="WNA35" s="684"/>
      <c r="WNB35" s="684"/>
      <c r="WNC35" s="684"/>
      <c r="WND35" s="684"/>
      <c r="WNE35" s="684"/>
      <c r="WNF35" s="684"/>
      <c r="WNG35" s="684"/>
      <c r="WNH35" s="684"/>
      <c r="WNI35" s="684"/>
      <c r="WNJ35" s="684"/>
      <c r="WNK35" s="684"/>
      <c r="WNL35" s="684"/>
      <c r="WNM35" s="684"/>
      <c r="WNN35" s="684"/>
      <c r="WNO35" s="684"/>
      <c r="WNP35" s="684"/>
      <c r="WNQ35" s="684"/>
      <c r="WNR35" s="684"/>
      <c r="WNS35" s="684"/>
      <c r="WNT35" s="684"/>
      <c r="WNU35" s="684"/>
      <c r="WNV35" s="684"/>
      <c r="WNW35" s="684"/>
      <c r="WNX35" s="684"/>
      <c r="WNY35" s="684"/>
      <c r="WNZ35" s="684"/>
      <c r="WOA35" s="684"/>
      <c r="WOB35" s="684"/>
      <c r="WOC35" s="684"/>
      <c r="WOD35" s="684"/>
      <c r="WOE35" s="684"/>
      <c r="WOF35" s="684"/>
      <c r="WOG35" s="684"/>
      <c r="WOH35" s="684"/>
      <c r="WOI35" s="684"/>
      <c r="WOJ35" s="684"/>
      <c r="WOK35" s="684"/>
      <c r="WOL35" s="684"/>
      <c r="WOM35" s="684"/>
      <c r="WON35" s="684"/>
      <c r="WOO35" s="684"/>
      <c r="WOP35" s="684"/>
      <c r="WOQ35" s="684"/>
      <c r="WOR35" s="684"/>
      <c r="WOS35" s="684"/>
      <c r="WOT35" s="684"/>
      <c r="WOU35" s="684"/>
      <c r="WOV35" s="684"/>
      <c r="WOW35" s="684"/>
      <c r="WOX35" s="684"/>
      <c r="WOY35" s="684"/>
      <c r="WOZ35" s="684"/>
      <c r="WPA35" s="684"/>
      <c r="WPB35" s="684"/>
      <c r="WPC35" s="684"/>
      <c r="WPD35" s="684"/>
      <c r="WPE35" s="684"/>
      <c r="WPF35" s="684"/>
      <c r="WPG35" s="684"/>
      <c r="WPH35" s="684"/>
      <c r="WPI35" s="684"/>
      <c r="WPJ35" s="684"/>
      <c r="WPK35" s="684"/>
      <c r="WPL35" s="684"/>
      <c r="WPM35" s="684"/>
      <c r="WPN35" s="684"/>
      <c r="WPO35" s="684"/>
      <c r="WPP35" s="684"/>
      <c r="WPQ35" s="684"/>
      <c r="WPR35" s="684"/>
      <c r="WPS35" s="684"/>
      <c r="WPT35" s="684"/>
      <c r="WPU35" s="684"/>
      <c r="WPV35" s="684"/>
      <c r="WPW35" s="684"/>
      <c r="WPX35" s="684"/>
      <c r="WPY35" s="684"/>
      <c r="WPZ35" s="684"/>
      <c r="WQA35" s="684"/>
      <c r="WQB35" s="684"/>
      <c r="WQC35" s="684"/>
      <c r="WQD35" s="684"/>
      <c r="WQE35" s="684"/>
      <c r="WQF35" s="684"/>
      <c r="WQG35" s="684"/>
      <c r="WQH35" s="684"/>
      <c r="WQI35" s="684"/>
      <c r="WQJ35" s="684"/>
      <c r="WQK35" s="684"/>
      <c r="WQL35" s="684"/>
      <c r="WQM35" s="684"/>
      <c r="WQN35" s="684"/>
      <c r="WQO35" s="684"/>
      <c r="WQP35" s="684"/>
      <c r="WQQ35" s="684"/>
      <c r="WQR35" s="684"/>
      <c r="WQS35" s="684"/>
      <c r="WQT35" s="684"/>
      <c r="WQU35" s="684"/>
      <c r="WQV35" s="684"/>
      <c r="WQW35" s="684"/>
      <c r="WQX35" s="684"/>
      <c r="WQY35" s="684"/>
      <c r="WQZ35" s="684"/>
      <c r="WRA35" s="684"/>
      <c r="WRB35" s="684"/>
      <c r="WRC35" s="684"/>
      <c r="WRD35" s="684"/>
      <c r="WRE35" s="684"/>
      <c r="WRF35" s="684"/>
      <c r="WRG35" s="684"/>
      <c r="WRH35" s="684"/>
      <c r="WRI35" s="684"/>
      <c r="WRJ35" s="684"/>
      <c r="WRK35" s="684"/>
      <c r="WRL35" s="684"/>
      <c r="WRM35" s="684"/>
      <c r="WRN35" s="684"/>
      <c r="WRO35" s="684"/>
      <c r="WRP35" s="684"/>
      <c r="WRQ35" s="684"/>
      <c r="WRR35" s="684"/>
      <c r="WRS35" s="684"/>
      <c r="WRT35" s="684"/>
      <c r="WRU35" s="684"/>
      <c r="WRV35" s="684"/>
      <c r="WRW35" s="684"/>
      <c r="WRX35" s="684"/>
      <c r="WRY35" s="684"/>
      <c r="WRZ35" s="684"/>
      <c r="WSA35" s="684"/>
      <c r="WSB35" s="684"/>
      <c r="WSC35" s="684"/>
      <c r="WSD35" s="684"/>
      <c r="WSE35" s="684"/>
      <c r="WSF35" s="684"/>
      <c r="WSG35" s="684"/>
      <c r="WSH35" s="684"/>
      <c r="WSI35" s="684"/>
      <c r="WSJ35" s="684"/>
      <c r="WSK35" s="684"/>
      <c r="WSL35" s="684"/>
      <c r="WSM35" s="684"/>
      <c r="WSN35" s="684"/>
      <c r="WSO35" s="684"/>
      <c r="WSP35" s="684"/>
      <c r="WSQ35" s="684"/>
      <c r="WSR35" s="684"/>
      <c r="WSS35" s="684"/>
      <c r="WST35" s="684"/>
      <c r="WSU35" s="684"/>
      <c r="WSV35" s="684"/>
      <c r="WSW35" s="684"/>
      <c r="WSX35" s="684"/>
      <c r="WSY35" s="684"/>
      <c r="WSZ35" s="684"/>
      <c r="WTA35" s="684"/>
      <c r="WTB35" s="684"/>
      <c r="WTC35" s="684"/>
      <c r="WTD35" s="684"/>
      <c r="WTE35" s="684"/>
      <c r="WTF35" s="684"/>
      <c r="WTG35" s="684"/>
      <c r="WTH35" s="684"/>
      <c r="WTI35" s="684"/>
      <c r="WTJ35" s="684"/>
      <c r="WTK35" s="684"/>
      <c r="WTL35" s="684"/>
      <c r="WTM35" s="684"/>
      <c r="WTN35" s="684"/>
      <c r="WTO35" s="684"/>
      <c r="WTP35" s="684"/>
      <c r="WTQ35" s="684"/>
      <c r="WTR35" s="684"/>
      <c r="WTS35" s="684"/>
      <c r="WTT35" s="684"/>
      <c r="WTU35" s="684"/>
      <c r="WTV35" s="684"/>
      <c r="WTW35" s="684"/>
      <c r="WTX35" s="684"/>
      <c r="WTY35" s="684"/>
      <c r="WTZ35" s="684"/>
      <c r="WUA35" s="684"/>
      <c r="WUB35" s="684"/>
      <c r="WUC35" s="684"/>
      <c r="WUD35" s="684"/>
      <c r="WUE35" s="684"/>
      <c r="WUF35" s="684"/>
      <c r="WUG35" s="684"/>
      <c r="WUH35" s="684"/>
      <c r="WUI35" s="684"/>
      <c r="WUJ35" s="684"/>
      <c r="WUK35" s="684"/>
      <c r="WUL35" s="684"/>
      <c r="WUM35" s="684"/>
      <c r="WUN35" s="684"/>
      <c r="WUO35" s="684"/>
      <c r="WUP35" s="684"/>
      <c r="WUQ35" s="684"/>
      <c r="WUR35" s="684"/>
      <c r="WUS35" s="684"/>
      <c r="WUT35" s="684"/>
      <c r="WUU35" s="684"/>
      <c r="WUV35" s="684"/>
      <c r="WUW35" s="684"/>
      <c r="WUX35" s="684"/>
      <c r="WUY35" s="684"/>
      <c r="WUZ35" s="684"/>
      <c r="WVA35" s="684"/>
      <c r="WVB35" s="684"/>
      <c r="WVC35" s="684"/>
      <c r="WVD35" s="684"/>
      <c r="WVE35" s="684"/>
      <c r="WVF35" s="684"/>
      <c r="WVG35" s="684"/>
      <c r="WVH35" s="684"/>
      <c r="WVI35" s="684"/>
      <c r="WVJ35" s="684"/>
      <c r="WVK35" s="684"/>
      <c r="WVL35" s="684"/>
      <c r="WVM35" s="684"/>
      <c r="WVN35" s="684"/>
      <c r="WVO35" s="684"/>
      <c r="WVP35" s="684"/>
      <c r="WVQ35" s="684"/>
      <c r="WVR35" s="684"/>
      <c r="WVS35" s="684"/>
      <c r="WVT35" s="684"/>
      <c r="WVU35" s="684"/>
      <c r="WVV35" s="684"/>
      <c r="WVW35" s="684"/>
      <c r="WVX35" s="684"/>
      <c r="WVY35" s="684"/>
      <c r="WVZ35" s="684"/>
      <c r="WWA35" s="684"/>
      <c r="WWB35" s="684"/>
      <c r="WWC35" s="684"/>
      <c r="WWD35" s="684"/>
      <c r="WWE35" s="684"/>
      <c r="WWF35" s="684"/>
      <c r="WWG35" s="684"/>
      <c r="WWH35" s="684"/>
      <c r="WWI35" s="684"/>
      <c r="WWJ35" s="684"/>
      <c r="WWK35" s="684"/>
      <c r="WWL35" s="684"/>
      <c r="WWM35" s="684"/>
      <c r="WWN35" s="684"/>
      <c r="WWO35" s="684"/>
      <c r="WWP35" s="684"/>
      <c r="WWQ35" s="684"/>
      <c r="WWR35" s="684"/>
      <c r="WWS35" s="684"/>
      <c r="WWT35" s="684"/>
      <c r="WWU35" s="684"/>
      <c r="WWV35" s="684"/>
      <c r="WWW35" s="684"/>
      <c r="WWX35" s="684"/>
      <c r="WWY35" s="684"/>
      <c r="WWZ35" s="684"/>
      <c r="WXA35" s="684"/>
      <c r="WXB35" s="684"/>
      <c r="WXC35" s="684"/>
      <c r="WXD35" s="684"/>
      <c r="WXE35" s="684"/>
      <c r="WXF35" s="684"/>
      <c r="WXG35" s="684"/>
      <c r="WXH35" s="684"/>
      <c r="WXI35" s="684"/>
      <c r="WXJ35" s="684"/>
      <c r="WXK35" s="684"/>
      <c r="WXL35" s="684"/>
      <c r="WXM35" s="684"/>
      <c r="WXN35" s="684"/>
      <c r="WXO35" s="684"/>
      <c r="WXP35" s="684"/>
      <c r="WXQ35" s="684"/>
      <c r="WXR35" s="684"/>
      <c r="WXS35" s="684"/>
      <c r="WXT35" s="684"/>
      <c r="WXU35" s="684"/>
      <c r="WXV35" s="684"/>
      <c r="WXW35" s="684"/>
      <c r="WXX35" s="684"/>
      <c r="WXY35" s="684"/>
      <c r="WXZ35" s="684"/>
      <c r="WYA35" s="684"/>
      <c r="WYB35" s="684"/>
      <c r="WYC35" s="684"/>
      <c r="WYD35" s="684"/>
      <c r="WYE35" s="684"/>
      <c r="WYF35" s="684"/>
      <c r="WYG35" s="684"/>
      <c r="WYH35" s="684"/>
      <c r="WYI35" s="684"/>
      <c r="WYJ35" s="684"/>
      <c r="WYK35" s="684"/>
      <c r="WYL35" s="684"/>
      <c r="WYM35" s="684"/>
      <c r="WYN35" s="684"/>
      <c r="WYO35" s="684"/>
      <c r="WYP35" s="684"/>
      <c r="WYQ35" s="684"/>
      <c r="WYR35" s="684"/>
      <c r="WYS35" s="684"/>
      <c r="WYT35" s="684"/>
      <c r="WYU35" s="684"/>
      <c r="WYV35" s="684"/>
      <c r="WYW35" s="684"/>
      <c r="WYX35" s="684"/>
      <c r="WYY35" s="684"/>
      <c r="WYZ35" s="684"/>
      <c r="WZA35" s="684"/>
      <c r="WZB35" s="684"/>
      <c r="WZC35" s="684"/>
      <c r="WZD35" s="684"/>
      <c r="WZE35" s="684"/>
      <c r="WZF35" s="684"/>
      <c r="WZG35" s="684"/>
      <c r="WZH35" s="684"/>
      <c r="WZI35" s="684"/>
      <c r="WZJ35" s="684"/>
      <c r="WZK35" s="684"/>
      <c r="WZL35" s="684"/>
      <c r="WZM35" s="684"/>
      <c r="WZN35" s="684"/>
      <c r="WZO35" s="684"/>
      <c r="WZP35" s="684"/>
      <c r="WZQ35" s="684"/>
      <c r="WZR35" s="684"/>
      <c r="WZS35" s="684"/>
      <c r="WZT35" s="684"/>
      <c r="WZU35" s="684"/>
      <c r="WZV35" s="684"/>
      <c r="WZW35" s="684"/>
      <c r="WZX35" s="684"/>
      <c r="WZY35" s="684"/>
      <c r="WZZ35" s="684"/>
      <c r="XAA35" s="684"/>
      <c r="XAB35" s="684"/>
      <c r="XAC35" s="684"/>
      <c r="XAD35" s="684"/>
      <c r="XAE35" s="684"/>
      <c r="XAF35" s="684"/>
      <c r="XAG35" s="684"/>
      <c r="XAH35" s="684"/>
      <c r="XAI35" s="684"/>
      <c r="XAJ35" s="684"/>
      <c r="XAK35" s="684"/>
      <c r="XAL35" s="684"/>
      <c r="XAM35" s="684"/>
      <c r="XAN35" s="684"/>
      <c r="XAO35" s="684"/>
      <c r="XAP35" s="684"/>
      <c r="XAQ35" s="684"/>
      <c r="XAR35" s="684"/>
      <c r="XAS35" s="684"/>
      <c r="XAT35" s="684"/>
      <c r="XAU35" s="684"/>
      <c r="XAV35" s="684"/>
      <c r="XAW35" s="684"/>
      <c r="XAX35" s="684"/>
      <c r="XAY35" s="684"/>
      <c r="XAZ35" s="684"/>
      <c r="XBA35" s="684"/>
      <c r="XBB35" s="684"/>
      <c r="XBC35" s="684"/>
      <c r="XBD35" s="684"/>
      <c r="XBE35" s="684"/>
      <c r="XBF35" s="684"/>
      <c r="XBG35" s="684"/>
      <c r="XBH35" s="684"/>
      <c r="XBI35" s="684"/>
      <c r="XBJ35" s="684"/>
      <c r="XBK35" s="684"/>
      <c r="XBL35" s="684"/>
      <c r="XBM35" s="684"/>
      <c r="XBN35" s="684"/>
      <c r="XBO35" s="684"/>
      <c r="XBP35" s="684"/>
      <c r="XBQ35" s="684"/>
      <c r="XBR35" s="684"/>
      <c r="XBS35" s="684"/>
      <c r="XBT35" s="684"/>
      <c r="XBU35" s="684"/>
      <c r="XBV35" s="684"/>
      <c r="XBW35" s="684"/>
      <c r="XBX35" s="684"/>
      <c r="XBY35" s="684"/>
      <c r="XBZ35" s="684"/>
      <c r="XCA35" s="684"/>
      <c r="XCB35" s="684"/>
      <c r="XCC35" s="684"/>
      <c r="XCD35" s="684"/>
      <c r="XCE35" s="684"/>
      <c r="XCF35" s="684"/>
      <c r="XCG35" s="684"/>
      <c r="XCH35" s="684"/>
      <c r="XCI35" s="684"/>
      <c r="XCJ35" s="684"/>
      <c r="XCK35" s="684"/>
      <c r="XCL35" s="684"/>
      <c r="XCM35" s="684"/>
      <c r="XCN35" s="684"/>
      <c r="XCO35" s="684"/>
      <c r="XCP35" s="684"/>
      <c r="XCQ35" s="684"/>
      <c r="XCR35" s="684"/>
      <c r="XCS35" s="684"/>
      <c r="XCT35" s="684"/>
      <c r="XCU35" s="684"/>
      <c r="XCV35" s="684"/>
      <c r="XCW35" s="684"/>
      <c r="XCX35" s="684"/>
      <c r="XCY35" s="684"/>
      <c r="XCZ35" s="684"/>
      <c r="XDA35" s="684"/>
      <c r="XDB35" s="684"/>
      <c r="XDC35" s="684"/>
      <c r="XDD35" s="684"/>
      <c r="XDE35" s="684"/>
      <c r="XDF35" s="684"/>
      <c r="XDG35" s="684"/>
      <c r="XDH35" s="684"/>
      <c r="XDI35" s="684"/>
      <c r="XDJ35" s="684"/>
      <c r="XDK35" s="684"/>
      <c r="XDL35" s="684"/>
      <c r="XDM35" s="684"/>
      <c r="XDN35" s="684"/>
      <c r="XDO35" s="684"/>
      <c r="XDP35" s="684"/>
      <c r="XDQ35" s="684"/>
      <c r="XDR35" s="684"/>
      <c r="XDS35" s="684"/>
      <c r="XDT35" s="684"/>
      <c r="XDU35" s="684"/>
      <c r="XDV35" s="684"/>
      <c r="XDW35" s="684"/>
      <c r="XDX35" s="684"/>
      <c r="XDY35" s="684"/>
      <c r="XDZ35" s="684"/>
      <c r="XEA35" s="684"/>
      <c r="XEB35" s="684"/>
      <c r="XEC35" s="684"/>
      <c r="XED35" s="684"/>
      <c r="XEE35" s="684"/>
      <c r="XEF35" s="684"/>
      <c r="XEG35" s="684"/>
      <c r="XEH35" s="684"/>
      <c r="XEI35" s="684"/>
      <c r="XEJ35" s="684"/>
      <c r="XEK35" s="684"/>
      <c r="XEL35" s="684"/>
      <c r="XEM35" s="684"/>
      <c r="XEN35" s="684"/>
      <c r="XEO35" s="684"/>
      <c r="XEP35" s="684"/>
      <c r="XEQ35" s="684"/>
      <c r="XER35" s="684"/>
      <c r="XES35" s="684"/>
      <c r="XET35" s="684"/>
      <c r="XEU35" s="684"/>
      <c r="XEV35" s="684"/>
      <c r="XEW35" s="684"/>
      <c r="XEX35" s="684"/>
      <c r="XEY35" s="684"/>
      <c r="XEZ35" s="684"/>
      <c r="XFA35" s="684"/>
      <c r="XFB35" s="684"/>
    </row>
    <row r="36" spans="1:16382" ht="15" customHeight="1">
      <c r="A36" s="684" t="s">
        <v>256</v>
      </c>
      <c r="B36" s="684"/>
      <c r="C36" s="684"/>
      <c r="D36" s="684"/>
      <c r="E36" s="684"/>
      <c r="F36" s="684"/>
      <c r="G36" s="684"/>
      <c r="H36" s="684"/>
      <c r="I36" s="684"/>
      <c r="J36" s="684"/>
      <c r="K36" s="684"/>
      <c r="L36" s="684"/>
      <c r="M36" s="684"/>
      <c r="N36" s="7"/>
      <c r="O36" s="7"/>
      <c r="P36" s="7"/>
      <c r="Q36" s="7"/>
      <c r="R36" s="7"/>
      <c r="S36" s="7"/>
      <c r="T36" s="12"/>
      <c r="U36" s="12"/>
      <c r="V36" s="12"/>
      <c r="W36" s="12"/>
      <c r="X36" s="275"/>
      <c r="Y36" s="12"/>
      <c r="Z36" s="12"/>
      <c r="AA36" s="12"/>
      <c r="AB36" s="12"/>
      <c r="AC36" s="275"/>
      <c r="AD36" s="12"/>
      <c r="AE36" s="12"/>
      <c r="AF36" s="12"/>
      <c r="AG36" s="12"/>
      <c r="AH36" s="275"/>
      <c r="AI36" s="12"/>
      <c r="AJ36" s="615"/>
      <c r="AK36" s="7"/>
      <c r="AL36" s="428"/>
      <c r="AM36" s="428"/>
      <c r="AN36" s="428"/>
      <c r="AO36" s="428"/>
      <c r="AP36" s="428"/>
      <c r="AQ36" s="617"/>
      <c r="AR36" s="617"/>
      <c r="AS36" s="617"/>
      <c r="AT36" s="617"/>
      <c r="AU36" s="617"/>
      <c r="AW36" s="617"/>
      <c r="AX36" s="617"/>
      <c r="AY36" s="617"/>
      <c r="AZ36" s="617"/>
      <c r="BA36" s="617"/>
    </row>
    <row r="37" spans="1:16382" ht="15" customHeight="1">
      <c r="A37" s="375"/>
      <c r="B37" s="375"/>
      <c r="C37" s="375"/>
      <c r="D37" s="375"/>
      <c r="E37" s="375"/>
      <c r="F37" s="375"/>
      <c r="G37" s="375"/>
      <c r="H37" s="376"/>
      <c r="I37" s="377"/>
      <c r="T37" s="10"/>
      <c r="U37" s="10"/>
      <c r="V37" s="10"/>
      <c r="W37" s="10"/>
      <c r="X37" s="282"/>
      <c r="Y37" s="10"/>
      <c r="Z37" s="10"/>
      <c r="AA37" s="10"/>
      <c r="AB37" s="10"/>
      <c r="AC37" s="282"/>
      <c r="AD37" s="10"/>
      <c r="AE37" s="10"/>
      <c r="AF37" s="10"/>
      <c r="AG37" s="10"/>
      <c r="AH37" s="282"/>
      <c r="AI37" s="10"/>
      <c r="AJ37" s="614"/>
      <c r="AK37" s="7"/>
      <c r="AL37" s="10"/>
      <c r="AM37" s="10"/>
      <c r="AN37" s="282"/>
      <c r="AO37" s="10"/>
      <c r="AP37" s="10"/>
      <c r="AQ37" s="10"/>
      <c r="AR37" s="10"/>
      <c r="AS37" s="282"/>
      <c r="AT37" s="10"/>
      <c r="AU37" s="10"/>
      <c r="AW37" s="10"/>
      <c r="AX37" s="10"/>
      <c r="AY37" s="282"/>
      <c r="AZ37" s="10"/>
      <c r="BA37" s="10"/>
    </row>
    <row r="38" spans="1:16382" ht="15" customHeight="1">
      <c r="A38" s="691"/>
      <c r="B38" s="691"/>
      <c r="C38" s="691"/>
      <c r="D38" s="691"/>
      <c r="E38" s="691"/>
      <c r="F38" s="691"/>
      <c r="G38" s="691"/>
      <c r="H38" s="691"/>
      <c r="I38" s="691"/>
      <c r="J38" s="691"/>
      <c r="K38" s="691"/>
      <c r="L38" s="691"/>
      <c r="M38" s="691"/>
      <c r="N38" s="7"/>
      <c r="O38" s="7"/>
      <c r="P38" s="7"/>
      <c r="Q38" s="7"/>
      <c r="R38" s="7"/>
      <c r="S38" s="7"/>
      <c r="T38" s="12"/>
      <c r="U38" s="12"/>
      <c r="V38" s="12"/>
      <c r="W38" s="12"/>
      <c r="X38" s="275"/>
      <c r="Y38" s="12"/>
      <c r="Z38" s="12"/>
      <c r="AA38" s="12"/>
      <c r="AB38" s="12"/>
      <c r="AC38" s="275"/>
      <c r="AD38" s="12"/>
      <c r="AE38" s="12"/>
      <c r="AF38" s="12"/>
      <c r="AG38" s="12"/>
      <c r="AH38" s="275"/>
      <c r="AI38" s="12"/>
      <c r="AJ38" s="615"/>
      <c r="AK38" s="7"/>
      <c r="AL38" s="12"/>
      <c r="AM38" s="12"/>
      <c r="AN38" s="275"/>
      <c r="AO38" s="12"/>
      <c r="AP38" s="12"/>
      <c r="AQ38" s="12"/>
      <c r="AR38" s="12"/>
      <c r="AS38" s="275"/>
      <c r="AT38" s="12"/>
      <c r="AU38" s="12"/>
      <c r="AW38" s="12"/>
      <c r="AX38" s="12"/>
      <c r="AY38" s="275"/>
      <c r="AZ38" s="12"/>
      <c r="BA38" s="12"/>
    </row>
    <row r="39" spans="1:16382" ht="15" customHeight="1">
      <c r="A39" s="374"/>
      <c r="B39" s="375"/>
      <c r="C39" s="375"/>
      <c r="D39" s="375"/>
      <c r="E39" s="375"/>
      <c r="F39" s="375"/>
      <c r="G39" s="375"/>
      <c r="H39" s="376"/>
      <c r="I39" s="377"/>
      <c r="T39" s="10"/>
      <c r="U39" s="10"/>
      <c r="V39" s="10"/>
      <c r="W39" s="10"/>
      <c r="X39" s="282"/>
      <c r="Y39" s="10"/>
      <c r="Z39" s="10"/>
      <c r="AA39" s="10"/>
      <c r="AB39" s="10"/>
      <c r="AC39" s="282"/>
      <c r="AD39" s="10"/>
      <c r="AE39" s="10"/>
      <c r="AF39" s="10"/>
      <c r="AG39" s="10"/>
      <c r="AH39" s="282"/>
      <c r="AI39" s="10"/>
      <c r="AJ39" s="614"/>
      <c r="AK39" s="7"/>
      <c r="AL39" s="10"/>
      <c r="AM39" s="10"/>
      <c r="AN39" s="282"/>
      <c r="AO39" s="10"/>
      <c r="AP39" s="10"/>
      <c r="AQ39" s="10"/>
      <c r="AR39" s="10"/>
      <c r="AS39" s="282"/>
      <c r="AT39" s="10"/>
      <c r="AU39" s="10"/>
      <c r="AW39" s="10"/>
      <c r="AX39" s="10"/>
      <c r="AY39" s="282"/>
      <c r="AZ39" s="10"/>
      <c r="BA39" s="10"/>
    </row>
    <row r="40" spans="1:16382" ht="28.5" customHeight="1">
      <c r="A40" s="374"/>
      <c r="B40" s="375"/>
      <c r="C40" s="375"/>
      <c r="D40" s="375"/>
      <c r="E40" s="375"/>
      <c r="F40" s="375"/>
      <c r="G40" s="375"/>
      <c r="H40" s="376"/>
      <c r="I40" s="377"/>
      <c r="T40" s="10"/>
      <c r="U40" s="10"/>
      <c r="V40" s="10"/>
      <c r="W40" s="10"/>
      <c r="X40" s="282"/>
      <c r="Y40" s="10"/>
      <c r="Z40" s="10"/>
      <c r="AA40" s="10"/>
      <c r="AB40" s="10"/>
      <c r="AC40" s="282"/>
      <c r="AD40" s="10"/>
      <c r="AE40" s="10"/>
      <c r="AF40" s="10"/>
      <c r="AG40" s="10"/>
      <c r="AH40" s="282"/>
      <c r="AI40" s="10"/>
      <c r="AJ40" s="614"/>
      <c r="AK40" s="7"/>
      <c r="AL40" s="10"/>
      <c r="AM40" s="10"/>
      <c r="AN40" s="282"/>
      <c r="AO40" s="10"/>
      <c r="AP40" s="10"/>
      <c r="AQ40" s="10"/>
      <c r="AR40" s="10"/>
      <c r="AS40" s="282"/>
      <c r="AT40" s="10"/>
      <c r="AU40" s="10"/>
      <c r="AW40" s="10"/>
      <c r="AX40" s="10"/>
      <c r="AY40" s="282"/>
      <c r="AZ40" s="10"/>
      <c r="BA40" s="10"/>
    </row>
    <row r="41" spans="1:16382" ht="28.5" customHeight="1">
      <c r="A41" s="374"/>
      <c r="B41" s="375"/>
      <c r="C41" s="375"/>
      <c r="D41" s="375"/>
      <c r="E41" s="375"/>
      <c r="F41" s="375"/>
      <c r="G41" s="375"/>
      <c r="H41" s="376"/>
      <c r="I41" s="377"/>
      <c r="T41" s="10"/>
      <c r="U41" s="10"/>
      <c r="V41" s="10"/>
      <c r="W41" s="10"/>
      <c r="X41" s="282"/>
      <c r="Y41" s="10"/>
      <c r="Z41" s="10"/>
      <c r="AA41" s="10"/>
      <c r="AB41" s="10"/>
      <c r="AC41" s="282"/>
      <c r="AD41" s="10"/>
      <c r="AE41" s="10"/>
      <c r="AF41" s="10"/>
      <c r="AG41" s="10"/>
      <c r="AH41" s="282"/>
      <c r="AI41" s="10"/>
      <c r="AJ41" s="614"/>
      <c r="AK41" s="7"/>
      <c r="AL41" s="10"/>
      <c r="AM41" s="10"/>
      <c r="AN41" s="282"/>
      <c r="AO41" s="10"/>
      <c r="AP41" s="10"/>
      <c r="AQ41" s="10"/>
      <c r="AR41" s="10"/>
      <c r="AS41" s="282"/>
      <c r="AT41" s="10"/>
      <c r="AU41" s="10"/>
      <c r="AW41" s="10"/>
      <c r="AX41" s="10"/>
      <c r="AY41" s="282"/>
      <c r="AZ41" s="10"/>
      <c r="BA41" s="10"/>
    </row>
    <row r="42" spans="1:16382" ht="28.5" customHeight="1">
      <c r="A42" s="374"/>
      <c r="B42" s="375"/>
      <c r="C42" s="375"/>
      <c r="D42" s="375"/>
      <c r="E42" s="375"/>
      <c r="F42" s="375"/>
      <c r="G42" s="375"/>
      <c r="H42" s="376"/>
      <c r="I42" s="377"/>
      <c r="T42" s="10"/>
      <c r="U42" s="10"/>
      <c r="V42" s="10"/>
      <c r="W42" s="10"/>
      <c r="X42" s="282"/>
      <c r="Y42" s="10"/>
      <c r="Z42" s="10"/>
      <c r="AA42" s="10"/>
      <c r="AB42" s="10"/>
      <c r="AC42" s="282"/>
      <c r="AD42" s="10"/>
      <c r="AE42" s="10"/>
      <c r="AF42" s="10"/>
      <c r="AG42" s="10"/>
      <c r="AH42" s="282"/>
      <c r="AI42" s="10"/>
      <c r="AJ42" s="614"/>
      <c r="AK42" s="7"/>
      <c r="AL42" s="10"/>
      <c r="AM42" s="10"/>
      <c r="AN42" s="282"/>
      <c r="AO42" s="10"/>
      <c r="AP42" s="10"/>
      <c r="AQ42" s="10"/>
      <c r="AR42" s="10"/>
      <c r="AS42" s="282"/>
      <c r="AT42" s="10"/>
      <c r="AU42" s="10"/>
      <c r="AW42" s="10"/>
      <c r="AX42" s="10"/>
      <c r="AY42" s="282"/>
      <c r="AZ42" s="10"/>
      <c r="BA42" s="10"/>
    </row>
    <row r="43" spans="1:16382" ht="28.5" customHeight="1">
      <c r="A43" s="374"/>
      <c r="B43" s="375"/>
      <c r="C43" s="375"/>
      <c r="D43" s="375"/>
      <c r="E43" s="375"/>
      <c r="F43" s="375"/>
      <c r="G43" s="375"/>
      <c r="H43" s="376"/>
      <c r="I43" s="377"/>
      <c r="T43" s="10"/>
      <c r="U43" s="10"/>
      <c r="V43" s="10"/>
      <c r="W43" s="10"/>
      <c r="X43" s="282"/>
      <c r="Y43" s="10"/>
      <c r="Z43" s="10"/>
      <c r="AA43" s="10"/>
      <c r="AB43" s="10"/>
      <c r="AC43" s="282"/>
      <c r="AD43" s="10"/>
      <c r="AE43" s="10"/>
      <c r="AF43" s="10"/>
      <c r="AG43" s="10"/>
      <c r="AH43" s="282"/>
      <c r="AI43" s="10"/>
      <c r="AJ43" s="614"/>
      <c r="AK43" s="7"/>
      <c r="AL43" s="10"/>
      <c r="AM43" s="10"/>
      <c r="AN43" s="282"/>
      <c r="AO43" s="10"/>
      <c r="AP43" s="10"/>
      <c r="AQ43" s="10"/>
      <c r="AR43" s="10"/>
      <c r="AS43" s="282"/>
      <c r="AT43" s="10"/>
      <c r="AU43" s="10"/>
      <c r="AW43" s="10"/>
      <c r="AX43" s="10"/>
      <c r="AY43" s="282"/>
      <c r="AZ43" s="10"/>
      <c r="BA43" s="10"/>
    </row>
    <row r="44" spans="1:16382" ht="28.5" customHeight="1">
      <c r="A44" s="374"/>
      <c r="B44" s="375"/>
      <c r="C44" s="375"/>
      <c r="D44" s="375"/>
      <c r="E44" s="375"/>
      <c r="F44" s="375"/>
      <c r="G44" s="375"/>
      <c r="H44" s="376"/>
      <c r="I44" s="377"/>
      <c r="T44" s="10"/>
      <c r="U44" s="10"/>
      <c r="V44" s="10"/>
      <c r="W44" s="10"/>
      <c r="X44" s="282"/>
      <c r="Y44" s="10"/>
      <c r="Z44" s="10"/>
      <c r="AA44" s="10"/>
      <c r="AB44" s="10"/>
      <c r="AC44" s="282"/>
      <c r="AD44" s="10"/>
      <c r="AE44" s="10"/>
      <c r="AF44" s="10"/>
      <c r="AG44" s="10"/>
      <c r="AH44" s="282"/>
      <c r="AI44" s="10"/>
      <c r="AJ44" s="614"/>
      <c r="AK44" s="7"/>
      <c r="AL44" s="10"/>
      <c r="AM44" s="10"/>
      <c r="AN44" s="282"/>
      <c r="AO44" s="10"/>
      <c r="AP44" s="10"/>
      <c r="AQ44" s="10"/>
      <c r="AR44" s="10"/>
      <c r="AS44" s="282"/>
      <c r="AT44" s="10"/>
      <c r="AU44" s="10"/>
      <c r="AW44" s="10"/>
      <c r="AX44" s="10"/>
      <c r="AY44" s="282"/>
      <c r="AZ44" s="10"/>
      <c r="BA44" s="10"/>
    </row>
    <row r="45" spans="1:16382" ht="28.5" customHeight="1">
      <c r="A45" s="374"/>
      <c r="B45" s="375"/>
      <c r="C45" s="375"/>
      <c r="D45" s="375"/>
      <c r="E45" s="375"/>
      <c r="F45" s="375"/>
      <c r="G45" s="375"/>
      <c r="H45" s="376"/>
      <c r="I45" s="377"/>
      <c r="T45" s="10"/>
      <c r="U45" s="10"/>
      <c r="V45" s="10"/>
      <c r="W45" s="10"/>
      <c r="X45" s="282"/>
      <c r="Y45" s="10"/>
      <c r="Z45" s="10"/>
      <c r="AA45" s="10"/>
      <c r="AB45" s="10"/>
      <c r="AC45" s="282"/>
      <c r="AD45" s="10"/>
      <c r="AE45" s="10"/>
      <c r="AF45" s="10"/>
      <c r="AG45" s="10"/>
      <c r="AH45" s="282"/>
      <c r="AI45" s="10"/>
      <c r="AJ45" s="614"/>
      <c r="AK45" s="7"/>
      <c r="AL45" s="10"/>
      <c r="AM45" s="10"/>
      <c r="AN45" s="282"/>
      <c r="AO45" s="10"/>
      <c r="AP45" s="10"/>
      <c r="AQ45" s="10"/>
      <c r="AR45" s="10"/>
      <c r="AS45" s="282"/>
      <c r="AT45" s="10"/>
      <c r="AU45" s="10"/>
      <c r="AW45" s="10"/>
      <c r="AX45" s="10"/>
      <c r="AY45" s="282"/>
      <c r="AZ45" s="10"/>
      <c r="BA45" s="10"/>
    </row>
    <row r="46" spans="1:16382" ht="28.5" customHeight="1">
      <c r="A46" s="374"/>
      <c r="B46" s="375"/>
      <c r="C46" s="375"/>
      <c r="D46" s="375"/>
      <c r="E46" s="375"/>
      <c r="F46" s="375"/>
      <c r="G46" s="375"/>
      <c r="H46" s="376"/>
      <c r="I46" s="377"/>
      <c r="T46" s="10"/>
      <c r="U46" s="10"/>
      <c r="V46" s="10"/>
      <c r="W46" s="10"/>
      <c r="X46" s="282"/>
      <c r="Y46" s="10"/>
      <c r="Z46" s="10"/>
      <c r="AA46" s="10"/>
      <c r="AB46" s="10"/>
      <c r="AC46" s="282"/>
      <c r="AD46" s="10"/>
      <c r="AE46" s="10"/>
      <c r="AF46" s="10"/>
      <c r="AG46" s="10"/>
      <c r="AH46" s="282"/>
      <c r="AI46" s="10"/>
      <c r="AJ46" s="614"/>
      <c r="AK46" s="7"/>
      <c r="AL46" s="10"/>
      <c r="AM46" s="10"/>
      <c r="AN46" s="282"/>
      <c r="AO46" s="10"/>
      <c r="AP46" s="10"/>
      <c r="AQ46" s="10"/>
      <c r="AR46" s="10"/>
      <c r="AS46" s="282"/>
      <c r="AT46" s="10"/>
      <c r="AU46" s="10"/>
      <c r="AW46" s="10"/>
      <c r="AX46" s="10"/>
      <c r="AY46" s="282"/>
      <c r="AZ46" s="10"/>
      <c r="BA46" s="10"/>
    </row>
    <row r="47" spans="1:16382" ht="28.5" customHeight="1">
      <c r="A47" s="374"/>
      <c r="B47" s="375"/>
      <c r="C47" s="375"/>
      <c r="D47" s="375"/>
      <c r="E47" s="375"/>
      <c r="F47" s="375"/>
      <c r="G47" s="375"/>
      <c r="H47" s="376"/>
      <c r="I47" s="377"/>
      <c r="T47" s="10"/>
      <c r="U47" s="10"/>
      <c r="V47" s="10"/>
      <c r="W47" s="10"/>
      <c r="X47" s="282"/>
      <c r="Y47" s="10"/>
      <c r="Z47" s="10"/>
      <c r="AA47" s="10"/>
      <c r="AB47" s="10"/>
      <c r="AC47" s="282"/>
      <c r="AD47" s="10"/>
      <c r="AE47" s="10"/>
      <c r="AF47" s="10"/>
      <c r="AG47" s="10"/>
      <c r="AH47" s="282"/>
      <c r="AI47" s="10"/>
      <c r="AJ47" s="614"/>
      <c r="AK47" s="7"/>
      <c r="AL47" s="10"/>
      <c r="AM47" s="10"/>
      <c r="AN47" s="282"/>
      <c r="AO47" s="10"/>
      <c r="AP47" s="10"/>
      <c r="AQ47" s="10"/>
      <c r="AR47" s="10"/>
      <c r="AS47" s="282"/>
      <c r="AT47" s="10"/>
      <c r="AU47" s="10"/>
      <c r="AW47" s="10"/>
      <c r="AX47" s="10"/>
      <c r="AY47" s="282"/>
      <c r="AZ47" s="10"/>
      <c r="BA47" s="10"/>
    </row>
    <row r="48" spans="1:16382" ht="28.5" customHeight="1">
      <c r="A48" s="374"/>
      <c r="B48" s="375"/>
      <c r="C48" s="375"/>
      <c r="D48" s="375"/>
      <c r="E48" s="375"/>
      <c r="F48" s="375"/>
      <c r="G48" s="375"/>
      <c r="H48" s="376"/>
      <c r="I48" s="377"/>
      <c r="T48" s="10"/>
      <c r="U48" s="10"/>
      <c r="V48" s="10"/>
      <c r="W48" s="10"/>
      <c r="X48" s="282"/>
      <c r="Y48" s="10"/>
      <c r="Z48" s="10"/>
      <c r="AA48" s="10"/>
      <c r="AB48" s="10"/>
      <c r="AC48" s="282"/>
      <c r="AD48" s="10"/>
      <c r="AE48" s="10"/>
      <c r="AF48" s="10"/>
      <c r="AG48" s="10"/>
      <c r="AH48" s="282"/>
      <c r="AI48" s="10"/>
      <c r="AJ48" s="614"/>
      <c r="AK48" s="7"/>
      <c r="AL48" s="10"/>
      <c r="AM48" s="10"/>
      <c r="AN48" s="282"/>
      <c r="AO48" s="10"/>
      <c r="AP48" s="10"/>
      <c r="AQ48" s="10"/>
      <c r="AR48" s="10"/>
      <c r="AS48" s="282"/>
      <c r="AT48" s="10"/>
      <c r="AU48" s="10"/>
      <c r="AW48" s="10"/>
      <c r="AX48" s="10"/>
      <c r="AY48" s="282"/>
      <c r="AZ48" s="10"/>
      <c r="BA48" s="10"/>
    </row>
    <row r="49" spans="1:37" ht="28.5" customHeight="1">
      <c r="A49" s="374"/>
      <c r="B49" s="375"/>
      <c r="C49" s="375"/>
      <c r="D49" s="375"/>
      <c r="E49" s="375"/>
      <c r="F49" s="375"/>
      <c r="G49" s="375"/>
      <c r="H49" s="376"/>
      <c r="I49" s="377"/>
      <c r="AK49" s="7"/>
    </row>
    <row r="50" spans="1:37" ht="28.5" customHeight="1">
      <c r="AK50" s="7"/>
    </row>
    <row r="51" spans="1:37" ht="28.5" customHeight="1">
      <c r="AK51" s="7"/>
    </row>
    <row r="52" spans="1:37" ht="28.5" customHeight="1">
      <c r="AK52" s="7"/>
    </row>
  </sheetData>
  <mergeCells count="2901">
    <mergeCell ref="XBZ35:XCP35"/>
    <mergeCell ref="XCQ35:XDG35"/>
    <mergeCell ref="XDH35:XDX35"/>
    <mergeCell ref="XDY35:XEO35"/>
    <mergeCell ref="XEP35:XFB35"/>
    <mergeCell ref="WYS35:WZI35"/>
    <mergeCell ref="WZJ35:WZZ35"/>
    <mergeCell ref="XAA35:XAQ35"/>
    <mergeCell ref="XAR35:XBH35"/>
    <mergeCell ref="XBI35:XBY35"/>
    <mergeCell ref="WVL35:WWB35"/>
    <mergeCell ref="WWC35:WWS35"/>
    <mergeCell ref="WWT35:WXJ35"/>
    <mergeCell ref="WXK35:WYA35"/>
    <mergeCell ref="WYB35:WYR35"/>
    <mergeCell ref="WSE35:WSU35"/>
    <mergeCell ref="WSV35:WTL35"/>
    <mergeCell ref="WTM35:WUC35"/>
    <mergeCell ref="WUD35:WUT35"/>
    <mergeCell ref="WUU35:WVK35"/>
    <mergeCell ref="WOX35:WPN35"/>
    <mergeCell ref="WPO35:WQE35"/>
    <mergeCell ref="WQF35:WQV35"/>
    <mergeCell ref="WQW35:WRM35"/>
    <mergeCell ref="WRN35:WSD35"/>
    <mergeCell ref="WLQ35:WMG35"/>
    <mergeCell ref="WMH35:WMX35"/>
    <mergeCell ref="WMY35:WNO35"/>
    <mergeCell ref="WNP35:WOF35"/>
    <mergeCell ref="WOG35:WOW35"/>
    <mergeCell ref="WIJ35:WIZ35"/>
    <mergeCell ref="WJA35:WJQ35"/>
    <mergeCell ref="WJR35:WKH35"/>
    <mergeCell ref="WKI35:WKY35"/>
    <mergeCell ref="WKZ35:WLP35"/>
    <mergeCell ref="WFC35:WFS35"/>
    <mergeCell ref="WFT35:WGJ35"/>
    <mergeCell ref="WGK35:WHA35"/>
    <mergeCell ref="WHB35:WHR35"/>
    <mergeCell ref="WHS35:WII35"/>
    <mergeCell ref="WBV35:WCL35"/>
    <mergeCell ref="WCM35:WDC35"/>
    <mergeCell ref="WDD35:WDT35"/>
    <mergeCell ref="WDU35:WEK35"/>
    <mergeCell ref="WEL35:WFB35"/>
    <mergeCell ref="VYO35:VZE35"/>
    <mergeCell ref="VZF35:VZV35"/>
    <mergeCell ref="VZW35:WAM35"/>
    <mergeCell ref="WAN35:WBD35"/>
    <mergeCell ref="WBE35:WBU35"/>
    <mergeCell ref="VVH35:VVX35"/>
    <mergeCell ref="VVY35:VWO35"/>
    <mergeCell ref="VWP35:VXF35"/>
    <mergeCell ref="VXG35:VXW35"/>
    <mergeCell ref="VXX35:VYN35"/>
    <mergeCell ref="VSA35:VSQ35"/>
    <mergeCell ref="VSR35:VTH35"/>
    <mergeCell ref="VTI35:VTY35"/>
    <mergeCell ref="VTZ35:VUP35"/>
    <mergeCell ref="VUQ35:VVG35"/>
    <mergeCell ref="VOT35:VPJ35"/>
    <mergeCell ref="VPK35:VQA35"/>
    <mergeCell ref="VQB35:VQR35"/>
    <mergeCell ref="VQS35:VRI35"/>
    <mergeCell ref="VRJ35:VRZ35"/>
    <mergeCell ref="VLM35:VMC35"/>
    <mergeCell ref="VMD35:VMT35"/>
    <mergeCell ref="VMU35:VNK35"/>
    <mergeCell ref="VNL35:VOB35"/>
    <mergeCell ref="VOC35:VOS35"/>
    <mergeCell ref="VIF35:VIV35"/>
    <mergeCell ref="VIW35:VJM35"/>
    <mergeCell ref="VJN35:VKD35"/>
    <mergeCell ref="VKE35:VKU35"/>
    <mergeCell ref="VKV35:VLL35"/>
    <mergeCell ref="VEY35:VFO35"/>
    <mergeCell ref="VFP35:VGF35"/>
    <mergeCell ref="VGG35:VGW35"/>
    <mergeCell ref="VGX35:VHN35"/>
    <mergeCell ref="VHO35:VIE35"/>
    <mergeCell ref="VBR35:VCH35"/>
    <mergeCell ref="VCI35:VCY35"/>
    <mergeCell ref="VCZ35:VDP35"/>
    <mergeCell ref="VDQ35:VEG35"/>
    <mergeCell ref="VEH35:VEX35"/>
    <mergeCell ref="UYK35:UZA35"/>
    <mergeCell ref="UZB35:UZR35"/>
    <mergeCell ref="UZS35:VAI35"/>
    <mergeCell ref="VAJ35:VAZ35"/>
    <mergeCell ref="VBA35:VBQ35"/>
    <mergeCell ref="UVD35:UVT35"/>
    <mergeCell ref="UVU35:UWK35"/>
    <mergeCell ref="UWL35:UXB35"/>
    <mergeCell ref="UXC35:UXS35"/>
    <mergeCell ref="UXT35:UYJ35"/>
    <mergeCell ref="URW35:USM35"/>
    <mergeCell ref="USN35:UTD35"/>
    <mergeCell ref="UTE35:UTU35"/>
    <mergeCell ref="UTV35:UUL35"/>
    <mergeCell ref="UUM35:UVC35"/>
    <mergeCell ref="UOP35:UPF35"/>
    <mergeCell ref="UPG35:UPW35"/>
    <mergeCell ref="UPX35:UQN35"/>
    <mergeCell ref="UQO35:URE35"/>
    <mergeCell ref="URF35:URV35"/>
    <mergeCell ref="ULI35:ULY35"/>
    <mergeCell ref="ULZ35:UMP35"/>
    <mergeCell ref="UMQ35:UNG35"/>
    <mergeCell ref="UNH35:UNX35"/>
    <mergeCell ref="UNY35:UOO35"/>
    <mergeCell ref="UIB35:UIR35"/>
    <mergeCell ref="UIS35:UJI35"/>
    <mergeCell ref="UJJ35:UJZ35"/>
    <mergeCell ref="UKA35:UKQ35"/>
    <mergeCell ref="UKR35:ULH35"/>
    <mergeCell ref="UEU35:UFK35"/>
    <mergeCell ref="UFL35:UGB35"/>
    <mergeCell ref="UGC35:UGS35"/>
    <mergeCell ref="UGT35:UHJ35"/>
    <mergeCell ref="UHK35:UIA35"/>
    <mergeCell ref="UBN35:UCD35"/>
    <mergeCell ref="UCE35:UCU35"/>
    <mergeCell ref="UCV35:UDL35"/>
    <mergeCell ref="UDM35:UEC35"/>
    <mergeCell ref="UED35:UET35"/>
    <mergeCell ref="TYG35:TYW35"/>
    <mergeCell ref="TYX35:TZN35"/>
    <mergeCell ref="TZO35:UAE35"/>
    <mergeCell ref="UAF35:UAV35"/>
    <mergeCell ref="UAW35:UBM35"/>
    <mergeCell ref="TUZ35:TVP35"/>
    <mergeCell ref="TVQ35:TWG35"/>
    <mergeCell ref="TWH35:TWX35"/>
    <mergeCell ref="TWY35:TXO35"/>
    <mergeCell ref="TXP35:TYF35"/>
    <mergeCell ref="TRS35:TSI35"/>
    <mergeCell ref="TSJ35:TSZ35"/>
    <mergeCell ref="TTA35:TTQ35"/>
    <mergeCell ref="TTR35:TUH35"/>
    <mergeCell ref="TUI35:TUY35"/>
    <mergeCell ref="TOL35:TPB35"/>
    <mergeCell ref="TPC35:TPS35"/>
    <mergeCell ref="TPT35:TQJ35"/>
    <mergeCell ref="TQK35:TRA35"/>
    <mergeCell ref="TRB35:TRR35"/>
    <mergeCell ref="TLE35:TLU35"/>
    <mergeCell ref="TLV35:TML35"/>
    <mergeCell ref="TMM35:TNC35"/>
    <mergeCell ref="TND35:TNT35"/>
    <mergeCell ref="TNU35:TOK35"/>
    <mergeCell ref="THX35:TIN35"/>
    <mergeCell ref="TIO35:TJE35"/>
    <mergeCell ref="TJF35:TJV35"/>
    <mergeCell ref="TJW35:TKM35"/>
    <mergeCell ref="TKN35:TLD35"/>
    <mergeCell ref="TEQ35:TFG35"/>
    <mergeCell ref="TFH35:TFX35"/>
    <mergeCell ref="TFY35:TGO35"/>
    <mergeCell ref="TGP35:THF35"/>
    <mergeCell ref="THG35:THW35"/>
    <mergeCell ref="TBJ35:TBZ35"/>
    <mergeCell ref="TCA35:TCQ35"/>
    <mergeCell ref="TCR35:TDH35"/>
    <mergeCell ref="TDI35:TDY35"/>
    <mergeCell ref="TDZ35:TEP35"/>
    <mergeCell ref="SYC35:SYS35"/>
    <mergeCell ref="SYT35:SZJ35"/>
    <mergeCell ref="SZK35:TAA35"/>
    <mergeCell ref="TAB35:TAR35"/>
    <mergeCell ref="TAS35:TBI35"/>
    <mergeCell ref="SUV35:SVL35"/>
    <mergeCell ref="SVM35:SWC35"/>
    <mergeCell ref="SWD35:SWT35"/>
    <mergeCell ref="SWU35:SXK35"/>
    <mergeCell ref="SXL35:SYB35"/>
    <mergeCell ref="SRO35:SSE35"/>
    <mergeCell ref="SSF35:SSV35"/>
    <mergeCell ref="SSW35:STM35"/>
    <mergeCell ref="STN35:SUD35"/>
    <mergeCell ref="SUE35:SUU35"/>
    <mergeCell ref="SOH35:SOX35"/>
    <mergeCell ref="SOY35:SPO35"/>
    <mergeCell ref="SPP35:SQF35"/>
    <mergeCell ref="SQG35:SQW35"/>
    <mergeCell ref="SQX35:SRN35"/>
    <mergeCell ref="SLA35:SLQ35"/>
    <mergeCell ref="SLR35:SMH35"/>
    <mergeCell ref="SMI35:SMY35"/>
    <mergeCell ref="SMZ35:SNP35"/>
    <mergeCell ref="SNQ35:SOG35"/>
    <mergeCell ref="SHT35:SIJ35"/>
    <mergeCell ref="SIK35:SJA35"/>
    <mergeCell ref="SJB35:SJR35"/>
    <mergeCell ref="SJS35:SKI35"/>
    <mergeCell ref="SKJ35:SKZ35"/>
    <mergeCell ref="SEM35:SFC35"/>
    <mergeCell ref="SFD35:SFT35"/>
    <mergeCell ref="SFU35:SGK35"/>
    <mergeCell ref="SGL35:SHB35"/>
    <mergeCell ref="SHC35:SHS35"/>
    <mergeCell ref="SBF35:SBV35"/>
    <mergeCell ref="SBW35:SCM35"/>
    <mergeCell ref="SCN35:SDD35"/>
    <mergeCell ref="SDE35:SDU35"/>
    <mergeCell ref="SDV35:SEL35"/>
    <mergeCell ref="RXY35:RYO35"/>
    <mergeCell ref="RYP35:RZF35"/>
    <mergeCell ref="RZG35:RZW35"/>
    <mergeCell ref="RZX35:SAN35"/>
    <mergeCell ref="SAO35:SBE35"/>
    <mergeCell ref="RUR35:RVH35"/>
    <mergeCell ref="RVI35:RVY35"/>
    <mergeCell ref="RVZ35:RWP35"/>
    <mergeCell ref="RWQ35:RXG35"/>
    <mergeCell ref="RXH35:RXX35"/>
    <mergeCell ref="RRK35:RSA35"/>
    <mergeCell ref="RSB35:RSR35"/>
    <mergeCell ref="RSS35:RTI35"/>
    <mergeCell ref="RTJ35:RTZ35"/>
    <mergeCell ref="RUA35:RUQ35"/>
    <mergeCell ref="ROD35:ROT35"/>
    <mergeCell ref="ROU35:RPK35"/>
    <mergeCell ref="RPL35:RQB35"/>
    <mergeCell ref="RQC35:RQS35"/>
    <mergeCell ref="RQT35:RRJ35"/>
    <mergeCell ref="RKW35:RLM35"/>
    <mergeCell ref="RLN35:RMD35"/>
    <mergeCell ref="RME35:RMU35"/>
    <mergeCell ref="RMV35:RNL35"/>
    <mergeCell ref="RNM35:ROC35"/>
    <mergeCell ref="RHP35:RIF35"/>
    <mergeCell ref="RIG35:RIW35"/>
    <mergeCell ref="RIX35:RJN35"/>
    <mergeCell ref="RJO35:RKE35"/>
    <mergeCell ref="RKF35:RKV35"/>
    <mergeCell ref="REI35:REY35"/>
    <mergeCell ref="REZ35:RFP35"/>
    <mergeCell ref="RFQ35:RGG35"/>
    <mergeCell ref="RGH35:RGX35"/>
    <mergeCell ref="RGY35:RHO35"/>
    <mergeCell ref="RBB35:RBR35"/>
    <mergeCell ref="RBS35:RCI35"/>
    <mergeCell ref="RCJ35:RCZ35"/>
    <mergeCell ref="RDA35:RDQ35"/>
    <mergeCell ref="RDR35:REH35"/>
    <mergeCell ref="QXU35:QYK35"/>
    <mergeCell ref="QYL35:QZB35"/>
    <mergeCell ref="QZC35:QZS35"/>
    <mergeCell ref="QZT35:RAJ35"/>
    <mergeCell ref="RAK35:RBA35"/>
    <mergeCell ref="QUN35:QVD35"/>
    <mergeCell ref="QVE35:QVU35"/>
    <mergeCell ref="QVV35:QWL35"/>
    <mergeCell ref="QWM35:QXC35"/>
    <mergeCell ref="QXD35:QXT35"/>
    <mergeCell ref="QRG35:QRW35"/>
    <mergeCell ref="QRX35:QSN35"/>
    <mergeCell ref="QSO35:QTE35"/>
    <mergeCell ref="QTF35:QTV35"/>
    <mergeCell ref="QTW35:QUM35"/>
    <mergeCell ref="QNZ35:QOP35"/>
    <mergeCell ref="QOQ35:QPG35"/>
    <mergeCell ref="QPH35:QPX35"/>
    <mergeCell ref="QPY35:QQO35"/>
    <mergeCell ref="QQP35:QRF35"/>
    <mergeCell ref="QKS35:QLI35"/>
    <mergeCell ref="QLJ35:QLZ35"/>
    <mergeCell ref="QMA35:QMQ35"/>
    <mergeCell ref="QMR35:QNH35"/>
    <mergeCell ref="QNI35:QNY35"/>
    <mergeCell ref="QHL35:QIB35"/>
    <mergeCell ref="QIC35:QIS35"/>
    <mergeCell ref="QIT35:QJJ35"/>
    <mergeCell ref="QJK35:QKA35"/>
    <mergeCell ref="QKB35:QKR35"/>
    <mergeCell ref="QEE35:QEU35"/>
    <mergeCell ref="QEV35:QFL35"/>
    <mergeCell ref="QFM35:QGC35"/>
    <mergeCell ref="QGD35:QGT35"/>
    <mergeCell ref="QGU35:QHK35"/>
    <mergeCell ref="QAX35:QBN35"/>
    <mergeCell ref="QBO35:QCE35"/>
    <mergeCell ref="QCF35:QCV35"/>
    <mergeCell ref="QCW35:QDM35"/>
    <mergeCell ref="QDN35:QED35"/>
    <mergeCell ref="PXQ35:PYG35"/>
    <mergeCell ref="PYH35:PYX35"/>
    <mergeCell ref="PYY35:PZO35"/>
    <mergeCell ref="PZP35:QAF35"/>
    <mergeCell ref="QAG35:QAW35"/>
    <mergeCell ref="PUJ35:PUZ35"/>
    <mergeCell ref="PVA35:PVQ35"/>
    <mergeCell ref="PVR35:PWH35"/>
    <mergeCell ref="PWI35:PWY35"/>
    <mergeCell ref="PWZ35:PXP35"/>
    <mergeCell ref="PRC35:PRS35"/>
    <mergeCell ref="PRT35:PSJ35"/>
    <mergeCell ref="PSK35:PTA35"/>
    <mergeCell ref="PTB35:PTR35"/>
    <mergeCell ref="PTS35:PUI35"/>
    <mergeCell ref="PNV35:POL35"/>
    <mergeCell ref="POM35:PPC35"/>
    <mergeCell ref="PPD35:PPT35"/>
    <mergeCell ref="PPU35:PQK35"/>
    <mergeCell ref="PQL35:PRB35"/>
    <mergeCell ref="PKO35:PLE35"/>
    <mergeCell ref="PLF35:PLV35"/>
    <mergeCell ref="PLW35:PMM35"/>
    <mergeCell ref="PMN35:PND35"/>
    <mergeCell ref="PNE35:PNU35"/>
    <mergeCell ref="PHH35:PHX35"/>
    <mergeCell ref="PHY35:PIO35"/>
    <mergeCell ref="PIP35:PJF35"/>
    <mergeCell ref="PJG35:PJW35"/>
    <mergeCell ref="PJX35:PKN35"/>
    <mergeCell ref="PEA35:PEQ35"/>
    <mergeCell ref="PER35:PFH35"/>
    <mergeCell ref="PFI35:PFY35"/>
    <mergeCell ref="PFZ35:PGP35"/>
    <mergeCell ref="PGQ35:PHG35"/>
    <mergeCell ref="PAT35:PBJ35"/>
    <mergeCell ref="PBK35:PCA35"/>
    <mergeCell ref="PCB35:PCR35"/>
    <mergeCell ref="PCS35:PDI35"/>
    <mergeCell ref="PDJ35:PDZ35"/>
    <mergeCell ref="OXM35:OYC35"/>
    <mergeCell ref="OYD35:OYT35"/>
    <mergeCell ref="OYU35:OZK35"/>
    <mergeCell ref="OZL35:PAB35"/>
    <mergeCell ref="PAC35:PAS35"/>
    <mergeCell ref="OUF35:OUV35"/>
    <mergeCell ref="OUW35:OVM35"/>
    <mergeCell ref="OVN35:OWD35"/>
    <mergeCell ref="OWE35:OWU35"/>
    <mergeCell ref="OWV35:OXL35"/>
    <mergeCell ref="OQY35:ORO35"/>
    <mergeCell ref="ORP35:OSF35"/>
    <mergeCell ref="OSG35:OSW35"/>
    <mergeCell ref="OSX35:OTN35"/>
    <mergeCell ref="OTO35:OUE35"/>
    <mergeCell ref="ONR35:OOH35"/>
    <mergeCell ref="OOI35:OOY35"/>
    <mergeCell ref="OOZ35:OPP35"/>
    <mergeCell ref="OPQ35:OQG35"/>
    <mergeCell ref="OQH35:OQX35"/>
    <mergeCell ref="OKK35:OLA35"/>
    <mergeCell ref="OLB35:OLR35"/>
    <mergeCell ref="OLS35:OMI35"/>
    <mergeCell ref="OMJ35:OMZ35"/>
    <mergeCell ref="ONA35:ONQ35"/>
    <mergeCell ref="OHD35:OHT35"/>
    <mergeCell ref="OHU35:OIK35"/>
    <mergeCell ref="OIL35:OJB35"/>
    <mergeCell ref="OJC35:OJS35"/>
    <mergeCell ref="OJT35:OKJ35"/>
    <mergeCell ref="ODW35:OEM35"/>
    <mergeCell ref="OEN35:OFD35"/>
    <mergeCell ref="OFE35:OFU35"/>
    <mergeCell ref="OFV35:OGL35"/>
    <mergeCell ref="OGM35:OHC35"/>
    <mergeCell ref="OAP35:OBF35"/>
    <mergeCell ref="OBG35:OBW35"/>
    <mergeCell ref="OBX35:OCN35"/>
    <mergeCell ref="OCO35:ODE35"/>
    <mergeCell ref="ODF35:ODV35"/>
    <mergeCell ref="NXI35:NXY35"/>
    <mergeCell ref="NXZ35:NYP35"/>
    <mergeCell ref="NYQ35:NZG35"/>
    <mergeCell ref="NZH35:NZX35"/>
    <mergeCell ref="NZY35:OAO35"/>
    <mergeCell ref="NUB35:NUR35"/>
    <mergeCell ref="NUS35:NVI35"/>
    <mergeCell ref="NVJ35:NVZ35"/>
    <mergeCell ref="NWA35:NWQ35"/>
    <mergeCell ref="NWR35:NXH35"/>
    <mergeCell ref="NQU35:NRK35"/>
    <mergeCell ref="NRL35:NSB35"/>
    <mergeCell ref="NSC35:NSS35"/>
    <mergeCell ref="NST35:NTJ35"/>
    <mergeCell ref="NTK35:NUA35"/>
    <mergeCell ref="NNN35:NOD35"/>
    <mergeCell ref="NOE35:NOU35"/>
    <mergeCell ref="NOV35:NPL35"/>
    <mergeCell ref="NPM35:NQC35"/>
    <mergeCell ref="NQD35:NQT35"/>
    <mergeCell ref="NKG35:NKW35"/>
    <mergeCell ref="NKX35:NLN35"/>
    <mergeCell ref="NLO35:NME35"/>
    <mergeCell ref="NMF35:NMV35"/>
    <mergeCell ref="NMW35:NNM35"/>
    <mergeCell ref="NGZ35:NHP35"/>
    <mergeCell ref="NHQ35:NIG35"/>
    <mergeCell ref="NIH35:NIX35"/>
    <mergeCell ref="NIY35:NJO35"/>
    <mergeCell ref="NJP35:NKF35"/>
    <mergeCell ref="NDS35:NEI35"/>
    <mergeCell ref="NEJ35:NEZ35"/>
    <mergeCell ref="NFA35:NFQ35"/>
    <mergeCell ref="NFR35:NGH35"/>
    <mergeCell ref="NGI35:NGY35"/>
    <mergeCell ref="NAL35:NBB35"/>
    <mergeCell ref="NBC35:NBS35"/>
    <mergeCell ref="NBT35:NCJ35"/>
    <mergeCell ref="NCK35:NDA35"/>
    <mergeCell ref="NDB35:NDR35"/>
    <mergeCell ref="MXE35:MXU35"/>
    <mergeCell ref="MXV35:MYL35"/>
    <mergeCell ref="MYM35:MZC35"/>
    <mergeCell ref="MZD35:MZT35"/>
    <mergeCell ref="MZU35:NAK35"/>
    <mergeCell ref="MTX35:MUN35"/>
    <mergeCell ref="MUO35:MVE35"/>
    <mergeCell ref="MVF35:MVV35"/>
    <mergeCell ref="MVW35:MWM35"/>
    <mergeCell ref="MWN35:MXD35"/>
    <mergeCell ref="MQQ35:MRG35"/>
    <mergeCell ref="MRH35:MRX35"/>
    <mergeCell ref="MRY35:MSO35"/>
    <mergeCell ref="MSP35:MTF35"/>
    <mergeCell ref="MTG35:MTW35"/>
    <mergeCell ref="MNJ35:MNZ35"/>
    <mergeCell ref="MOA35:MOQ35"/>
    <mergeCell ref="MOR35:MPH35"/>
    <mergeCell ref="MPI35:MPY35"/>
    <mergeCell ref="MPZ35:MQP35"/>
    <mergeCell ref="MKC35:MKS35"/>
    <mergeCell ref="MKT35:MLJ35"/>
    <mergeCell ref="MLK35:MMA35"/>
    <mergeCell ref="MMB35:MMR35"/>
    <mergeCell ref="MMS35:MNI35"/>
    <mergeCell ref="MGV35:MHL35"/>
    <mergeCell ref="MHM35:MIC35"/>
    <mergeCell ref="MID35:MIT35"/>
    <mergeCell ref="MIU35:MJK35"/>
    <mergeCell ref="MJL35:MKB35"/>
    <mergeCell ref="MDO35:MEE35"/>
    <mergeCell ref="MEF35:MEV35"/>
    <mergeCell ref="MEW35:MFM35"/>
    <mergeCell ref="MFN35:MGD35"/>
    <mergeCell ref="MGE35:MGU35"/>
    <mergeCell ref="MAH35:MAX35"/>
    <mergeCell ref="MAY35:MBO35"/>
    <mergeCell ref="MBP35:MCF35"/>
    <mergeCell ref="MCG35:MCW35"/>
    <mergeCell ref="MCX35:MDN35"/>
    <mergeCell ref="LXA35:LXQ35"/>
    <mergeCell ref="LXR35:LYH35"/>
    <mergeCell ref="LYI35:LYY35"/>
    <mergeCell ref="LYZ35:LZP35"/>
    <mergeCell ref="LZQ35:MAG35"/>
    <mergeCell ref="LTT35:LUJ35"/>
    <mergeCell ref="LUK35:LVA35"/>
    <mergeCell ref="LVB35:LVR35"/>
    <mergeCell ref="LVS35:LWI35"/>
    <mergeCell ref="LWJ35:LWZ35"/>
    <mergeCell ref="LQM35:LRC35"/>
    <mergeCell ref="LRD35:LRT35"/>
    <mergeCell ref="LRU35:LSK35"/>
    <mergeCell ref="LSL35:LTB35"/>
    <mergeCell ref="LTC35:LTS35"/>
    <mergeCell ref="LNF35:LNV35"/>
    <mergeCell ref="LNW35:LOM35"/>
    <mergeCell ref="LON35:LPD35"/>
    <mergeCell ref="LPE35:LPU35"/>
    <mergeCell ref="LPV35:LQL35"/>
    <mergeCell ref="LJY35:LKO35"/>
    <mergeCell ref="LKP35:LLF35"/>
    <mergeCell ref="LLG35:LLW35"/>
    <mergeCell ref="LLX35:LMN35"/>
    <mergeCell ref="LMO35:LNE35"/>
    <mergeCell ref="LGR35:LHH35"/>
    <mergeCell ref="LHI35:LHY35"/>
    <mergeCell ref="LHZ35:LIP35"/>
    <mergeCell ref="LIQ35:LJG35"/>
    <mergeCell ref="LJH35:LJX35"/>
    <mergeCell ref="LDK35:LEA35"/>
    <mergeCell ref="LEB35:LER35"/>
    <mergeCell ref="LES35:LFI35"/>
    <mergeCell ref="LFJ35:LFZ35"/>
    <mergeCell ref="LGA35:LGQ35"/>
    <mergeCell ref="LAD35:LAT35"/>
    <mergeCell ref="LAU35:LBK35"/>
    <mergeCell ref="LBL35:LCB35"/>
    <mergeCell ref="LCC35:LCS35"/>
    <mergeCell ref="LCT35:LDJ35"/>
    <mergeCell ref="KWW35:KXM35"/>
    <mergeCell ref="KXN35:KYD35"/>
    <mergeCell ref="KYE35:KYU35"/>
    <mergeCell ref="KYV35:KZL35"/>
    <mergeCell ref="KZM35:LAC35"/>
    <mergeCell ref="KTP35:KUF35"/>
    <mergeCell ref="KUG35:KUW35"/>
    <mergeCell ref="KUX35:KVN35"/>
    <mergeCell ref="KVO35:KWE35"/>
    <mergeCell ref="KWF35:KWV35"/>
    <mergeCell ref="KQI35:KQY35"/>
    <mergeCell ref="KQZ35:KRP35"/>
    <mergeCell ref="KRQ35:KSG35"/>
    <mergeCell ref="KSH35:KSX35"/>
    <mergeCell ref="KSY35:KTO35"/>
    <mergeCell ref="KNB35:KNR35"/>
    <mergeCell ref="KNS35:KOI35"/>
    <mergeCell ref="KOJ35:KOZ35"/>
    <mergeCell ref="KPA35:KPQ35"/>
    <mergeCell ref="KPR35:KQH35"/>
    <mergeCell ref="KJU35:KKK35"/>
    <mergeCell ref="KKL35:KLB35"/>
    <mergeCell ref="KLC35:KLS35"/>
    <mergeCell ref="KLT35:KMJ35"/>
    <mergeCell ref="KMK35:KNA35"/>
    <mergeCell ref="KGN35:KHD35"/>
    <mergeCell ref="KHE35:KHU35"/>
    <mergeCell ref="KHV35:KIL35"/>
    <mergeCell ref="KIM35:KJC35"/>
    <mergeCell ref="KJD35:KJT35"/>
    <mergeCell ref="KDG35:KDW35"/>
    <mergeCell ref="KDX35:KEN35"/>
    <mergeCell ref="KEO35:KFE35"/>
    <mergeCell ref="KFF35:KFV35"/>
    <mergeCell ref="KFW35:KGM35"/>
    <mergeCell ref="JZZ35:KAP35"/>
    <mergeCell ref="KAQ35:KBG35"/>
    <mergeCell ref="KBH35:KBX35"/>
    <mergeCell ref="KBY35:KCO35"/>
    <mergeCell ref="KCP35:KDF35"/>
    <mergeCell ref="JWS35:JXI35"/>
    <mergeCell ref="JXJ35:JXZ35"/>
    <mergeCell ref="JYA35:JYQ35"/>
    <mergeCell ref="JYR35:JZH35"/>
    <mergeCell ref="JZI35:JZY35"/>
    <mergeCell ref="JTL35:JUB35"/>
    <mergeCell ref="JUC35:JUS35"/>
    <mergeCell ref="JUT35:JVJ35"/>
    <mergeCell ref="JVK35:JWA35"/>
    <mergeCell ref="JWB35:JWR35"/>
    <mergeCell ref="JQE35:JQU35"/>
    <mergeCell ref="JQV35:JRL35"/>
    <mergeCell ref="JRM35:JSC35"/>
    <mergeCell ref="JSD35:JST35"/>
    <mergeCell ref="JSU35:JTK35"/>
    <mergeCell ref="JMX35:JNN35"/>
    <mergeCell ref="JNO35:JOE35"/>
    <mergeCell ref="JOF35:JOV35"/>
    <mergeCell ref="JOW35:JPM35"/>
    <mergeCell ref="JPN35:JQD35"/>
    <mergeCell ref="JJQ35:JKG35"/>
    <mergeCell ref="JKH35:JKX35"/>
    <mergeCell ref="JKY35:JLO35"/>
    <mergeCell ref="JLP35:JMF35"/>
    <mergeCell ref="JMG35:JMW35"/>
    <mergeCell ref="JGJ35:JGZ35"/>
    <mergeCell ref="JHA35:JHQ35"/>
    <mergeCell ref="JHR35:JIH35"/>
    <mergeCell ref="JII35:JIY35"/>
    <mergeCell ref="JIZ35:JJP35"/>
    <mergeCell ref="JDC35:JDS35"/>
    <mergeCell ref="JDT35:JEJ35"/>
    <mergeCell ref="JEK35:JFA35"/>
    <mergeCell ref="JFB35:JFR35"/>
    <mergeCell ref="JFS35:JGI35"/>
    <mergeCell ref="IZV35:JAL35"/>
    <mergeCell ref="JAM35:JBC35"/>
    <mergeCell ref="JBD35:JBT35"/>
    <mergeCell ref="JBU35:JCK35"/>
    <mergeCell ref="JCL35:JDB35"/>
    <mergeCell ref="IWO35:IXE35"/>
    <mergeCell ref="IXF35:IXV35"/>
    <mergeCell ref="IXW35:IYM35"/>
    <mergeCell ref="IYN35:IZD35"/>
    <mergeCell ref="IZE35:IZU35"/>
    <mergeCell ref="ITH35:ITX35"/>
    <mergeCell ref="ITY35:IUO35"/>
    <mergeCell ref="IUP35:IVF35"/>
    <mergeCell ref="IVG35:IVW35"/>
    <mergeCell ref="IVX35:IWN35"/>
    <mergeCell ref="IQA35:IQQ35"/>
    <mergeCell ref="IQR35:IRH35"/>
    <mergeCell ref="IRI35:IRY35"/>
    <mergeCell ref="IRZ35:ISP35"/>
    <mergeCell ref="ISQ35:ITG35"/>
    <mergeCell ref="IMT35:INJ35"/>
    <mergeCell ref="INK35:IOA35"/>
    <mergeCell ref="IOB35:IOR35"/>
    <mergeCell ref="IOS35:IPI35"/>
    <mergeCell ref="IPJ35:IPZ35"/>
    <mergeCell ref="IJM35:IKC35"/>
    <mergeCell ref="IKD35:IKT35"/>
    <mergeCell ref="IKU35:ILK35"/>
    <mergeCell ref="ILL35:IMB35"/>
    <mergeCell ref="IMC35:IMS35"/>
    <mergeCell ref="IGF35:IGV35"/>
    <mergeCell ref="IGW35:IHM35"/>
    <mergeCell ref="IHN35:IID35"/>
    <mergeCell ref="IIE35:IIU35"/>
    <mergeCell ref="IIV35:IJL35"/>
    <mergeCell ref="ICY35:IDO35"/>
    <mergeCell ref="IDP35:IEF35"/>
    <mergeCell ref="IEG35:IEW35"/>
    <mergeCell ref="IEX35:IFN35"/>
    <mergeCell ref="IFO35:IGE35"/>
    <mergeCell ref="HZR35:IAH35"/>
    <mergeCell ref="IAI35:IAY35"/>
    <mergeCell ref="IAZ35:IBP35"/>
    <mergeCell ref="IBQ35:ICG35"/>
    <mergeCell ref="ICH35:ICX35"/>
    <mergeCell ref="HWK35:HXA35"/>
    <mergeCell ref="HXB35:HXR35"/>
    <mergeCell ref="HXS35:HYI35"/>
    <mergeCell ref="HYJ35:HYZ35"/>
    <mergeCell ref="HZA35:HZQ35"/>
    <mergeCell ref="HTD35:HTT35"/>
    <mergeCell ref="HTU35:HUK35"/>
    <mergeCell ref="HUL35:HVB35"/>
    <mergeCell ref="HVC35:HVS35"/>
    <mergeCell ref="HVT35:HWJ35"/>
    <mergeCell ref="HPW35:HQM35"/>
    <mergeCell ref="HQN35:HRD35"/>
    <mergeCell ref="HRE35:HRU35"/>
    <mergeCell ref="HRV35:HSL35"/>
    <mergeCell ref="HSM35:HTC35"/>
    <mergeCell ref="HMP35:HNF35"/>
    <mergeCell ref="HNG35:HNW35"/>
    <mergeCell ref="HNX35:HON35"/>
    <mergeCell ref="HOO35:HPE35"/>
    <mergeCell ref="HPF35:HPV35"/>
    <mergeCell ref="HJI35:HJY35"/>
    <mergeCell ref="HJZ35:HKP35"/>
    <mergeCell ref="HKQ35:HLG35"/>
    <mergeCell ref="HLH35:HLX35"/>
    <mergeCell ref="HLY35:HMO35"/>
    <mergeCell ref="HGB35:HGR35"/>
    <mergeCell ref="HGS35:HHI35"/>
    <mergeCell ref="HHJ35:HHZ35"/>
    <mergeCell ref="HIA35:HIQ35"/>
    <mergeCell ref="HIR35:HJH35"/>
    <mergeCell ref="HCU35:HDK35"/>
    <mergeCell ref="HDL35:HEB35"/>
    <mergeCell ref="HEC35:HES35"/>
    <mergeCell ref="HET35:HFJ35"/>
    <mergeCell ref="HFK35:HGA35"/>
    <mergeCell ref="GZN35:HAD35"/>
    <mergeCell ref="HAE35:HAU35"/>
    <mergeCell ref="HAV35:HBL35"/>
    <mergeCell ref="HBM35:HCC35"/>
    <mergeCell ref="HCD35:HCT35"/>
    <mergeCell ref="GWG35:GWW35"/>
    <mergeCell ref="GWX35:GXN35"/>
    <mergeCell ref="GXO35:GYE35"/>
    <mergeCell ref="GYF35:GYV35"/>
    <mergeCell ref="GYW35:GZM35"/>
    <mergeCell ref="GSZ35:GTP35"/>
    <mergeCell ref="GTQ35:GUG35"/>
    <mergeCell ref="GUH35:GUX35"/>
    <mergeCell ref="GUY35:GVO35"/>
    <mergeCell ref="GVP35:GWF35"/>
    <mergeCell ref="GPS35:GQI35"/>
    <mergeCell ref="GQJ35:GQZ35"/>
    <mergeCell ref="GRA35:GRQ35"/>
    <mergeCell ref="GRR35:GSH35"/>
    <mergeCell ref="GSI35:GSY35"/>
    <mergeCell ref="GML35:GNB35"/>
    <mergeCell ref="GNC35:GNS35"/>
    <mergeCell ref="GNT35:GOJ35"/>
    <mergeCell ref="GOK35:GPA35"/>
    <mergeCell ref="GPB35:GPR35"/>
    <mergeCell ref="GJE35:GJU35"/>
    <mergeCell ref="GJV35:GKL35"/>
    <mergeCell ref="GKM35:GLC35"/>
    <mergeCell ref="GLD35:GLT35"/>
    <mergeCell ref="GLU35:GMK35"/>
    <mergeCell ref="GFX35:GGN35"/>
    <mergeCell ref="GGO35:GHE35"/>
    <mergeCell ref="GHF35:GHV35"/>
    <mergeCell ref="GHW35:GIM35"/>
    <mergeCell ref="GIN35:GJD35"/>
    <mergeCell ref="GCQ35:GDG35"/>
    <mergeCell ref="GDH35:GDX35"/>
    <mergeCell ref="GDY35:GEO35"/>
    <mergeCell ref="GEP35:GFF35"/>
    <mergeCell ref="GFG35:GFW35"/>
    <mergeCell ref="FZJ35:FZZ35"/>
    <mergeCell ref="GAA35:GAQ35"/>
    <mergeCell ref="GAR35:GBH35"/>
    <mergeCell ref="GBI35:GBY35"/>
    <mergeCell ref="GBZ35:GCP35"/>
    <mergeCell ref="FWC35:FWS35"/>
    <mergeCell ref="FWT35:FXJ35"/>
    <mergeCell ref="FXK35:FYA35"/>
    <mergeCell ref="FYB35:FYR35"/>
    <mergeCell ref="FYS35:FZI35"/>
    <mergeCell ref="FSV35:FTL35"/>
    <mergeCell ref="FTM35:FUC35"/>
    <mergeCell ref="FUD35:FUT35"/>
    <mergeCell ref="FUU35:FVK35"/>
    <mergeCell ref="FVL35:FWB35"/>
    <mergeCell ref="FPO35:FQE35"/>
    <mergeCell ref="FQF35:FQV35"/>
    <mergeCell ref="FQW35:FRM35"/>
    <mergeCell ref="FRN35:FSD35"/>
    <mergeCell ref="FSE35:FSU35"/>
    <mergeCell ref="FMH35:FMX35"/>
    <mergeCell ref="FMY35:FNO35"/>
    <mergeCell ref="FNP35:FOF35"/>
    <mergeCell ref="FOG35:FOW35"/>
    <mergeCell ref="FOX35:FPN35"/>
    <mergeCell ref="FJA35:FJQ35"/>
    <mergeCell ref="FJR35:FKH35"/>
    <mergeCell ref="FKI35:FKY35"/>
    <mergeCell ref="FKZ35:FLP35"/>
    <mergeCell ref="FLQ35:FMG35"/>
    <mergeCell ref="FFT35:FGJ35"/>
    <mergeCell ref="FGK35:FHA35"/>
    <mergeCell ref="FHB35:FHR35"/>
    <mergeCell ref="FHS35:FII35"/>
    <mergeCell ref="FIJ35:FIZ35"/>
    <mergeCell ref="FCM35:FDC35"/>
    <mergeCell ref="FDD35:FDT35"/>
    <mergeCell ref="FDU35:FEK35"/>
    <mergeCell ref="FEL35:FFB35"/>
    <mergeCell ref="FFC35:FFS35"/>
    <mergeCell ref="EZF35:EZV35"/>
    <mergeCell ref="EZW35:FAM35"/>
    <mergeCell ref="FAN35:FBD35"/>
    <mergeCell ref="FBE35:FBU35"/>
    <mergeCell ref="FBV35:FCL35"/>
    <mergeCell ref="EVY35:EWO35"/>
    <mergeCell ref="EWP35:EXF35"/>
    <mergeCell ref="EXG35:EXW35"/>
    <mergeCell ref="EXX35:EYN35"/>
    <mergeCell ref="EYO35:EZE35"/>
    <mergeCell ref="ESR35:ETH35"/>
    <mergeCell ref="ETI35:ETY35"/>
    <mergeCell ref="ETZ35:EUP35"/>
    <mergeCell ref="EUQ35:EVG35"/>
    <mergeCell ref="EVH35:EVX35"/>
    <mergeCell ref="EPK35:EQA35"/>
    <mergeCell ref="EQB35:EQR35"/>
    <mergeCell ref="EQS35:ERI35"/>
    <mergeCell ref="ERJ35:ERZ35"/>
    <mergeCell ref="ESA35:ESQ35"/>
    <mergeCell ref="EMD35:EMT35"/>
    <mergeCell ref="EMU35:ENK35"/>
    <mergeCell ref="ENL35:EOB35"/>
    <mergeCell ref="EOC35:EOS35"/>
    <mergeCell ref="EOT35:EPJ35"/>
    <mergeCell ref="EIW35:EJM35"/>
    <mergeCell ref="EJN35:EKD35"/>
    <mergeCell ref="EKE35:EKU35"/>
    <mergeCell ref="EKV35:ELL35"/>
    <mergeCell ref="ELM35:EMC35"/>
    <mergeCell ref="EFP35:EGF35"/>
    <mergeCell ref="EGG35:EGW35"/>
    <mergeCell ref="EGX35:EHN35"/>
    <mergeCell ref="EHO35:EIE35"/>
    <mergeCell ref="EIF35:EIV35"/>
    <mergeCell ref="ECI35:ECY35"/>
    <mergeCell ref="ECZ35:EDP35"/>
    <mergeCell ref="EDQ35:EEG35"/>
    <mergeCell ref="EEH35:EEX35"/>
    <mergeCell ref="EEY35:EFO35"/>
    <mergeCell ref="DZB35:DZR35"/>
    <mergeCell ref="DZS35:EAI35"/>
    <mergeCell ref="EAJ35:EAZ35"/>
    <mergeCell ref="EBA35:EBQ35"/>
    <mergeCell ref="EBR35:ECH35"/>
    <mergeCell ref="DVU35:DWK35"/>
    <mergeCell ref="DWL35:DXB35"/>
    <mergeCell ref="DXC35:DXS35"/>
    <mergeCell ref="DXT35:DYJ35"/>
    <mergeCell ref="DYK35:DZA35"/>
    <mergeCell ref="DSN35:DTD35"/>
    <mergeCell ref="DTE35:DTU35"/>
    <mergeCell ref="DTV35:DUL35"/>
    <mergeCell ref="DUM35:DVC35"/>
    <mergeCell ref="DVD35:DVT35"/>
    <mergeCell ref="DPG35:DPW35"/>
    <mergeCell ref="DPX35:DQN35"/>
    <mergeCell ref="DQO35:DRE35"/>
    <mergeCell ref="DRF35:DRV35"/>
    <mergeCell ref="DRW35:DSM35"/>
    <mergeCell ref="DLZ35:DMP35"/>
    <mergeCell ref="DMQ35:DNG35"/>
    <mergeCell ref="DNH35:DNX35"/>
    <mergeCell ref="DNY35:DOO35"/>
    <mergeCell ref="DOP35:DPF35"/>
    <mergeCell ref="DIS35:DJI35"/>
    <mergeCell ref="DJJ35:DJZ35"/>
    <mergeCell ref="DKA35:DKQ35"/>
    <mergeCell ref="DKR35:DLH35"/>
    <mergeCell ref="DLI35:DLY35"/>
    <mergeCell ref="DFL35:DGB35"/>
    <mergeCell ref="DGC35:DGS35"/>
    <mergeCell ref="DGT35:DHJ35"/>
    <mergeCell ref="DHK35:DIA35"/>
    <mergeCell ref="DIB35:DIR35"/>
    <mergeCell ref="DCE35:DCU35"/>
    <mergeCell ref="DCV35:DDL35"/>
    <mergeCell ref="DDM35:DEC35"/>
    <mergeCell ref="DED35:DET35"/>
    <mergeCell ref="DEU35:DFK35"/>
    <mergeCell ref="CYX35:CZN35"/>
    <mergeCell ref="CZO35:DAE35"/>
    <mergeCell ref="DAF35:DAV35"/>
    <mergeCell ref="DAW35:DBM35"/>
    <mergeCell ref="DBN35:DCD35"/>
    <mergeCell ref="CVQ35:CWG35"/>
    <mergeCell ref="CWH35:CWX35"/>
    <mergeCell ref="CWY35:CXO35"/>
    <mergeCell ref="CXP35:CYF35"/>
    <mergeCell ref="CYG35:CYW35"/>
    <mergeCell ref="CSJ35:CSZ35"/>
    <mergeCell ref="CTA35:CTQ35"/>
    <mergeCell ref="CTR35:CUH35"/>
    <mergeCell ref="CUI35:CUY35"/>
    <mergeCell ref="CUZ35:CVP35"/>
    <mergeCell ref="CPC35:CPS35"/>
    <mergeCell ref="CPT35:CQJ35"/>
    <mergeCell ref="CQK35:CRA35"/>
    <mergeCell ref="CRB35:CRR35"/>
    <mergeCell ref="CRS35:CSI35"/>
    <mergeCell ref="CLV35:CML35"/>
    <mergeCell ref="CMM35:CNC35"/>
    <mergeCell ref="CND35:CNT35"/>
    <mergeCell ref="CNU35:COK35"/>
    <mergeCell ref="COL35:CPB35"/>
    <mergeCell ref="CIO35:CJE35"/>
    <mergeCell ref="CJF35:CJV35"/>
    <mergeCell ref="CJW35:CKM35"/>
    <mergeCell ref="CKN35:CLD35"/>
    <mergeCell ref="CLE35:CLU35"/>
    <mergeCell ref="CFH35:CFX35"/>
    <mergeCell ref="CFY35:CGO35"/>
    <mergeCell ref="CGP35:CHF35"/>
    <mergeCell ref="CHG35:CHW35"/>
    <mergeCell ref="CHX35:CIN35"/>
    <mergeCell ref="CCA35:CCQ35"/>
    <mergeCell ref="CCR35:CDH35"/>
    <mergeCell ref="CDI35:CDY35"/>
    <mergeCell ref="CDZ35:CEP35"/>
    <mergeCell ref="CEQ35:CFG35"/>
    <mergeCell ref="BYT35:BZJ35"/>
    <mergeCell ref="BZK35:CAA35"/>
    <mergeCell ref="CAB35:CAR35"/>
    <mergeCell ref="CAS35:CBI35"/>
    <mergeCell ref="CBJ35:CBZ35"/>
    <mergeCell ref="BVM35:BWC35"/>
    <mergeCell ref="BWD35:BWT35"/>
    <mergeCell ref="BWU35:BXK35"/>
    <mergeCell ref="BXL35:BYB35"/>
    <mergeCell ref="BYC35:BYS35"/>
    <mergeCell ref="BSF35:BSV35"/>
    <mergeCell ref="BSW35:BTM35"/>
    <mergeCell ref="BTN35:BUD35"/>
    <mergeCell ref="BUE35:BUU35"/>
    <mergeCell ref="BUV35:BVL35"/>
    <mergeCell ref="BOY35:BPO35"/>
    <mergeCell ref="BPP35:BQF35"/>
    <mergeCell ref="BQG35:BQW35"/>
    <mergeCell ref="BQX35:BRN35"/>
    <mergeCell ref="BRO35:BSE35"/>
    <mergeCell ref="BLR35:BMH35"/>
    <mergeCell ref="BMI35:BMY35"/>
    <mergeCell ref="BMZ35:BNP35"/>
    <mergeCell ref="BNQ35:BOG35"/>
    <mergeCell ref="BOH35:BOX35"/>
    <mergeCell ref="BIK35:BJA35"/>
    <mergeCell ref="BJB35:BJR35"/>
    <mergeCell ref="BJS35:BKI35"/>
    <mergeCell ref="BKJ35:BKZ35"/>
    <mergeCell ref="BLA35:BLQ35"/>
    <mergeCell ref="BFD35:BFT35"/>
    <mergeCell ref="BFU35:BGK35"/>
    <mergeCell ref="BGL35:BHB35"/>
    <mergeCell ref="BHC35:BHS35"/>
    <mergeCell ref="BHT35:BIJ35"/>
    <mergeCell ref="BBW35:BCM35"/>
    <mergeCell ref="BCN35:BDD35"/>
    <mergeCell ref="BDE35:BDU35"/>
    <mergeCell ref="BDV35:BEL35"/>
    <mergeCell ref="BEM35:BFC35"/>
    <mergeCell ref="AYP35:AZF35"/>
    <mergeCell ref="AZG35:AZW35"/>
    <mergeCell ref="AZX35:BAN35"/>
    <mergeCell ref="BAO35:BBE35"/>
    <mergeCell ref="BBF35:BBV35"/>
    <mergeCell ref="AVI35:AVY35"/>
    <mergeCell ref="AVZ35:AWP35"/>
    <mergeCell ref="AWQ35:AXG35"/>
    <mergeCell ref="AXH35:AXX35"/>
    <mergeCell ref="AXY35:AYO35"/>
    <mergeCell ref="ASB35:ASR35"/>
    <mergeCell ref="ASS35:ATI35"/>
    <mergeCell ref="ATJ35:ATZ35"/>
    <mergeCell ref="AUA35:AUQ35"/>
    <mergeCell ref="AUR35:AVH35"/>
    <mergeCell ref="AOU35:APK35"/>
    <mergeCell ref="APL35:AQB35"/>
    <mergeCell ref="AQC35:AQS35"/>
    <mergeCell ref="AQT35:ARJ35"/>
    <mergeCell ref="ARK35:ASA35"/>
    <mergeCell ref="ALN35:AMD35"/>
    <mergeCell ref="AME35:AMU35"/>
    <mergeCell ref="AMV35:ANL35"/>
    <mergeCell ref="ANM35:AOC35"/>
    <mergeCell ref="AOD35:AOT35"/>
    <mergeCell ref="AIG35:AIW35"/>
    <mergeCell ref="AIX35:AJN35"/>
    <mergeCell ref="AJO35:AKE35"/>
    <mergeCell ref="AKF35:AKV35"/>
    <mergeCell ref="AKW35:ALM35"/>
    <mergeCell ref="AEZ35:AFP35"/>
    <mergeCell ref="AFQ35:AGG35"/>
    <mergeCell ref="AGH35:AGX35"/>
    <mergeCell ref="AGY35:AHO35"/>
    <mergeCell ref="AHP35:AIF35"/>
    <mergeCell ref="ABS35:ACI35"/>
    <mergeCell ref="ACJ35:ACZ35"/>
    <mergeCell ref="ADA35:ADQ35"/>
    <mergeCell ref="ADR35:AEH35"/>
    <mergeCell ref="AEI35:AEY35"/>
    <mergeCell ref="YL35:ZB35"/>
    <mergeCell ref="ZC35:ZS35"/>
    <mergeCell ref="ZT35:AAJ35"/>
    <mergeCell ref="AAK35:ABA35"/>
    <mergeCell ref="ABB35:ABR35"/>
    <mergeCell ref="VE35:VU35"/>
    <mergeCell ref="VV35:WL35"/>
    <mergeCell ref="WM35:XC35"/>
    <mergeCell ref="XD35:XT35"/>
    <mergeCell ref="XU35:YK35"/>
    <mergeCell ref="RX35:SN35"/>
    <mergeCell ref="SO35:TE35"/>
    <mergeCell ref="TF35:TV35"/>
    <mergeCell ref="TW35:UM35"/>
    <mergeCell ref="UN35:VD35"/>
    <mergeCell ref="OQ35:PG35"/>
    <mergeCell ref="PH35:PX35"/>
    <mergeCell ref="PY35:QO35"/>
    <mergeCell ref="QP35:RF35"/>
    <mergeCell ref="RG35:RW35"/>
    <mergeCell ref="LJ35:LZ35"/>
    <mergeCell ref="MA35:MQ35"/>
    <mergeCell ref="MR35:NH35"/>
    <mergeCell ref="NI35:NY35"/>
    <mergeCell ref="NZ35:OP35"/>
    <mergeCell ref="IC35:IS35"/>
    <mergeCell ref="IT35:JJ35"/>
    <mergeCell ref="JK35:KA35"/>
    <mergeCell ref="KB35:KR35"/>
    <mergeCell ref="KS35:LI35"/>
    <mergeCell ref="XDY34:XEO34"/>
    <mergeCell ref="XEP34:XFB34"/>
    <mergeCell ref="A35:Q35"/>
    <mergeCell ref="R35:AF35"/>
    <mergeCell ref="AX35:BN35"/>
    <mergeCell ref="BO35:CE35"/>
    <mergeCell ref="CF35:CV35"/>
    <mergeCell ref="CW35:DM35"/>
    <mergeCell ref="DN35:ED35"/>
    <mergeCell ref="EE35:EU35"/>
    <mergeCell ref="EV35:FL35"/>
    <mergeCell ref="FM35:GC35"/>
    <mergeCell ref="GD35:GT35"/>
    <mergeCell ref="GU35:HK35"/>
    <mergeCell ref="HL35:IB35"/>
    <mergeCell ref="XAR34:XBH34"/>
    <mergeCell ref="XBI34:XBY34"/>
    <mergeCell ref="XBZ34:XCP34"/>
    <mergeCell ref="XCQ34:XDG34"/>
    <mergeCell ref="XDH34:XDX34"/>
    <mergeCell ref="WXK34:WYA34"/>
    <mergeCell ref="WYB34:WYR34"/>
    <mergeCell ref="WYS34:WZI34"/>
    <mergeCell ref="WZJ34:WZZ34"/>
    <mergeCell ref="XAA34:XAQ34"/>
    <mergeCell ref="WUD34:WUT34"/>
    <mergeCell ref="WUU34:WVK34"/>
    <mergeCell ref="WVL34:WWB34"/>
    <mergeCell ref="WWC34:WWS34"/>
    <mergeCell ref="WWT34:WXJ34"/>
    <mergeCell ref="WQW34:WRM34"/>
    <mergeCell ref="WRN34:WSD34"/>
    <mergeCell ref="WSE34:WSU34"/>
    <mergeCell ref="WSV34:WTL34"/>
    <mergeCell ref="WTM34:WUC34"/>
    <mergeCell ref="WNP34:WOF34"/>
    <mergeCell ref="WOG34:WOW34"/>
    <mergeCell ref="WOX34:WPN34"/>
    <mergeCell ref="WPO34:WQE34"/>
    <mergeCell ref="WQF34:WQV34"/>
    <mergeCell ref="WKI34:WKY34"/>
    <mergeCell ref="WKZ34:WLP34"/>
    <mergeCell ref="WLQ34:WMG34"/>
    <mergeCell ref="WMH34:WMX34"/>
    <mergeCell ref="WMY34:WNO34"/>
    <mergeCell ref="WHB34:WHR34"/>
    <mergeCell ref="WHS34:WII34"/>
    <mergeCell ref="WIJ34:WIZ34"/>
    <mergeCell ref="WJA34:WJQ34"/>
    <mergeCell ref="WJR34:WKH34"/>
    <mergeCell ref="WDU34:WEK34"/>
    <mergeCell ref="WEL34:WFB34"/>
    <mergeCell ref="WFC34:WFS34"/>
    <mergeCell ref="WFT34:WGJ34"/>
    <mergeCell ref="WGK34:WHA34"/>
    <mergeCell ref="WAN34:WBD34"/>
    <mergeCell ref="WBE34:WBU34"/>
    <mergeCell ref="WBV34:WCL34"/>
    <mergeCell ref="WCM34:WDC34"/>
    <mergeCell ref="WDD34:WDT34"/>
    <mergeCell ref="VXG34:VXW34"/>
    <mergeCell ref="VXX34:VYN34"/>
    <mergeCell ref="VYO34:VZE34"/>
    <mergeCell ref="VZF34:VZV34"/>
    <mergeCell ref="VZW34:WAM34"/>
    <mergeCell ref="VTZ34:VUP34"/>
    <mergeCell ref="VUQ34:VVG34"/>
    <mergeCell ref="VVH34:VVX34"/>
    <mergeCell ref="VVY34:VWO34"/>
    <mergeCell ref="VWP34:VXF34"/>
    <mergeCell ref="VQS34:VRI34"/>
    <mergeCell ref="VRJ34:VRZ34"/>
    <mergeCell ref="VSA34:VSQ34"/>
    <mergeCell ref="VSR34:VTH34"/>
    <mergeCell ref="VTI34:VTY34"/>
    <mergeCell ref="VNL34:VOB34"/>
    <mergeCell ref="VOC34:VOS34"/>
    <mergeCell ref="VOT34:VPJ34"/>
    <mergeCell ref="VPK34:VQA34"/>
    <mergeCell ref="VQB34:VQR34"/>
    <mergeCell ref="VKE34:VKU34"/>
    <mergeCell ref="VKV34:VLL34"/>
    <mergeCell ref="VLM34:VMC34"/>
    <mergeCell ref="VMD34:VMT34"/>
    <mergeCell ref="VMU34:VNK34"/>
    <mergeCell ref="VGX34:VHN34"/>
    <mergeCell ref="VHO34:VIE34"/>
    <mergeCell ref="VIF34:VIV34"/>
    <mergeCell ref="VIW34:VJM34"/>
    <mergeCell ref="VJN34:VKD34"/>
    <mergeCell ref="VDQ34:VEG34"/>
    <mergeCell ref="VEH34:VEX34"/>
    <mergeCell ref="VEY34:VFO34"/>
    <mergeCell ref="VFP34:VGF34"/>
    <mergeCell ref="VGG34:VGW34"/>
    <mergeCell ref="VAJ34:VAZ34"/>
    <mergeCell ref="VBA34:VBQ34"/>
    <mergeCell ref="VBR34:VCH34"/>
    <mergeCell ref="VCI34:VCY34"/>
    <mergeCell ref="VCZ34:VDP34"/>
    <mergeCell ref="UXC34:UXS34"/>
    <mergeCell ref="UXT34:UYJ34"/>
    <mergeCell ref="UYK34:UZA34"/>
    <mergeCell ref="UZB34:UZR34"/>
    <mergeCell ref="UZS34:VAI34"/>
    <mergeCell ref="UTV34:UUL34"/>
    <mergeCell ref="UUM34:UVC34"/>
    <mergeCell ref="UVD34:UVT34"/>
    <mergeCell ref="UVU34:UWK34"/>
    <mergeCell ref="UWL34:UXB34"/>
    <mergeCell ref="UQO34:URE34"/>
    <mergeCell ref="URF34:URV34"/>
    <mergeCell ref="URW34:USM34"/>
    <mergeCell ref="USN34:UTD34"/>
    <mergeCell ref="UTE34:UTU34"/>
    <mergeCell ref="UNH34:UNX34"/>
    <mergeCell ref="UNY34:UOO34"/>
    <mergeCell ref="UOP34:UPF34"/>
    <mergeCell ref="UPG34:UPW34"/>
    <mergeCell ref="UPX34:UQN34"/>
    <mergeCell ref="UKA34:UKQ34"/>
    <mergeCell ref="UKR34:ULH34"/>
    <mergeCell ref="ULI34:ULY34"/>
    <mergeCell ref="ULZ34:UMP34"/>
    <mergeCell ref="UMQ34:UNG34"/>
    <mergeCell ref="UGT34:UHJ34"/>
    <mergeCell ref="UHK34:UIA34"/>
    <mergeCell ref="UIB34:UIR34"/>
    <mergeCell ref="UIS34:UJI34"/>
    <mergeCell ref="UJJ34:UJZ34"/>
    <mergeCell ref="UDM34:UEC34"/>
    <mergeCell ref="UED34:UET34"/>
    <mergeCell ref="UEU34:UFK34"/>
    <mergeCell ref="UFL34:UGB34"/>
    <mergeCell ref="UGC34:UGS34"/>
    <mergeCell ref="UAF34:UAV34"/>
    <mergeCell ref="UAW34:UBM34"/>
    <mergeCell ref="UBN34:UCD34"/>
    <mergeCell ref="UCE34:UCU34"/>
    <mergeCell ref="UCV34:UDL34"/>
    <mergeCell ref="TWY34:TXO34"/>
    <mergeCell ref="TXP34:TYF34"/>
    <mergeCell ref="TYG34:TYW34"/>
    <mergeCell ref="TYX34:TZN34"/>
    <mergeCell ref="TZO34:UAE34"/>
    <mergeCell ref="TTR34:TUH34"/>
    <mergeCell ref="TUI34:TUY34"/>
    <mergeCell ref="TUZ34:TVP34"/>
    <mergeCell ref="TVQ34:TWG34"/>
    <mergeCell ref="TWH34:TWX34"/>
    <mergeCell ref="TQK34:TRA34"/>
    <mergeCell ref="TRB34:TRR34"/>
    <mergeCell ref="TRS34:TSI34"/>
    <mergeCell ref="TSJ34:TSZ34"/>
    <mergeCell ref="TTA34:TTQ34"/>
    <mergeCell ref="TND34:TNT34"/>
    <mergeCell ref="TNU34:TOK34"/>
    <mergeCell ref="TOL34:TPB34"/>
    <mergeCell ref="TPC34:TPS34"/>
    <mergeCell ref="TPT34:TQJ34"/>
    <mergeCell ref="TJW34:TKM34"/>
    <mergeCell ref="TKN34:TLD34"/>
    <mergeCell ref="TLE34:TLU34"/>
    <mergeCell ref="TLV34:TML34"/>
    <mergeCell ref="TMM34:TNC34"/>
    <mergeCell ref="TGP34:THF34"/>
    <mergeCell ref="THG34:THW34"/>
    <mergeCell ref="THX34:TIN34"/>
    <mergeCell ref="TIO34:TJE34"/>
    <mergeCell ref="TJF34:TJV34"/>
    <mergeCell ref="TDI34:TDY34"/>
    <mergeCell ref="TDZ34:TEP34"/>
    <mergeCell ref="TEQ34:TFG34"/>
    <mergeCell ref="TFH34:TFX34"/>
    <mergeCell ref="TFY34:TGO34"/>
    <mergeCell ref="TAB34:TAR34"/>
    <mergeCell ref="TAS34:TBI34"/>
    <mergeCell ref="TBJ34:TBZ34"/>
    <mergeCell ref="TCA34:TCQ34"/>
    <mergeCell ref="TCR34:TDH34"/>
    <mergeCell ref="SWU34:SXK34"/>
    <mergeCell ref="SXL34:SYB34"/>
    <mergeCell ref="SYC34:SYS34"/>
    <mergeCell ref="SYT34:SZJ34"/>
    <mergeCell ref="SZK34:TAA34"/>
    <mergeCell ref="STN34:SUD34"/>
    <mergeCell ref="SUE34:SUU34"/>
    <mergeCell ref="SUV34:SVL34"/>
    <mergeCell ref="SVM34:SWC34"/>
    <mergeCell ref="SWD34:SWT34"/>
    <mergeCell ref="SQG34:SQW34"/>
    <mergeCell ref="SQX34:SRN34"/>
    <mergeCell ref="SRO34:SSE34"/>
    <mergeCell ref="SSF34:SSV34"/>
    <mergeCell ref="SSW34:STM34"/>
    <mergeCell ref="SMZ34:SNP34"/>
    <mergeCell ref="SNQ34:SOG34"/>
    <mergeCell ref="SOH34:SOX34"/>
    <mergeCell ref="SOY34:SPO34"/>
    <mergeCell ref="SPP34:SQF34"/>
    <mergeCell ref="SJS34:SKI34"/>
    <mergeCell ref="SKJ34:SKZ34"/>
    <mergeCell ref="SLA34:SLQ34"/>
    <mergeCell ref="SLR34:SMH34"/>
    <mergeCell ref="SMI34:SMY34"/>
    <mergeCell ref="SGL34:SHB34"/>
    <mergeCell ref="SHC34:SHS34"/>
    <mergeCell ref="SHT34:SIJ34"/>
    <mergeCell ref="SIK34:SJA34"/>
    <mergeCell ref="SJB34:SJR34"/>
    <mergeCell ref="SDE34:SDU34"/>
    <mergeCell ref="SDV34:SEL34"/>
    <mergeCell ref="SEM34:SFC34"/>
    <mergeCell ref="SFD34:SFT34"/>
    <mergeCell ref="SFU34:SGK34"/>
    <mergeCell ref="RZX34:SAN34"/>
    <mergeCell ref="SAO34:SBE34"/>
    <mergeCell ref="SBF34:SBV34"/>
    <mergeCell ref="SBW34:SCM34"/>
    <mergeCell ref="SCN34:SDD34"/>
    <mergeCell ref="RWQ34:RXG34"/>
    <mergeCell ref="RXH34:RXX34"/>
    <mergeCell ref="RXY34:RYO34"/>
    <mergeCell ref="RYP34:RZF34"/>
    <mergeCell ref="RZG34:RZW34"/>
    <mergeCell ref="RTJ34:RTZ34"/>
    <mergeCell ref="RUA34:RUQ34"/>
    <mergeCell ref="RUR34:RVH34"/>
    <mergeCell ref="RVI34:RVY34"/>
    <mergeCell ref="RVZ34:RWP34"/>
    <mergeCell ref="RQC34:RQS34"/>
    <mergeCell ref="RQT34:RRJ34"/>
    <mergeCell ref="RRK34:RSA34"/>
    <mergeCell ref="RSB34:RSR34"/>
    <mergeCell ref="RSS34:RTI34"/>
    <mergeCell ref="RMV34:RNL34"/>
    <mergeCell ref="RNM34:ROC34"/>
    <mergeCell ref="ROD34:ROT34"/>
    <mergeCell ref="ROU34:RPK34"/>
    <mergeCell ref="RPL34:RQB34"/>
    <mergeCell ref="RJO34:RKE34"/>
    <mergeCell ref="RKF34:RKV34"/>
    <mergeCell ref="RKW34:RLM34"/>
    <mergeCell ref="RLN34:RMD34"/>
    <mergeCell ref="RME34:RMU34"/>
    <mergeCell ref="RGH34:RGX34"/>
    <mergeCell ref="RGY34:RHO34"/>
    <mergeCell ref="RHP34:RIF34"/>
    <mergeCell ref="RIG34:RIW34"/>
    <mergeCell ref="RIX34:RJN34"/>
    <mergeCell ref="RDA34:RDQ34"/>
    <mergeCell ref="RDR34:REH34"/>
    <mergeCell ref="REI34:REY34"/>
    <mergeCell ref="REZ34:RFP34"/>
    <mergeCell ref="RFQ34:RGG34"/>
    <mergeCell ref="QZT34:RAJ34"/>
    <mergeCell ref="RAK34:RBA34"/>
    <mergeCell ref="RBB34:RBR34"/>
    <mergeCell ref="RBS34:RCI34"/>
    <mergeCell ref="RCJ34:RCZ34"/>
    <mergeCell ref="QWM34:QXC34"/>
    <mergeCell ref="QXD34:QXT34"/>
    <mergeCell ref="QXU34:QYK34"/>
    <mergeCell ref="QYL34:QZB34"/>
    <mergeCell ref="QZC34:QZS34"/>
    <mergeCell ref="QTF34:QTV34"/>
    <mergeCell ref="QTW34:QUM34"/>
    <mergeCell ref="QUN34:QVD34"/>
    <mergeCell ref="QVE34:QVU34"/>
    <mergeCell ref="QVV34:QWL34"/>
    <mergeCell ref="QPY34:QQO34"/>
    <mergeCell ref="QQP34:QRF34"/>
    <mergeCell ref="QRG34:QRW34"/>
    <mergeCell ref="QRX34:QSN34"/>
    <mergeCell ref="QSO34:QTE34"/>
    <mergeCell ref="QMR34:QNH34"/>
    <mergeCell ref="QNI34:QNY34"/>
    <mergeCell ref="QNZ34:QOP34"/>
    <mergeCell ref="QOQ34:QPG34"/>
    <mergeCell ref="QPH34:QPX34"/>
    <mergeCell ref="QJK34:QKA34"/>
    <mergeCell ref="QKB34:QKR34"/>
    <mergeCell ref="QKS34:QLI34"/>
    <mergeCell ref="QLJ34:QLZ34"/>
    <mergeCell ref="QMA34:QMQ34"/>
    <mergeCell ref="QGD34:QGT34"/>
    <mergeCell ref="QGU34:QHK34"/>
    <mergeCell ref="QHL34:QIB34"/>
    <mergeCell ref="QIC34:QIS34"/>
    <mergeCell ref="QIT34:QJJ34"/>
    <mergeCell ref="QCW34:QDM34"/>
    <mergeCell ref="QDN34:QED34"/>
    <mergeCell ref="QEE34:QEU34"/>
    <mergeCell ref="QEV34:QFL34"/>
    <mergeCell ref="QFM34:QGC34"/>
    <mergeCell ref="PZP34:QAF34"/>
    <mergeCell ref="QAG34:QAW34"/>
    <mergeCell ref="QAX34:QBN34"/>
    <mergeCell ref="QBO34:QCE34"/>
    <mergeCell ref="QCF34:QCV34"/>
    <mergeCell ref="PWI34:PWY34"/>
    <mergeCell ref="PWZ34:PXP34"/>
    <mergeCell ref="PXQ34:PYG34"/>
    <mergeCell ref="PYH34:PYX34"/>
    <mergeCell ref="PYY34:PZO34"/>
    <mergeCell ref="PTB34:PTR34"/>
    <mergeCell ref="PTS34:PUI34"/>
    <mergeCell ref="PUJ34:PUZ34"/>
    <mergeCell ref="PVA34:PVQ34"/>
    <mergeCell ref="PVR34:PWH34"/>
    <mergeCell ref="PPU34:PQK34"/>
    <mergeCell ref="PQL34:PRB34"/>
    <mergeCell ref="PRC34:PRS34"/>
    <mergeCell ref="PRT34:PSJ34"/>
    <mergeCell ref="PSK34:PTA34"/>
    <mergeCell ref="PMN34:PND34"/>
    <mergeCell ref="PNE34:PNU34"/>
    <mergeCell ref="PNV34:POL34"/>
    <mergeCell ref="POM34:PPC34"/>
    <mergeCell ref="PPD34:PPT34"/>
    <mergeCell ref="PJG34:PJW34"/>
    <mergeCell ref="PJX34:PKN34"/>
    <mergeCell ref="PKO34:PLE34"/>
    <mergeCell ref="PLF34:PLV34"/>
    <mergeCell ref="PLW34:PMM34"/>
    <mergeCell ref="PFZ34:PGP34"/>
    <mergeCell ref="PGQ34:PHG34"/>
    <mergeCell ref="PHH34:PHX34"/>
    <mergeCell ref="PHY34:PIO34"/>
    <mergeCell ref="PIP34:PJF34"/>
    <mergeCell ref="PCS34:PDI34"/>
    <mergeCell ref="PDJ34:PDZ34"/>
    <mergeCell ref="PEA34:PEQ34"/>
    <mergeCell ref="PER34:PFH34"/>
    <mergeCell ref="PFI34:PFY34"/>
    <mergeCell ref="OZL34:PAB34"/>
    <mergeCell ref="PAC34:PAS34"/>
    <mergeCell ref="PAT34:PBJ34"/>
    <mergeCell ref="PBK34:PCA34"/>
    <mergeCell ref="PCB34:PCR34"/>
    <mergeCell ref="OWE34:OWU34"/>
    <mergeCell ref="OWV34:OXL34"/>
    <mergeCell ref="OXM34:OYC34"/>
    <mergeCell ref="OYD34:OYT34"/>
    <mergeCell ref="OYU34:OZK34"/>
    <mergeCell ref="OSX34:OTN34"/>
    <mergeCell ref="OTO34:OUE34"/>
    <mergeCell ref="OUF34:OUV34"/>
    <mergeCell ref="OUW34:OVM34"/>
    <mergeCell ref="OVN34:OWD34"/>
    <mergeCell ref="OPQ34:OQG34"/>
    <mergeCell ref="OQH34:OQX34"/>
    <mergeCell ref="OQY34:ORO34"/>
    <mergeCell ref="ORP34:OSF34"/>
    <mergeCell ref="OSG34:OSW34"/>
    <mergeCell ref="OMJ34:OMZ34"/>
    <mergeCell ref="ONA34:ONQ34"/>
    <mergeCell ref="ONR34:OOH34"/>
    <mergeCell ref="OOI34:OOY34"/>
    <mergeCell ref="OOZ34:OPP34"/>
    <mergeCell ref="OJC34:OJS34"/>
    <mergeCell ref="OJT34:OKJ34"/>
    <mergeCell ref="OKK34:OLA34"/>
    <mergeCell ref="OLB34:OLR34"/>
    <mergeCell ref="OLS34:OMI34"/>
    <mergeCell ref="OFV34:OGL34"/>
    <mergeCell ref="OGM34:OHC34"/>
    <mergeCell ref="OHD34:OHT34"/>
    <mergeCell ref="OHU34:OIK34"/>
    <mergeCell ref="OIL34:OJB34"/>
    <mergeCell ref="OCO34:ODE34"/>
    <mergeCell ref="ODF34:ODV34"/>
    <mergeCell ref="ODW34:OEM34"/>
    <mergeCell ref="OEN34:OFD34"/>
    <mergeCell ref="OFE34:OFU34"/>
    <mergeCell ref="NZH34:NZX34"/>
    <mergeCell ref="NZY34:OAO34"/>
    <mergeCell ref="OAP34:OBF34"/>
    <mergeCell ref="OBG34:OBW34"/>
    <mergeCell ref="OBX34:OCN34"/>
    <mergeCell ref="NWA34:NWQ34"/>
    <mergeCell ref="NWR34:NXH34"/>
    <mergeCell ref="NXI34:NXY34"/>
    <mergeCell ref="NXZ34:NYP34"/>
    <mergeCell ref="NYQ34:NZG34"/>
    <mergeCell ref="NST34:NTJ34"/>
    <mergeCell ref="NTK34:NUA34"/>
    <mergeCell ref="NUB34:NUR34"/>
    <mergeCell ref="NUS34:NVI34"/>
    <mergeCell ref="NVJ34:NVZ34"/>
    <mergeCell ref="NPM34:NQC34"/>
    <mergeCell ref="NQD34:NQT34"/>
    <mergeCell ref="NQU34:NRK34"/>
    <mergeCell ref="NRL34:NSB34"/>
    <mergeCell ref="NSC34:NSS34"/>
    <mergeCell ref="NMF34:NMV34"/>
    <mergeCell ref="NMW34:NNM34"/>
    <mergeCell ref="NNN34:NOD34"/>
    <mergeCell ref="NOE34:NOU34"/>
    <mergeCell ref="NOV34:NPL34"/>
    <mergeCell ref="NIY34:NJO34"/>
    <mergeCell ref="NJP34:NKF34"/>
    <mergeCell ref="NKG34:NKW34"/>
    <mergeCell ref="NKX34:NLN34"/>
    <mergeCell ref="NLO34:NME34"/>
    <mergeCell ref="NFR34:NGH34"/>
    <mergeCell ref="NGI34:NGY34"/>
    <mergeCell ref="NGZ34:NHP34"/>
    <mergeCell ref="NHQ34:NIG34"/>
    <mergeCell ref="NIH34:NIX34"/>
    <mergeCell ref="NCK34:NDA34"/>
    <mergeCell ref="NDB34:NDR34"/>
    <mergeCell ref="NDS34:NEI34"/>
    <mergeCell ref="NEJ34:NEZ34"/>
    <mergeCell ref="NFA34:NFQ34"/>
    <mergeCell ref="MZD34:MZT34"/>
    <mergeCell ref="MZU34:NAK34"/>
    <mergeCell ref="NAL34:NBB34"/>
    <mergeCell ref="NBC34:NBS34"/>
    <mergeCell ref="NBT34:NCJ34"/>
    <mergeCell ref="MVW34:MWM34"/>
    <mergeCell ref="MWN34:MXD34"/>
    <mergeCell ref="MXE34:MXU34"/>
    <mergeCell ref="MXV34:MYL34"/>
    <mergeCell ref="MYM34:MZC34"/>
    <mergeCell ref="MSP34:MTF34"/>
    <mergeCell ref="MTG34:MTW34"/>
    <mergeCell ref="MTX34:MUN34"/>
    <mergeCell ref="MUO34:MVE34"/>
    <mergeCell ref="MVF34:MVV34"/>
    <mergeCell ref="MPI34:MPY34"/>
    <mergeCell ref="MPZ34:MQP34"/>
    <mergeCell ref="MQQ34:MRG34"/>
    <mergeCell ref="MRH34:MRX34"/>
    <mergeCell ref="MRY34:MSO34"/>
    <mergeCell ref="MMB34:MMR34"/>
    <mergeCell ref="MMS34:MNI34"/>
    <mergeCell ref="MNJ34:MNZ34"/>
    <mergeCell ref="MOA34:MOQ34"/>
    <mergeCell ref="MOR34:MPH34"/>
    <mergeCell ref="MIU34:MJK34"/>
    <mergeCell ref="MJL34:MKB34"/>
    <mergeCell ref="MKC34:MKS34"/>
    <mergeCell ref="MKT34:MLJ34"/>
    <mergeCell ref="MLK34:MMA34"/>
    <mergeCell ref="MFN34:MGD34"/>
    <mergeCell ref="MGE34:MGU34"/>
    <mergeCell ref="MGV34:MHL34"/>
    <mergeCell ref="MHM34:MIC34"/>
    <mergeCell ref="MID34:MIT34"/>
    <mergeCell ref="MCG34:MCW34"/>
    <mergeCell ref="MCX34:MDN34"/>
    <mergeCell ref="MDO34:MEE34"/>
    <mergeCell ref="MEF34:MEV34"/>
    <mergeCell ref="MEW34:MFM34"/>
    <mergeCell ref="LYZ34:LZP34"/>
    <mergeCell ref="LZQ34:MAG34"/>
    <mergeCell ref="MAH34:MAX34"/>
    <mergeCell ref="MAY34:MBO34"/>
    <mergeCell ref="MBP34:MCF34"/>
    <mergeCell ref="LVS34:LWI34"/>
    <mergeCell ref="LWJ34:LWZ34"/>
    <mergeCell ref="LXA34:LXQ34"/>
    <mergeCell ref="LXR34:LYH34"/>
    <mergeCell ref="LYI34:LYY34"/>
    <mergeCell ref="LSL34:LTB34"/>
    <mergeCell ref="LTC34:LTS34"/>
    <mergeCell ref="LTT34:LUJ34"/>
    <mergeCell ref="LUK34:LVA34"/>
    <mergeCell ref="LVB34:LVR34"/>
    <mergeCell ref="LPE34:LPU34"/>
    <mergeCell ref="LPV34:LQL34"/>
    <mergeCell ref="LQM34:LRC34"/>
    <mergeCell ref="LRD34:LRT34"/>
    <mergeCell ref="LRU34:LSK34"/>
    <mergeCell ref="LLX34:LMN34"/>
    <mergeCell ref="LMO34:LNE34"/>
    <mergeCell ref="LNF34:LNV34"/>
    <mergeCell ref="LNW34:LOM34"/>
    <mergeCell ref="LON34:LPD34"/>
    <mergeCell ref="LIQ34:LJG34"/>
    <mergeCell ref="LJH34:LJX34"/>
    <mergeCell ref="LJY34:LKO34"/>
    <mergeCell ref="LKP34:LLF34"/>
    <mergeCell ref="LLG34:LLW34"/>
    <mergeCell ref="LFJ34:LFZ34"/>
    <mergeCell ref="LGA34:LGQ34"/>
    <mergeCell ref="LGR34:LHH34"/>
    <mergeCell ref="LHI34:LHY34"/>
    <mergeCell ref="LHZ34:LIP34"/>
    <mergeCell ref="LCC34:LCS34"/>
    <mergeCell ref="LCT34:LDJ34"/>
    <mergeCell ref="LDK34:LEA34"/>
    <mergeCell ref="LEB34:LER34"/>
    <mergeCell ref="LES34:LFI34"/>
    <mergeCell ref="KYV34:KZL34"/>
    <mergeCell ref="KZM34:LAC34"/>
    <mergeCell ref="LAD34:LAT34"/>
    <mergeCell ref="LAU34:LBK34"/>
    <mergeCell ref="LBL34:LCB34"/>
    <mergeCell ref="KVO34:KWE34"/>
    <mergeCell ref="KWF34:KWV34"/>
    <mergeCell ref="KWW34:KXM34"/>
    <mergeCell ref="KXN34:KYD34"/>
    <mergeCell ref="KYE34:KYU34"/>
    <mergeCell ref="KSH34:KSX34"/>
    <mergeCell ref="KSY34:KTO34"/>
    <mergeCell ref="KTP34:KUF34"/>
    <mergeCell ref="KUG34:KUW34"/>
    <mergeCell ref="KUX34:KVN34"/>
    <mergeCell ref="KPA34:KPQ34"/>
    <mergeCell ref="KPR34:KQH34"/>
    <mergeCell ref="KQI34:KQY34"/>
    <mergeCell ref="KQZ34:KRP34"/>
    <mergeCell ref="KRQ34:KSG34"/>
    <mergeCell ref="KLT34:KMJ34"/>
    <mergeCell ref="KMK34:KNA34"/>
    <mergeCell ref="KNB34:KNR34"/>
    <mergeCell ref="KNS34:KOI34"/>
    <mergeCell ref="KOJ34:KOZ34"/>
    <mergeCell ref="KIM34:KJC34"/>
    <mergeCell ref="KJD34:KJT34"/>
    <mergeCell ref="KJU34:KKK34"/>
    <mergeCell ref="KKL34:KLB34"/>
    <mergeCell ref="KLC34:KLS34"/>
    <mergeCell ref="KFF34:KFV34"/>
    <mergeCell ref="KFW34:KGM34"/>
    <mergeCell ref="KGN34:KHD34"/>
    <mergeCell ref="KHE34:KHU34"/>
    <mergeCell ref="KHV34:KIL34"/>
    <mergeCell ref="KBY34:KCO34"/>
    <mergeCell ref="KCP34:KDF34"/>
    <mergeCell ref="KDG34:KDW34"/>
    <mergeCell ref="KDX34:KEN34"/>
    <mergeCell ref="KEO34:KFE34"/>
    <mergeCell ref="JYR34:JZH34"/>
    <mergeCell ref="JZI34:JZY34"/>
    <mergeCell ref="JZZ34:KAP34"/>
    <mergeCell ref="KAQ34:KBG34"/>
    <mergeCell ref="KBH34:KBX34"/>
    <mergeCell ref="JVK34:JWA34"/>
    <mergeCell ref="JWB34:JWR34"/>
    <mergeCell ref="JWS34:JXI34"/>
    <mergeCell ref="JXJ34:JXZ34"/>
    <mergeCell ref="JYA34:JYQ34"/>
    <mergeCell ref="JSD34:JST34"/>
    <mergeCell ref="JSU34:JTK34"/>
    <mergeCell ref="JTL34:JUB34"/>
    <mergeCell ref="JUC34:JUS34"/>
    <mergeCell ref="JUT34:JVJ34"/>
    <mergeCell ref="JOW34:JPM34"/>
    <mergeCell ref="JPN34:JQD34"/>
    <mergeCell ref="JQE34:JQU34"/>
    <mergeCell ref="JQV34:JRL34"/>
    <mergeCell ref="JRM34:JSC34"/>
    <mergeCell ref="JLP34:JMF34"/>
    <mergeCell ref="JMG34:JMW34"/>
    <mergeCell ref="JMX34:JNN34"/>
    <mergeCell ref="JNO34:JOE34"/>
    <mergeCell ref="JOF34:JOV34"/>
    <mergeCell ref="JII34:JIY34"/>
    <mergeCell ref="JIZ34:JJP34"/>
    <mergeCell ref="JJQ34:JKG34"/>
    <mergeCell ref="JKH34:JKX34"/>
    <mergeCell ref="JKY34:JLO34"/>
    <mergeCell ref="JFB34:JFR34"/>
    <mergeCell ref="JFS34:JGI34"/>
    <mergeCell ref="JGJ34:JGZ34"/>
    <mergeCell ref="JHA34:JHQ34"/>
    <mergeCell ref="JHR34:JIH34"/>
    <mergeCell ref="JBU34:JCK34"/>
    <mergeCell ref="JCL34:JDB34"/>
    <mergeCell ref="JDC34:JDS34"/>
    <mergeCell ref="JDT34:JEJ34"/>
    <mergeCell ref="JEK34:JFA34"/>
    <mergeCell ref="IYN34:IZD34"/>
    <mergeCell ref="IZE34:IZU34"/>
    <mergeCell ref="IZV34:JAL34"/>
    <mergeCell ref="JAM34:JBC34"/>
    <mergeCell ref="JBD34:JBT34"/>
    <mergeCell ref="IVG34:IVW34"/>
    <mergeCell ref="IVX34:IWN34"/>
    <mergeCell ref="IWO34:IXE34"/>
    <mergeCell ref="IXF34:IXV34"/>
    <mergeCell ref="IXW34:IYM34"/>
    <mergeCell ref="IRZ34:ISP34"/>
    <mergeCell ref="ISQ34:ITG34"/>
    <mergeCell ref="ITH34:ITX34"/>
    <mergeCell ref="ITY34:IUO34"/>
    <mergeCell ref="IUP34:IVF34"/>
    <mergeCell ref="IOS34:IPI34"/>
    <mergeCell ref="IPJ34:IPZ34"/>
    <mergeCell ref="IQA34:IQQ34"/>
    <mergeCell ref="IQR34:IRH34"/>
    <mergeCell ref="IRI34:IRY34"/>
    <mergeCell ref="ILL34:IMB34"/>
    <mergeCell ref="IMC34:IMS34"/>
    <mergeCell ref="IMT34:INJ34"/>
    <mergeCell ref="INK34:IOA34"/>
    <mergeCell ref="IOB34:IOR34"/>
    <mergeCell ref="IIE34:IIU34"/>
    <mergeCell ref="IIV34:IJL34"/>
    <mergeCell ref="IJM34:IKC34"/>
    <mergeCell ref="IKD34:IKT34"/>
    <mergeCell ref="IKU34:ILK34"/>
    <mergeCell ref="IEX34:IFN34"/>
    <mergeCell ref="IFO34:IGE34"/>
    <mergeCell ref="IGF34:IGV34"/>
    <mergeCell ref="IGW34:IHM34"/>
    <mergeCell ref="IHN34:IID34"/>
    <mergeCell ref="IBQ34:ICG34"/>
    <mergeCell ref="ICH34:ICX34"/>
    <mergeCell ref="ICY34:IDO34"/>
    <mergeCell ref="IDP34:IEF34"/>
    <mergeCell ref="IEG34:IEW34"/>
    <mergeCell ref="HYJ34:HYZ34"/>
    <mergeCell ref="HZA34:HZQ34"/>
    <mergeCell ref="HZR34:IAH34"/>
    <mergeCell ref="IAI34:IAY34"/>
    <mergeCell ref="IAZ34:IBP34"/>
    <mergeCell ref="HVC34:HVS34"/>
    <mergeCell ref="HVT34:HWJ34"/>
    <mergeCell ref="HWK34:HXA34"/>
    <mergeCell ref="HXB34:HXR34"/>
    <mergeCell ref="HXS34:HYI34"/>
    <mergeCell ref="HRV34:HSL34"/>
    <mergeCell ref="HSM34:HTC34"/>
    <mergeCell ref="HTD34:HTT34"/>
    <mergeCell ref="HTU34:HUK34"/>
    <mergeCell ref="HUL34:HVB34"/>
    <mergeCell ref="HOO34:HPE34"/>
    <mergeCell ref="HPF34:HPV34"/>
    <mergeCell ref="HPW34:HQM34"/>
    <mergeCell ref="HQN34:HRD34"/>
    <mergeCell ref="HRE34:HRU34"/>
    <mergeCell ref="HLH34:HLX34"/>
    <mergeCell ref="HLY34:HMO34"/>
    <mergeCell ref="HMP34:HNF34"/>
    <mergeCell ref="HNG34:HNW34"/>
    <mergeCell ref="HNX34:HON34"/>
    <mergeCell ref="HIA34:HIQ34"/>
    <mergeCell ref="HIR34:HJH34"/>
    <mergeCell ref="HJI34:HJY34"/>
    <mergeCell ref="HJZ34:HKP34"/>
    <mergeCell ref="HKQ34:HLG34"/>
    <mergeCell ref="HET34:HFJ34"/>
    <mergeCell ref="HFK34:HGA34"/>
    <mergeCell ref="HGB34:HGR34"/>
    <mergeCell ref="HGS34:HHI34"/>
    <mergeCell ref="HHJ34:HHZ34"/>
    <mergeCell ref="HBM34:HCC34"/>
    <mergeCell ref="HCD34:HCT34"/>
    <mergeCell ref="HCU34:HDK34"/>
    <mergeCell ref="HDL34:HEB34"/>
    <mergeCell ref="HEC34:HES34"/>
    <mergeCell ref="GYF34:GYV34"/>
    <mergeCell ref="GYW34:GZM34"/>
    <mergeCell ref="GZN34:HAD34"/>
    <mergeCell ref="HAE34:HAU34"/>
    <mergeCell ref="HAV34:HBL34"/>
    <mergeCell ref="GUY34:GVO34"/>
    <mergeCell ref="GVP34:GWF34"/>
    <mergeCell ref="GWG34:GWW34"/>
    <mergeCell ref="GWX34:GXN34"/>
    <mergeCell ref="GXO34:GYE34"/>
    <mergeCell ref="GRR34:GSH34"/>
    <mergeCell ref="GSI34:GSY34"/>
    <mergeCell ref="GSZ34:GTP34"/>
    <mergeCell ref="GTQ34:GUG34"/>
    <mergeCell ref="GUH34:GUX34"/>
    <mergeCell ref="GOK34:GPA34"/>
    <mergeCell ref="GPB34:GPR34"/>
    <mergeCell ref="GPS34:GQI34"/>
    <mergeCell ref="GQJ34:GQZ34"/>
    <mergeCell ref="GRA34:GRQ34"/>
    <mergeCell ref="GLD34:GLT34"/>
    <mergeCell ref="GLU34:GMK34"/>
    <mergeCell ref="GML34:GNB34"/>
    <mergeCell ref="GNC34:GNS34"/>
    <mergeCell ref="GNT34:GOJ34"/>
    <mergeCell ref="GHW34:GIM34"/>
    <mergeCell ref="GIN34:GJD34"/>
    <mergeCell ref="GJE34:GJU34"/>
    <mergeCell ref="GJV34:GKL34"/>
    <mergeCell ref="GKM34:GLC34"/>
    <mergeCell ref="GEP34:GFF34"/>
    <mergeCell ref="GFG34:GFW34"/>
    <mergeCell ref="GFX34:GGN34"/>
    <mergeCell ref="GGO34:GHE34"/>
    <mergeCell ref="GHF34:GHV34"/>
    <mergeCell ref="GBI34:GBY34"/>
    <mergeCell ref="GBZ34:GCP34"/>
    <mergeCell ref="GCQ34:GDG34"/>
    <mergeCell ref="GDH34:GDX34"/>
    <mergeCell ref="GDY34:GEO34"/>
    <mergeCell ref="FYB34:FYR34"/>
    <mergeCell ref="FYS34:FZI34"/>
    <mergeCell ref="FZJ34:FZZ34"/>
    <mergeCell ref="GAA34:GAQ34"/>
    <mergeCell ref="GAR34:GBH34"/>
    <mergeCell ref="FUU34:FVK34"/>
    <mergeCell ref="FVL34:FWB34"/>
    <mergeCell ref="FWC34:FWS34"/>
    <mergeCell ref="FWT34:FXJ34"/>
    <mergeCell ref="FXK34:FYA34"/>
    <mergeCell ref="FRN34:FSD34"/>
    <mergeCell ref="FSE34:FSU34"/>
    <mergeCell ref="FSV34:FTL34"/>
    <mergeCell ref="FTM34:FUC34"/>
    <mergeCell ref="FUD34:FUT34"/>
    <mergeCell ref="FOG34:FOW34"/>
    <mergeCell ref="FOX34:FPN34"/>
    <mergeCell ref="FPO34:FQE34"/>
    <mergeCell ref="FQF34:FQV34"/>
    <mergeCell ref="FQW34:FRM34"/>
    <mergeCell ref="FKZ34:FLP34"/>
    <mergeCell ref="FLQ34:FMG34"/>
    <mergeCell ref="FMH34:FMX34"/>
    <mergeCell ref="FMY34:FNO34"/>
    <mergeCell ref="FNP34:FOF34"/>
    <mergeCell ref="FHS34:FII34"/>
    <mergeCell ref="FIJ34:FIZ34"/>
    <mergeCell ref="FJA34:FJQ34"/>
    <mergeCell ref="FJR34:FKH34"/>
    <mergeCell ref="FKI34:FKY34"/>
    <mergeCell ref="FEL34:FFB34"/>
    <mergeCell ref="FFC34:FFS34"/>
    <mergeCell ref="FFT34:FGJ34"/>
    <mergeCell ref="FGK34:FHA34"/>
    <mergeCell ref="FHB34:FHR34"/>
    <mergeCell ref="FBE34:FBU34"/>
    <mergeCell ref="FBV34:FCL34"/>
    <mergeCell ref="FCM34:FDC34"/>
    <mergeCell ref="FDD34:FDT34"/>
    <mergeCell ref="FDU34:FEK34"/>
    <mergeCell ref="EXX34:EYN34"/>
    <mergeCell ref="EYO34:EZE34"/>
    <mergeCell ref="EZF34:EZV34"/>
    <mergeCell ref="EZW34:FAM34"/>
    <mergeCell ref="FAN34:FBD34"/>
    <mergeCell ref="EUQ34:EVG34"/>
    <mergeCell ref="EVH34:EVX34"/>
    <mergeCell ref="EVY34:EWO34"/>
    <mergeCell ref="EWP34:EXF34"/>
    <mergeCell ref="EXG34:EXW34"/>
    <mergeCell ref="ERJ34:ERZ34"/>
    <mergeCell ref="ESA34:ESQ34"/>
    <mergeCell ref="ESR34:ETH34"/>
    <mergeCell ref="ETI34:ETY34"/>
    <mergeCell ref="ETZ34:EUP34"/>
    <mergeCell ref="EOC34:EOS34"/>
    <mergeCell ref="EOT34:EPJ34"/>
    <mergeCell ref="EPK34:EQA34"/>
    <mergeCell ref="EQB34:EQR34"/>
    <mergeCell ref="EQS34:ERI34"/>
    <mergeCell ref="EKV34:ELL34"/>
    <mergeCell ref="ELM34:EMC34"/>
    <mergeCell ref="EMD34:EMT34"/>
    <mergeCell ref="EMU34:ENK34"/>
    <mergeCell ref="ENL34:EOB34"/>
    <mergeCell ref="EHO34:EIE34"/>
    <mergeCell ref="EIF34:EIV34"/>
    <mergeCell ref="EIW34:EJM34"/>
    <mergeCell ref="EJN34:EKD34"/>
    <mergeCell ref="EKE34:EKU34"/>
    <mergeCell ref="EEH34:EEX34"/>
    <mergeCell ref="EEY34:EFO34"/>
    <mergeCell ref="EFP34:EGF34"/>
    <mergeCell ref="EGG34:EGW34"/>
    <mergeCell ref="EGX34:EHN34"/>
    <mergeCell ref="EBA34:EBQ34"/>
    <mergeCell ref="EBR34:ECH34"/>
    <mergeCell ref="ECI34:ECY34"/>
    <mergeCell ref="ECZ34:EDP34"/>
    <mergeCell ref="EDQ34:EEG34"/>
    <mergeCell ref="DXT34:DYJ34"/>
    <mergeCell ref="DYK34:DZA34"/>
    <mergeCell ref="DZB34:DZR34"/>
    <mergeCell ref="DZS34:EAI34"/>
    <mergeCell ref="EAJ34:EAZ34"/>
    <mergeCell ref="DUM34:DVC34"/>
    <mergeCell ref="DVD34:DVT34"/>
    <mergeCell ref="DVU34:DWK34"/>
    <mergeCell ref="DWL34:DXB34"/>
    <mergeCell ref="DXC34:DXS34"/>
    <mergeCell ref="DRF34:DRV34"/>
    <mergeCell ref="DRW34:DSM34"/>
    <mergeCell ref="DSN34:DTD34"/>
    <mergeCell ref="DTE34:DTU34"/>
    <mergeCell ref="DTV34:DUL34"/>
    <mergeCell ref="DNY34:DOO34"/>
    <mergeCell ref="DOP34:DPF34"/>
    <mergeCell ref="DPG34:DPW34"/>
    <mergeCell ref="DPX34:DQN34"/>
    <mergeCell ref="DQO34:DRE34"/>
    <mergeCell ref="DKR34:DLH34"/>
    <mergeCell ref="DLI34:DLY34"/>
    <mergeCell ref="DLZ34:DMP34"/>
    <mergeCell ref="DMQ34:DNG34"/>
    <mergeCell ref="DNH34:DNX34"/>
    <mergeCell ref="DHK34:DIA34"/>
    <mergeCell ref="DIB34:DIR34"/>
    <mergeCell ref="DIS34:DJI34"/>
    <mergeCell ref="DJJ34:DJZ34"/>
    <mergeCell ref="DKA34:DKQ34"/>
    <mergeCell ref="DED34:DET34"/>
    <mergeCell ref="DEU34:DFK34"/>
    <mergeCell ref="DFL34:DGB34"/>
    <mergeCell ref="DGC34:DGS34"/>
    <mergeCell ref="DGT34:DHJ34"/>
    <mergeCell ref="DAW34:DBM34"/>
    <mergeCell ref="DBN34:DCD34"/>
    <mergeCell ref="DCE34:DCU34"/>
    <mergeCell ref="DCV34:DDL34"/>
    <mergeCell ref="DDM34:DEC34"/>
    <mergeCell ref="CXP34:CYF34"/>
    <mergeCell ref="CYG34:CYW34"/>
    <mergeCell ref="CYX34:CZN34"/>
    <mergeCell ref="CZO34:DAE34"/>
    <mergeCell ref="DAF34:DAV34"/>
    <mergeCell ref="CUI34:CUY34"/>
    <mergeCell ref="CUZ34:CVP34"/>
    <mergeCell ref="CVQ34:CWG34"/>
    <mergeCell ref="CWH34:CWX34"/>
    <mergeCell ref="CWY34:CXO34"/>
    <mergeCell ref="CRB34:CRR34"/>
    <mergeCell ref="CRS34:CSI34"/>
    <mergeCell ref="CSJ34:CSZ34"/>
    <mergeCell ref="CTA34:CTQ34"/>
    <mergeCell ref="CTR34:CUH34"/>
    <mergeCell ref="CNU34:COK34"/>
    <mergeCell ref="COL34:CPB34"/>
    <mergeCell ref="CPC34:CPS34"/>
    <mergeCell ref="CPT34:CQJ34"/>
    <mergeCell ref="CQK34:CRA34"/>
    <mergeCell ref="CKN34:CLD34"/>
    <mergeCell ref="CLE34:CLU34"/>
    <mergeCell ref="CLV34:CML34"/>
    <mergeCell ref="CMM34:CNC34"/>
    <mergeCell ref="CND34:CNT34"/>
    <mergeCell ref="CHG34:CHW34"/>
    <mergeCell ref="CHX34:CIN34"/>
    <mergeCell ref="CIO34:CJE34"/>
    <mergeCell ref="CJF34:CJV34"/>
    <mergeCell ref="CJW34:CKM34"/>
    <mergeCell ref="CDZ34:CEP34"/>
    <mergeCell ref="CEQ34:CFG34"/>
    <mergeCell ref="CFH34:CFX34"/>
    <mergeCell ref="CFY34:CGO34"/>
    <mergeCell ref="CGP34:CHF34"/>
    <mergeCell ref="CAS34:CBI34"/>
    <mergeCell ref="CBJ34:CBZ34"/>
    <mergeCell ref="CCA34:CCQ34"/>
    <mergeCell ref="CCR34:CDH34"/>
    <mergeCell ref="CDI34:CDY34"/>
    <mergeCell ref="BXL34:BYB34"/>
    <mergeCell ref="BYC34:BYS34"/>
    <mergeCell ref="BYT34:BZJ34"/>
    <mergeCell ref="BZK34:CAA34"/>
    <mergeCell ref="CAB34:CAR34"/>
    <mergeCell ref="BUE34:BUU34"/>
    <mergeCell ref="BUV34:BVL34"/>
    <mergeCell ref="BVM34:BWC34"/>
    <mergeCell ref="BWD34:BWT34"/>
    <mergeCell ref="BWU34:BXK34"/>
    <mergeCell ref="BQX34:BRN34"/>
    <mergeCell ref="BRO34:BSE34"/>
    <mergeCell ref="BSF34:BSV34"/>
    <mergeCell ref="BSW34:BTM34"/>
    <mergeCell ref="BTN34:BUD34"/>
    <mergeCell ref="BNQ34:BOG34"/>
    <mergeCell ref="BOH34:BOX34"/>
    <mergeCell ref="BOY34:BPO34"/>
    <mergeCell ref="BPP34:BQF34"/>
    <mergeCell ref="BQG34:BQW34"/>
    <mergeCell ref="BKJ34:BKZ34"/>
    <mergeCell ref="BLA34:BLQ34"/>
    <mergeCell ref="BLR34:BMH34"/>
    <mergeCell ref="BMI34:BMY34"/>
    <mergeCell ref="BMZ34:BNP34"/>
    <mergeCell ref="BHC34:BHS34"/>
    <mergeCell ref="BHT34:BIJ34"/>
    <mergeCell ref="BIK34:BJA34"/>
    <mergeCell ref="BJB34:BJR34"/>
    <mergeCell ref="BJS34:BKI34"/>
    <mergeCell ref="BDV34:BEL34"/>
    <mergeCell ref="BEM34:BFC34"/>
    <mergeCell ref="BFD34:BFT34"/>
    <mergeCell ref="BFU34:BGK34"/>
    <mergeCell ref="BGL34:BHB34"/>
    <mergeCell ref="BAO34:BBE34"/>
    <mergeCell ref="BBF34:BBV34"/>
    <mergeCell ref="BBW34:BCM34"/>
    <mergeCell ref="BCN34:BDD34"/>
    <mergeCell ref="BDE34:BDU34"/>
    <mergeCell ref="AXH34:AXX34"/>
    <mergeCell ref="AXY34:AYO34"/>
    <mergeCell ref="AYP34:AZF34"/>
    <mergeCell ref="AZG34:AZW34"/>
    <mergeCell ref="AZX34:BAN34"/>
    <mergeCell ref="AUA34:AUQ34"/>
    <mergeCell ref="AUR34:AVH34"/>
    <mergeCell ref="AVI34:AVY34"/>
    <mergeCell ref="AVZ34:AWP34"/>
    <mergeCell ref="AWQ34:AXG34"/>
    <mergeCell ref="AQT34:ARJ34"/>
    <mergeCell ref="ARK34:ASA34"/>
    <mergeCell ref="ASB34:ASR34"/>
    <mergeCell ref="ASS34:ATI34"/>
    <mergeCell ref="ATJ34:ATZ34"/>
    <mergeCell ref="ANM34:AOC34"/>
    <mergeCell ref="AOD34:AOT34"/>
    <mergeCell ref="AOU34:APK34"/>
    <mergeCell ref="APL34:AQB34"/>
    <mergeCell ref="AQC34:AQS34"/>
    <mergeCell ref="AKF34:AKV34"/>
    <mergeCell ref="AKW34:ALM34"/>
    <mergeCell ref="ALN34:AMD34"/>
    <mergeCell ref="AME34:AMU34"/>
    <mergeCell ref="AMV34:ANL34"/>
    <mergeCell ref="AGY34:AHO34"/>
    <mergeCell ref="AHP34:AIF34"/>
    <mergeCell ref="AIG34:AIW34"/>
    <mergeCell ref="AIX34:AJN34"/>
    <mergeCell ref="AJO34:AKE34"/>
    <mergeCell ref="ADR34:AEH34"/>
    <mergeCell ref="AEI34:AEY34"/>
    <mergeCell ref="AEZ34:AFP34"/>
    <mergeCell ref="AFQ34:AGG34"/>
    <mergeCell ref="AGH34:AGX34"/>
    <mergeCell ref="AAK34:ABA34"/>
    <mergeCell ref="ABB34:ABR34"/>
    <mergeCell ref="ABS34:ACI34"/>
    <mergeCell ref="ACJ34:ACZ34"/>
    <mergeCell ref="ADA34:ADQ34"/>
    <mergeCell ref="XD34:XT34"/>
    <mergeCell ref="XU34:YK34"/>
    <mergeCell ref="YL34:ZB34"/>
    <mergeCell ref="ZC34:ZS34"/>
    <mergeCell ref="ZT34:AAJ34"/>
    <mergeCell ref="TW34:UM34"/>
    <mergeCell ref="UN34:VD34"/>
    <mergeCell ref="VE34:VU34"/>
    <mergeCell ref="VV34:WL34"/>
    <mergeCell ref="WM34:XC34"/>
    <mergeCell ref="QP34:RF34"/>
    <mergeCell ref="RG34:RW34"/>
    <mergeCell ref="RX34:SN34"/>
    <mergeCell ref="SO34:TE34"/>
    <mergeCell ref="TF34:TV34"/>
    <mergeCell ref="NI34:NY34"/>
    <mergeCell ref="NZ34:OP34"/>
    <mergeCell ref="OQ34:PG34"/>
    <mergeCell ref="PH34:PX34"/>
    <mergeCell ref="PY34:QO34"/>
    <mergeCell ref="KB34:KR34"/>
    <mergeCell ref="KS34:LI34"/>
    <mergeCell ref="LJ34:LZ34"/>
    <mergeCell ref="MA34:MQ34"/>
    <mergeCell ref="MR34:NH34"/>
    <mergeCell ref="GU34:HK34"/>
    <mergeCell ref="HL34:IB34"/>
    <mergeCell ref="IC34:IS34"/>
    <mergeCell ref="IT34:JJ34"/>
    <mergeCell ref="JK34:KA34"/>
    <mergeCell ref="DN34:ED34"/>
    <mergeCell ref="EE34:EU34"/>
    <mergeCell ref="EV34:FL34"/>
    <mergeCell ref="FM34:GC34"/>
    <mergeCell ref="GD34:GT34"/>
    <mergeCell ref="AX34:BN34"/>
    <mergeCell ref="BO34:CE34"/>
    <mergeCell ref="CF34:CV34"/>
    <mergeCell ref="CW34:DM34"/>
    <mergeCell ref="XBZ33:XCP33"/>
    <mergeCell ref="XCQ33:XDG33"/>
    <mergeCell ref="XDH33:XDX33"/>
    <mergeCell ref="WOX33:WPN33"/>
    <mergeCell ref="WPO33:WQE33"/>
    <mergeCell ref="WQF33:WQV33"/>
    <mergeCell ref="WQW33:WRM33"/>
    <mergeCell ref="WRN33:WSD33"/>
    <mergeCell ref="WLQ33:WMG33"/>
    <mergeCell ref="WMH33:WMX33"/>
    <mergeCell ref="WMY33:WNO33"/>
    <mergeCell ref="WNP33:WOF33"/>
    <mergeCell ref="WOG33:WOW33"/>
    <mergeCell ref="WIJ33:WIZ33"/>
    <mergeCell ref="WJA33:WJQ33"/>
    <mergeCell ref="WJR33:WKH33"/>
    <mergeCell ref="WKI33:WKY33"/>
    <mergeCell ref="WKZ33:WLP33"/>
    <mergeCell ref="XDY33:XEO33"/>
    <mergeCell ref="XEP33:XFB33"/>
    <mergeCell ref="WYS33:WZI33"/>
    <mergeCell ref="WZJ33:WZZ33"/>
    <mergeCell ref="XAA33:XAQ33"/>
    <mergeCell ref="XAR33:XBH33"/>
    <mergeCell ref="XBI33:XBY33"/>
    <mergeCell ref="WVL33:WWB33"/>
    <mergeCell ref="WWC33:WWS33"/>
    <mergeCell ref="WWT33:WXJ33"/>
    <mergeCell ref="WXK33:WYA33"/>
    <mergeCell ref="WYB33:WYR33"/>
    <mergeCell ref="WSE33:WSU33"/>
    <mergeCell ref="WSV33:WTL33"/>
    <mergeCell ref="WTM33:WUC33"/>
    <mergeCell ref="WUD33:WUT33"/>
    <mergeCell ref="WUU33:WVK33"/>
    <mergeCell ref="WFC33:WFS33"/>
    <mergeCell ref="WFT33:WGJ33"/>
    <mergeCell ref="WGK33:WHA33"/>
    <mergeCell ref="WHB33:WHR33"/>
    <mergeCell ref="WHS33:WII33"/>
    <mergeCell ref="WBV33:WCL33"/>
    <mergeCell ref="WCM33:WDC33"/>
    <mergeCell ref="WDD33:WDT33"/>
    <mergeCell ref="WDU33:WEK33"/>
    <mergeCell ref="WEL33:WFB33"/>
    <mergeCell ref="VYO33:VZE33"/>
    <mergeCell ref="VZF33:VZV33"/>
    <mergeCell ref="VZW33:WAM33"/>
    <mergeCell ref="WAN33:WBD33"/>
    <mergeCell ref="WBE33:WBU33"/>
    <mergeCell ref="VVH33:VVX33"/>
    <mergeCell ref="VVY33:VWO33"/>
    <mergeCell ref="VWP33:VXF33"/>
    <mergeCell ref="VXG33:VXW33"/>
    <mergeCell ref="VXX33:VYN33"/>
    <mergeCell ref="VSA33:VSQ33"/>
    <mergeCell ref="VSR33:VTH33"/>
    <mergeCell ref="VTI33:VTY33"/>
    <mergeCell ref="VTZ33:VUP33"/>
    <mergeCell ref="VUQ33:VVG33"/>
    <mergeCell ref="VOT33:VPJ33"/>
    <mergeCell ref="VPK33:VQA33"/>
    <mergeCell ref="VQB33:VQR33"/>
    <mergeCell ref="VQS33:VRI33"/>
    <mergeCell ref="VRJ33:VRZ33"/>
    <mergeCell ref="VLM33:VMC33"/>
    <mergeCell ref="VMD33:VMT33"/>
    <mergeCell ref="VMU33:VNK33"/>
    <mergeCell ref="VNL33:VOB33"/>
    <mergeCell ref="VOC33:VOS33"/>
    <mergeCell ref="VIF33:VIV33"/>
    <mergeCell ref="VIW33:VJM33"/>
    <mergeCell ref="VJN33:VKD33"/>
    <mergeCell ref="VKE33:VKU33"/>
    <mergeCell ref="VKV33:VLL33"/>
    <mergeCell ref="VEY33:VFO33"/>
    <mergeCell ref="VFP33:VGF33"/>
    <mergeCell ref="VGG33:VGW33"/>
    <mergeCell ref="VGX33:VHN33"/>
    <mergeCell ref="VHO33:VIE33"/>
    <mergeCell ref="VBR33:VCH33"/>
    <mergeCell ref="VCI33:VCY33"/>
    <mergeCell ref="VCZ33:VDP33"/>
    <mergeCell ref="VDQ33:VEG33"/>
    <mergeCell ref="VEH33:VEX33"/>
    <mergeCell ref="UYK33:UZA33"/>
    <mergeCell ref="UZB33:UZR33"/>
    <mergeCell ref="UZS33:VAI33"/>
    <mergeCell ref="VAJ33:VAZ33"/>
    <mergeCell ref="VBA33:VBQ33"/>
    <mergeCell ref="UVD33:UVT33"/>
    <mergeCell ref="UVU33:UWK33"/>
    <mergeCell ref="UWL33:UXB33"/>
    <mergeCell ref="UXC33:UXS33"/>
    <mergeCell ref="UXT33:UYJ33"/>
    <mergeCell ref="URW33:USM33"/>
    <mergeCell ref="USN33:UTD33"/>
    <mergeCell ref="UTE33:UTU33"/>
    <mergeCell ref="UTV33:UUL33"/>
    <mergeCell ref="UUM33:UVC33"/>
    <mergeCell ref="UOP33:UPF33"/>
    <mergeCell ref="UPG33:UPW33"/>
    <mergeCell ref="UPX33:UQN33"/>
    <mergeCell ref="UQO33:URE33"/>
    <mergeCell ref="URF33:URV33"/>
    <mergeCell ref="ULI33:ULY33"/>
    <mergeCell ref="ULZ33:UMP33"/>
    <mergeCell ref="UMQ33:UNG33"/>
    <mergeCell ref="UNH33:UNX33"/>
    <mergeCell ref="UNY33:UOO33"/>
    <mergeCell ref="UIB33:UIR33"/>
    <mergeCell ref="UIS33:UJI33"/>
    <mergeCell ref="UJJ33:UJZ33"/>
    <mergeCell ref="UKA33:UKQ33"/>
    <mergeCell ref="UKR33:ULH33"/>
    <mergeCell ref="UEU33:UFK33"/>
    <mergeCell ref="UFL33:UGB33"/>
    <mergeCell ref="UGC33:UGS33"/>
    <mergeCell ref="UGT33:UHJ33"/>
    <mergeCell ref="UHK33:UIA33"/>
    <mergeCell ref="UBN33:UCD33"/>
    <mergeCell ref="UCE33:UCU33"/>
    <mergeCell ref="UCV33:UDL33"/>
    <mergeCell ref="UDM33:UEC33"/>
    <mergeCell ref="UED33:UET33"/>
    <mergeCell ref="TYG33:TYW33"/>
    <mergeCell ref="TYX33:TZN33"/>
    <mergeCell ref="TZO33:UAE33"/>
    <mergeCell ref="UAF33:UAV33"/>
    <mergeCell ref="UAW33:UBM33"/>
    <mergeCell ref="TUZ33:TVP33"/>
    <mergeCell ref="TVQ33:TWG33"/>
    <mergeCell ref="TWH33:TWX33"/>
    <mergeCell ref="TWY33:TXO33"/>
    <mergeCell ref="TXP33:TYF33"/>
    <mergeCell ref="TRS33:TSI33"/>
    <mergeCell ref="TSJ33:TSZ33"/>
    <mergeCell ref="TTA33:TTQ33"/>
    <mergeCell ref="TTR33:TUH33"/>
    <mergeCell ref="TUI33:TUY33"/>
    <mergeCell ref="TOL33:TPB33"/>
    <mergeCell ref="TPC33:TPS33"/>
    <mergeCell ref="TPT33:TQJ33"/>
    <mergeCell ref="TQK33:TRA33"/>
    <mergeCell ref="TRB33:TRR33"/>
    <mergeCell ref="TLE33:TLU33"/>
    <mergeCell ref="TLV33:TML33"/>
    <mergeCell ref="TMM33:TNC33"/>
    <mergeCell ref="TND33:TNT33"/>
    <mergeCell ref="TNU33:TOK33"/>
    <mergeCell ref="THX33:TIN33"/>
    <mergeCell ref="TIO33:TJE33"/>
    <mergeCell ref="TJF33:TJV33"/>
    <mergeCell ref="TJW33:TKM33"/>
    <mergeCell ref="TKN33:TLD33"/>
    <mergeCell ref="TEQ33:TFG33"/>
    <mergeCell ref="TFH33:TFX33"/>
    <mergeCell ref="TFY33:TGO33"/>
    <mergeCell ref="TGP33:THF33"/>
    <mergeCell ref="THG33:THW33"/>
    <mergeCell ref="TBJ33:TBZ33"/>
    <mergeCell ref="TCA33:TCQ33"/>
    <mergeCell ref="TCR33:TDH33"/>
    <mergeCell ref="TDI33:TDY33"/>
    <mergeCell ref="TDZ33:TEP33"/>
    <mergeCell ref="SYC33:SYS33"/>
    <mergeCell ref="SYT33:SZJ33"/>
    <mergeCell ref="SZK33:TAA33"/>
    <mergeCell ref="TAB33:TAR33"/>
    <mergeCell ref="TAS33:TBI33"/>
    <mergeCell ref="SUV33:SVL33"/>
    <mergeCell ref="SVM33:SWC33"/>
    <mergeCell ref="SWD33:SWT33"/>
    <mergeCell ref="SWU33:SXK33"/>
    <mergeCell ref="SXL33:SYB33"/>
    <mergeCell ref="SRO33:SSE33"/>
    <mergeCell ref="SSF33:SSV33"/>
    <mergeCell ref="SSW33:STM33"/>
    <mergeCell ref="STN33:SUD33"/>
    <mergeCell ref="SUE33:SUU33"/>
    <mergeCell ref="SOH33:SOX33"/>
    <mergeCell ref="SOY33:SPO33"/>
    <mergeCell ref="SPP33:SQF33"/>
    <mergeCell ref="SQG33:SQW33"/>
    <mergeCell ref="SQX33:SRN33"/>
    <mergeCell ref="SLA33:SLQ33"/>
    <mergeCell ref="SLR33:SMH33"/>
    <mergeCell ref="SMI33:SMY33"/>
    <mergeCell ref="SMZ33:SNP33"/>
    <mergeCell ref="SNQ33:SOG33"/>
    <mergeCell ref="SHT33:SIJ33"/>
    <mergeCell ref="SIK33:SJA33"/>
    <mergeCell ref="SJB33:SJR33"/>
    <mergeCell ref="SJS33:SKI33"/>
    <mergeCell ref="SKJ33:SKZ33"/>
    <mergeCell ref="SEM33:SFC33"/>
    <mergeCell ref="SFD33:SFT33"/>
    <mergeCell ref="SFU33:SGK33"/>
    <mergeCell ref="SGL33:SHB33"/>
    <mergeCell ref="SHC33:SHS33"/>
    <mergeCell ref="SBF33:SBV33"/>
    <mergeCell ref="SBW33:SCM33"/>
    <mergeCell ref="SCN33:SDD33"/>
    <mergeCell ref="SDE33:SDU33"/>
    <mergeCell ref="SDV33:SEL33"/>
    <mergeCell ref="RXY33:RYO33"/>
    <mergeCell ref="RYP33:RZF33"/>
    <mergeCell ref="RZG33:RZW33"/>
    <mergeCell ref="RZX33:SAN33"/>
    <mergeCell ref="SAO33:SBE33"/>
    <mergeCell ref="RUR33:RVH33"/>
    <mergeCell ref="RVI33:RVY33"/>
    <mergeCell ref="RVZ33:RWP33"/>
    <mergeCell ref="RWQ33:RXG33"/>
    <mergeCell ref="RXH33:RXX33"/>
    <mergeCell ref="RRK33:RSA33"/>
    <mergeCell ref="RSB33:RSR33"/>
    <mergeCell ref="RSS33:RTI33"/>
    <mergeCell ref="RTJ33:RTZ33"/>
    <mergeCell ref="RUA33:RUQ33"/>
    <mergeCell ref="ROD33:ROT33"/>
    <mergeCell ref="ROU33:RPK33"/>
    <mergeCell ref="RPL33:RQB33"/>
    <mergeCell ref="RQC33:RQS33"/>
    <mergeCell ref="RQT33:RRJ33"/>
    <mergeCell ref="RKW33:RLM33"/>
    <mergeCell ref="RLN33:RMD33"/>
    <mergeCell ref="RME33:RMU33"/>
    <mergeCell ref="RMV33:RNL33"/>
    <mergeCell ref="RNM33:ROC33"/>
    <mergeCell ref="RHP33:RIF33"/>
    <mergeCell ref="RIG33:RIW33"/>
    <mergeCell ref="RIX33:RJN33"/>
    <mergeCell ref="RJO33:RKE33"/>
    <mergeCell ref="RKF33:RKV33"/>
    <mergeCell ref="REI33:REY33"/>
    <mergeCell ref="REZ33:RFP33"/>
    <mergeCell ref="RFQ33:RGG33"/>
    <mergeCell ref="RGH33:RGX33"/>
    <mergeCell ref="RGY33:RHO33"/>
    <mergeCell ref="RBB33:RBR33"/>
    <mergeCell ref="RBS33:RCI33"/>
    <mergeCell ref="RCJ33:RCZ33"/>
    <mergeCell ref="RDA33:RDQ33"/>
    <mergeCell ref="RDR33:REH33"/>
    <mergeCell ref="QXU33:QYK33"/>
    <mergeCell ref="QYL33:QZB33"/>
    <mergeCell ref="QZC33:QZS33"/>
    <mergeCell ref="QZT33:RAJ33"/>
    <mergeCell ref="RAK33:RBA33"/>
    <mergeCell ref="QUN33:QVD33"/>
    <mergeCell ref="QVE33:QVU33"/>
    <mergeCell ref="QVV33:QWL33"/>
    <mergeCell ref="QWM33:QXC33"/>
    <mergeCell ref="QXD33:QXT33"/>
    <mergeCell ref="QRG33:QRW33"/>
    <mergeCell ref="QRX33:QSN33"/>
    <mergeCell ref="QSO33:QTE33"/>
    <mergeCell ref="QTF33:QTV33"/>
    <mergeCell ref="QTW33:QUM33"/>
    <mergeCell ref="QNZ33:QOP33"/>
    <mergeCell ref="QOQ33:QPG33"/>
    <mergeCell ref="QPH33:QPX33"/>
    <mergeCell ref="QPY33:QQO33"/>
    <mergeCell ref="QQP33:QRF33"/>
    <mergeCell ref="QKS33:QLI33"/>
    <mergeCell ref="QLJ33:QLZ33"/>
    <mergeCell ref="QMA33:QMQ33"/>
    <mergeCell ref="QMR33:QNH33"/>
    <mergeCell ref="QNI33:QNY33"/>
    <mergeCell ref="QHL33:QIB33"/>
    <mergeCell ref="QIC33:QIS33"/>
    <mergeCell ref="QIT33:QJJ33"/>
    <mergeCell ref="QJK33:QKA33"/>
    <mergeCell ref="QKB33:QKR33"/>
    <mergeCell ref="QEE33:QEU33"/>
    <mergeCell ref="QEV33:QFL33"/>
    <mergeCell ref="QFM33:QGC33"/>
    <mergeCell ref="QGD33:QGT33"/>
    <mergeCell ref="QGU33:QHK33"/>
    <mergeCell ref="QAX33:QBN33"/>
    <mergeCell ref="QBO33:QCE33"/>
    <mergeCell ref="QCF33:QCV33"/>
    <mergeCell ref="QCW33:QDM33"/>
    <mergeCell ref="QDN33:QED33"/>
    <mergeCell ref="PXQ33:PYG33"/>
    <mergeCell ref="PYH33:PYX33"/>
    <mergeCell ref="PYY33:PZO33"/>
    <mergeCell ref="PZP33:QAF33"/>
    <mergeCell ref="QAG33:QAW33"/>
    <mergeCell ref="PUJ33:PUZ33"/>
    <mergeCell ref="PVA33:PVQ33"/>
    <mergeCell ref="PVR33:PWH33"/>
    <mergeCell ref="PWI33:PWY33"/>
    <mergeCell ref="PWZ33:PXP33"/>
    <mergeCell ref="PRC33:PRS33"/>
    <mergeCell ref="PRT33:PSJ33"/>
    <mergeCell ref="PSK33:PTA33"/>
    <mergeCell ref="PTB33:PTR33"/>
    <mergeCell ref="PTS33:PUI33"/>
    <mergeCell ref="PNV33:POL33"/>
    <mergeCell ref="POM33:PPC33"/>
    <mergeCell ref="PPD33:PPT33"/>
    <mergeCell ref="PPU33:PQK33"/>
    <mergeCell ref="PQL33:PRB33"/>
    <mergeCell ref="PKO33:PLE33"/>
    <mergeCell ref="PLF33:PLV33"/>
    <mergeCell ref="PLW33:PMM33"/>
    <mergeCell ref="PMN33:PND33"/>
    <mergeCell ref="PNE33:PNU33"/>
    <mergeCell ref="PHH33:PHX33"/>
    <mergeCell ref="PHY33:PIO33"/>
    <mergeCell ref="PIP33:PJF33"/>
    <mergeCell ref="PJG33:PJW33"/>
    <mergeCell ref="PJX33:PKN33"/>
    <mergeCell ref="PEA33:PEQ33"/>
    <mergeCell ref="PER33:PFH33"/>
    <mergeCell ref="PFI33:PFY33"/>
    <mergeCell ref="PFZ33:PGP33"/>
    <mergeCell ref="PGQ33:PHG33"/>
    <mergeCell ref="PAT33:PBJ33"/>
    <mergeCell ref="PBK33:PCA33"/>
    <mergeCell ref="PCB33:PCR33"/>
    <mergeCell ref="PCS33:PDI33"/>
    <mergeCell ref="PDJ33:PDZ33"/>
    <mergeCell ref="OXM33:OYC33"/>
    <mergeCell ref="OYD33:OYT33"/>
    <mergeCell ref="OYU33:OZK33"/>
    <mergeCell ref="OZL33:PAB33"/>
    <mergeCell ref="PAC33:PAS33"/>
    <mergeCell ref="OUF33:OUV33"/>
    <mergeCell ref="OUW33:OVM33"/>
    <mergeCell ref="OVN33:OWD33"/>
    <mergeCell ref="OWE33:OWU33"/>
    <mergeCell ref="OWV33:OXL33"/>
    <mergeCell ref="OQY33:ORO33"/>
    <mergeCell ref="ORP33:OSF33"/>
    <mergeCell ref="OSG33:OSW33"/>
    <mergeCell ref="OSX33:OTN33"/>
    <mergeCell ref="OTO33:OUE33"/>
    <mergeCell ref="ONR33:OOH33"/>
    <mergeCell ref="OOI33:OOY33"/>
    <mergeCell ref="OOZ33:OPP33"/>
    <mergeCell ref="OPQ33:OQG33"/>
    <mergeCell ref="OQH33:OQX33"/>
    <mergeCell ref="OKK33:OLA33"/>
    <mergeCell ref="OLB33:OLR33"/>
    <mergeCell ref="OLS33:OMI33"/>
    <mergeCell ref="OMJ33:OMZ33"/>
    <mergeCell ref="ONA33:ONQ33"/>
    <mergeCell ref="OHD33:OHT33"/>
    <mergeCell ref="OHU33:OIK33"/>
    <mergeCell ref="OIL33:OJB33"/>
    <mergeCell ref="OJC33:OJS33"/>
    <mergeCell ref="OJT33:OKJ33"/>
    <mergeCell ref="ODW33:OEM33"/>
    <mergeCell ref="OEN33:OFD33"/>
    <mergeCell ref="OFE33:OFU33"/>
    <mergeCell ref="OFV33:OGL33"/>
    <mergeCell ref="OGM33:OHC33"/>
    <mergeCell ref="OAP33:OBF33"/>
    <mergeCell ref="OBG33:OBW33"/>
    <mergeCell ref="OBX33:OCN33"/>
    <mergeCell ref="OCO33:ODE33"/>
    <mergeCell ref="ODF33:ODV33"/>
    <mergeCell ref="NXI33:NXY33"/>
    <mergeCell ref="NXZ33:NYP33"/>
    <mergeCell ref="NYQ33:NZG33"/>
    <mergeCell ref="NZH33:NZX33"/>
    <mergeCell ref="NZY33:OAO33"/>
    <mergeCell ref="NUB33:NUR33"/>
    <mergeCell ref="NUS33:NVI33"/>
    <mergeCell ref="NVJ33:NVZ33"/>
    <mergeCell ref="NWA33:NWQ33"/>
    <mergeCell ref="NWR33:NXH33"/>
    <mergeCell ref="NQU33:NRK33"/>
    <mergeCell ref="NRL33:NSB33"/>
    <mergeCell ref="NSC33:NSS33"/>
    <mergeCell ref="NST33:NTJ33"/>
    <mergeCell ref="NTK33:NUA33"/>
    <mergeCell ref="NNN33:NOD33"/>
    <mergeCell ref="NOE33:NOU33"/>
    <mergeCell ref="NOV33:NPL33"/>
    <mergeCell ref="NPM33:NQC33"/>
    <mergeCell ref="NQD33:NQT33"/>
    <mergeCell ref="NKG33:NKW33"/>
    <mergeCell ref="NKX33:NLN33"/>
    <mergeCell ref="NLO33:NME33"/>
    <mergeCell ref="NMF33:NMV33"/>
    <mergeCell ref="NMW33:NNM33"/>
    <mergeCell ref="NGZ33:NHP33"/>
    <mergeCell ref="NHQ33:NIG33"/>
    <mergeCell ref="NIH33:NIX33"/>
    <mergeCell ref="NIY33:NJO33"/>
    <mergeCell ref="NJP33:NKF33"/>
    <mergeCell ref="NDS33:NEI33"/>
    <mergeCell ref="NEJ33:NEZ33"/>
    <mergeCell ref="NFA33:NFQ33"/>
    <mergeCell ref="NFR33:NGH33"/>
    <mergeCell ref="NGI33:NGY33"/>
    <mergeCell ref="NAL33:NBB33"/>
    <mergeCell ref="NBC33:NBS33"/>
    <mergeCell ref="NBT33:NCJ33"/>
    <mergeCell ref="NCK33:NDA33"/>
    <mergeCell ref="NDB33:NDR33"/>
    <mergeCell ref="MXE33:MXU33"/>
    <mergeCell ref="MXV33:MYL33"/>
    <mergeCell ref="MYM33:MZC33"/>
    <mergeCell ref="MZD33:MZT33"/>
    <mergeCell ref="MZU33:NAK33"/>
    <mergeCell ref="MTX33:MUN33"/>
    <mergeCell ref="MUO33:MVE33"/>
    <mergeCell ref="MVF33:MVV33"/>
    <mergeCell ref="MVW33:MWM33"/>
    <mergeCell ref="MWN33:MXD33"/>
    <mergeCell ref="MQQ33:MRG33"/>
    <mergeCell ref="MRH33:MRX33"/>
    <mergeCell ref="MRY33:MSO33"/>
    <mergeCell ref="MSP33:MTF33"/>
    <mergeCell ref="MTG33:MTW33"/>
    <mergeCell ref="MNJ33:MNZ33"/>
    <mergeCell ref="MOA33:MOQ33"/>
    <mergeCell ref="MOR33:MPH33"/>
    <mergeCell ref="MPI33:MPY33"/>
    <mergeCell ref="MPZ33:MQP33"/>
    <mergeCell ref="MKC33:MKS33"/>
    <mergeCell ref="MKT33:MLJ33"/>
    <mergeCell ref="MLK33:MMA33"/>
    <mergeCell ref="MMB33:MMR33"/>
    <mergeCell ref="MMS33:MNI33"/>
    <mergeCell ref="MGV33:MHL33"/>
    <mergeCell ref="MHM33:MIC33"/>
    <mergeCell ref="MID33:MIT33"/>
    <mergeCell ref="MIU33:MJK33"/>
    <mergeCell ref="MJL33:MKB33"/>
    <mergeCell ref="MDO33:MEE33"/>
    <mergeCell ref="MEF33:MEV33"/>
    <mergeCell ref="MEW33:MFM33"/>
    <mergeCell ref="MFN33:MGD33"/>
    <mergeCell ref="MGE33:MGU33"/>
    <mergeCell ref="MAH33:MAX33"/>
    <mergeCell ref="MAY33:MBO33"/>
    <mergeCell ref="MBP33:MCF33"/>
    <mergeCell ref="MCG33:MCW33"/>
    <mergeCell ref="MCX33:MDN33"/>
    <mergeCell ref="LXA33:LXQ33"/>
    <mergeCell ref="LXR33:LYH33"/>
    <mergeCell ref="LYI33:LYY33"/>
    <mergeCell ref="LYZ33:LZP33"/>
    <mergeCell ref="LZQ33:MAG33"/>
    <mergeCell ref="LTT33:LUJ33"/>
    <mergeCell ref="LUK33:LVA33"/>
    <mergeCell ref="LVB33:LVR33"/>
    <mergeCell ref="LVS33:LWI33"/>
    <mergeCell ref="LWJ33:LWZ33"/>
    <mergeCell ref="LQM33:LRC33"/>
    <mergeCell ref="LRD33:LRT33"/>
    <mergeCell ref="LRU33:LSK33"/>
    <mergeCell ref="LSL33:LTB33"/>
    <mergeCell ref="LTC33:LTS33"/>
    <mergeCell ref="LNF33:LNV33"/>
    <mergeCell ref="LNW33:LOM33"/>
    <mergeCell ref="LON33:LPD33"/>
    <mergeCell ref="LPE33:LPU33"/>
    <mergeCell ref="LPV33:LQL33"/>
    <mergeCell ref="LJY33:LKO33"/>
    <mergeCell ref="LKP33:LLF33"/>
    <mergeCell ref="LLG33:LLW33"/>
    <mergeCell ref="LLX33:LMN33"/>
    <mergeCell ref="LMO33:LNE33"/>
    <mergeCell ref="LGR33:LHH33"/>
    <mergeCell ref="LHI33:LHY33"/>
    <mergeCell ref="LHZ33:LIP33"/>
    <mergeCell ref="LIQ33:LJG33"/>
    <mergeCell ref="LJH33:LJX33"/>
    <mergeCell ref="LDK33:LEA33"/>
    <mergeCell ref="LEB33:LER33"/>
    <mergeCell ref="LES33:LFI33"/>
    <mergeCell ref="LFJ33:LFZ33"/>
    <mergeCell ref="LGA33:LGQ33"/>
    <mergeCell ref="LAD33:LAT33"/>
    <mergeCell ref="LAU33:LBK33"/>
    <mergeCell ref="LBL33:LCB33"/>
    <mergeCell ref="LCC33:LCS33"/>
    <mergeCell ref="LCT33:LDJ33"/>
    <mergeCell ref="KWW33:KXM33"/>
    <mergeCell ref="KXN33:KYD33"/>
    <mergeCell ref="KYE33:KYU33"/>
    <mergeCell ref="KYV33:KZL33"/>
    <mergeCell ref="KZM33:LAC33"/>
    <mergeCell ref="KTP33:KUF33"/>
    <mergeCell ref="KUG33:KUW33"/>
    <mergeCell ref="KUX33:KVN33"/>
    <mergeCell ref="KVO33:KWE33"/>
    <mergeCell ref="KWF33:KWV33"/>
    <mergeCell ref="KQI33:KQY33"/>
    <mergeCell ref="KQZ33:KRP33"/>
    <mergeCell ref="KRQ33:KSG33"/>
    <mergeCell ref="KSH33:KSX33"/>
    <mergeCell ref="KSY33:KTO33"/>
    <mergeCell ref="KNB33:KNR33"/>
    <mergeCell ref="KNS33:KOI33"/>
    <mergeCell ref="KOJ33:KOZ33"/>
    <mergeCell ref="KPA33:KPQ33"/>
    <mergeCell ref="KPR33:KQH33"/>
    <mergeCell ref="KJU33:KKK33"/>
    <mergeCell ref="KKL33:KLB33"/>
    <mergeCell ref="KLC33:KLS33"/>
    <mergeCell ref="KLT33:KMJ33"/>
    <mergeCell ref="KMK33:KNA33"/>
    <mergeCell ref="KGN33:KHD33"/>
    <mergeCell ref="KHE33:KHU33"/>
    <mergeCell ref="KHV33:KIL33"/>
    <mergeCell ref="KIM33:KJC33"/>
    <mergeCell ref="KJD33:KJT33"/>
    <mergeCell ref="KDG33:KDW33"/>
    <mergeCell ref="KDX33:KEN33"/>
    <mergeCell ref="KEO33:KFE33"/>
    <mergeCell ref="KFF33:KFV33"/>
    <mergeCell ref="KFW33:KGM33"/>
    <mergeCell ref="JZZ33:KAP33"/>
    <mergeCell ref="KAQ33:KBG33"/>
    <mergeCell ref="KBH33:KBX33"/>
    <mergeCell ref="KBY33:KCO33"/>
    <mergeCell ref="KCP33:KDF33"/>
    <mergeCell ref="JWS33:JXI33"/>
    <mergeCell ref="JXJ33:JXZ33"/>
    <mergeCell ref="JYA33:JYQ33"/>
    <mergeCell ref="JYR33:JZH33"/>
    <mergeCell ref="JZI33:JZY33"/>
    <mergeCell ref="JTL33:JUB33"/>
    <mergeCell ref="JUC33:JUS33"/>
    <mergeCell ref="JUT33:JVJ33"/>
    <mergeCell ref="JVK33:JWA33"/>
    <mergeCell ref="JWB33:JWR33"/>
    <mergeCell ref="JQE33:JQU33"/>
    <mergeCell ref="JQV33:JRL33"/>
    <mergeCell ref="JRM33:JSC33"/>
    <mergeCell ref="JSD33:JST33"/>
    <mergeCell ref="JSU33:JTK33"/>
    <mergeCell ref="JMX33:JNN33"/>
    <mergeCell ref="JNO33:JOE33"/>
    <mergeCell ref="JOF33:JOV33"/>
    <mergeCell ref="JOW33:JPM33"/>
    <mergeCell ref="JPN33:JQD33"/>
    <mergeCell ref="JJQ33:JKG33"/>
    <mergeCell ref="JKH33:JKX33"/>
    <mergeCell ref="JKY33:JLO33"/>
    <mergeCell ref="JLP33:JMF33"/>
    <mergeCell ref="JMG33:JMW33"/>
    <mergeCell ref="JGJ33:JGZ33"/>
    <mergeCell ref="JHA33:JHQ33"/>
    <mergeCell ref="JHR33:JIH33"/>
    <mergeCell ref="JII33:JIY33"/>
    <mergeCell ref="JIZ33:JJP33"/>
    <mergeCell ref="JDC33:JDS33"/>
    <mergeCell ref="JDT33:JEJ33"/>
    <mergeCell ref="JEK33:JFA33"/>
    <mergeCell ref="JFB33:JFR33"/>
    <mergeCell ref="JFS33:JGI33"/>
    <mergeCell ref="IZV33:JAL33"/>
    <mergeCell ref="JAM33:JBC33"/>
    <mergeCell ref="JBD33:JBT33"/>
    <mergeCell ref="JBU33:JCK33"/>
    <mergeCell ref="JCL33:JDB33"/>
    <mergeCell ref="IWO33:IXE33"/>
    <mergeCell ref="IXF33:IXV33"/>
    <mergeCell ref="IXW33:IYM33"/>
    <mergeCell ref="IYN33:IZD33"/>
    <mergeCell ref="IZE33:IZU33"/>
    <mergeCell ref="ITH33:ITX33"/>
    <mergeCell ref="ITY33:IUO33"/>
    <mergeCell ref="IUP33:IVF33"/>
    <mergeCell ref="IVG33:IVW33"/>
    <mergeCell ref="IVX33:IWN33"/>
    <mergeCell ref="IQA33:IQQ33"/>
    <mergeCell ref="IQR33:IRH33"/>
    <mergeCell ref="IRI33:IRY33"/>
    <mergeCell ref="IRZ33:ISP33"/>
    <mergeCell ref="ISQ33:ITG33"/>
    <mergeCell ref="IMT33:INJ33"/>
    <mergeCell ref="INK33:IOA33"/>
    <mergeCell ref="IOB33:IOR33"/>
    <mergeCell ref="IOS33:IPI33"/>
    <mergeCell ref="IPJ33:IPZ33"/>
    <mergeCell ref="IJM33:IKC33"/>
    <mergeCell ref="IKD33:IKT33"/>
    <mergeCell ref="IKU33:ILK33"/>
    <mergeCell ref="ILL33:IMB33"/>
    <mergeCell ref="IMC33:IMS33"/>
    <mergeCell ref="IGF33:IGV33"/>
    <mergeCell ref="IGW33:IHM33"/>
    <mergeCell ref="IHN33:IID33"/>
    <mergeCell ref="IIE33:IIU33"/>
    <mergeCell ref="IIV33:IJL33"/>
    <mergeCell ref="ICY33:IDO33"/>
    <mergeCell ref="IDP33:IEF33"/>
    <mergeCell ref="IEG33:IEW33"/>
    <mergeCell ref="IEX33:IFN33"/>
    <mergeCell ref="IFO33:IGE33"/>
    <mergeCell ref="HZR33:IAH33"/>
    <mergeCell ref="IAI33:IAY33"/>
    <mergeCell ref="IAZ33:IBP33"/>
    <mergeCell ref="IBQ33:ICG33"/>
    <mergeCell ref="ICH33:ICX33"/>
    <mergeCell ref="HWK33:HXA33"/>
    <mergeCell ref="HXB33:HXR33"/>
    <mergeCell ref="HXS33:HYI33"/>
    <mergeCell ref="HYJ33:HYZ33"/>
    <mergeCell ref="HZA33:HZQ33"/>
    <mergeCell ref="HTD33:HTT33"/>
    <mergeCell ref="HTU33:HUK33"/>
    <mergeCell ref="HUL33:HVB33"/>
    <mergeCell ref="HVC33:HVS33"/>
    <mergeCell ref="HVT33:HWJ33"/>
    <mergeCell ref="HPW33:HQM33"/>
    <mergeCell ref="HQN33:HRD33"/>
    <mergeCell ref="HRE33:HRU33"/>
    <mergeCell ref="HRV33:HSL33"/>
    <mergeCell ref="HSM33:HTC33"/>
    <mergeCell ref="HMP33:HNF33"/>
    <mergeCell ref="HNG33:HNW33"/>
    <mergeCell ref="HNX33:HON33"/>
    <mergeCell ref="HOO33:HPE33"/>
    <mergeCell ref="HPF33:HPV33"/>
    <mergeCell ref="HJI33:HJY33"/>
    <mergeCell ref="HJZ33:HKP33"/>
    <mergeCell ref="HKQ33:HLG33"/>
    <mergeCell ref="HLH33:HLX33"/>
    <mergeCell ref="HLY33:HMO33"/>
    <mergeCell ref="HGB33:HGR33"/>
    <mergeCell ref="HGS33:HHI33"/>
    <mergeCell ref="HHJ33:HHZ33"/>
    <mergeCell ref="HIA33:HIQ33"/>
    <mergeCell ref="HIR33:HJH33"/>
    <mergeCell ref="HCU33:HDK33"/>
    <mergeCell ref="HDL33:HEB33"/>
    <mergeCell ref="HEC33:HES33"/>
    <mergeCell ref="HET33:HFJ33"/>
    <mergeCell ref="HFK33:HGA33"/>
    <mergeCell ref="GZN33:HAD33"/>
    <mergeCell ref="HAE33:HAU33"/>
    <mergeCell ref="HAV33:HBL33"/>
    <mergeCell ref="HBM33:HCC33"/>
    <mergeCell ref="HCD33:HCT33"/>
    <mergeCell ref="GWG33:GWW33"/>
    <mergeCell ref="GWX33:GXN33"/>
    <mergeCell ref="GXO33:GYE33"/>
    <mergeCell ref="GYF33:GYV33"/>
    <mergeCell ref="GYW33:GZM33"/>
    <mergeCell ref="GSZ33:GTP33"/>
    <mergeCell ref="GTQ33:GUG33"/>
    <mergeCell ref="GUH33:GUX33"/>
    <mergeCell ref="GUY33:GVO33"/>
    <mergeCell ref="GVP33:GWF33"/>
    <mergeCell ref="GPS33:GQI33"/>
    <mergeCell ref="GQJ33:GQZ33"/>
    <mergeCell ref="GRA33:GRQ33"/>
    <mergeCell ref="GRR33:GSH33"/>
    <mergeCell ref="GSI33:GSY33"/>
    <mergeCell ref="GML33:GNB33"/>
    <mergeCell ref="GNC33:GNS33"/>
    <mergeCell ref="GNT33:GOJ33"/>
    <mergeCell ref="GOK33:GPA33"/>
    <mergeCell ref="GPB33:GPR33"/>
    <mergeCell ref="GJE33:GJU33"/>
    <mergeCell ref="GJV33:GKL33"/>
    <mergeCell ref="GKM33:GLC33"/>
    <mergeCell ref="GLD33:GLT33"/>
    <mergeCell ref="GLU33:GMK33"/>
    <mergeCell ref="GFX33:GGN33"/>
    <mergeCell ref="GGO33:GHE33"/>
    <mergeCell ref="GHF33:GHV33"/>
    <mergeCell ref="GHW33:GIM33"/>
    <mergeCell ref="GIN33:GJD33"/>
    <mergeCell ref="GCQ33:GDG33"/>
    <mergeCell ref="GDH33:GDX33"/>
    <mergeCell ref="GDY33:GEO33"/>
    <mergeCell ref="GEP33:GFF33"/>
    <mergeCell ref="GFG33:GFW33"/>
    <mergeCell ref="FZJ33:FZZ33"/>
    <mergeCell ref="GAA33:GAQ33"/>
    <mergeCell ref="GAR33:GBH33"/>
    <mergeCell ref="GBI33:GBY33"/>
    <mergeCell ref="GBZ33:GCP33"/>
    <mergeCell ref="FWC33:FWS33"/>
    <mergeCell ref="FWT33:FXJ33"/>
    <mergeCell ref="FXK33:FYA33"/>
    <mergeCell ref="FYB33:FYR33"/>
    <mergeCell ref="FYS33:FZI33"/>
    <mergeCell ref="FSV33:FTL33"/>
    <mergeCell ref="FTM33:FUC33"/>
    <mergeCell ref="FUD33:FUT33"/>
    <mergeCell ref="FUU33:FVK33"/>
    <mergeCell ref="FVL33:FWB33"/>
    <mergeCell ref="FPO33:FQE33"/>
    <mergeCell ref="FQF33:FQV33"/>
    <mergeCell ref="FQW33:FRM33"/>
    <mergeCell ref="FRN33:FSD33"/>
    <mergeCell ref="FSE33:FSU33"/>
    <mergeCell ref="FMH33:FMX33"/>
    <mergeCell ref="FMY33:FNO33"/>
    <mergeCell ref="FNP33:FOF33"/>
    <mergeCell ref="FOG33:FOW33"/>
    <mergeCell ref="FOX33:FPN33"/>
    <mergeCell ref="FJA33:FJQ33"/>
    <mergeCell ref="FJR33:FKH33"/>
    <mergeCell ref="FKI33:FKY33"/>
    <mergeCell ref="FKZ33:FLP33"/>
    <mergeCell ref="FLQ33:FMG33"/>
    <mergeCell ref="FFT33:FGJ33"/>
    <mergeCell ref="FGK33:FHA33"/>
    <mergeCell ref="FHB33:FHR33"/>
    <mergeCell ref="FHS33:FII33"/>
    <mergeCell ref="FIJ33:FIZ33"/>
    <mergeCell ref="FCM33:FDC33"/>
    <mergeCell ref="FDD33:FDT33"/>
    <mergeCell ref="FDU33:FEK33"/>
    <mergeCell ref="FEL33:FFB33"/>
    <mergeCell ref="FFC33:FFS33"/>
    <mergeCell ref="EZF33:EZV33"/>
    <mergeCell ref="EZW33:FAM33"/>
    <mergeCell ref="FAN33:FBD33"/>
    <mergeCell ref="FBE33:FBU33"/>
    <mergeCell ref="FBV33:FCL33"/>
    <mergeCell ref="EVY33:EWO33"/>
    <mergeCell ref="EWP33:EXF33"/>
    <mergeCell ref="EXG33:EXW33"/>
    <mergeCell ref="EXX33:EYN33"/>
    <mergeCell ref="EYO33:EZE33"/>
    <mergeCell ref="ESR33:ETH33"/>
    <mergeCell ref="ETI33:ETY33"/>
    <mergeCell ref="ETZ33:EUP33"/>
    <mergeCell ref="EUQ33:EVG33"/>
    <mergeCell ref="EVH33:EVX33"/>
    <mergeCell ref="EPK33:EQA33"/>
    <mergeCell ref="EQB33:EQR33"/>
    <mergeCell ref="EQS33:ERI33"/>
    <mergeCell ref="ERJ33:ERZ33"/>
    <mergeCell ref="ESA33:ESQ33"/>
    <mergeCell ref="EMD33:EMT33"/>
    <mergeCell ref="EMU33:ENK33"/>
    <mergeCell ref="ENL33:EOB33"/>
    <mergeCell ref="EOC33:EOS33"/>
    <mergeCell ref="EOT33:EPJ33"/>
    <mergeCell ref="EIW33:EJM33"/>
    <mergeCell ref="EJN33:EKD33"/>
    <mergeCell ref="EKE33:EKU33"/>
    <mergeCell ref="EKV33:ELL33"/>
    <mergeCell ref="ELM33:EMC33"/>
    <mergeCell ref="EFP33:EGF33"/>
    <mergeCell ref="EGG33:EGW33"/>
    <mergeCell ref="EGX33:EHN33"/>
    <mergeCell ref="EHO33:EIE33"/>
    <mergeCell ref="EIF33:EIV33"/>
    <mergeCell ref="ECI33:ECY33"/>
    <mergeCell ref="ECZ33:EDP33"/>
    <mergeCell ref="EDQ33:EEG33"/>
    <mergeCell ref="EEH33:EEX33"/>
    <mergeCell ref="EEY33:EFO33"/>
    <mergeCell ref="DZB33:DZR33"/>
    <mergeCell ref="DZS33:EAI33"/>
    <mergeCell ref="EAJ33:EAZ33"/>
    <mergeCell ref="EBA33:EBQ33"/>
    <mergeCell ref="EBR33:ECH33"/>
    <mergeCell ref="DVU33:DWK33"/>
    <mergeCell ref="DWL33:DXB33"/>
    <mergeCell ref="DXC33:DXS33"/>
    <mergeCell ref="DXT33:DYJ33"/>
    <mergeCell ref="DYK33:DZA33"/>
    <mergeCell ref="DSN33:DTD33"/>
    <mergeCell ref="DTE33:DTU33"/>
    <mergeCell ref="DTV33:DUL33"/>
    <mergeCell ref="DUM33:DVC33"/>
    <mergeCell ref="DVD33:DVT33"/>
    <mergeCell ref="DPG33:DPW33"/>
    <mergeCell ref="DPX33:DQN33"/>
    <mergeCell ref="DQO33:DRE33"/>
    <mergeCell ref="DRF33:DRV33"/>
    <mergeCell ref="DRW33:DSM33"/>
    <mergeCell ref="DLZ33:DMP33"/>
    <mergeCell ref="DMQ33:DNG33"/>
    <mergeCell ref="DNH33:DNX33"/>
    <mergeCell ref="DNY33:DOO33"/>
    <mergeCell ref="DOP33:DPF33"/>
    <mergeCell ref="DIS33:DJI33"/>
    <mergeCell ref="DJJ33:DJZ33"/>
    <mergeCell ref="DKA33:DKQ33"/>
    <mergeCell ref="DKR33:DLH33"/>
    <mergeCell ref="DLI33:DLY33"/>
    <mergeCell ref="DFL33:DGB33"/>
    <mergeCell ref="DGC33:DGS33"/>
    <mergeCell ref="DGT33:DHJ33"/>
    <mergeCell ref="DHK33:DIA33"/>
    <mergeCell ref="DIB33:DIR33"/>
    <mergeCell ref="DCE33:DCU33"/>
    <mergeCell ref="DCV33:DDL33"/>
    <mergeCell ref="DDM33:DEC33"/>
    <mergeCell ref="DED33:DET33"/>
    <mergeCell ref="DEU33:DFK33"/>
    <mergeCell ref="CYX33:CZN33"/>
    <mergeCell ref="CZO33:DAE33"/>
    <mergeCell ref="DAF33:DAV33"/>
    <mergeCell ref="DAW33:DBM33"/>
    <mergeCell ref="DBN33:DCD33"/>
    <mergeCell ref="CVQ33:CWG33"/>
    <mergeCell ref="CWH33:CWX33"/>
    <mergeCell ref="CWY33:CXO33"/>
    <mergeCell ref="CXP33:CYF33"/>
    <mergeCell ref="CYG33:CYW33"/>
    <mergeCell ref="CSJ33:CSZ33"/>
    <mergeCell ref="CTA33:CTQ33"/>
    <mergeCell ref="CTR33:CUH33"/>
    <mergeCell ref="CUI33:CUY33"/>
    <mergeCell ref="CUZ33:CVP33"/>
    <mergeCell ref="CPC33:CPS33"/>
    <mergeCell ref="CPT33:CQJ33"/>
    <mergeCell ref="CQK33:CRA33"/>
    <mergeCell ref="CRB33:CRR33"/>
    <mergeCell ref="CRS33:CSI33"/>
    <mergeCell ref="CLV33:CML33"/>
    <mergeCell ref="CMM33:CNC33"/>
    <mergeCell ref="CND33:CNT33"/>
    <mergeCell ref="CNU33:COK33"/>
    <mergeCell ref="COL33:CPB33"/>
    <mergeCell ref="CIO33:CJE33"/>
    <mergeCell ref="CJF33:CJV33"/>
    <mergeCell ref="CJW33:CKM33"/>
    <mergeCell ref="CKN33:CLD33"/>
    <mergeCell ref="CLE33:CLU33"/>
    <mergeCell ref="CFH33:CFX33"/>
    <mergeCell ref="CFY33:CGO33"/>
    <mergeCell ref="CGP33:CHF33"/>
    <mergeCell ref="CHG33:CHW33"/>
    <mergeCell ref="CHX33:CIN33"/>
    <mergeCell ref="CCA33:CCQ33"/>
    <mergeCell ref="CCR33:CDH33"/>
    <mergeCell ref="CDI33:CDY33"/>
    <mergeCell ref="CDZ33:CEP33"/>
    <mergeCell ref="CEQ33:CFG33"/>
    <mergeCell ref="BYT33:BZJ33"/>
    <mergeCell ref="BZK33:CAA33"/>
    <mergeCell ref="CAB33:CAR33"/>
    <mergeCell ref="CAS33:CBI33"/>
    <mergeCell ref="CBJ33:CBZ33"/>
    <mergeCell ref="BVM33:BWC33"/>
    <mergeCell ref="BWD33:BWT33"/>
    <mergeCell ref="BWU33:BXK33"/>
    <mergeCell ref="BXL33:BYB33"/>
    <mergeCell ref="BYC33:BYS33"/>
    <mergeCell ref="BSF33:BSV33"/>
    <mergeCell ref="BSW33:BTM33"/>
    <mergeCell ref="BTN33:BUD33"/>
    <mergeCell ref="BUE33:BUU33"/>
    <mergeCell ref="BUV33:BVL33"/>
    <mergeCell ref="BOY33:BPO33"/>
    <mergeCell ref="BPP33:BQF33"/>
    <mergeCell ref="BQG33:BQW33"/>
    <mergeCell ref="BQX33:BRN33"/>
    <mergeCell ref="BRO33:BSE33"/>
    <mergeCell ref="BLR33:BMH33"/>
    <mergeCell ref="BMI33:BMY33"/>
    <mergeCell ref="BMZ33:BNP33"/>
    <mergeCell ref="BNQ33:BOG33"/>
    <mergeCell ref="BOH33:BOX33"/>
    <mergeCell ref="BIK33:BJA33"/>
    <mergeCell ref="BJB33:BJR33"/>
    <mergeCell ref="BJS33:BKI33"/>
    <mergeCell ref="BKJ33:BKZ33"/>
    <mergeCell ref="BLA33:BLQ33"/>
    <mergeCell ref="BFD33:BFT33"/>
    <mergeCell ref="BFU33:BGK33"/>
    <mergeCell ref="BGL33:BHB33"/>
    <mergeCell ref="BHC33:BHS33"/>
    <mergeCell ref="BHT33:BIJ33"/>
    <mergeCell ref="BBW33:BCM33"/>
    <mergeCell ref="BCN33:BDD33"/>
    <mergeCell ref="BDE33:BDU33"/>
    <mergeCell ref="BDV33:BEL33"/>
    <mergeCell ref="BEM33:BFC33"/>
    <mergeCell ref="AYP33:AZF33"/>
    <mergeCell ref="AZG33:AZW33"/>
    <mergeCell ref="AZX33:BAN33"/>
    <mergeCell ref="BAO33:BBE33"/>
    <mergeCell ref="BBF33:BBV33"/>
    <mergeCell ref="AVI33:AVY33"/>
    <mergeCell ref="AVZ33:AWP33"/>
    <mergeCell ref="AWQ33:AXG33"/>
    <mergeCell ref="AXH33:AXX33"/>
    <mergeCell ref="AXY33:AYO33"/>
    <mergeCell ref="ASB33:ASR33"/>
    <mergeCell ref="ASS33:ATI33"/>
    <mergeCell ref="ATJ33:ATZ33"/>
    <mergeCell ref="AUA33:AUQ33"/>
    <mergeCell ref="AUR33:AVH33"/>
    <mergeCell ref="AOU33:APK33"/>
    <mergeCell ref="APL33:AQB33"/>
    <mergeCell ref="AQC33:AQS33"/>
    <mergeCell ref="AQT33:ARJ33"/>
    <mergeCell ref="ARK33:ASA33"/>
    <mergeCell ref="ALN33:AMD33"/>
    <mergeCell ref="AME33:AMU33"/>
    <mergeCell ref="AMV33:ANL33"/>
    <mergeCell ref="ANM33:AOC33"/>
    <mergeCell ref="AOD33:AOT33"/>
    <mergeCell ref="AIG33:AIW33"/>
    <mergeCell ref="AIX33:AJN33"/>
    <mergeCell ref="AJO33:AKE33"/>
    <mergeCell ref="AKF33:AKV33"/>
    <mergeCell ref="AKW33:ALM33"/>
    <mergeCell ref="AEZ33:AFP33"/>
    <mergeCell ref="AFQ33:AGG33"/>
    <mergeCell ref="AGH33:AGX33"/>
    <mergeCell ref="AGY33:AHO33"/>
    <mergeCell ref="AHP33:AIF33"/>
    <mergeCell ref="ABS33:ACI33"/>
    <mergeCell ref="ACJ33:ACZ33"/>
    <mergeCell ref="ADA33:ADQ33"/>
    <mergeCell ref="ADR33:AEH33"/>
    <mergeCell ref="AEI33:AEY33"/>
    <mergeCell ref="YL33:ZB33"/>
    <mergeCell ref="ZC33:ZS33"/>
    <mergeCell ref="ZT33:AAJ33"/>
    <mergeCell ref="AAK33:ABA33"/>
    <mergeCell ref="ABB33:ABR33"/>
    <mergeCell ref="VE33:VU33"/>
    <mergeCell ref="VV33:WL33"/>
    <mergeCell ref="WM33:XC33"/>
    <mergeCell ref="XD33:XT33"/>
    <mergeCell ref="XU33:YK33"/>
    <mergeCell ref="RX33:SN33"/>
    <mergeCell ref="SO33:TE33"/>
    <mergeCell ref="TF33:TV33"/>
    <mergeCell ref="TW33:UM33"/>
    <mergeCell ref="UN33:VD33"/>
    <mergeCell ref="OQ33:PG33"/>
    <mergeCell ref="PH33:PX33"/>
    <mergeCell ref="PY33:QO33"/>
    <mergeCell ref="QP33:RF33"/>
    <mergeCell ref="RG33:RW33"/>
    <mergeCell ref="LJ33:LZ33"/>
    <mergeCell ref="MA33:MQ33"/>
    <mergeCell ref="MR33:NH33"/>
    <mergeCell ref="NI33:NY33"/>
    <mergeCell ref="NZ33:OP33"/>
    <mergeCell ref="IC33:IS33"/>
    <mergeCell ref="IT33:JJ33"/>
    <mergeCell ref="JK33:KA33"/>
    <mergeCell ref="KB33:KR33"/>
    <mergeCell ref="KS33:LI33"/>
    <mergeCell ref="EV33:FL33"/>
    <mergeCell ref="FM33:GC33"/>
    <mergeCell ref="GD33:GT33"/>
    <mergeCell ref="GU33:HK33"/>
    <mergeCell ref="HL33:IB33"/>
    <mergeCell ref="BO33:CE33"/>
    <mergeCell ref="CF33:CV33"/>
    <mergeCell ref="CW33:DM33"/>
    <mergeCell ref="DN33:ED33"/>
    <mergeCell ref="EE33:EU33"/>
    <mergeCell ref="A33:Q33"/>
    <mergeCell ref="R33:AF33"/>
    <mergeCell ref="AX33:BN33"/>
    <mergeCell ref="AL2:AP2"/>
    <mergeCell ref="AF2:AJ2"/>
    <mergeCell ref="A38:M38"/>
    <mergeCell ref="B2:F2"/>
    <mergeCell ref="G2:K2"/>
    <mergeCell ref="L2:P2"/>
    <mergeCell ref="AA2:AE2"/>
    <mergeCell ref="Q2:U2"/>
    <mergeCell ref="V2:Z2"/>
    <mergeCell ref="A36:M36"/>
    <mergeCell ref="A34:Q34"/>
    <mergeCell ref="R34:AF34"/>
    <mergeCell ref="AQ2:AU2"/>
    <mergeCell ref="AW2:BA2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ignoredErrors>
    <ignoredError sqref="Z14:Z15 Z5:Z8 Z20:Z22 Z25 Z16:Z18 Z10:Z13 AA9:AC9 B9:E9 G9:J9 L9:O9 Q9:Y9 AF9:AH9 AL9:AN9 AI9 AO9 AQ9:AS9 AV9:AY9 AT9 AZ9" formulaRange="1"/>
    <ignoredError sqref="Z19 Z26 X29:Y29 F9 F19 K9 K19 P9 P19 Z9 W29 AE19 AE26 AE9 AJ24 AJ26 AP24 AP26 AU24:AU26 BA24:BA26" formula="1"/>
    <ignoredError sqref="AD9 AP9 AJ9 AU9 BA9" formula="1" formulaRange="1"/>
    <ignoredError sqref="AO31 AI31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E728"/>
  <sheetViews>
    <sheetView showGridLines="0" topLeftCell="B1" zoomScale="85" zoomScaleNormal="85" zoomScaleSheetLayoutView="100" workbookViewId="0">
      <pane xSplit="1" topLeftCell="L1" activePane="topRight" state="frozen"/>
      <selection activeCell="B1" sqref="B1"/>
      <selection pane="topRight" activeCell="M13" sqref="M13:O13"/>
    </sheetView>
  </sheetViews>
  <sheetFormatPr defaultColWidth="9" defaultRowHeight="15"/>
  <cols>
    <col min="1" max="1" width="1.625" style="388" hidden="1" customWidth="1"/>
    <col min="2" max="2" width="31.125" style="388" customWidth="1"/>
    <col min="3" max="3" width="13.125" style="388" customWidth="1"/>
    <col min="4" max="4" width="2.375" style="388" customWidth="1"/>
    <col min="5" max="5" width="13.125" style="388" customWidth="1"/>
    <col min="6" max="6" width="1.625" style="388" customWidth="1"/>
    <col min="7" max="7" width="9.625" style="388" customWidth="1"/>
    <col min="8" max="8" width="13.125" style="388" customWidth="1"/>
    <col min="9" max="9" width="1.875" style="388" customWidth="1"/>
    <col min="10" max="10" width="13.125" style="388" customWidth="1"/>
    <col min="11" max="11" width="1.875" style="388" customWidth="1"/>
    <col min="12" max="12" width="9.625" style="388" customWidth="1"/>
    <col min="13" max="13" width="13.125" style="388" customWidth="1"/>
    <col min="14" max="14" width="1.875" style="388" customWidth="1"/>
    <col min="15" max="15" width="13.125" style="388" customWidth="1"/>
    <col min="16" max="16" width="1.875" style="388" customWidth="1"/>
    <col min="17" max="17" width="9.625" style="388" customWidth="1"/>
    <col min="18" max="18" width="13.125" style="388" customWidth="1"/>
    <col min="19" max="19" width="1.875" style="388" customWidth="1"/>
    <col min="20" max="20" width="13.125" style="388" customWidth="1"/>
    <col min="21" max="21" width="1.875" style="388" customWidth="1"/>
    <col min="22" max="22" width="9.625" style="388" customWidth="1"/>
    <col min="23" max="24" width="9" style="584"/>
    <col min="25" max="499" width="9" style="387"/>
    <col min="500" max="16384" width="9" style="388"/>
  </cols>
  <sheetData>
    <row r="1" spans="2:499" ht="50.25" customHeight="1" thickBot="1">
      <c r="B1" s="3" t="s">
        <v>168</v>
      </c>
      <c r="C1" s="387"/>
      <c r="D1" s="387"/>
      <c r="E1" s="387"/>
      <c r="F1" s="387"/>
      <c r="G1" s="600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</row>
    <row r="2" spans="2:499" s="390" customFormat="1" ht="30" customHeight="1" thickBot="1">
      <c r="B2" s="702" t="s">
        <v>97</v>
      </c>
      <c r="C2" s="695" t="s">
        <v>102</v>
      </c>
      <c r="D2" s="696"/>
      <c r="E2" s="696"/>
      <c r="F2" s="696"/>
      <c r="G2" s="697"/>
      <c r="H2" s="695" t="s">
        <v>103</v>
      </c>
      <c r="I2" s="696"/>
      <c r="J2" s="696"/>
      <c r="K2" s="696"/>
      <c r="L2" s="697"/>
      <c r="M2" s="695" t="s">
        <v>104</v>
      </c>
      <c r="N2" s="696"/>
      <c r="O2" s="696"/>
      <c r="P2" s="696"/>
      <c r="Q2" s="697"/>
      <c r="R2" s="695" t="s">
        <v>105</v>
      </c>
      <c r="S2" s="696"/>
      <c r="T2" s="696"/>
      <c r="U2" s="696"/>
      <c r="V2" s="697"/>
      <c r="W2" s="585"/>
      <c r="X2" s="585"/>
      <c r="Y2" s="389"/>
      <c r="Z2" s="389"/>
      <c r="AA2" s="389"/>
      <c r="AB2" s="389"/>
      <c r="AC2" s="389"/>
      <c r="AD2" s="389"/>
      <c r="AE2" s="389"/>
      <c r="AF2" s="389"/>
      <c r="AG2" s="389"/>
      <c r="AH2" s="389"/>
      <c r="AI2" s="389"/>
      <c r="AJ2" s="389"/>
      <c r="AK2" s="389"/>
      <c r="AL2" s="389"/>
      <c r="AM2" s="389"/>
      <c r="AN2" s="389"/>
      <c r="AO2" s="389"/>
      <c r="AP2" s="389"/>
      <c r="AQ2" s="389"/>
      <c r="AR2" s="389"/>
      <c r="AS2" s="389"/>
      <c r="AT2" s="389"/>
      <c r="AU2" s="389"/>
      <c r="AV2" s="389"/>
      <c r="AW2" s="389"/>
      <c r="AX2" s="389"/>
      <c r="AY2" s="389"/>
      <c r="AZ2" s="389"/>
      <c r="BA2" s="389"/>
      <c r="BB2" s="389"/>
      <c r="BC2" s="389"/>
      <c r="BD2" s="389"/>
      <c r="BE2" s="389"/>
      <c r="BF2" s="389"/>
      <c r="BG2" s="389"/>
      <c r="BH2" s="389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89"/>
      <c r="CA2" s="389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89"/>
      <c r="CT2" s="389"/>
      <c r="CU2" s="389"/>
      <c r="CV2" s="389"/>
      <c r="CW2" s="389"/>
      <c r="CX2" s="389"/>
      <c r="CY2" s="389"/>
      <c r="CZ2" s="389"/>
      <c r="DA2" s="389"/>
      <c r="DB2" s="389"/>
      <c r="DC2" s="389"/>
      <c r="DD2" s="389"/>
      <c r="DE2" s="389"/>
      <c r="DF2" s="389"/>
      <c r="DG2" s="389"/>
      <c r="DH2" s="389"/>
      <c r="DI2" s="389"/>
      <c r="DJ2" s="389"/>
      <c r="DK2" s="389"/>
      <c r="DL2" s="389"/>
      <c r="DM2" s="389"/>
      <c r="DN2" s="389"/>
      <c r="DO2" s="389"/>
      <c r="DP2" s="389"/>
      <c r="DQ2" s="389"/>
      <c r="DR2" s="389"/>
      <c r="DS2" s="389"/>
      <c r="DT2" s="389"/>
      <c r="DU2" s="389"/>
      <c r="DV2" s="389"/>
      <c r="DW2" s="389"/>
      <c r="DX2" s="389"/>
      <c r="DY2" s="389"/>
      <c r="DZ2" s="389"/>
      <c r="EA2" s="389"/>
      <c r="EB2" s="389"/>
      <c r="EC2" s="389"/>
      <c r="ED2" s="389"/>
      <c r="EE2" s="389"/>
      <c r="EF2" s="389"/>
      <c r="EG2" s="389"/>
      <c r="EH2" s="389"/>
      <c r="EI2" s="389"/>
      <c r="EJ2" s="389"/>
      <c r="EK2" s="389"/>
      <c r="EL2" s="389"/>
      <c r="EM2" s="389"/>
      <c r="EN2" s="389"/>
      <c r="EO2" s="389"/>
      <c r="EP2" s="389"/>
      <c r="EQ2" s="389"/>
      <c r="ER2" s="389"/>
      <c r="ES2" s="389"/>
      <c r="ET2" s="389"/>
      <c r="EU2" s="389"/>
      <c r="EV2" s="389"/>
      <c r="EW2" s="389"/>
      <c r="EX2" s="389"/>
      <c r="EY2" s="389"/>
      <c r="EZ2" s="389"/>
      <c r="FA2" s="389"/>
      <c r="FB2" s="389"/>
      <c r="FC2" s="389"/>
      <c r="FD2" s="389"/>
      <c r="FE2" s="389"/>
      <c r="FF2" s="389"/>
      <c r="FG2" s="389"/>
      <c r="FH2" s="389"/>
      <c r="FI2" s="389"/>
      <c r="FJ2" s="389"/>
      <c r="FK2" s="389"/>
      <c r="FL2" s="389"/>
      <c r="FM2" s="389"/>
      <c r="FN2" s="389"/>
      <c r="FO2" s="389"/>
      <c r="FP2" s="389"/>
      <c r="FQ2" s="389"/>
      <c r="FR2" s="389"/>
      <c r="FS2" s="389"/>
      <c r="FT2" s="389"/>
      <c r="FU2" s="389"/>
      <c r="FV2" s="389"/>
      <c r="FW2" s="389"/>
      <c r="FX2" s="389"/>
      <c r="FY2" s="389"/>
      <c r="FZ2" s="389"/>
      <c r="GA2" s="389"/>
      <c r="GB2" s="389"/>
      <c r="GC2" s="389"/>
      <c r="GD2" s="389"/>
      <c r="GE2" s="389"/>
      <c r="GF2" s="389"/>
      <c r="GG2" s="389"/>
      <c r="GH2" s="389"/>
      <c r="GI2" s="389"/>
      <c r="GJ2" s="389"/>
      <c r="GK2" s="389"/>
      <c r="GL2" s="389"/>
      <c r="GM2" s="389"/>
      <c r="GN2" s="389"/>
      <c r="GO2" s="389"/>
      <c r="GP2" s="389"/>
      <c r="GQ2" s="389"/>
      <c r="GR2" s="389"/>
      <c r="GS2" s="389"/>
      <c r="GT2" s="389"/>
      <c r="GU2" s="389"/>
      <c r="GV2" s="389"/>
      <c r="GW2" s="389"/>
      <c r="GX2" s="389"/>
      <c r="GY2" s="389"/>
      <c r="GZ2" s="389"/>
      <c r="HA2" s="389"/>
      <c r="HB2" s="389"/>
      <c r="HC2" s="389"/>
      <c r="HD2" s="389"/>
      <c r="HE2" s="389"/>
      <c r="HF2" s="389"/>
      <c r="HG2" s="389"/>
      <c r="HH2" s="389"/>
      <c r="HI2" s="389"/>
      <c r="HJ2" s="389"/>
      <c r="HK2" s="389"/>
      <c r="HL2" s="389"/>
      <c r="HM2" s="389"/>
      <c r="HN2" s="389"/>
      <c r="HO2" s="389"/>
      <c r="HP2" s="389"/>
      <c r="HQ2" s="389"/>
      <c r="HR2" s="389"/>
      <c r="HS2" s="389"/>
      <c r="HT2" s="389"/>
      <c r="HU2" s="389"/>
      <c r="HV2" s="389"/>
      <c r="HW2" s="389"/>
      <c r="HX2" s="389"/>
      <c r="HY2" s="389"/>
      <c r="HZ2" s="389"/>
      <c r="IA2" s="389"/>
      <c r="IB2" s="389"/>
      <c r="IC2" s="389"/>
      <c r="ID2" s="389"/>
      <c r="IE2" s="389"/>
      <c r="IF2" s="389"/>
      <c r="IG2" s="389"/>
      <c r="IH2" s="389"/>
      <c r="II2" s="389"/>
      <c r="IJ2" s="389"/>
      <c r="IK2" s="389"/>
      <c r="IL2" s="389"/>
      <c r="IM2" s="389"/>
      <c r="IN2" s="389"/>
      <c r="IO2" s="389"/>
      <c r="IP2" s="389"/>
      <c r="IQ2" s="389"/>
      <c r="IR2" s="389"/>
      <c r="IS2" s="389"/>
      <c r="IT2" s="389"/>
      <c r="IU2" s="389"/>
      <c r="IV2" s="389"/>
      <c r="IW2" s="389"/>
      <c r="IX2" s="389"/>
      <c r="IY2" s="389"/>
      <c r="IZ2" s="389"/>
      <c r="JA2" s="389"/>
      <c r="JB2" s="389"/>
      <c r="JC2" s="389"/>
      <c r="JD2" s="389"/>
      <c r="JE2" s="389"/>
      <c r="JF2" s="389"/>
      <c r="JG2" s="389"/>
      <c r="JH2" s="389"/>
      <c r="JI2" s="389"/>
      <c r="JJ2" s="389"/>
      <c r="JK2" s="389"/>
      <c r="JL2" s="389"/>
      <c r="JM2" s="389"/>
      <c r="JN2" s="389"/>
      <c r="JO2" s="389"/>
      <c r="JP2" s="389"/>
      <c r="JQ2" s="389"/>
      <c r="JR2" s="389"/>
      <c r="JS2" s="389"/>
      <c r="JT2" s="389"/>
      <c r="JU2" s="389"/>
      <c r="JV2" s="389"/>
      <c r="JW2" s="389"/>
      <c r="JX2" s="389"/>
      <c r="JY2" s="389"/>
      <c r="JZ2" s="389"/>
      <c r="KA2" s="389"/>
      <c r="KB2" s="389"/>
      <c r="KC2" s="389"/>
      <c r="KD2" s="389"/>
      <c r="KE2" s="389"/>
      <c r="KF2" s="389"/>
      <c r="KG2" s="389"/>
      <c r="KH2" s="389"/>
      <c r="KI2" s="389"/>
      <c r="KJ2" s="389"/>
      <c r="KK2" s="389"/>
      <c r="KL2" s="389"/>
      <c r="KM2" s="389"/>
      <c r="KN2" s="389"/>
      <c r="KO2" s="389"/>
      <c r="KP2" s="389"/>
      <c r="KQ2" s="389"/>
      <c r="KR2" s="389"/>
      <c r="KS2" s="389"/>
      <c r="KT2" s="389"/>
      <c r="KU2" s="389"/>
      <c r="KV2" s="389"/>
      <c r="KW2" s="389"/>
      <c r="KX2" s="389"/>
      <c r="KY2" s="389"/>
      <c r="KZ2" s="389"/>
      <c r="LA2" s="389"/>
      <c r="LB2" s="389"/>
      <c r="LC2" s="389"/>
      <c r="LD2" s="389"/>
      <c r="LE2" s="389"/>
      <c r="LF2" s="389"/>
      <c r="LG2" s="389"/>
      <c r="LH2" s="389"/>
      <c r="LI2" s="389"/>
      <c r="LJ2" s="389"/>
      <c r="LK2" s="389"/>
      <c r="LL2" s="389"/>
      <c r="LM2" s="389"/>
      <c r="LN2" s="389"/>
      <c r="LO2" s="389"/>
      <c r="LP2" s="389"/>
      <c r="LQ2" s="389"/>
      <c r="LR2" s="389"/>
      <c r="LS2" s="389"/>
      <c r="LT2" s="389"/>
      <c r="LU2" s="389"/>
      <c r="LV2" s="389"/>
      <c r="LW2" s="389"/>
      <c r="LX2" s="389"/>
      <c r="LY2" s="389"/>
      <c r="LZ2" s="389"/>
      <c r="MA2" s="389"/>
      <c r="MB2" s="389"/>
      <c r="MC2" s="389"/>
      <c r="MD2" s="389"/>
      <c r="ME2" s="389"/>
      <c r="MF2" s="389"/>
      <c r="MG2" s="389"/>
      <c r="MH2" s="389"/>
      <c r="MI2" s="389"/>
      <c r="MJ2" s="389"/>
      <c r="MK2" s="389"/>
      <c r="ML2" s="389"/>
      <c r="MM2" s="389"/>
      <c r="MN2" s="389"/>
      <c r="MO2" s="389"/>
      <c r="MP2" s="389"/>
      <c r="MQ2" s="389"/>
      <c r="MR2" s="389"/>
      <c r="MS2" s="389"/>
      <c r="MT2" s="389"/>
      <c r="MU2" s="389"/>
      <c r="MV2" s="389"/>
      <c r="MW2" s="389"/>
      <c r="MX2" s="389"/>
      <c r="MY2" s="389"/>
      <c r="MZ2" s="389"/>
      <c r="NA2" s="389"/>
      <c r="NB2" s="389"/>
      <c r="NC2" s="389"/>
      <c r="ND2" s="389"/>
      <c r="NE2" s="389"/>
      <c r="NF2" s="389"/>
      <c r="NG2" s="389"/>
      <c r="NH2" s="389"/>
      <c r="NI2" s="389"/>
      <c r="NJ2" s="389"/>
      <c r="NK2" s="389"/>
      <c r="NL2" s="389"/>
      <c r="NM2" s="389"/>
      <c r="NN2" s="389"/>
      <c r="NO2" s="389"/>
      <c r="NP2" s="389"/>
      <c r="NQ2" s="389"/>
      <c r="NR2" s="389"/>
      <c r="NS2" s="389"/>
      <c r="NT2" s="389"/>
      <c r="NU2" s="389"/>
      <c r="NV2" s="389"/>
      <c r="NW2" s="389"/>
      <c r="NX2" s="389"/>
      <c r="NY2" s="389"/>
      <c r="NZ2" s="389"/>
      <c r="OA2" s="389"/>
      <c r="OB2" s="389"/>
      <c r="OC2" s="389"/>
      <c r="OD2" s="389"/>
      <c r="OE2" s="389"/>
      <c r="OF2" s="389"/>
      <c r="OG2" s="389"/>
      <c r="OH2" s="389"/>
      <c r="OI2" s="389"/>
      <c r="OJ2" s="389"/>
      <c r="OK2" s="389"/>
      <c r="OL2" s="389"/>
      <c r="OM2" s="389"/>
      <c r="ON2" s="389"/>
      <c r="OO2" s="389"/>
      <c r="OP2" s="389"/>
      <c r="OQ2" s="389"/>
      <c r="OR2" s="389"/>
      <c r="OS2" s="389"/>
      <c r="OT2" s="389"/>
      <c r="OU2" s="389"/>
      <c r="OV2" s="389"/>
      <c r="OW2" s="389"/>
      <c r="OX2" s="389"/>
      <c r="OY2" s="389"/>
      <c r="OZ2" s="389"/>
      <c r="PA2" s="389"/>
      <c r="PB2" s="389"/>
      <c r="PC2" s="389"/>
      <c r="PD2" s="389"/>
      <c r="PE2" s="389"/>
      <c r="PF2" s="389"/>
      <c r="PG2" s="389"/>
      <c r="PH2" s="389"/>
      <c r="PI2" s="389"/>
      <c r="PJ2" s="389"/>
      <c r="PK2" s="389"/>
      <c r="PL2" s="389"/>
      <c r="PM2" s="389"/>
      <c r="PN2" s="389"/>
      <c r="PO2" s="389"/>
      <c r="PP2" s="389"/>
      <c r="PQ2" s="389"/>
      <c r="PR2" s="389"/>
      <c r="PS2" s="389"/>
      <c r="PT2" s="389"/>
      <c r="PU2" s="389"/>
      <c r="PV2" s="389"/>
      <c r="PW2" s="389"/>
      <c r="PX2" s="389"/>
      <c r="PY2" s="389"/>
      <c r="PZ2" s="389"/>
      <c r="QA2" s="389"/>
      <c r="QB2" s="389"/>
      <c r="QC2" s="389"/>
      <c r="QD2" s="389"/>
      <c r="QE2" s="389"/>
      <c r="QF2" s="389"/>
      <c r="QG2" s="389"/>
      <c r="QH2" s="389"/>
      <c r="QI2" s="389"/>
      <c r="QJ2" s="389"/>
      <c r="QK2" s="389"/>
      <c r="QL2" s="389"/>
      <c r="QM2" s="389"/>
      <c r="QN2" s="389"/>
      <c r="QO2" s="389"/>
      <c r="QP2" s="389"/>
      <c r="QQ2" s="389"/>
      <c r="QR2" s="389"/>
      <c r="QS2" s="389"/>
      <c r="QT2" s="389"/>
      <c r="QU2" s="389"/>
      <c r="QV2" s="389"/>
      <c r="QW2" s="389"/>
      <c r="QX2" s="389"/>
      <c r="QY2" s="389"/>
      <c r="QZ2" s="389"/>
      <c r="RA2" s="389"/>
      <c r="RB2" s="389"/>
      <c r="RC2" s="389"/>
      <c r="RD2" s="389"/>
      <c r="RE2" s="389"/>
      <c r="RF2" s="389"/>
      <c r="RG2" s="389"/>
      <c r="RH2" s="389"/>
      <c r="RI2" s="389"/>
      <c r="RJ2" s="389"/>
      <c r="RK2" s="389"/>
      <c r="RL2" s="389"/>
      <c r="RM2" s="389"/>
      <c r="RN2" s="389"/>
      <c r="RO2" s="389"/>
      <c r="RP2" s="389"/>
      <c r="RQ2" s="389"/>
      <c r="RR2" s="389"/>
      <c r="RS2" s="389"/>
      <c r="RT2" s="389"/>
      <c r="RU2" s="389"/>
      <c r="RV2" s="389"/>
      <c r="RW2" s="389"/>
      <c r="RX2" s="389"/>
      <c r="RY2" s="389"/>
      <c r="RZ2" s="389"/>
      <c r="SA2" s="389"/>
      <c r="SB2" s="389"/>
      <c r="SC2" s="389"/>
      <c r="SD2" s="389"/>
      <c r="SE2" s="389"/>
    </row>
    <row r="3" spans="2:499" s="390" customFormat="1" ht="20.25" customHeight="1" thickBot="1">
      <c r="B3" s="703"/>
      <c r="C3" s="698" t="s">
        <v>277</v>
      </c>
      <c r="D3" s="699"/>
      <c r="E3" s="699"/>
      <c r="F3" s="699"/>
      <c r="G3" s="700"/>
      <c r="H3" s="698" t="s">
        <v>277</v>
      </c>
      <c r="I3" s="699"/>
      <c r="J3" s="699"/>
      <c r="K3" s="699"/>
      <c r="L3" s="700"/>
      <c r="M3" s="698" t="s">
        <v>277</v>
      </c>
      <c r="N3" s="699"/>
      <c r="O3" s="699"/>
      <c r="P3" s="699"/>
      <c r="Q3" s="700"/>
      <c r="R3" s="698" t="s">
        <v>277</v>
      </c>
      <c r="S3" s="699"/>
      <c r="T3" s="699"/>
      <c r="U3" s="699"/>
      <c r="V3" s="700"/>
      <c r="W3" s="585"/>
      <c r="X3" s="586"/>
      <c r="Y3" s="391"/>
      <c r="Z3" s="391"/>
      <c r="AA3" s="391"/>
      <c r="AB3" s="389"/>
      <c r="AC3" s="389"/>
      <c r="AD3" s="389"/>
      <c r="AE3" s="389"/>
      <c r="AF3" s="389"/>
      <c r="AG3" s="389"/>
      <c r="AH3" s="389"/>
      <c r="AI3" s="389"/>
      <c r="AJ3" s="389"/>
      <c r="AK3" s="389"/>
      <c r="AL3" s="389"/>
      <c r="AM3" s="389"/>
      <c r="AN3" s="389"/>
      <c r="AO3" s="389"/>
      <c r="AP3" s="389"/>
      <c r="AQ3" s="389"/>
      <c r="AR3" s="389"/>
      <c r="AS3" s="389"/>
      <c r="AT3" s="389"/>
      <c r="AU3" s="389"/>
      <c r="AV3" s="389"/>
      <c r="AW3" s="389"/>
      <c r="AX3" s="389"/>
      <c r="AY3" s="389"/>
      <c r="AZ3" s="389"/>
      <c r="BA3" s="389"/>
      <c r="BB3" s="389"/>
      <c r="BC3" s="389"/>
      <c r="BD3" s="389"/>
      <c r="BE3" s="389"/>
      <c r="BF3" s="389"/>
      <c r="BG3" s="389"/>
      <c r="BH3" s="389"/>
      <c r="BI3" s="389"/>
      <c r="BJ3" s="389"/>
      <c r="BK3" s="389"/>
      <c r="BL3" s="389"/>
      <c r="BM3" s="389"/>
      <c r="BN3" s="389"/>
      <c r="BO3" s="389"/>
      <c r="BP3" s="389"/>
      <c r="BQ3" s="389"/>
      <c r="BR3" s="389"/>
      <c r="BS3" s="389"/>
      <c r="BT3" s="389"/>
      <c r="BU3" s="389"/>
      <c r="BV3" s="389"/>
      <c r="BW3" s="389"/>
      <c r="BX3" s="389"/>
      <c r="BY3" s="389"/>
      <c r="BZ3" s="389"/>
      <c r="CA3" s="389"/>
      <c r="CB3" s="389"/>
      <c r="CC3" s="389"/>
      <c r="CD3" s="389"/>
      <c r="CE3" s="389"/>
      <c r="CF3" s="389"/>
      <c r="CG3" s="389"/>
      <c r="CH3" s="389"/>
      <c r="CI3" s="389"/>
      <c r="CJ3" s="389"/>
      <c r="CK3" s="389"/>
      <c r="CL3" s="389"/>
      <c r="CM3" s="389"/>
      <c r="CN3" s="389"/>
      <c r="CO3" s="389"/>
      <c r="CP3" s="389"/>
      <c r="CQ3" s="389"/>
      <c r="CR3" s="389"/>
      <c r="CS3" s="389"/>
      <c r="CT3" s="389"/>
      <c r="CU3" s="389"/>
      <c r="CV3" s="389"/>
      <c r="CW3" s="389"/>
      <c r="CX3" s="389"/>
      <c r="CY3" s="389"/>
      <c r="CZ3" s="389"/>
      <c r="DA3" s="389"/>
      <c r="DB3" s="389"/>
      <c r="DC3" s="389"/>
      <c r="DD3" s="389"/>
      <c r="DE3" s="389"/>
      <c r="DF3" s="389"/>
      <c r="DG3" s="389"/>
      <c r="DH3" s="389"/>
      <c r="DI3" s="389"/>
      <c r="DJ3" s="389"/>
      <c r="DK3" s="389"/>
      <c r="DL3" s="389"/>
      <c r="DM3" s="389"/>
      <c r="DN3" s="389"/>
      <c r="DO3" s="389"/>
      <c r="DP3" s="389"/>
      <c r="DQ3" s="389"/>
      <c r="DR3" s="389"/>
      <c r="DS3" s="389"/>
      <c r="DT3" s="389"/>
      <c r="DU3" s="389"/>
      <c r="DV3" s="389"/>
      <c r="DW3" s="389"/>
      <c r="DX3" s="389"/>
      <c r="DY3" s="389"/>
      <c r="DZ3" s="389"/>
      <c r="EA3" s="389"/>
      <c r="EB3" s="389"/>
      <c r="EC3" s="389"/>
      <c r="ED3" s="389"/>
      <c r="EE3" s="389"/>
      <c r="EF3" s="389"/>
      <c r="EG3" s="389"/>
      <c r="EH3" s="389"/>
      <c r="EI3" s="389"/>
      <c r="EJ3" s="389"/>
      <c r="EK3" s="389"/>
      <c r="EL3" s="389"/>
      <c r="EM3" s="389"/>
      <c r="EN3" s="389"/>
      <c r="EO3" s="389"/>
      <c r="EP3" s="389"/>
      <c r="EQ3" s="389"/>
      <c r="ER3" s="389"/>
      <c r="ES3" s="389"/>
      <c r="ET3" s="389"/>
      <c r="EU3" s="389"/>
      <c r="EV3" s="389"/>
      <c r="EW3" s="389"/>
      <c r="EX3" s="389"/>
      <c r="EY3" s="389"/>
      <c r="EZ3" s="389"/>
      <c r="FA3" s="389"/>
      <c r="FB3" s="389"/>
      <c r="FC3" s="389"/>
      <c r="FD3" s="389"/>
      <c r="FE3" s="389"/>
      <c r="FF3" s="389"/>
      <c r="FG3" s="389"/>
      <c r="FH3" s="389"/>
      <c r="FI3" s="389"/>
      <c r="FJ3" s="389"/>
      <c r="FK3" s="389"/>
      <c r="FL3" s="389"/>
      <c r="FM3" s="389"/>
      <c r="FN3" s="389"/>
      <c r="FO3" s="389"/>
      <c r="FP3" s="389"/>
      <c r="FQ3" s="389"/>
      <c r="FR3" s="389"/>
      <c r="FS3" s="389"/>
      <c r="FT3" s="389"/>
      <c r="FU3" s="389"/>
      <c r="FV3" s="389"/>
      <c r="FW3" s="389"/>
      <c r="FX3" s="389"/>
      <c r="FY3" s="389"/>
      <c r="FZ3" s="389"/>
      <c r="GA3" s="389"/>
      <c r="GB3" s="389"/>
      <c r="GC3" s="389"/>
      <c r="GD3" s="389"/>
      <c r="GE3" s="389"/>
      <c r="GF3" s="389"/>
      <c r="GG3" s="389"/>
      <c r="GH3" s="389"/>
      <c r="GI3" s="389"/>
      <c r="GJ3" s="389"/>
      <c r="GK3" s="389"/>
      <c r="GL3" s="389"/>
      <c r="GM3" s="389"/>
      <c r="GN3" s="389"/>
      <c r="GO3" s="389"/>
      <c r="GP3" s="389"/>
      <c r="GQ3" s="389"/>
      <c r="GR3" s="389"/>
      <c r="GS3" s="389"/>
      <c r="GT3" s="389"/>
      <c r="GU3" s="389"/>
      <c r="GV3" s="389"/>
      <c r="GW3" s="389"/>
      <c r="GX3" s="389"/>
      <c r="GY3" s="389"/>
      <c r="GZ3" s="389"/>
      <c r="HA3" s="389"/>
      <c r="HB3" s="389"/>
      <c r="HC3" s="389"/>
      <c r="HD3" s="389"/>
      <c r="HE3" s="389"/>
      <c r="HF3" s="389"/>
      <c r="HG3" s="389"/>
      <c r="HH3" s="389"/>
      <c r="HI3" s="389"/>
      <c r="HJ3" s="389"/>
      <c r="HK3" s="389"/>
      <c r="HL3" s="389"/>
      <c r="HM3" s="389"/>
      <c r="HN3" s="389"/>
      <c r="HO3" s="389"/>
      <c r="HP3" s="389"/>
      <c r="HQ3" s="389"/>
      <c r="HR3" s="389"/>
      <c r="HS3" s="389"/>
      <c r="HT3" s="389"/>
      <c r="HU3" s="389"/>
      <c r="HV3" s="389"/>
      <c r="HW3" s="389"/>
      <c r="HX3" s="389"/>
      <c r="HY3" s="389"/>
      <c r="HZ3" s="389"/>
      <c r="IA3" s="389"/>
      <c r="IB3" s="389"/>
      <c r="IC3" s="389"/>
      <c r="ID3" s="389"/>
      <c r="IE3" s="389"/>
      <c r="IF3" s="389"/>
      <c r="IG3" s="389"/>
      <c r="IH3" s="389"/>
      <c r="II3" s="389"/>
      <c r="IJ3" s="389"/>
      <c r="IK3" s="389"/>
      <c r="IL3" s="389"/>
      <c r="IM3" s="389"/>
      <c r="IN3" s="389"/>
      <c r="IO3" s="389"/>
      <c r="IP3" s="389"/>
      <c r="IQ3" s="389"/>
      <c r="IR3" s="389"/>
      <c r="IS3" s="389"/>
      <c r="IT3" s="389"/>
      <c r="IU3" s="389"/>
      <c r="IV3" s="389"/>
      <c r="IW3" s="389"/>
      <c r="IX3" s="389"/>
      <c r="IY3" s="389"/>
      <c r="IZ3" s="389"/>
      <c r="JA3" s="389"/>
      <c r="JB3" s="389"/>
      <c r="JC3" s="389"/>
      <c r="JD3" s="389"/>
      <c r="JE3" s="389"/>
      <c r="JF3" s="389"/>
      <c r="JG3" s="389"/>
      <c r="JH3" s="389"/>
      <c r="JI3" s="389"/>
      <c r="JJ3" s="389"/>
      <c r="JK3" s="389"/>
      <c r="JL3" s="389"/>
      <c r="JM3" s="389"/>
      <c r="JN3" s="389"/>
      <c r="JO3" s="389"/>
      <c r="JP3" s="389"/>
      <c r="JQ3" s="389"/>
      <c r="JR3" s="389"/>
      <c r="JS3" s="389"/>
      <c r="JT3" s="389"/>
      <c r="JU3" s="389"/>
      <c r="JV3" s="389"/>
      <c r="JW3" s="389"/>
      <c r="JX3" s="389"/>
      <c r="JY3" s="389"/>
      <c r="JZ3" s="389"/>
      <c r="KA3" s="389"/>
      <c r="KB3" s="389"/>
      <c r="KC3" s="389"/>
      <c r="KD3" s="389"/>
      <c r="KE3" s="389"/>
      <c r="KF3" s="389"/>
      <c r="KG3" s="389"/>
      <c r="KH3" s="389"/>
      <c r="KI3" s="389"/>
      <c r="KJ3" s="389"/>
      <c r="KK3" s="389"/>
      <c r="KL3" s="389"/>
      <c r="KM3" s="389"/>
      <c r="KN3" s="389"/>
      <c r="KO3" s="389"/>
      <c r="KP3" s="389"/>
      <c r="KQ3" s="389"/>
      <c r="KR3" s="389"/>
      <c r="KS3" s="389"/>
      <c r="KT3" s="389"/>
      <c r="KU3" s="389"/>
      <c r="KV3" s="389"/>
      <c r="KW3" s="389"/>
      <c r="KX3" s="389"/>
      <c r="KY3" s="389"/>
      <c r="KZ3" s="389"/>
      <c r="LA3" s="389"/>
      <c r="LB3" s="389"/>
      <c r="LC3" s="389"/>
      <c r="LD3" s="389"/>
      <c r="LE3" s="389"/>
      <c r="LF3" s="389"/>
      <c r="LG3" s="389"/>
      <c r="LH3" s="389"/>
      <c r="LI3" s="389"/>
      <c r="LJ3" s="389"/>
      <c r="LK3" s="389"/>
      <c r="LL3" s="389"/>
      <c r="LM3" s="389"/>
      <c r="LN3" s="389"/>
      <c r="LO3" s="389"/>
      <c r="LP3" s="389"/>
      <c r="LQ3" s="389"/>
      <c r="LR3" s="389"/>
      <c r="LS3" s="389"/>
      <c r="LT3" s="389"/>
      <c r="LU3" s="389"/>
      <c r="LV3" s="389"/>
      <c r="LW3" s="389"/>
      <c r="LX3" s="389"/>
      <c r="LY3" s="389"/>
      <c r="LZ3" s="389"/>
      <c r="MA3" s="389"/>
      <c r="MB3" s="389"/>
      <c r="MC3" s="389"/>
      <c r="MD3" s="389"/>
      <c r="ME3" s="389"/>
      <c r="MF3" s="389"/>
      <c r="MG3" s="389"/>
      <c r="MH3" s="389"/>
      <c r="MI3" s="389"/>
      <c r="MJ3" s="389"/>
      <c r="MK3" s="389"/>
      <c r="ML3" s="389"/>
      <c r="MM3" s="389"/>
      <c r="MN3" s="389"/>
      <c r="MO3" s="389"/>
      <c r="MP3" s="389"/>
      <c r="MQ3" s="389"/>
      <c r="MR3" s="389"/>
      <c r="MS3" s="389"/>
      <c r="MT3" s="389"/>
      <c r="MU3" s="389"/>
      <c r="MV3" s="389"/>
      <c r="MW3" s="389"/>
      <c r="MX3" s="389"/>
      <c r="MY3" s="389"/>
      <c r="MZ3" s="389"/>
      <c r="NA3" s="389"/>
      <c r="NB3" s="389"/>
      <c r="NC3" s="389"/>
      <c r="ND3" s="389"/>
      <c r="NE3" s="389"/>
      <c r="NF3" s="389"/>
      <c r="NG3" s="389"/>
      <c r="NH3" s="389"/>
      <c r="NI3" s="389"/>
      <c r="NJ3" s="389"/>
      <c r="NK3" s="389"/>
      <c r="NL3" s="389"/>
      <c r="NM3" s="389"/>
      <c r="NN3" s="389"/>
      <c r="NO3" s="389"/>
      <c r="NP3" s="389"/>
      <c r="NQ3" s="389"/>
      <c r="NR3" s="389"/>
      <c r="NS3" s="389"/>
      <c r="NT3" s="389"/>
      <c r="NU3" s="389"/>
      <c r="NV3" s="389"/>
      <c r="NW3" s="389"/>
      <c r="NX3" s="389"/>
      <c r="NY3" s="389"/>
      <c r="NZ3" s="389"/>
      <c r="OA3" s="389"/>
      <c r="OB3" s="389"/>
      <c r="OC3" s="389"/>
      <c r="OD3" s="389"/>
      <c r="OE3" s="389"/>
      <c r="OF3" s="389"/>
      <c r="OG3" s="389"/>
      <c r="OH3" s="389"/>
      <c r="OI3" s="389"/>
      <c r="OJ3" s="389"/>
      <c r="OK3" s="389"/>
      <c r="OL3" s="389"/>
      <c r="OM3" s="389"/>
      <c r="ON3" s="389"/>
      <c r="OO3" s="389"/>
      <c r="OP3" s="389"/>
      <c r="OQ3" s="389"/>
      <c r="OR3" s="389"/>
      <c r="OS3" s="389"/>
      <c r="OT3" s="389"/>
      <c r="OU3" s="389"/>
      <c r="OV3" s="389"/>
      <c r="OW3" s="389"/>
      <c r="OX3" s="389"/>
      <c r="OY3" s="389"/>
      <c r="OZ3" s="389"/>
      <c r="PA3" s="389"/>
      <c r="PB3" s="389"/>
      <c r="PC3" s="389"/>
      <c r="PD3" s="389"/>
      <c r="PE3" s="389"/>
      <c r="PF3" s="389"/>
      <c r="PG3" s="389"/>
      <c r="PH3" s="389"/>
      <c r="PI3" s="389"/>
      <c r="PJ3" s="389"/>
      <c r="PK3" s="389"/>
      <c r="PL3" s="389"/>
      <c r="PM3" s="389"/>
      <c r="PN3" s="389"/>
      <c r="PO3" s="389"/>
      <c r="PP3" s="389"/>
      <c r="PQ3" s="389"/>
      <c r="PR3" s="389"/>
      <c r="PS3" s="389"/>
      <c r="PT3" s="389"/>
      <c r="PU3" s="389"/>
      <c r="PV3" s="389"/>
      <c r="PW3" s="389"/>
      <c r="PX3" s="389"/>
      <c r="PY3" s="389"/>
      <c r="PZ3" s="389"/>
      <c r="QA3" s="389"/>
      <c r="QB3" s="389"/>
      <c r="QC3" s="389"/>
      <c r="QD3" s="389"/>
      <c r="QE3" s="389"/>
      <c r="QF3" s="389"/>
      <c r="QG3" s="389"/>
      <c r="QH3" s="389"/>
      <c r="QI3" s="389"/>
      <c r="QJ3" s="389"/>
      <c r="QK3" s="389"/>
      <c r="QL3" s="389"/>
      <c r="QM3" s="389"/>
      <c r="QN3" s="389"/>
      <c r="QO3" s="389"/>
      <c r="QP3" s="389"/>
      <c r="QQ3" s="389"/>
      <c r="QR3" s="389"/>
      <c r="QS3" s="389"/>
      <c r="QT3" s="389"/>
      <c r="QU3" s="389"/>
      <c r="QV3" s="389"/>
      <c r="QW3" s="389"/>
      <c r="QX3" s="389"/>
      <c r="QY3" s="389"/>
      <c r="QZ3" s="389"/>
      <c r="RA3" s="389"/>
      <c r="RB3" s="389"/>
      <c r="RC3" s="389"/>
      <c r="RD3" s="389"/>
      <c r="RE3" s="389"/>
      <c r="RF3" s="389"/>
      <c r="RG3" s="389"/>
      <c r="RH3" s="389"/>
      <c r="RI3" s="389"/>
      <c r="RJ3" s="389"/>
      <c r="RK3" s="389"/>
      <c r="RL3" s="389"/>
      <c r="RM3" s="389"/>
      <c r="RN3" s="389"/>
      <c r="RO3" s="389"/>
      <c r="RP3" s="389"/>
      <c r="RQ3" s="389"/>
      <c r="RR3" s="389"/>
      <c r="RS3" s="389"/>
      <c r="RT3" s="389"/>
      <c r="RU3" s="389"/>
      <c r="RV3" s="389"/>
      <c r="RW3" s="389"/>
      <c r="RX3" s="389"/>
      <c r="RY3" s="389"/>
      <c r="RZ3" s="389"/>
      <c r="SA3" s="389"/>
      <c r="SB3" s="389"/>
      <c r="SC3" s="389"/>
      <c r="SD3" s="389"/>
      <c r="SE3" s="389"/>
    </row>
    <row r="4" spans="2:499" s="393" customFormat="1" ht="39" thickBot="1">
      <c r="B4" s="704"/>
      <c r="C4" s="453" t="s">
        <v>279</v>
      </c>
      <c r="D4" s="212"/>
      <c r="E4" s="213" t="s">
        <v>280</v>
      </c>
      <c r="F4" s="213"/>
      <c r="G4" s="214" t="s">
        <v>106</v>
      </c>
      <c r="H4" s="453" t="s">
        <v>279</v>
      </c>
      <c r="I4" s="212"/>
      <c r="J4" s="213" t="s">
        <v>280</v>
      </c>
      <c r="K4" s="213"/>
      <c r="L4" s="214" t="s">
        <v>106</v>
      </c>
      <c r="M4" s="453" t="s">
        <v>279</v>
      </c>
      <c r="N4" s="212"/>
      <c r="O4" s="213" t="s">
        <v>280</v>
      </c>
      <c r="P4" s="213"/>
      <c r="Q4" s="214" t="s">
        <v>106</v>
      </c>
      <c r="R4" s="453" t="s">
        <v>279</v>
      </c>
      <c r="S4" s="212"/>
      <c r="T4" s="213" t="s">
        <v>280</v>
      </c>
      <c r="U4" s="213"/>
      <c r="V4" s="214" t="s">
        <v>106</v>
      </c>
      <c r="W4" s="587"/>
      <c r="X4" s="588"/>
      <c r="Y4" s="392"/>
      <c r="Z4" s="392"/>
      <c r="AA4" s="392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</row>
    <row r="5" spans="2:499" s="390" customFormat="1" ht="20.25" customHeight="1">
      <c r="B5" s="618" t="s">
        <v>107</v>
      </c>
      <c r="C5" s="508">
        <v>7343.3</v>
      </c>
      <c r="D5" s="629"/>
      <c r="E5" s="632">
        <v>6635.9</v>
      </c>
      <c r="F5" s="486"/>
      <c r="G5" s="509">
        <f>C5-E5</f>
        <v>707.40000000000055</v>
      </c>
      <c r="H5" s="508">
        <v>1263.7</v>
      </c>
      <c r="I5" s="501"/>
      <c r="J5" s="632">
        <v>1048.2</v>
      </c>
      <c r="K5" s="492"/>
      <c r="L5" s="509">
        <f>H5-J5</f>
        <v>215.5</v>
      </c>
      <c r="M5" s="508">
        <v>0</v>
      </c>
      <c r="N5" s="505"/>
      <c r="O5" s="632">
        <v>0</v>
      </c>
      <c r="P5" s="506"/>
      <c r="Q5" s="509">
        <f>M5-O5</f>
        <v>0</v>
      </c>
      <c r="R5" s="508">
        <f>C5+H5+M5</f>
        <v>8607</v>
      </c>
      <c r="S5" s="466"/>
      <c r="T5" s="632">
        <f>E5+J5+O5</f>
        <v>7684.0999999999995</v>
      </c>
      <c r="U5" s="395"/>
      <c r="V5" s="261">
        <f>R5-T5</f>
        <v>922.90000000000055</v>
      </c>
      <c r="W5" s="589"/>
      <c r="X5" s="590"/>
      <c r="Y5" s="396"/>
      <c r="Z5" s="396"/>
      <c r="AA5" s="391"/>
      <c r="AB5" s="389"/>
      <c r="AC5" s="389"/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89"/>
      <c r="AO5" s="389"/>
      <c r="AP5" s="389"/>
      <c r="AQ5" s="389"/>
      <c r="AR5" s="389"/>
      <c r="AS5" s="389"/>
      <c r="AT5" s="389"/>
      <c r="AU5" s="389"/>
      <c r="AV5" s="389"/>
      <c r="AW5" s="389"/>
      <c r="AX5" s="389"/>
      <c r="AY5" s="389"/>
      <c r="AZ5" s="389"/>
      <c r="BA5" s="389"/>
      <c r="BB5" s="389"/>
      <c r="BC5" s="389"/>
      <c r="BD5" s="389"/>
      <c r="BE5" s="389"/>
      <c r="BF5" s="389"/>
      <c r="BG5" s="389"/>
      <c r="BH5" s="389"/>
      <c r="BI5" s="389"/>
      <c r="BJ5" s="389"/>
      <c r="BK5" s="389"/>
      <c r="BL5" s="389"/>
      <c r="BM5" s="389"/>
      <c r="BN5" s="389"/>
      <c r="BO5" s="389"/>
      <c r="BP5" s="389"/>
      <c r="BQ5" s="389"/>
      <c r="BR5" s="389"/>
      <c r="BS5" s="389"/>
      <c r="BT5" s="389"/>
      <c r="BU5" s="389"/>
      <c r="BV5" s="389"/>
      <c r="BW5" s="389"/>
      <c r="BX5" s="389"/>
      <c r="BY5" s="389"/>
      <c r="BZ5" s="389"/>
      <c r="CA5" s="389"/>
      <c r="CB5" s="389"/>
      <c r="CC5" s="389"/>
      <c r="CD5" s="389"/>
      <c r="CE5" s="389"/>
      <c r="CF5" s="389"/>
      <c r="CG5" s="389"/>
      <c r="CH5" s="389"/>
      <c r="CI5" s="389"/>
      <c r="CJ5" s="389"/>
      <c r="CK5" s="389"/>
      <c r="CL5" s="389"/>
      <c r="CM5" s="389"/>
      <c r="CN5" s="389"/>
      <c r="CO5" s="389"/>
      <c r="CP5" s="389"/>
      <c r="CQ5" s="389"/>
      <c r="CR5" s="389"/>
      <c r="CS5" s="389"/>
      <c r="CT5" s="389"/>
      <c r="CU5" s="389"/>
      <c r="CV5" s="389"/>
      <c r="CW5" s="389"/>
      <c r="CX5" s="389"/>
      <c r="CY5" s="389"/>
      <c r="CZ5" s="389"/>
      <c r="DA5" s="389"/>
      <c r="DB5" s="389"/>
      <c r="DC5" s="389"/>
      <c r="DD5" s="389"/>
      <c r="DE5" s="389"/>
      <c r="DF5" s="389"/>
      <c r="DG5" s="389"/>
      <c r="DH5" s="389"/>
      <c r="DI5" s="389"/>
      <c r="DJ5" s="389"/>
      <c r="DK5" s="389"/>
      <c r="DL5" s="389"/>
      <c r="DM5" s="389"/>
      <c r="DN5" s="389"/>
      <c r="DO5" s="389"/>
      <c r="DP5" s="389"/>
      <c r="DQ5" s="389"/>
      <c r="DR5" s="389"/>
      <c r="DS5" s="389"/>
      <c r="DT5" s="389"/>
      <c r="DU5" s="389"/>
      <c r="DV5" s="389"/>
      <c r="DW5" s="389"/>
      <c r="DX5" s="389"/>
      <c r="DY5" s="389"/>
      <c r="DZ5" s="389"/>
      <c r="EA5" s="389"/>
      <c r="EB5" s="389"/>
      <c r="EC5" s="389"/>
      <c r="ED5" s="389"/>
      <c r="EE5" s="389"/>
      <c r="EF5" s="389"/>
      <c r="EG5" s="389"/>
      <c r="EH5" s="389"/>
      <c r="EI5" s="389"/>
      <c r="EJ5" s="389"/>
      <c r="EK5" s="389"/>
      <c r="EL5" s="389"/>
      <c r="EM5" s="389"/>
      <c r="EN5" s="389"/>
      <c r="EO5" s="389"/>
      <c r="EP5" s="389"/>
      <c r="EQ5" s="389"/>
      <c r="ER5" s="389"/>
      <c r="ES5" s="389"/>
      <c r="ET5" s="389"/>
      <c r="EU5" s="389"/>
      <c r="EV5" s="389"/>
      <c r="EW5" s="389"/>
      <c r="EX5" s="389"/>
      <c r="EY5" s="389"/>
      <c r="EZ5" s="389"/>
      <c r="FA5" s="389"/>
      <c r="FB5" s="389"/>
      <c r="FC5" s="389"/>
      <c r="FD5" s="389"/>
      <c r="FE5" s="389"/>
      <c r="FF5" s="389"/>
      <c r="FG5" s="389"/>
      <c r="FH5" s="389"/>
      <c r="FI5" s="389"/>
      <c r="FJ5" s="389"/>
      <c r="FK5" s="389"/>
      <c r="FL5" s="389"/>
      <c r="FM5" s="389"/>
      <c r="FN5" s="389"/>
      <c r="FO5" s="389"/>
      <c r="FP5" s="389"/>
      <c r="FQ5" s="389"/>
      <c r="FR5" s="389"/>
      <c r="FS5" s="389"/>
      <c r="FT5" s="389"/>
      <c r="FU5" s="389"/>
      <c r="FV5" s="389"/>
      <c r="FW5" s="389"/>
      <c r="FX5" s="389"/>
      <c r="FY5" s="389"/>
      <c r="FZ5" s="389"/>
      <c r="GA5" s="389"/>
      <c r="GB5" s="389"/>
      <c r="GC5" s="389"/>
      <c r="GD5" s="389"/>
      <c r="GE5" s="389"/>
      <c r="GF5" s="389"/>
      <c r="GG5" s="389"/>
      <c r="GH5" s="389"/>
      <c r="GI5" s="389"/>
      <c r="GJ5" s="389"/>
      <c r="GK5" s="389"/>
      <c r="GL5" s="389"/>
      <c r="GM5" s="389"/>
      <c r="GN5" s="389"/>
      <c r="GO5" s="389"/>
      <c r="GP5" s="389"/>
      <c r="GQ5" s="389"/>
      <c r="GR5" s="389"/>
      <c r="GS5" s="389"/>
      <c r="GT5" s="389"/>
      <c r="GU5" s="389"/>
      <c r="GV5" s="389"/>
      <c r="GW5" s="389"/>
      <c r="GX5" s="389"/>
      <c r="GY5" s="389"/>
      <c r="GZ5" s="389"/>
      <c r="HA5" s="389"/>
      <c r="HB5" s="389"/>
      <c r="HC5" s="389"/>
      <c r="HD5" s="389"/>
      <c r="HE5" s="389"/>
      <c r="HF5" s="389"/>
      <c r="HG5" s="389"/>
      <c r="HH5" s="389"/>
      <c r="HI5" s="389"/>
      <c r="HJ5" s="389"/>
      <c r="HK5" s="389"/>
      <c r="HL5" s="389"/>
      <c r="HM5" s="389"/>
      <c r="HN5" s="389"/>
      <c r="HO5" s="389"/>
      <c r="HP5" s="389"/>
      <c r="HQ5" s="389"/>
      <c r="HR5" s="389"/>
      <c r="HS5" s="389"/>
      <c r="HT5" s="389"/>
      <c r="HU5" s="389"/>
      <c r="HV5" s="389"/>
      <c r="HW5" s="389"/>
      <c r="HX5" s="389"/>
      <c r="HY5" s="389"/>
      <c r="HZ5" s="389"/>
      <c r="IA5" s="389"/>
      <c r="IB5" s="389"/>
      <c r="IC5" s="389"/>
      <c r="ID5" s="389"/>
      <c r="IE5" s="389"/>
      <c r="IF5" s="389"/>
      <c r="IG5" s="389"/>
      <c r="IH5" s="389"/>
      <c r="II5" s="389"/>
      <c r="IJ5" s="389"/>
      <c r="IK5" s="389"/>
      <c r="IL5" s="389"/>
      <c r="IM5" s="389"/>
      <c r="IN5" s="389"/>
      <c r="IO5" s="389"/>
      <c r="IP5" s="389"/>
      <c r="IQ5" s="389"/>
      <c r="IR5" s="389"/>
      <c r="IS5" s="389"/>
      <c r="IT5" s="389"/>
      <c r="IU5" s="389"/>
      <c r="IV5" s="389"/>
      <c r="IW5" s="389"/>
      <c r="IX5" s="389"/>
      <c r="IY5" s="389"/>
      <c r="IZ5" s="389"/>
      <c r="JA5" s="389"/>
      <c r="JB5" s="389"/>
      <c r="JC5" s="389"/>
      <c r="JD5" s="389"/>
      <c r="JE5" s="389"/>
      <c r="JF5" s="389"/>
      <c r="JG5" s="389"/>
      <c r="JH5" s="389"/>
      <c r="JI5" s="389"/>
      <c r="JJ5" s="389"/>
      <c r="JK5" s="389"/>
      <c r="JL5" s="389"/>
      <c r="JM5" s="389"/>
      <c r="JN5" s="389"/>
      <c r="JO5" s="389"/>
      <c r="JP5" s="389"/>
      <c r="JQ5" s="389"/>
      <c r="JR5" s="389"/>
      <c r="JS5" s="389"/>
      <c r="JT5" s="389"/>
      <c r="JU5" s="389"/>
      <c r="JV5" s="389"/>
      <c r="JW5" s="389"/>
      <c r="JX5" s="389"/>
      <c r="JY5" s="389"/>
      <c r="JZ5" s="389"/>
      <c r="KA5" s="389"/>
      <c r="KB5" s="389"/>
      <c r="KC5" s="389"/>
      <c r="KD5" s="389"/>
      <c r="KE5" s="389"/>
      <c r="KF5" s="389"/>
      <c r="KG5" s="389"/>
      <c r="KH5" s="389"/>
      <c r="KI5" s="389"/>
      <c r="KJ5" s="389"/>
      <c r="KK5" s="389"/>
      <c r="KL5" s="389"/>
      <c r="KM5" s="389"/>
      <c r="KN5" s="389"/>
      <c r="KO5" s="389"/>
      <c r="KP5" s="389"/>
      <c r="KQ5" s="389"/>
      <c r="KR5" s="389"/>
      <c r="KS5" s="389"/>
      <c r="KT5" s="389"/>
      <c r="KU5" s="389"/>
      <c r="KV5" s="389"/>
      <c r="KW5" s="389"/>
      <c r="KX5" s="389"/>
      <c r="KY5" s="389"/>
      <c r="KZ5" s="389"/>
      <c r="LA5" s="389"/>
      <c r="LB5" s="389"/>
      <c r="LC5" s="389"/>
      <c r="LD5" s="389"/>
      <c r="LE5" s="389"/>
      <c r="LF5" s="389"/>
      <c r="LG5" s="389"/>
      <c r="LH5" s="389"/>
      <c r="LI5" s="389"/>
      <c r="LJ5" s="389"/>
      <c r="LK5" s="389"/>
      <c r="LL5" s="389"/>
      <c r="LM5" s="389"/>
      <c r="LN5" s="389"/>
      <c r="LO5" s="389"/>
      <c r="LP5" s="389"/>
      <c r="LQ5" s="389"/>
      <c r="LR5" s="389"/>
      <c r="LS5" s="389"/>
      <c r="LT5" s="389"/>
      <c r="LU5" s="389"/>
      <c r="LV5" s="389"/>
      <c r="LW5" s="389"/>
      <c r="LX5" s="389"/>
      <c r="LY5" s="389"/>
      <c r="LZ5" s="389"/>
      <c r="MA5" s="389"/>
      <c r="MB5" s="389"/>
      <c r="MC5" s="389"/>
      <c r="MD5" s="389"/>
      <c r="ME5" s="389"/>
      <c r="MF5" s="389"/>
      <c r="MG5" s="389"/>
      <c r="MH5" s="389"/>
      <c r="MI5" s="389"/>
      <c r="MJ5" s="389"/>
      <c r="MK5" s="389"/>
      <c r="ML5" s="389"/>
      <c r="MM5" s="389"/>
      <c r="MN5" s="389"/>
      <c r="MO5" s="389"/>
      <c r="MP5" s="389"/>
      <c r="MQ5" s="389"/>
      <c r="MR5" s="389"/>
      <c r="MS5" s="389"/>
      <c r="MT5" s="389"/>
      <c r="MU5" s="389"/>
      <c r="MV5" s="389"/>
      <c r="MW5" s="389"/>
      <c r="MX5" s="389"/>
      <c r="MY5" s="389"/>
      <c r="MZ5" s="389"/>
      <c r="NA5" s="389"/>
      <c r="NB5" s="389"/>
      <c r="NC5" s="389"/>
      <c r="ND5" s="389"/>
      <c r="NE5" s="389"/>
      <c r="NF5" s="389"/>
      <c r="NG5" s="389"/>
      <c r="NH5" s="389"/>
      <c r="NI5" s="389"/>
      <c r="NJ5" s="389"/>
      <c r="NK5" s="389"/>
      <c r="NL5" s="389"/>
      <c r="NM5" s="389"/>
      <c r="NN5" s="389"/>
      <c r="NO5" s="389"/>
      <c r="NP5" s="389"/>
      <c r="NQ5" s="389"/>
      <c r="NR5" s="389"/>
      <c r="NS5" s="389"/>
      <c r="NT5" s="389"/>
      <c r="NU5" s="389"/>
      <c r="NV5" s="389"/>
      <c r="NW5" s="389"/>
      <c r="NX5" s="389"/>
      <c r="NY5" s="389"/>
      <c r="NZ5" s="389"/>
      <c r="OA5" s="389"/>
      <c r="OB5" s="389"/>
      <c r="OC5" s="389"/>
      <c r="OD5" s="389"/>
      <c r="OE5" s="389"/>
      <c r="OF5" s="389"/>
      <c r="OG5" s="389"/>
      <c r="OH5" s="389"/>
      <c r="OI5" s="389"/>
      <c r="OJ5" s="389"/>
      <c r="OK5" s="389"/>
      <c r="OL5" s="389"/>
      <c r="OM5" s="389"/>
      <c r="ON5" s="389"/>
      <c r="OO5" s="389"/>
      <c r="OP5" s="389"/>
      <c r="OQ5" s="389"/>
      <c r="OR5" s="389"/>
      <c r="OS5" s="389"/>
      <c r="OT5" s="389"/>
      <c r="OU5" s="389"/>
      <c r="OV5" s="389"/>
      <c r="OW5" s="389"/>
      <c r="OX5" s="389"/>
      <c r="OY5" s="389"/>
      <c r="OZ5" s="389"/>
      <c r="PA5" s="389"/>
      <c r="PB5" s="389"/>
      <c r="PC5" s="389"/>
      <c r="PD5" s="389"/>
      <c r="PE5" s="389"/>
      <c r="PF5" s="389"/>
      <c r="PG5" s="389"/>
      <c r="PH5" s="389"/>
      <c r="PI5" s="389"/>
      <c r="PJ5" s="389"/>
      <c r="PK5" s="389"/>
      <c r="PL5" s="389"/>
      <c r="PM5" s="389"/>
      <c r="PN5" s="389"/>
      <c r="PO5" s="389"/>
      <c r="PP5" s="389"/>
      <c r="PQ5" s="389"/>
      <c r="PR5" s="389"/>
      <c r="PS5" s="389"/>
      <c r="PT5" s="389"/>
      <c r="PU5" s="389"/>
      <c r="PV5" s="389"/>
      <c r="PW5" s="389"/>
      <c r="PX5" s="389"/>
      <c r="PY5" s="389"/>
      <c r="PZ5" s="389"/>
      <c r="QA5" s="389"/>
      <c r="QB5" s="389"/>
      <c r="QC5" s="389"/>
      <c r="QD5" s="389"/>
      <c r="QE5" s="389"/>
      <c r="QF5" s="389"/>
      <c r="QG5" s="389"/>
      <c r="QH5" s="389"/>
      <c r="QI5" s="389"/>
      <c r="QJ5" s="389"/>
      <c r="QK5" s="389"/>
      <c r="QL5" s="389"/>
      <c r="QM5" s="389"/>
      <c r="QN5" s="389"/>
      <c r="QO5" s="389"/>
      <c r="QP5" s="389"/>
      <c r="QQ5" s="389"/>
      <c r="QR5" s="389"/>
      <c r="QS5" s="389"/>
      <c r="QT5" s="389"/>
      <c r="QU5" s="389"/>
      <c r="QV5" s="389"/>
      <c r="QW5" s="389"/>
      <c r="QX5" s="389"/>
      <c r="QY5" s="389"/>
      <c r="QZ5" s="389"/>
      <c r="RA5" s="389"/>
      <c r="RB5" s="389"/>
      <c r="RC5" s="389"/>
      <c r="RD5" s="389"/>
      <c r="RE5" s="389"/>
      <c r="RF5" s="389"/>
      <c r="RG5" s="389"/>
      <c r="RH5" s="389"/>
      <c r="RI5" s="389"/>
      <c r="RJ5" s="389"/>
      <c r="RK5" s="389"/>
      <c r="RL5" s="389"/>
      <c r="RM5" s="389"/>
      <c r="RN5" s="389"/>
      <c r="RO5" s="389"/>
      <c r="RP5" s="389"/>
      <c r="RQ5" s="389"/>
      <c r="RR5" s="389"/>
      <c r="RS5" s="389"/>
      <c r="RT5" s="389"/>
      <c r="RU5" s="389"/>
      <c r="RV5" s="389"/>
      <c r="RW5" s="389"/>
      <c r="RX5" s="389"/>
      <c r="RY5" s="389"/>
      <c r="RZ5" s="389"/>
      <c r="SA5" s="389"/>
      <c r="SB5" s="389"/>
      <c r="SC5" s="389"/>
      <c r="SD5" s="389"/>
      <c r="SE5" s="389"/>
    </row>
    <row r="6" spans="2:499" s="390" customFormat="1" ht="20.25" customHeight="1">
      <c r="B6" s="397" t="s">
        <v>108</v>
      </c>
      <c r="C6" s="504">
        <v>39</v>
      </c>
      <c r="D6" s="523"/>
      <c r="E6" s="506">
        <v>90.5</v>
      </c>
      <c r="F6" s="485"/>
      <c r="G6" s="507">
        <f t="shared" ref="G6:G11" si="0">C6-E6</f>
        <v>-51.5</v>
      </c>
      <c r="H6" s="504">
        <v>151.80000000000001</v>
      </c>
      <c r="I6" s="502"/>
      <c r="J6" s="506">
        <v>89.3</v>
      </c>
      <c r="K6" s="491"/>
      <c r="L6" s="507">
        <f t="shared" ref="L6:L11" si="1">H6-J6</f>
        <v>62.500000000000014</v>
      </c>
      <c r="M6" s="504">
        <v>-190.8</v>
      </c>
      <c r="N6" s="523"/>
      <c r="O6" s="506">
        <v>-179.8</v>
      </c>
      <c r="P6" s="503"/>
      <c r="Q6" s="507">
        <f t="shared" ref="Q6:Q11" si="2">M6-O6</f>
        <v>-11</v>
      </c>
      <c r="R6" s="504">
        <f t="shared" ref="R6:R14" si="3">C6+H6+M6</f>
        <v>0</v>
      </c>
      <c r="S6" s="601"/>
      <c r="T6" s="506">
        <f t="shared" ref="T6:T11" si="4">E6+J6+O6</f>
        <v>0</v>
      </c>
      <c r="U6" s="394"/>
      <c r="V6" s="259">
        <f t="shared" ref="V6:V11" si="5">R6-T6</f>
        <v>0</v>
      </c>
      <c r="W6" s="589"/>
      <c r="X6" s="590"/>
      <c r="Y6" s="399"/>
      <c r="Z6" s="399"/>
      <c r="AA6" s="391"/>
      <c r="AB6" s="389"/>
      <c r="AC6" s="389"/>
      <c r="AD6" s="389"/>
      <c r="AE6" s="389"/>
      <c r="AF6" s="389"/>
      <c r="AG6" s="389"/>
      <c r="AH6" s="389"/>
      <c r="AI6" s="389"/>
      <c r="AJ6" s="389"/>
      <c r="AK6" s="389"/>
      <c r="AL6" s="389"/>
      <c r="AM6" s="389"/>
      <c r="AN6" s="389"/>
      <c r="AO6" s="389"/>
      <c r="AP6" s="389"/>
      <c r="AQ6" s="389"/>
      <c r="AR6" s="389"/>
      <c r="AS6" s="389"/>
      <c r="AT6" s="389"/>
      <c r="AU6" s="389"/>
      <c r="AV6" s="389"/>
      <c r="AW6" s="389"/>
      <c r="AX6" s="389"/>
      <c r="AY6" s="389"/>
      <c r="AZ6" s="389"/>
      <c r="BA6" s="389"/>
      <c r="BB6" s="389"/>
      <c r="BC6" s="389"/>
      <c r="BD6" s="389"/>
      <c r="BE6" s="389"/>
      <c r="BF6" s="389"/>
      <c r="BG6" s="389"/>
      <c r="BH6" s="389"/>
      <c r="BI6" s="389"/>
      <c r="BJ6" s="389"/>
      <c r="BK6" s="389"/>
      <c r="BL6" s="389"/>
      <c r="BM6" s="389"/>
      <c r="BN6" s="389"/>
      <c r="BO6" s="389"/>
      <c r="BP6" s="389"/>
      <c r="BQ6" s="389"/>
      <c r="BR6" s="389"/>
      <c r="BS6" s="389"/>
      <c r="BT6" s="389"/>
      <c r="BU6" s="389"/>
      <c r="BV6" s="389"/>
      <c r="BW6" s="389"/>
      <c r="BX6" s="389"/>
      <c r="BY6" s="389"/>
      <c r="BZ6" s="389"/>
      <c r="CA6" s="389"/>
      <c r="CB6" s="389"/>
      <c r="CC6" s="389"/>
      <c r="CD6" s="389"/>
      <c r="CE6" s="389"/>
      <c r="CF6" s="389"/>
      <c r="CG6" s="389"/>
      <c r="CH6" s="389"/>
      <c r="CI6" s="389"/>
      <c r="CJ6" s="389"/>
      <c r="CK6" s="389"/>
      <c r="CL6" s="389"/>
      <c r="CM6" s="389"/>
      <c r="CN6" s="389"/>
      <c r="CO6" s="389"/>
      <c r="CP6" s="389"/>
      <c r="CQ6" s="389"/>
      <c r="CR6" s="389"/>
      <c r="CS6" s="389"/>
      <c r="CT6" s="389"/>
      <c r="CU6" s="389"/>
      <c r="CV6" s="389"/>
      <c r="CW6" s="389"/>
      <c r="CX6" s="389"/>
      <c r="CY6" s="389"/>
      <c r="CZ6" s="389"/>
      <c r="DA6" s="389"/>
      <c r="DB6" s="389"/>
      <c r="DC6" s="389"/>
      <c r="DD6" s="389"/>
      <c r="DE6" s="389"/>
      <c r="DF6" s="389"/>
      <c r="DG6" s="389"/>
      <c r="DH6" s="389"/>
      <c r="DI6" s="389"/>
      <c r="DJ6" s="389"/>
      <c r="DK6" s="389"/>
      <c r="DL6" s="389"/>
      <c r="DM6" s="389"/>
      <c r="DN6" s="389"/>
      <c r="DO6" s="389"/>
      <c r="DP6" s="389"/>
      <c r="DQ6" s="389"/>
      <c r="DR6" s="389"/>
      <c r="DS6" s="389"/>
      <c r="DT6" s="389"/>
      <c r="DU6" s="389"/>
      <c r="DV6" s="389"/>
      <c r="DW6" s="389"/>
      <c r="DX6" s="389"/>
      <c r="DY6" s="389"/>
      <c r="DZ6" s="389"/>
      <c r="EA6" s="389"/>
      <c r="EB6" s="389"/>
      <c r="EC6" s="389"/>
      <c r="ED6" s="389"/>
      <c r="EE6" s="389"/>
      <c r="EF6" s="389"/>
      <c r="EG6" s="389"/>
      <c r="EH6" s="389"/>
      <c r="EI6" s="389"/>
      <c r="EJ6" s="389"/>
      <c r="EK6" s="389"/>
      <c r="EL6" s="389"/>
      <c r="EM6" s="389"/>
      <c r="EN6" s="389"/>
      <c r="EO6" s="389"/>
      <c r="EP6" s="389"/>
      <c r="EQ6" s="389"/>
      <c r="ER6" s="389"/>
      <c r="ES6" s="389"/>
      <c r="ET6" s="389"/>
      <c r="EU6" s="389"/>
      <c r="EV6" s="389"/>
      <c r="EW6" s="389"/>
      <c r="EX6" s="389"/>
      <c r="EY6" s="389"/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89"/>
      <c r="FL6" s="389"/>
      <c r="FM6" s="389"/>
      <c r="FN6" s="389"/>
      <c r="FO6" s="389"/>
      <c r="FP6" s="389"/>
      <c r="FQ6" s="389"/>
      <c r="FR6" s="389"/>
      <c r="FS6" s="389"/>
      <c r="FT6" s="389"/>
      <c r="FU6" s="389"/>
      <c r="FV6" s="389"/>
      <c r="FW6" s="389"/>
      <c r="FX6" s="389"/>
      <c r="FY6" s="389"/>
      <c r="FZ6" s="389"/>
      <c r="GA6" s="389"/>
      <c r="GB6" s="389"/>
      <c r="GC6" s="389"/>
      <c r="GD6" s="389"/>
      <c r="GE6" s="389"/>
      <c r="GF6" s="389"/>
      <c r="GG6" s="389"/>
      <c r="GH6" s="389"/>
      <c r="GI6" s="389"/>
      <c r="GJ6" s="389"/>
      <c r="GK6" s="389"/>
      <c r="GL6" s="389"/>
      <c r="GM6" s="389"/>
      <c r="GN6" s="389"/>
      <c r="GO6" s="389"/>
      <c r="GP6" s="389"/>
      <c r="GQ6" s="389"/>
      <c r="GR6" s="389"/>
      <c r="GS6" s="389"/>
      <c r="GT6" s="389"/>
      <c r="GU6" s="389"/>
      <c r="GV6" s="389"/>
      <c r="GW6" s="389"/>
      <c r="GX6" s="389"/>
      <c r="GY6" s="389"/>
      <c r="GZ6" s="389"/>
      <c r="HA6" s="389"/>
      <c r="HB6" s="389"/>
      <c r="HC6" s="389"/>
      <c r="HD6" s="389"/>
      <c r="HE6" s="389"/>
      <c r="HF6" s="389"/>
      <c r="HG6" s="389"/>
      <c r="HH6" s="389"/>
      <c r="HI6" s="389"/>
      <c r="HJ6" s="389"/>
      <c r="HK6" s="389"/>
      <c r="HL6" s="389"/>
      <c r="HM6" s="389"/>
      <c r="HN6" s="389"/>
      <c r="HO6" s="389"/>
      <c r="HP6" s="389"/>
      <c r="HQ6" s="389"/>
      <c r="HR6" s="389"/>
      <c r="HS6" s="389"/>
      <c r="HT6" s="389"/>
      <c r="HU6" s="389"/>
      <c r="HV6" s="389"/>
      <c r="HW6" s="389"/>
      <c r="HX6" s="389"/>
      <c r="HY6" s="389"/>
      <c r="HZ6" s="389"/>
      <c r="IA6" s="389"/>
      <c r="IB6" s="389"/>
      <c r="IC6" s="389"/>
      <c r="ID6" s="389"/>
      <c r="IE6" s="389"/>
      <c r="IF6" s="389"/>
      <c r="IG6" s="389"/>
      <c r="IH6" s="389"/>
      <c r="II6" s="389"/>
      <c r="IJ6" s="389"/>
      <c r="IK6" s="389"/>
      <c r="IL6" s="389"/>
      <c r="IM6" s="389"/>
      <c r="IN6" s="389"/>
      <c r="IO6" s="389"/>
      <c r="IP6" s="389"/>
      <c r="IQ6" s="389"/>
      <c r="IR6" s="389"/>
      <c r="IS6" s="389"/>
      <c r="IT6" s="389"/>
      <c r="IU6" s="389"/>
      <c r="IV6" s="389"/>
      <c r="IW6" s="389"/>
      <c r="IX6" s="389"/>
      <c r="IY6" s="389"/>
      <c r="IZ6" s="389"/>
      <c r="JA6" s="389"/>
      <c r="JB6" s="389"/>
      <c r="JC6" s="389"/>
      <c r="JD6" s="389"/>
      <c r="JE6" s="389"/>
      <c r="JF6" s="389"/>
      <c r="JG6" s="389"/>
      <c r="JH6" s="389"/>
      <c r="JI6" s="389"/>
      <c r="JJ6" s="389"/>
      <c r="JK6" s="389"/>
      <c r="JL6" s="389"/>
      <c r="JM6" s="389"/>
      <c r="JN6" s="389"/>
      <c r="JO6" s="389"/>
      <c r="JP6" s="389"/>
      <c r="JQ6" s="389"/>
      <c r="JR6" s="389"/>
      <c r="JS6" s="389"/>
      <c r="JT6" s="389"/>
      <c r="JU6" s="389"/>
      <c r="JV6" s="389"/>
      <c r="JW6" s="389"/>
      <c r="JX6" s="389"/>
      <c r="JY6" s="389"/>
      <c r="JZ6" s="389"/>
      <c r="KA6" s="389"/>
      <c r="KB6" s="389"/>
      <c r="KC6" s="389"/>
      <c r="KD6" s="389"/>
      <c r="KE6" s="389"/>
      <c r="KF6" s="389"/>
      <c r="KG6" s="389"/>
      <c r="KH6" s="389"/>
      <c r="KI6" s="389"/>
      <c r="KJ6" s="389"/>
      <c r="KK6" s="389"/>
      <c r="KL6" s="389"/>
      <c r="KM6" s="389"/>
      <c r="KN6" s="389"/>
      <c r="KO6" s="389"/>
      <c r="KP6" s="389"/>
      <c r="KQ6" s="389"/>
      <c r="KR6" s="389"/>
      <c r="KS6" s="389"/>
      <c r="KT6" s="389"/>
      <c r="KU6" s="389"/>
      <c r="KV6" s="389"/>
      <c r="KW6" s="389"/>
      <c r="KX6" s="389"/>
      <c r="KY6" s="389"/>
      <c r="KZ6" s="389"/>
      <c r="LA6" s="389"/>
      <c r="LB6" s="389"/>
      <c r="LC6" s="389"/>
      <c r="LD6" s="389"/>
      <c r="LE6" s="389"/>
      <c r="LF6" s="389"/>
      <c r="LG6" s="389"/>
      <c r="LH6" s="389"/>
      <c r="LI6" s="389"/>
      <c r="LJ6" s="389"/>
      <c r="LK6" s="389"/>
      <c r="LL6" s="389"/>
      <c r="LM6" s="389"/>
      <c r="LN6" s="389"/>
      <c r="LO6" s="389"/>
      <c r="LP6" s="389"/>
      <c r="LQ6" s="389"/>
      <c r="LR6" s="389"/>
      <c r="LS6" s="389"/>
      <c r="LT6" s="389"/>
      <c r="LU6" s="389"/>
      <c r="LV6" s="389"/>
      <c r="LW6" s="389"/>
      <c r="LX6" s="389"/>
      <c r="LY6" s="389"/>
      <c r="LZ6" s="389"/>
      <c r="MA6" s="389"/>
      <c r="MB6" s="389"/>
      <c r="MC6" s="389"/>
      <c r="MD6" s="389"/>
      <c r="ME6" s="389"/>
      <c r="MF6" s="389"/>
      <c r="MG6" s="389"/>
      <c r="MH6" s="389"/>
      <c r="MI6" s="389"/>
      <c r="MJ6" s="389"/>
      <c r="MK6" s="389"/>
      <c r="ML6" s="389"/>
      <c r="MM6" s="389"/>
      <c r="MN6" s="389"/>
      <c r="MO6" s="389"/>
      <c r="MP6" s="389"/>
      <c r="MQ6" s="389"/>
      <c r="MR6" s="389"/>
      <c r="MS6" s="389"/>
      <c r="MT6" s="389"/>
      <c r="MU6" s="389"/>
      <c r="MV6" s="389"/>
      <c r="MW6" s="389"/>
      <c r="MX6" s="389"/>
      <c r="MY6" s="389"/>
      <c r="MZ6" s="389"/>
      <c r="NA6" s="389"/>
      <c r="NB6" s="389"/>
      <c r="NC6" s="389"/>
      <c r="ND6" s="389"/>
      <c r="NE6" s="389"/>
      <c r="NF6" s="389"/>
      <c r="NG6" s="389"/>
      <c r="NH6" s="389"/>
      <c r="NI6" s="389"/>
      <c r="NJ6" s="389"/>
      <c r="NK6" s="389"/>
      <c r="NL6" s="389"/>
      <c r="NM6" s="389"/>
      <c r="NN6" s="389"/>
      <c r="NO6" s="389"/>
      <c r="NP6" s="389"/>
      <c r="NQ6" s="389"/>
      <c r="NR6" s="389"/>
      <c r="NS6" s="389"/>
      <c r="NT6" s="389"/>
      <c r="NU6" s="389"/>
      <c r="NV6" s="389"/>
      <c r="NW6" s="389"/>
      <c r="NX6" s="389"/>
      <c r="NY6" s="389"/>
      <c r="NZ6" s="389"/>
      <c r="OA6" s="389"/>
      <c r="OB6" s="389"/>
      <c r="OC6" s="389"/>
      <c r="OD6" s="389"/>
      <c r="OE6" s="389"/>
      <c r="OF6" s="389"/>
      <c r="OG6" s="389"/>
      <c r="OH6" s="389"/>
      <c r="OI6" s="389"/>
      <c r="OJ6" s="389"/>
      <c r="OK6" s="389"/>
      <c r="OL6" s="389"/>
      <c r="OM6" s="389"/>
      <c r="ON6" s="389"/>
      <c r="OO6" s="389"/>
      <c r="OP6" s="389"/>
      <c r="OQ6" s="389"/>
      <c r="OR6" s="389"/>
      <c r="OS6" s="389"/>
      <c r="OT6" s="389"/>
      <c r="OU6" s="389"/>
      <c r="OV6" s="389"/>
      <c r="OW6" s="389"/>
      <c r="OX6" s="389"/>
      <c r="OY6" s="389"/>
      <c r="OZ6" s="389"/>
      <c r="PA6" s="389"/>
      <c r="PB6" s="389"/>
      <c r="PC6" s="389"/>
      <c r="PD6" s="389"/>
      <c r="PE6" s="389"/>
      <c r="PF6" s="389"/>
      <c r="PG6" s="389"/>
      <c r="PH6" s="389"/>
      <c r="PI6" s="389"/>
      <c r="PJ6" s="389"/>
      <c r="PK6" s="389"/>
      <c r="PL6" s="389"/>
      <c r="PM6" s="389"/>
      <c r="PN6" s="389"/>
      <c r="PO6" s="389"/>
      <c r="PP6" s="389"/>
      <c r="PQ6" s="389"/>
      <c r="PR6" s="389"/>
      <c r="PS6" s="389"/>
      <c r="PT6" s="389"/>
      <c r="PU6" s="389"/>
      <c r="PV6" s="389"/>
      <c r="PW6" s="389"/>
      <c r="PX6" s="389"/>
      <c r="PY6" s="389"/>
      <c r="PZ6" s="389"/>
      <c r="QA6" s="389"/>
      <c r="QB6" s="389"/>
      <c r="QC6" s="389"/>
      <c r="QD6" s="389"/>
      <c r="QE6" s="389"/>
      <c r="QF6" s="389"/>
      <c r="QG6" s="389"/>
      <c r="QH6" s="389"/>
      <c r="QI6" s="389"/>
      <c r="QJ6" s="389"/>
      <c r="QK6" s="389"/>
      <c r="QL6" s="389"/>
      <c r="QM6" s="389"/>
      <c r="QN6" s="389"/>
      <c r="QO6" s="389"/>
      <c r="QP6" s="389"/>
      <c r="QQ6" s="389"/>
      <c r="QR6" s="389"/>
      <c r="QS6" s="389"/>
      <c r="QT6" s="389"/>
      <c r="QU6" s="389"/>
      <c r="QV6" s="389"/>
      <c r="QW6" s="389"/>
      <c r="QX6" s="389"/>
      <c r="QY6" s="389"/>
      <c r="QZ6" s="389"/>
      <c r="RA6" s="389"/>
      <c r="RB6" s="389"/>
      <c r="RC6" s="389"/>
      <c r="RD6" s="389"/>
      <c r="RE6" s="389"/>
      <c r="RF6" s="389"/>
      <c r="RG6" s="389"/>
      <c r="RH6" s="389"/>
      <c r="RI6" s="389"/>
      <c r="RJ6" s="389"/>
      <c r="RK6" s="389"/>
      <c r="RL6" s="389"/>
      <c r="RM6" s="389"/>
      <c r="RN6" s="389"/>
      <c r="RO6" s="389"/>
      <c r="RP6" s="389"/>
      <c r="RQ6" s="389"/>
      <c r="RR6" s="389"/>
      <c r="RS6" s="389"/>
      <c r="RT6" s="389"/>
      <c r="RU6" s="389"/>
      <c r="RV6" s="389"/>
      <c r="RW6" s="389"/>
      <c r="RX6" s="389"/>
      <c r="RY6" s="389"/>
      <c r="RZ6" s="389"/>
      <c r="SA6" s="389"/>
      <c r="SB6" s="389"/>
      <c r="SC6" s="389"/>
      <c r="SD6" s="389"/>
      <c r="SE6" s="389"/>
    </row>
    <row r="7" spans="2:499" s="401" customFormat="1" ht="20.25" customHeight="1">
      <c r="B7" s="20" t="s">
        <v>109</v>
      </c>
      <c r="C7" s="510">
        <f>SUM(C5:C6)</f>
        <v>7382.3</v>
      </c>
      <c r="D7" s="511"/>
      <c r="E7" s="512">
        <f>SUM(E5:E6)</f>
        <v>6726.4</v>
      </c>
      <c r="F7" s="487"/>
      <c r="G7" s="513">
        <f t="shared" si="0"/>
        <v>655.90000000000055</v>
      </c>
      <c r="H7" s="510">
        <f>SUM(H5:H6)</f>
        <v>1415.5</v>
      </c>
      <c r="I7" s="511"/>
      <c r="J7" s="512">
        <f>SUM(J5:J6)</f>
        <v>1137.5</v>
      </c>
      <c r="K7" s="494"/>
      <c r="L7" s="513">
        <f t="shared" si="1"/>
        <v>278</v>
      </c>
      <c r="M7" s="510">
        <f>SUM(M5:M6)</f>
        <v>-190.8</v>
      </c>
      <c r="N7" s="511"/>
      <c r="O7" s="512">
        <f>SUM(O5:O6)</f>
        <v>-179.8</v>
      </c>
      <c r="P7" s="512"/>
      <c r="Q7" s="513">
        <f t="shared" si="2"/>
        <v>-11</v>
      </c>
      <c r="R7" s="510">
        <f t="shared" si="3"/>
        <v>8607</v>
      </c>
      <c r="S7" s="511"/>
      <c r="T7" s="512">
        <f t="shared" si="4"/>
        <v>7684.0999999999995</v>
      </c>
      <c r="U7" s="515"/>
      <c r="V7" s="260">
        <f t="shared" si="5"/>
        <v>922.90000000000055</v>
      </c>
      <c r="W7" s="589"/>
      <c r="X7" s="590"/>
      <c r="Y7" s="22"/>
      <c r="Z7" s="22"/>
      <c r="AA7" s="400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</row>
    <row r="8" spans="2:499" s="401" customFormat="1" ht="20.25" customHeight="1">
      <c r="B8" s="20" t="s">
        <v>179</v>
      </c>
      <c r="C8" s="514">
        <v>2732.7</v>
      </c>
      <c r="D8" s="511"/>
      <c r="E8" s="515">
        <v>2375.9</v>
      </c>
      <c r="F8" s="487"/>
      <c r="G8" s="513">
        <f t="shared" si="0"/>
        <v>356.79999999999973</v>
      </c>
      <c r="H8" s="514">
        <v>402.2</v>
      </c>
      <c r="I8" s="498"/>
      <c r="J8" s="515">
        <v>380.5</v>
      </c>
      <c r="K8" s="494"/>
      <c r="L8" s="513">
        <f t="shared" si="1"/>
        <v>21.699999999999989</v>
      </c>
      <c r="M8" s="514">
        <v>0</v>
      </c>
      <c r="N8" s="514"/>
      <c r="O8" s="515">
        <v>0</v>
      </c>
      <c r="P8" s="512"/>
      <c r="Q8" s="513">
        <f t="shared" si="2"/>
        <v>0</v>
      </c>
      <c r="R8" s="514">
        <f>C8+H8+M8</f>
        <v>3134.8999999999996</v>
      </c>
      <c r="S8" s="514"/>
      <c r="T8" s="515">
        <f t="shared" si="4"/>
        <v>2756.4</v>
      </c>
      <c r="U8" s="515"/>
      <c r="V8" s="260">
        <f t="shared" si="5"/>
        <v>378.49999999999955</v>
      </c>
      <c r="W8" s="589"/>
      <c r="X8" s="590"/>
      <c r="Y8" s="22"/>
      <c r="Z8" s="22"/>
      <c r="AA8" s="400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</row>
    <row r="9" spans="2:499" s="390" customFormat="1" ht="32.25" customHeight="1">
      <c r="B9" s="397" t="s">
        <v>72</v>
      </c>
      <c r="C9" s="504">
        <v>1618.7</v>
      </c>
      <c r="D9" s="511"/>
      <c r="E9" s="506">
        <v>1418.1</v>
      </c>
      <c r="F9" s="487"/>
      <c r="G9" s="507">
        <f t="shared" si="0"/>
        <v>200.60000000000014</v>
      </c>
      <c r="H9" s="504">
        <v>43.5</v>
      </c>
      <c r="I9" s="502"/>
      <c r="J9" s="506">
        <v>30.7</v>
      </c>
      <c r="K9" s="491"/>
      <c r="L9" s="507">
        <f t="shared" si="1"/>
        <v>12.8</v>
      </c>
      <c r="M9" s="504">
        <v>0</v>
      </c>
      <c r="N9" s="505"/>
      <c r="O9" s="506">
        <v>0</v>
      </c>
      <c r="P9" s="503"/>
      <c r="Q9" s="507">
        <f t="shared" si="2"/>
        <v>0</v>
      </c>
      <c r="R9" s="504">
        <f>C9+H9+M9</f>
        <v>1662.2</v>
      </c>
      <c r="S9" s="601"/>
      <c r="T9" s="506">
        <f t="shared" si="4"/>
        <v>1448.8</v>
      </c>
      <c r="U9" s="394"/>
      <c r="V9" s="259">
        <f t="shared" si="5"/>
        <v>213.40000000000009</v>
      </c>
      <c r="W9" s="589"/>
      <c r="X9" s="590"/>
      <c r="Y9" s="22"/>
      <c r="Z9" s="22"/>
      <c r="AA9" s="391"/>
      <c r="AB9" s="389"/>
      <c r="AC9" s="389"/>
      <c r="AD9" s="389"/>
      <c r="AE9" s="389"/>
      <c r="AF9" s="389"/>
      <c r="AG9" s="389"/>
      <c r="AH9" s="389"/>
      <c r="AI9" s="389"/>
      <c r="AJ9" s="389"/>
      <c r="AK9" s="389"/>
      <c r="AL9" s="389"/>
      <c r="AM9" s="389"/>
      <c r="AN9" s="389"/>
      <c r="AO9" s="389"/>
      <c r="AP9" s="389"/>
      <c r="AQ9" s="389"/>
      <c r="AR9" s="389"/>
      <c r="AS9" s="389"/>
      <c r="AT9" s="389"/>
      <c r="AU9" s="389"/>
      <c r="AV9" s="389"/>
      <c r="AW9" s="389"/>
      <c r="AX9" s="389"/>
      <c r="AY9" s="389"/>
      <c r="AZ9" s="389"/>
      <c r="BA9" s="389"/>
      <c r="BB9" s="389"/>
      <c r="BC9" s="389"/>
      <c r="BD9" s="389"/>
      <c r="BE9" s="389"/>
      <c r="BF9" s="389"/>
      <c r="BG9" s="389"/>
      <c r="BH9" s="389"/>
      <c r="BI9" s="389"/>
      <c r="BJ9" s="389"/>
      <c r="BK9" s="389"/>
      <c r="BL9" s="389"/>
      <c r="BM9" s="389"/>
      <c r="BN9" s="389"/>
      <c r="BO9" s="389"/>
      <c r="BP9" s="389"/>
      <c r="BQ9" s="389"/>
      <c r="BR9" s="389"/>
      <c r="BS9" s="389"/>
      <c r="BT9" s="389"/>
      <c r="BU9" s="389"/>
      <c r="BV9" s="389"/>
      <c r="BW9" s="389"/>
      <c r="BX9" s="389"/>
      <c r="BY9" s="389"/>
      <c r="BZ9" s="389"/>
      <c r="CA9" s="389"/>
      <c r="CB9" s="389"/>
      <c r="CC9" s="389"/>
      <c r="CD9" s="389"/>
      <c r="CE9" s="389"/>
      <c r="CF9" s="389"/>
      <c r="CG9" s="389"/>
      <c r="CH9" s="389"/>
      <c r="CI9" s="389"/>
      <c r="CJ9" s="389"/>
      <c r="CK9" s="389"/>
      <c r="CL9" s="389"/>
      <c r="CM9" s="389"/>
      <c r="CN9" s="389"/>
      <c r="CO9" s="389"/>
      <c r="CP9" s="389"/>
      <c r="CQ9" s="389"/>
      <c r="CR9" s="389"/>
      <c r="CS9" s="389"/>
      <c r="CT9" s="389"/>
      <c r="CU9" s="389"/>
      <c r="CV9" s="389"/>
      <c r="CW9" s="389"/>
      <c r="CX9" s="389"/>
      <c r="CY9" s="389"/>
      <c r="CZ9" s="389"/>
      <c r="DA9" s="389"/>
      <c r="DB9" s="389"/>
      <c r="DC9" s="389"/>
      <c r="DD9" s="389"/>
      <c r="DE9" s="389"/>
      <c r="DF9" s="389"/>
      <c r="DG9" s="389"/>
      <c r="DH9" s="389"/>
      <c r="DI9" s="389"/>
      <c r="DJ9" s="389"/>
      <c r="DK9" s="389"/>
      <c r="DL9" s="389"/>
      <c r="DM9" s="389"/>
      <c r="DN9" s="389"/>
      <c r="DO9" s="389"/>
      <c r="DP9" s="389"/>
      <c r="DQ9" s="389"/>
      <c r="DR9" s="389"/>
      <c r="DS9" s="389"/>
      <c r="DT9" s="389"/>
      <c r="DU9" s="389"/>
      <c r="DV9" s="389"/>
      <c r="DW9" s="389"/>
      <c r="DX9" s="389"/>
      <c r="DY9" s="389"/>
      <c r="DZ9" s="389"/>
      <c r="EA9" s="389"/>
      <c r="EB9" s="389"/>
      <c r="EC9" s="389"/>
      <c r="ED9" s="389"/>
      <c r="EE9" s="389"/>
      <c r="EF9" s="389"/>
      <c r="EG9" s="389"/>
      <c r="EH9" s="389"/>
      <c r="EI9" s="389"/>
      <c r="EJ9" s="389"/>
      <c r="EK9" s="389"/>
      <c r="EL9" s="389"/>
      <c r="EM9" s="389"/>
      <c r="EN9" s="389"/>
      <c r="EO9" s="389"/>
      <c r="EP9" s="389"/>
      <c r="EQ9" s="389"/>
      <c r="ER9" s="389"/>
      <c r="ES9" s="389"/>
      <c r="ET9" s="389"/>
      <c r="EU9" s="389"/>
      <c r="EV9" s="389"/>
      <c r="EW9" s="389"/>
      <c r="EX9" s="389"/>
      <c r="EY9" s="389"/>
      <c r="EZ9" s="389"/>
      <c r="FA9" s="389"/>
      <c r="FB9" s="389"/>
      <c r="FC9" s="389"/>
      <c r="FD9" s="389"/>
      <c r="FE9" s="389"/>
      <c r="FF9" s="389"/>
      <c r="FG9" s="389"/>
      <c r="FH9" s="389"/>
      <c r="FI9" s="389"/>
      <c r="FJ9" s="389"/>
      <c r="FK9" s="389"/>
      <c r="FL9" s="389"/>
      <c r="FM9" s="389"/>
      <c r="FN9" s="389"/>
      <c r="FO9" s="389"/>
      <c r="FP9" s="389"/>
      <c r="FQ9" s="389"/>
      <c r="FR9" s="389"/>
      <c r="FS9" s="389"/>
      <c r="FT9" s="389"/>
      <c r="FU9" s="389"/>
      <c r="FV9" s="389"/>
      <c r="FW9" s="389"/>
      <c r="FX9" s="389"/>
      <c r="FY9" s="389"/>
      <c r="FZ9" s="389"/>
      <c r="GA9" s="389"/>
      <c r="GB9" s="389"/>
      <c r="GC9" s="389"/>
      <c r="GD9" s="389"/>
      <c r="GE9" s="389"/>
      <c r="GF9" s="389"/>
      <c r="GG9" s="389"/>
      <c r="GH9" s="389"/>
      <c r="GI9" s="389"/>
      <c r="GJ9" s="389"/>
      <c r="GK9" s="389"/>
      <c r="GL9" s="389"/>
      <c r="GM9" s="389"/>
      <c r="GN9" s="389"/>
      <c r="GO9" s="389"/>
      <c r="GP9" s="389"/>
      <c r="GQ9" s="389"/>
      <c r="GR9" s="389"/>
      <c r="GS9" s="389"/>
      <c r="GT9" s="389"/>
      <c r="GU9" s="389"/>
      <c r="GV9" s="389"/>
      <c r="GW9" s="389"/>
      <c r="GX9" s="389"/>
      <c r="GY9" s="389"/>
      <c r="GZ9" s="389"/>
      <c r="HA9" s="389"/>
      <c r="HB9" s="389"/>
      <c r="HC9" s="389"/>
      <c r="HD9" s="389"/>
      <c r="HE9" s="389"/>
      <c r="HF9" s="389"/>
      <c r="HG9" s="389"/>
      <c r="HH9" s="389"/>
      <c r="HI9" s="389"/>
      <c r="HJ9" s="389"/>
      <c r="HK9" s="389"/>
      <c r="HL9" s="389"/>
      <c r="HM9" s="389"/>
      <c r="HN9" s="389"/>
      <c r="HO9" s="389"/>
      <c r="HP9" s="389"/>
      <c r="HQ9" s="389"/>
      <c r="HR9" s="389"/>
      <c r="HS9" s="389"/>
      <c r="HT9" s="389"/>
      <c r="HU9" s="389"/>
      <c r="HV9" s="389"/>
      <c r="HW9" s="389"/>
      <c r="HX9" s="389"/>
      <c r="HY9" s="389"/>
      <c r="HZ9" s="389"/>
      <c r="IA9" s="389"/>
      <c r="IB9" s="389"/>
      <c r="IC9" s="389"/>
      <c r="ID9" s="389"/>
      <c r="IE9" s="389"/>
      <c r="IF9" s="389"/>
      <c r="IG9" s="389"/>
      <c r="IH9" s="389"/>
      <c r="II9" s="389"/>
      <c r="IJ9" s="389"/>
      <c r="IK9" s="389"/>
      <c r="IL9" s="389"/>
      <c r="IM9" s="389"/>
      <c r="IN9" s="389"/>
      <c r="IO9" s="389"/>
      <c r="IP9" s="389"/>
      <c r="IQ9" s="389"/>
      <c r="IR9" s="389"/>
      <c r="IS9" s="389"/>
      <c r="IT9" s="389"/>
      <c r="IU9" s="389"/>
      <c r="IV9" s="389"/>
      <c r="IW9" s="389"/>
      <c r="IX9" s="389"/>
      <c r="IY9" s="389"/>
      <c r="IZ9" s="389"/>
      <c r="JA9" s="389"/>
      <c r="JB9" s="389"/>
      <c r="JC9" s="389"/>
      <c r="JD9" s="389"/>
      <c r="JE9" s="389"/>
      <c r="JF9" s="389"/>
      <c r="JG9" s="389"/>
      <c r="JH9" s="389"/>
      <c r="JI9" s="389"/>
      <c r="JJ9" s="389"/>
      <c r="JK9" s="389"/>
      <c r="JL9" s="389"/>
      <c r="JM9" s="389"/>
      <c r="JN9" s="389"/>
      <c r="JO9" s="389"/>
      <c r="JP9" s="389"/>
      <c r="JQ9" s="389"/>
      <c r="JR9" s="389"/>
      <c r="JS9" s="389"/>
      <c r="JT9" s="389"/>
      <c r="JU9" s="389"/>
      <c r="JV9" s="389"/>
      <c r="JW9" s="389"/>
      <c r="JX9" s="389"/>
      <c r="JY9" s="389"/>
      <c r="JZ9" s="389"/>
      <c r="KA9" s="389"/>
      <c r="KB9" s="389"/>
      <c r="KC9" s="389"/>
      <c r="KD9" s="389"/>
      <c r="KE9" s="389"/>
      <c r="KF9" s="389"/>
      <c r="KG9" s="389"/>
      <c r="KH9" s="389"/>
      <c r="KI9" s="389"/>
      <c r="KJ9" s="389"/>
      <c r="KK9" s="389"/>
      <c r="KL9" s="389"/>
      <c r="KM9" s="389"/>
      <c r="KN9" s="389"/>
      <c r="KO9" s="389"/>
      <c r="KP9" s="389"/>
      <c r="KQ9" s="389"/>
      <c r="KR9" s="389"/>
      <c r="KS9" s="389"/>
      <c r="KT9" s="389"/>
      <c r="KU9" s="389"/>
      <c r="KV9" s="389"/>
      <c r="KW9" s="389"/>
      <c r="KX9" s="389"/>
      <c r="KY9" s="389"/>
      <c r="KZ9" s="389"/>
      <c r="LA9" s="389"/>
      <c r="LB9" s="389"/>
      <c r="LC9" s="389"/>
      <c r="LD9" s="389"/>
      <c r="LE9" s="389"/>
      <c r="LF9" s="389"/>
      <c r="LG9" s="389"/>
      <c r="LH9" s="389"/>
      <c r="LI9" s="389"/>
      <c r="LJ9" s="389"/>
      <c r="LK9" s="389"/>
      <c r="LL9" s="389"/>
      <c r="LM9" s="389"/>
      <c r="LN9" s="389"/>
      <c r="LO9" s="389"/>
      <c r="LP9" s="389"/>
      <c r="LQ9" s="389"/>
      <c r="LR9" s="389"/>
      <c r="LS9" s="389"/>
      <c r="LT9" s="389"/>
      <c r="LU9" s="389"/>
      <c r="LV9" s="389"/>
      <c r="LW9" s="389"/>
      <c r="LX9" s="389"/>
      <c r="LY9" s="389"/>
      <c r="LZ9" s="389"/>
      <c r="MA9" s="389"/>
      <c r="MB9" s="389"/>
      <c r="MC9" s="389"/>
      <c r="MD9" s="389"/>
      <c r="ME9" s="389"/>
      <c r="MF9" s="389"/>
      <c r="MG9" s="389"/>
      <c r="MH9" s="389"/>
      <c r="MI9" s="389"/>
      <c r="MJ9" s="389"/>
      <c r="MK9" s="389"/>
      <c r="ML9" s="389"/>
      <c r="MM9" s="389"/>
      <c r="MN9" s="389"/>
      <c r="MO9" s="389"/>
      <c r="MP9" s="389"/>
      <c r="MQ9" s="389"/>
      <c r="MR9" s="389"/>
      <c r="MS9" s="389"/>
      <c r="MT9" s="389"/>
      <c r="MU9" s="389"/>
      <c r="MV9" s="389"/>
      <c r="MW9" s="389"/>
      <c r="MX9" s="389"/>
      <c r="MY9" s="389"/>
      <c r="MZ9" s="389"/>
      <c r="NA9" s="389"/>
      <c r="NB9" s="389"/>
      <c r="NC9" s="389"/>
      <c r="ND9" s="389"/>
      <c r="NE9" s="389"/>
      <c r="NF9" s="389"/>
      <c r="NG9" s="389"/>
      <c r="NH9" s="389"/>
      <c r="NI9" s="389"/>
      <c r="NJ9" s="389"/>
      <c r="NK9" s="389"/>
      <c r="NL9" s="389"/>
      <c r="NM9" s="389"/>
      <c r="NN9" s="389"/>
      <c r="NO9" s="389"/>
      <c r="NP9" s="389"/>
      <c r="NQ9" s="389"/>
      <c r="NR9" s="389"/>
      <c r="NS9" s="389"/>
      <c r="NT9" s="389"/>
      <c r="NU9" s="389"/>
      <c r="NV9" s="389"/>
      <c r="NW9" s="389"/>
      <c r="NX9" s="389"/>
      <c r="NY9" s="389"/>
      <c r="NZ9" s="389"/>
      <c r="OA9" s="389"/>
      <c r="OB9" s="389"/>
      <c r="OC9" s="389"/>
      <c r="OD9" s="389"/>
      <c r="OE9" s="389"/>
      <c r="OF9" s="389"/>
      <c r="OG9" s="389"/>
      <c r="OH9" s="389"/>
      <c r="OI9" s="389"/>
      <c r="OJ9" s="389"/>
      <c r="OK9" s="389"/>
      <c r="OL9" s="389"/>
      <c r="OM9" s="389"/>
      <c r="ON9" s="389"/>
      <c r="OO9" s="389"/>
      <c r="OP9" s="389"/>
      <c r="OQ9" s="389"/>
      <c r="OR9" s="389"/>
      <c r="OS9" s="389"/>
      <c r="OT9" s="389"/>
      <c r="OU9" s="389"/>
      <c r="OV9" s="389"/>
      <c r="OW9" s="389"/>
      <c r="OX9" s="389"/>
      <c r="OY9" s="389"/>
      <c r="OZ9" s="389"/>
      <c r="PA9" s="389"/>
      <c r="PB9" s="389"/>
      <c r="PC9" s="389"/>
      <c r="PD9" s="389"/>
      <c r="PE9" s="389"/>
      <c r="PF9" s="389"/>
      <c r="PG9" s="389"/>
      <c r="PH9" s="389"/>
      <c r="PI9" s="389"/>
      <c r="PJ9" s="389"/>
      <c r="PK9" s="389"/>
      <c r="PL9" s="389"/>
      <c r="PM9" s="389"/>
      <c r="PN9" s="389"/>
      <c r="PO9" s="389"/>
      <c r="PP9" s="389"/>
      <c r="PQ9" s="389"/>
      <c r="PR9" s="389"/>
      <c r="PS9" s="389"/>
      <c r="PT9" s="389"/>
      <c r="PU9" s="389"/>
      <c r="PV9" s="389"/>
      <c r="PW9" s="389"/>
      <c r="PX9" s="389"/>
      <c r="PY9" s="389"/>
      <c r="PZ9" s="389"/>
      <c r="QA9" s="389"/>
      <c r="QB9" s="389"/>
      <c r="QC9" s="389"/>
      <c r="QD9" s="389"/>
      <c r="QE9" s="389"/>
      <c r="QF9" s="389"/>
      <c r="QG9" s="389"/>
      <c r="QH9" s="389"/>
      <c r="QI9" s="389"/>
      <c r="QJ9" s="389"/>
      <c r="QK9" s="389"/>
      <c r="QL9" s="389"/>
      <c r="QM9" s="389"/>
      <c r="QN9" s="389"/>
      <c r="QO9" s="389"/>
      <c r="QP9" s="389"/>
      <c r="QQ9" s="389"/>
      <c r="QR9" s="389"/>
      <c r="QS9" s="389"/>
      <c r="QT9" s="389"/>
      <c r="QU9" s="389"/>
      <c r="QV9" s="389"/>
      <c r="QW9" s="389"/>
      <c r="QX9" s="389"/>
      <c r="QY9" s="389"/>
      <c r="QZ9" s="389"/>
      <c r="RA9" s="389"/>
      <c r="RB9" s="389"/>
      <c r="RC9" s="389"/>
      <c r="RD9" s="389"/>
      <c r="RE9" s="389"/>
      <c r="RF9" s="389"/>
      <c r="RG9" s="389"/>
      <c r="RH9" s="389"/>
      <c r="RI9" s="389"/>
      <c r="RJ9" s="389"/>
      <c r="RK9" s="389"/>
      <c r="RL9" s="389"/>
      <c r="RM9" s="389"/>
      <c r="RN9" s="389"/>
      <c r="RO9" s="389"/>
      <c r="RP9" s="389"/>
      <c r="RQ9" s="389"/>
      <c r="RR9" s="389"/>
      <c r="RS9" s="389"/>
      <c r="RT9" s="389"/>
      <c r="RU9" s="389"/>
      <c r="RV9" s="389"/>
      <c r="RW9" s="389"/>
      <c r="RX9" s="389"/>
      <c r="RY9" s="389"/>
      <c r="RZ9" s="389"/>
      <c r="SA9" s="389"/>
      <c r="SB9" s="389"/>
      <c r="SC9" s="389"/>
      <c r="SD9" s="389"/>
      <c r="SE9" s="389"/>
    </row>
    <row r="10" spans="2:499" s="401" customFormat="1" ht="27" customHeight="1">
      <c r="B10" s="20" t="s">
        <v>89</v>
      </c>
      <c r="C10" s="510">
        <f>C8-C9</f>
        <v>1113.9999999999998</v>
      </c>
      <c r="D10" s="511"/>
      <c r="E10" s="512">
        <f>E8-E9</f>
        <v>957.80000000000018</v>
      </c>
      <c r="F10" s="487"/>
      <c r="G10" s="513">
        <f t="shared" si="0"/>
        <v>156.19999999999959</v>
      </c>
      <c r="H10" s="510">
        <f>H8-H9</f>
        <v>358.7</v>
      </c>
      <c r="I10" s="511"/>
      <c r="J10" s="512">
        <f>J8-J9</f>
        <v>349.8</v>
      </c>
      <c r="K10" s="494"/>
      <c r="L10" s="513">
        <f t="shared" si="1"/>
        <v>8.8999999999999773</v>
      </c>
      <c r="M10" s="510">
        <f>M8-M9</f>
        <v>0</v>
      </c>
      <c r="N10" s="514"/>
      <c r="O10" s="512">
        <f>O8-O9</f>
        <v>0</v>
      </c>
      <c r="P10" s="512"/>
      <c r="Q10" s="513">
        <f t="shared" si="2"/>
        <v>0</v>
      </c>
      <c r="R10" s="510">
        <f t="shared" si="3"/>
        <v>1472.6999999999998</v>
      </c>
      <c r="S10" s="511"/>
      <c r="T10" s="512">
        <f>E10+J10+O10</f>
        <v>1307.6000000000001</v>
      </c>
      <c r="U10" s="515"/>
      <c r="V10" s="260">
        <f t="shared" si="5"/>
        <v>165.09999999999968</v>
      </c>
      <c r="W10" s="589"/>
      <c r="X10" s="590"/>
      <c r="Y10" s="22"/>
      <c r="Z10" s="22"/>
      <c r="AA10" s="400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</row>
    <row r="11" spans="2:499" s="390" customFormat="1" ht="48" customHeight="1" thickBot="1">
      <c r="B11" s="402" t="s">
        <v>110</v>
      </c>
      <c r="C11" s="516">
        <v>1009.4</v>
      </c>
      <c r="D11" s="630">
        <v>1</v>
      </c>
      <c r="E11" s="627">
        <v>651.79999999999995</v>
      </c>
      <c r="F11" s="490">
        <v>1</v>
      </c>
      <c r="G11" s="262">
        <f t="shared" si="0"/>
        <v>357.6</v>
      </c>
      <c r="H11" s="516">
        <v>25.1</v>
      </c>
      <c r="I11" s="677"/>
      <c r="J11" s="627">
        <v>43.4</v>
      </c>
      <c r="K11" s="676"/>
      <c r="L11" s="262">
        <f t="shared" si="1"/>
        <v>-18.299999999999997</v>
      </c>
      <c r="M11" s="516">
        <v>0</v>
      </c>
      <c r="N11" s="516"/>
      <c r="O11" s="627">
        <v>0</v>
      </c>
      <c r="P11" s="517"/>
      <c r="Q11" s="262">
        <f t="shared" si="2"/>
        <v>0</v>
      </c>
      <c r="R11" s="516">
        <f t="shared" si="3"/>
        <v>1034.5</v>
      </c>
      <c r="S11" s="467"/>
      <c r="T11" s="627">
        <f t="shared" si="4"/>
        <v>695.19999999999993</v>
      </c>
      <c r="U11" s="403"/>
      <c r="V11" s="262">
        <f t="shared" si="5"/>
        <v>339.30000000000007</v>
      </c>
      <c r="W11" s="589"/>
      <c r="X11" s="590"/>
      <c r="Y11" s="22"/>
      <c r="Z11" s="22"/>
      <c r="AA11" s="391"/>
      <c r="AB11" s="389"/>
      <c r="AC11" s="389"/>
      <c r="AD11" s="389"/>
      <c r="AE11" s="389"/>
      <c r="AF11" s="389"/>
      <c r="AG11" s="389"/>
      <c r="AH11" s="389"/>
      <c r="AI11" s="389"/>
      <c r="AJ11" s="389"/>
      <c r="AK11" s="389"/>
      <c r="AL11" s="389"/>
      <c r="AM11" s="389"/>
      <c r="AN11" s="389"/>
      <c r="AO11" s="389"/>
      <c r="AP11" s="389"/>
      <c r="AQ11" s="389"/>
      <c r="AR11" s="389"/>
      <c r="AS11" s="389"/>
      <c r="AT11" s="389"/>
      <c r="AU11" s="389"/>
      <c r="AV11" s="389"/>
      <c r="AW11" s="389"/>
      <c r="AX11" s="389"/>
      <c r="AY11" s="389"/>
      <c r="AZ11" s="389"/>
      <c r="BA11" s="389"/>
      <c r="BB11" s="389"/>
      <c r="BC11" s="389"/>
      <c r="BD11" s="389"/>
      <c r="BE11" s="389"/>
      <c r="BF11" s="389"/>
      <c r="BG11" s="389"/>
      <c r="BH11" s="389"/>
      <c r="BI11" s="389"/>
      <c r="BJ11" s="389"/>
      <c r="BK11" s="389"/>
      <c r="BL11" s="389"/>
      <c r="BM11" s="389"/>
      <c r="BN11" s="389"/>
      <c r="BO11" s="389"/>
      <c r="BP11" s="389"/>
      <c r="BQ11" s="389"/>
      <c r="BR11" s="389"/>
      <c r="BS11" s="389"/>
      <c r="BT11" s="389"/>
      <c r="BU11" s="389"/>
      <c r="BV11" s="389"/>
      <c r="BW11" s="389"/>
      <c r="BX11" s="389"/>
      <c r="BY11" s="389"/>
      <c r="BZ11" s="389"/>
      <c r="CA11" s="389"/>
      <c r="CB11" s="389"/>
      <c r="CC11" s="389"/>
      <c r="CD11" s="389"/>
      <c r="CE11" s="389"/>
      <c r="CF11" s="389"/>
      <c r="CG11" s="389"/>
      <c r="CH11" s="389"/>
      <c r="CI11" s="389"/>
      <c r="CJ11" s="389"/>
      <c r="CK11" s="389"/>
      <c r="CL11" s="389"/>
      <c r="CM11" s="389"/>
      <c r="CN11" s="389"/>
      <c r="CO11" s="389"/>
      <c r="CP11" s="389"/>
      <c r="CQ11" s="389"/>
      <c r="CR11" s="389"/>
      <c r="CS11" s="389"/>
      <c r="CT11" s="389"/>
      <c r="CU11" s="389"/>
      <c r="CV11" s="389"/>
      <c r="CW11" s="389"/>
      <c r="CX11" s="389"/>
      <c r="CY11" s="389"/>
      <c r="CZ11" s="389"/>
      <c r="DA11" s="389"/>
      <c r="DB11" s="389"/>
      <c r="DC11" s="389"/>
      <c r="DD11" s="389"/>
      <c r="DE11" s="389"/>
      <c r="DF11" s="389"/>
      <c r="DG11" s="389"/>
      <c r="DH11" s="389"/>
      <c r="DI11" s="389"/>
      <c r="DJ11" s="389"/>
      <c r="DK11" s="389"/>
      <c r="DL11" s="389"/>
      <c r="DM11" s="389"/>
      <c r="DN11" s="389"/>
      <c r="DO11" s="389"/>
      <c r="DP11" s="389"/>
      <c r="DQ11" s="389"/>
      <c r="DR11" s="389"/>
      <c r="DS11" s="389"/>
      <c r="DT11" s="389"/>
      <c r="DU11" s="389"/>
      <c r="DV11" s="389"/>
      <c r="DW11" s="389"/>
      <c r="DX11" s="389"/>
      <c r="DY11" s="389"/>
      <c r="DZ11" s="389"/>
      <c r="EA11" s="389"/>
      <c r="EB11" s="389"/>
      <c r="EC11" s="389"/>
      <c r="ED11" s="389"/>
      <c r="EE11" s="389"/>
      <c r="EF11" s="389"/>
      <c r="EG11" s="389"/>
      <c r="EH11" s="389"/>
      <c r="EI11" s="389"/>
      <c r="EJ11" s="389"/>
      <c r="EK11" s="389"/>
      <c r="EL11" s="389"/>
      <c r="EM11" s="389"/>
      <c r="EN11" s="389"/>
      <c r="EO11" s="389"/>
      <c r="EP11" s="389"/>
      <c r="EQ11" s="389"/>
      <c r="ER11" s="389"/>
      <c r="ES11" s="389"/>
      <c r="ET11" s="389"/>
      <c r="EU11" s="389"/>
      <c r="EV11" s="389"/>
      <c r="EW11" s="389"/>
      <c r="EX11" s="389"/>
      <c r="EY11" s="389"/>
      <c r="EZ11" s="389"/>
      <c r="FA11" s="389"/>
      <c r="FB11" s="389"/>
      <c r="FC11" s="389"/>
      <c r="FD11" s="389"/>
      <c r="FE11" s="389"/>
      <c r="FF11" s="389"/>
      <c r="FG11" s="389"/>
      <c r="FH11" s="389"/>
      <c r="FI11" s="389"/>
      <c r="FJ11" s="389"/>
      <c r="FK11" s="389"/>
      <c r="FL11" s="389"/>
      <c r="FM11" s="389"/>
      <c r="FN11" s="389"/>
      <c r="FO11" s="389"/>
      <c r="FP11" s="389"/>
      <c r="FQ11" s="389"/>
      <c r="FR11" s="389"/>
      <c r="FS11" s="389"/>
      <c r="FT11" s="389"/>
      <c r="FU11" s="389"/>
      <c r="FV11" s="389"/>
      <c r="FW11" s="389"/>
      <c r="FX11" s="389"/>
      <c r="FY11" s="389"/>
      <c r="FZ11" s="389"/>
      <c r="GA11" s="389"/>
      <c r="GB11" s="389"/>
      <c r="GC11" s="389"/>
      <c r="GD11" s="389"/>
      <c r="GE11" s="389"/>
      <c r="GF11" s="389"/>
      <c r="GG11" s="389"/>
      <c r="GH11" s="389"/>
      <c r="GI11" s="389"/>
      <c r="GJ11" s="389"/>
      <c r="GK11" s="389"/>
      <c r="GL11" s="389"/>
      <c r="GM11" s="389"/>
      <c r="GN11" s="389"/>
      <c r="GO11" s="389"/>
      <c r="GP11" s="389"/>
      <c r="GQ11" s="389"/>
      <c r="GR11" s="389"/>
      <c r="GS11" s="389"/>
      <c r="GT11" s="389"/>
      <c r="GU11" s="389"/>
      <c r="GV11" s="389"/>
      <c r="GW11" s="389"/>
      <c r="GX11" s="389"/>
      <c r="GY11" s="389"/>
      <c r="GZ11" s="389"/>
      <c r="HA11" s="389"/>
      <c r="HB11" s="389"/>
      <c r="HC11" s="389"/>
      <c r="HD11" s="389"/>
      <c r="HE11" s="389"/>
      <c r="HF11" s="389"/>
      <c r="HG11" s="389"/>
      <c r="HH11" s="389"/>
      <c r="HI11" s="389"/>
      <c r="HJ11" s="389"/>
      <c r="HK11" s="389"/>
      <c r="HL11" s="389"/>
      <c r="HM11" s="389"/>
      <c r="HN11" s="389"/>
      <c r="HO11" s="389"/>
      <c r="HP11" s="389"/>
      <c r="HQ11" s="389"/>
      <c r="HR11" s="389"/>
      <c r="HS11" s="389"/>
      <c r="HT11" s="389"/>
      <c r="HU11" s="389"/>
      <c r="HV11" s="389"/>
      <c r="HW11" s="389"/>
      <c r="HX11" s="389"/>
      <c r="HY11" s="389"/>
      <c r="HZ11" s="389"/>
      <c r="IA11" s="389"/>
      <c r="IB11" s="389"/>
      <c r="IC11" s="389"/>
      <c r="ID11" s="389"/>
      <c r="IE11" s="389"/>
      <c r="IF11" s="389"/>
      <c r="IG11" s="389"/>
      <c r="IH11" s="389"/>
      <c r="II11" s="389"/>
      <c r="IJ11" s="389"/>
      <c r="IK11" s="389"/>
      <c r="IL11" s="389"/>
      <c r="IM11" s="389"/>
      <c r="IN11" s="389"/>
      <c r="IO11" s="389"/>
      <c r="IP11" s="389"/>
      <c r="IQ11" s="389"/>
      <c r="IR11" s="389"/>
      <c r="IS11" s="389"/>
      <c r="IT11" s="389"/>
      <c r="IU11" s="389"/>
      <c r="IV11" s="389"/>
      <c r="IW11" s="389"/>
      <c r="IX11" s="389"/>
      <c r="IY11" s="389"/>
      <c r="IZ11" s="389"/>
      <c r="JA11" s="389"/>
      <c r="JB11" s="389"/>
      <c r="JC11" s="389"/>
      <c r="JD11" s="389"/>
      <c r="JE11" s="389"/>
      <c r="JF11" s="389"/>
      <c r="JG11" s="389"/>
      <c r="JH11" s="389"/>
      <c r="JI11" s="389"/>
      <c r="JJ11" s="389"/>
      <c r="JK11" s="389"/>
      <c r="JL11" s="389"/>
      <c r="JM11" s="389"/>
      <c r="JN11" s="389"/>
      <c r="JO11" s="389"/>
      <c r="JP11" s="389"/>
      <c r="JQ11" s="389"/>
      <c r="JR11" s="389"/>
      <c r="JS11" s="389"/>
      <c r="JT11" s="389"/>
      <c r="JU11" s="389"/>
      <c r="JV11" s="389"/>
      <c r="JW11" s="389"/>
      <c r="JX11" s="389"/>
      <c r="JY11" s="389"/>
      <c r="JZ11" s="389"/>
      <c r="KA11" s="389"/>
      <c r="KB11" s="389"/>
      <c r="KC11" s="389"/>
      <c r="KD11" s="389"/>
      <c r="KE11" s="389"/>
      <c r="KF11" s="389"/>
      <c r="KG11" s="389"/>
      <c r="KH11" s="389"/>
      <c r="KI11" s="389"/>
      <c r="KJ11" s="389"/>
      <c r="KK11" s="389"/>
      <c r="KL11" s="389"/>
      <c r="KM11" s="389"/>
      <c r="KN11" s="389"/>
      <c r="KO11" s="389"/>
      <c r="KP11" s="389"/>
      <c r="KQ11" s="389"/>
      <c r="KR11" s="389"/>
      <c r="KS11" s="389"/>
      <c r="KT11" s="389"/>
      <c r="KU11" s="389"/>
      <c r="KV11" s="389"/>
      <c r="KW11" s="389"/>
      <c r="KX11" s="389"/>
      <c r="KY11" s="389"/>
      <c r="KZ11" s="389"/>
      <c r="LA11" s="389"/>
      <c r="LB11" s="389"/>
      <c r="LC11" s="389"/>
      <c r="LD11" s="389"/>
      <c r="LE11" s="389"/>
      <c r="LF11" s="389"/>
      <c r="LG11" s="389"/>
      <c r="LH11" s="389"/>
      <c r="LI11" s="389"/>
      <c r="LJ11" s="389"/>
      <c r="LK11" s="389"/>
      <c r="LL11" s="389"/>
      <c r="LM11" s="389"/>
      <c r="LN11" s="389"/>
      <c r="LO11" s="389"/>
      <c r="LP11" s="389"/>
      <c r="LQ11" s="389"/>
      <c r="LR11" s="389"/>
      <c r="LS11" s="389"/>
      <c r="LT11" s="389"/>
      <c r="LU11" s="389"/>
      <c r="LV11" s="389"/>
      <c r="LW11" s="389"/>
      <c r="LX11" s="389"/>
      <c r="LY11" s="389"/>
      <c r="LZ11" s="389"/>
      <c r="MA11" s="389"/>
      <c r="MB11" s="389"/>
      <c r="MC11" s="389"/>
      <c r="MD11" s="389"/>
      <c r="ME11" s="389"/>
      <c r="MF11" s="389"/>
      <c r="MG11" s="389"/>
      <c r="MH11" s="389"/>
      <c r="MI11" s="389"/>
      <c r="MJ11" s="389"/>
      <c r="MK11" s="389"/>
      <c r="ML11" s="389"/>
      <c r="MM11" s="389"/>
      <c r="MN11" s="389"/>
      <c r="MO11" s="389"/>
      <c r="MP11" s="389"/>
      <c r="MQ11" s="389"/>
      <c r="MR11" s="389"/>
      <c r="MS11" s="389"/>
      <c r="MT11" s="389"/>
      <c r="MU11" s="389"/>
      <c r="MV11" s="389"/>
      <c r="MW11" s="389"/>
      <c r="MX11" s="389"/>
      <c r="MY11" s="389"/>
      <c r="MZ11" s="389"/>
      <c r="NA11" s="389"/>
      <c r="NB11" s="389"/>
      <c r="NC11" s="389"/>
      <c r="ND11" s="389"/>
      <c r="NE11" s="389"/>
      <c r="NF11" s="389"/>
      <c r="NG11" s="389"/>
      <c r="NH11" s="389"/>
      <c r="NI11" s="389"/>
      <c r="NJ11" s="389"/>
      <c r="NK11" s="389"/>
      <c r="NL11" s="389"/>
      <c r="NM11" s="389"/>
      <c r="NN11" s="389"/>
      <c r="NO11" s="389"/>
      <c r="NP11" s="389"/>
      <c r="NQ11" s="389"/>
      <c r="NR11" s="389"/>
      <c r="NS11" s="389"/>
      <c r="NT11" s="389"/>
      <c r="NU11" s="389"/>
      <c r="NV11" s="389"/>
      <c r="NW11" s="389"/>
      <c r="NX11" s="389"/>
      <c r="NY11" s="389"/>
      <c r="NZ11" s="389"/>
      <c r="OA11" s="389"/>
      <c r="OB11" s="389"/>
      <c r="OC11" s="389"/>
      <c r="OD11" s="389"/>
      <c r="OE11" s="389"/>
      <c r="OF11" s="389"/>
      <c r="OG11" s="389"/>
      <c r="OH11" s="389"/>
      <c r="OI11" s="389"/>
      <c r="OJ11" s="389"/>
      <c r="OK11" s="389"/>
      <c r="OL11" s="389"/>
      <c r="OM11" s="389"/>
      <c r="ON11" s="389"/>
      <c r="OO11" s="389"/>
      <c r="OP11" s="389"/>
      <c r="OQ11" s="389"/>
      <c r="OR11" s="389"/>
      <c r="OS11" s="389"/>
      <c r="OT11" s="389"/>
      <c r="OU11" s="389"/>
      <c r="OV11" s="389"/>
      <c r="OW11" s="389"/>
      <c r="OX11" s="389"/>
      <c r="OY11" s="389"/>
      <c r="OZ11" s="389"/>
      <c r="PA11" s="389"/>
      <c r="PB11" s="389"/>
      <c r="PC11" s="389"/>
      <c r="PD11" s="389"/>
      <c r="PE11" s="389"/>
      <c r="PF11" s="389"/>
      <c r="PG11" s="389"/>
      <c r="PH11" s="389"/>
      <c r="PI11" s="389"/>
      <c r="PJ11" s="389"/>
      <c r="PK11" s="389"/>
      <c r="PL11" s="389"/>
      <c r="PM11" s="389"/>
      <c r="PN11" s="389"/>
      <c r="PO11" s="389"/>
      <c r="PP11" s="389"/>
      <c r="PQ11" s="389"/>
      <c r="PR11" s="389"/>
      <c r="PS11" s="389"/>
      <c r="PT11" s="389"/>
      <c r="PU11" s="389"/>
      <c r="PV11" s="389"/>
      <c r="PW11" s="389"/>
      <c r="PX11" s="389"/>
      <c r="PY11" s="389"/>
      <c r="PZ11" s="389"/>
      <c r="QA11" s="389"/>
      <c r="QB11" s="389"/>
      <c r="QC11" s="389"/>
      <c r="QD11" s="389"/>
      <c r="QE11" s="389"/>
      <c r="QF11" s="389"/>
      <c r="QG11" s="389"/>
      <c r="QH11" s="389"/>
      <c r="QI11" s="389"/>
      <c r="QJ11" s="389"/>
      <c r="QK11" s="389"/>
      <c r="QL11" s="389"/>
      <c r="QM11" s="389"/>
      <c r="QN11" s="389"/>
      <c r="QO11" s="389"/>
      <c r="QP11" s="389"/>
      <c r="QQ11" s="389"/>
      <c r="QR11" s="389"/>
      <c r="QS11" s="389"/>
      <c r="QT11" s="389"/>
      <c r="QU11" s="389"/>
      <c r="QV11" s="389"/>
      <c r="QW11" s="389"/>
      <c r="QX11" s="389"/>
      <c r="QY11" s="389"/>
      <c r="QZ11" s="389"/>
      <c r="RA11" s="389"/>
      <c r="RB11" s="389"/>
      <c r="RC11" s="389"/>
      <c r="RD11" s="389"/>
      <c r="RE11" s="389"/>
      <c r="RF11" s="389"/>
      <c r="RG11" s="389"/>
      <c r="RH11" s="389"/>
      <c r="RI11" s="389"/>
      <c r="RJ11" s="389"/>
      <c r="RK11" s="389"/>
      <c r="RL11" s="389"/>
      <c r="RM11" s="389"/>
      <c r="RN11" s="389"/>
      <c r="RO11" s="389"/>
      <c r="RP11" s="389"/>
      <c r="RQ11" s="389"/>
      <c r="RR11" s="389"/>
      <c r="RS11" s="389"/>
      <c r="RT11" s="389"/>
      <c r="RU11" s="389"/>
      <c r="RV11" s="389"/>
      <c r="RW11" s="389"/>
      <c r="RX11" s="389"/>
      <c r="RY11" s="389"/>
      <c r="RZ11" s="389"/>
      <c r="SA11" s="389"/>
      <c r="SB11" s="389"/>
      <c r="SC11" s="389"/>
      <c r="SD11" s="389"/>
      <c r="SE11" s="389"/>
    </row>
    <row r="12" spans="2:499" s="658" customFormat="1" ht="20.25" customHeight="1">
      <c r="B12" s="649" t="s">
        <v>278</v>
      </c>
      <c r="C12" s="654"/>
      <c r="D12" s="650"/>
      <c r="E12" s="656"/>
      <c r="F12" s="651"/>
      <c r="G12" s="652"/>
      <c r="H12" s="654"/>
      <c r="I12" s="653"/>
      <c r="J12" s="656"/>
      <c r="K12" s="651"/>
      <c r="L12" s="652"/>
      <c r="M12" s="654"/>
      <c r="N12" s="655"/>
      <c r="O12" s="656"/>
      <c r="P12" s="651"/>
      <c r="Q12" s="652"/>
      <c r="R12" s="654"/>
      <c r="S12" s="654"/>
      <c r="T12" s="656"/>
      <c r="U12" s="657"/>
      <c r="V12" s="652"/>
      <c r="W12" s="589"/>
      <c r="X12" s="590"/>
      <c r="Y12" s="590"/>
      <c r="Z12" s="590"/>
      <c r="AA12" s="586"/>
      <c r="AB12" s="585"/>
      <c r="AC12" s="585"/>
      <c r="AD12" s="585"/>
      <c r="AE12" s="585"/>
      <c r="AF12" s="585"/>
      <c r="AG12" s="585"/>
      <c r="AH12" s="585"/>
      <c r="AI12" s="585"/>
      <c r="AJ12" s="585"/>
      <c r="AK12" s="585"/>
      <c r="AL12" s="585"/>
      <c r="AM12" s="585"/>
      <c r="AN12" s="585"/>
      <c r="AO12" s="585"/>
      <c r="AP12" s="585"/>
      <c r="AQ12" s="585"/>
      <c r="AR12" s="585"/>
      <c r="AS12" s="585"/>
      <c r="AT12" s="585"/>
      <c r="AU12" s="585"/>
      <c r="AV12" s="585"/>
      <c r="AW12" s="585"/>
      <c r="AX12" s="585"/>
      <c r="AY12" s="585"/>
      <c r="AZ12" s="585"/>
      <c r="BA12" s="585"/>
      <c r="BB12" s="585"/>
      <c r="BC12" s="585"/>
      <c r="BD12" s="585"/>
      <c r="BE12" s="585"/>
      <c r="BF12" s="585"/>
      <c r="BG12" s="585"/>
      <c r="BH12" s="585"/>
      <c r="BI12" s="585"/>
      <c r="BJ12" s="585"/>
      <c r="BK12" s="585"/>
      <c r="BL12" s="585"/>
      <c r="BM12" s="585"/>
      <c r="BN12" s="585"/>
      <c r="BO12" s="585"/>
      <c r="BP12" s="585"/>
      <c r="BQ12" s="585"/>
      <c r="BR12" s="585"/>
      <c r="BS12" s="585"/>
      <c r="BT12" s="585"/>
      <c r="BU12" s="585"/>
      <c r="BV12" s="585"/>
      <c r="BW12" s="585"/>
      <c r="BX12" s="585"/>
      <c r="BY12" s="585"/>
      <c r="BZ12" s="585"/>
      <c r="CA12" s="585"/>
      <c r="CB12" s="585"/>
      <c r="CC12" s="585"/>
      <c r="CD12" s="585"/>
      <c r="CE12" s="585"/>
      <c r="CF12" s="585"/>
      <c r="CG12" s="585"/>
      <c r="CH12" s="585"/>
      <c r="CI12" s="585"/>
      <c r="CJ12" s="585"/>
      <c r="CK12" s="585"/>
      <c r="CL12" s="585"/>
      <c r="CM12" s="585"/>
      <c r="CN12" s="585"/>
      <c r="CO12" s="585"/>
      <c r="CP12" s="585"/>
      <c r="CQ12" s="585"/>
      <c r="CR12" s="585"/>
      <c r="CS12" s="585"/>
      <c r="CT12" s="585"/>
      <c r="CU12" s="585"/>
      <c r="CV12" s="585"/>
      <c r="CW12" s="585"/>
      <c r="CX12" s="585"/>
      <c r="CY12" s="585"/>
      <c r="CZ12" s="585"/>
      <c r="DA12" s="585"/>
      <c r="DB12" s="585"/>
      <c r="DC12" s="585"/>
      <c r="DD12" s="585"/>
      <c r="DE12" s="585"/>
      <c r="DF12" s="585"/>
      <c r="DG12" s="585"/>
      <c r="DH12" s="585"/>
      <c r="DI12" s="585"/>
      <c r="DJ12" s="585"/>
      <c r="DK12" s="585"/>
      <c r="DL12" s="585"/>
      <c r="DM12" s="585"/>
      <c r="DN12" s="585"/>
      <c r="DO12" s="585"/>
      <c r="DP12" s="585"/>
      <c r="DQ12" s="585"/>
      <c r="DR12" s="585"/>
      <c r="DS12" s="585"/>
      <c r="DT12" s="585"/>
      <c r="DU12" s="585"/>
      <c r="DV12" s="585"/>
      <c r="DW12" s="585"/>
      <c r="DX12" s="585"/>
      <c r="DY12" s="585"/>
      <c r="DZ12" s="585"/>
      <c r="EA12" s="585"/>
      <c r="EB12" s="585"/>
      <c r="EC12" s="585"/>
      <c r="ED12" s="585"/>
      <c r="EE12" s="585"/>
      <c r="EF12" s="585"/>
      <c r="EG12" s="585"/>
      <c r="EH12" s="585"/>
      <c r="EI12" s="585"/>
      <c r="EJ12" s="585"/>
      <c r="EK12" s="585"/>
      <c r="EL12" s="585"/>
      <c r="EM12" s="585"/>
      <c r="EN12" s="585"/>
      <c r="EO12" s="585"/>
      <c r="EP12" s="585"/>
      <c r="EQ12" s="585"/>
      <c r="ER12" s="585"/>
      <c r="ES12" s="585"/>
      <c r="ET12" s="585"/>
      <c r="EU12" s="585"/>
      <c r="EV12" s="585"/>
      <c r="EW12" s="585"/>
      <c r="EX12" s="585"/>
      <c r="EY12" s="585"/>
      <c r="EZ12" s="585"/>
      <c r="FA12" s="585"/>
      <c r="FB12" s="585"/>
      <c r="FC12" s="585"/>
      <c r="FD12" s="585"/>
      <c r="FE12" s="585"/>
      <c r="FF12" s="585"/>
      <c r="FG12" s="585"/>
      <c r="FH12" s="585"/>
      <c r="FI12" s="585"/>
      <c r="FJ12" s="585"/>
      <c r="FK12" s="585"/>
      <c r="FL12" s="585"/>
      <c r="FM12" s="585"/>
      <c r="FN12" s="585"/>
      <c r="FO12" s="585"/>
      <c r="FP12" s="585"/>
      <c r="FQ12" s="585"/>
      <c r="FR12" s="585"/>
      <c r="FS12" s="585"/>
      <c r="FT12" s="585"/>
      <c r="FU12" s="585"/>
      <c r="FV12" s="585"/>
      <c r="FW12" s="585"/>
      <c r="FX12" s="585"/>
      <c r="FY12" s="585"/>
      <c r="FZ12" s="585"/>
      <c r="GA12" s="585"/>
      <c r="GB12" s="585"/>
      <c r="GC12" s="585"/>
      <c r="GD12" s="585"/>
      <c r="GE12" s="585"/>
      <c r="GF12" s="585"/>
      <c r="GG12" s="585"/>
      <c r="GH12" s="585"/>
      <c r="GI12" s="585"/>
      <c r="GJ12" s="585"/>
      <c r="GK12" s="585"/>
      <c r="GL12" s="585"/>
      <c r="GM12" s="585"/>
      <c r="GN12" s="585"/>
      <c r="GO12" s="585"/>
      <c r="GP12" s="585"/>
      <c r="GQ12" s="585"/>
      <c r="GR12" s="585"/>
      <c r="GS12" s="585"/>
      <c r="GT12" s="585"/>
      <c r="GU12" s="585"/>
      <c r="GV12" s="585"/>
      <c r="GW12" s="585"/>
      <c r="GX12" s="585"/>
      <c r="GY12" s="585"/>
      <c r="GZ12" s="585"/>
      <c r="HA12" s="585"/>
      <c r="HB12" s="585"/>
      <c r="HC12" s="585"/>
      <c r="HD12" s="585"/>
      <c r="HE12" s="585"/>
      <c r="HF12" s="585"/>
      <c r="HG12" s="585"/>
      <c r="HH12" s="585"/>
      <c r="HI12" s="585"/>
      <c r="HJ12" s="585"/>
      <c r="HK12" s="585"/>
      <c r="HL12" s="585"/>
      <c r="HM12" s="585"/>
      <c r="HN12" s="585"/>
      <c r="HO12" s="585"/>
      <c r="HP12" s="585"/>
      <c r="HQ12" s="585"/>
      <c r="HR12" s="585"/>
      <c r="HS12" s="585"/>
      <c r="HT12" s="585"/>
      <c r="HU12" s="585"/>
      <c r="HV12" s="585"/>
      <c r="HW12" s="585"/>
      <c r="HX12" s="585"/>
      <c r="HY12" s="585"/>
      <c r="HZ12" s="585"/>
      <c r="IA12" s="585"/>
      <c r="IB12" s="585"/>
      <c r="IC12" s="585"/>
      <c r="ID12" s="585"/>
      <c r="IE12" s="585"/>
      <c r="IF12" s="585"/>
      <c r="IG12" s="585"/>
      <c r="IH12" s="585"/>
      <c r="II12" s="585"/>
      <c r="IJ12" s="585"/>
      <c r="IK12" s="585"/>
      <c r="IL12" s="585"/>
      <c r="IM12" s="585"/>
      <c r="IN12" s="585"/>
      <c r="IO12" s="585"/>
      <c r="IP12" s="585"/>
      <c r="IQ12" s="585"/>
      <c r="IR12" s="585"/>
      <c r="IS12" s="585"/>
      <c r="IT12" s="585"/>
      <c r="IU12" s="585"/>
      <c r="IV12" s="585"/>
      <c r="IW12" s="585"/>
      <c r="IX12" s="585"/>
      <c r="IY12" s="585"/>
      <c r="IZ12" s="585"/>
      <c r="JA12" s="585"/>
      <c r="JB12" s="585"/>
      <c r="JC12" s="585"/>
      <c r="JD12" s="585"/>
      <c r="JE12" s="585"/>
      <c r="JF12" s="585"/>
      <c r="JG12" s="585"/>
      <c r="JH12" s="585"/>
      <c r="JI12" s="585"/>
      <c r="JJ12" s="585"/>
      <c r="JK12" s="585"/>
      <c r="JL12" s="585"/>
      <c r="JM12" s="585"/>
      <c r="JN12" s="585"/>
      <c r="JO12" s="585"/>
      <c r="JP12" s="585"/>
      <c r="JQ12" s="585"/>
      <c r="JR12" s="585"/>
      <c r="JS12" s="585"/>
      <c r="JT12" s="585"/>
      <c r="JU12" s="585"/>
      <c r="JV12" s="585"/>
      <c r="JW12" s="585"/>
      <c r="JX12" s="585"/>
      <c r="JY12" s="585"/>
      <c r="JZ12" s="585"/>
      <c r="KA12" s="585"/>
      <c r="KB12" s="585"/>
      <c r="KC12" s="585"/>
      <c r="KD12" s="585"/>
      <c r="KE12" s="585"/>
      <c r="KF12" s="585"/>
      <c r="KG12" s="585"/>
      <c r="KH12" s="585"/>
      <c r="KI12" s="585"/>
      <c r="KJ12" s="585"/>
      <c r="KK12" s="585"/>
      <c r="KL12" s="585"/>
      <c r="KM12" s="585"/>
      <c r="KN12" s="585"/>
      <c r="KO12" s="585"/>
      <c r="KP12" s="585"/>
      <c r="KQ12" s="585"/>
      <c r="KR12" s="585"/>
      <c r="KS12" s="585"/>
      <c r="KT12" s="585"/>
      <c r="KU12" s="585"/>
      <c r="KV12" s="585"/>
      <c r="KW12" s="585"/>
      <c r="KX12" s="585"/>
      <c r="KY12" s="585"/>
      <c r="KZ12" s="585"/>
      <c r="LA12" s="585"/>
      <c r="LB12" s="585"/>
      <c r="LC12" s="585"/>
      <c r="LD12" s="585"/>
      <c r="LE12" s="585"/>
      <c r="LF12" s="585"/>
      <c r="LG12" s="585"/>
      <c r="LH12" s="585"/>
      <c r="LI12" s="585"/>
      <c r="LJ12" s="585"/>
      <c r="LK12" s="585"/>
      <c r="LL12" s="585"/>
      <c r="LM12" s="585"/>
      <c r="LN12" s="585"/>
      <c r="LO12" s="585"/>
      <c r="LP12" s="585"/>
      <c r="LQ12" s="585"/>
      <c r="LR12" s="585"/>
      <c r="LS12" s="585"/>
      <c r="LT12" s="585"/>
      <c r="LU12" s="585"/>
      <c r="LV12" s="585"/>
      <c r="LW12" s="585"/>
      <c r="LX12" s="585"/>
      <c r="LY12" s="585"/>
      <c r="LZ12" s="585"/>
      <c r="MA12" s="585"/>
      <c r="MB12" s="585"/>
      <c r="MC12" s="585"/>
      <c r="MD12" s="585"/>
      <c r="ME12" s="585"/>
      <c r="MF12" s="585"/>
      <c r="MG12" s="585"/>
      <c r="MH12" s="585"/>
      <c r="MI12" s="585"/>
      <c r="MJ12" s="585"/>
      <c r="MK12" s="585"/>
      <c r="ML12" s="585"/>
      <c r="MM12" s="585"/>
      <c r="MN12" s="585"/>
      <c r="MO12" s="585"/>
      <c r="MP12" s="585"/>
      <c r="MQ12" s="585"/>
      <c r="MR12" s="585"/>
      <c r="MS12" s="585"/>
      <c r="MT12" s="585"/>
      <c r="MU12" s="585"/>
      <c r="MV12" s="585"/>
      <c r="MW12" s="585"/>
      <c r="MX12" s="585"/>
      <c r="MY12" s="585"/>
      <c r="MZ12" s="585"/>
      <c r="NA12" s="585"/>
      <c r="NB12" s="585"/>
      <c r="NC12" s="585"/>
      <c r="ND12" s="585"/>
      <c r="NE12" s="585"/>
      <c r="NF12" s="585"/>
      <c r="NG12" s="585"/>
      <c r="NH12" s="585"/>
      <c r="NI12" s="585"/>
      <c r="NJ12" s="585"/>
      <c r="NK12" s="585"/>
      <c r="NL12" s="585"/>
      <c r="NM12" s="585"/>
      <c r="NN12" s="585"/>
      <c r="NO12" s="585"/>
      <c r="NP12" s="585"/>
      <c r="NQ12" s="585"/>
      <c r="NR12" s="585"/>
      <c r="NS12" s="585"/>
      <c r="NT12" s="585"/>
      <c r="NU12" s="585"/>
      <c r="NV12" s="585"/>
      <c r="NW12" s="585"/>
      <c r="NX12" s="585"/>
      <c r="NY12" s="585"/>
      <c r="NZ12" s="585"/>
      <c r="OA12" s="585"/>
      <c r="OB12" s="585"/>
      <c r="OC12" s="585"/>
      <c r="OD12" s="585"/>
      <c r="OE12" s="585"/>
      <c r="OF12" s="585"/>
      <c r="OG12" s="585"/>
      <c r="OH12" s="585"/>
      <c r="OI12" s="585"/>
      <c r="OJ12" s="585"/>
      <c r="OK12" s="585"/>
      <c r="OL12" s="585"/>
      <c r="OM12" s="585"/>
      <c r="ON12" s="585"/>
      <c r="OO12" s="585"/>
      <c r="OP12" s="585"/>
      <c r="OQ12" s="585"/>
      <c r="OR12" s="585"/>
      <c r="OS12" s="585"/>
      <c r="OT12" s="585"/>
      <c r="OU12" s="585"/>
      <c r="OV12" s="585"/>
      <c r="OW12" s="585"/>
      <c r="OX12" s="585"/>
      <c r="OY12" s="585"/>
      <c r="OZ12" s="585"/>
      <c r="PA12" s="585"/>
      <c r="PB12" s="585"/>
      <c r="PC12" s="585"/>
      <c r="PD12" s="585"/>
      <c r="PE12" s="585"/>
      <c r="PF12" s="585"/>
      <c r="PG12" s="585"/>
      <c r="PH12" s="585"/>
      <c r="PI12" s="585"/>
      <c r="PJ12" s="585"/>
      <c r="PK12" s="585"/>
      <c r="PL12" s="585"/>
      <c r="PM12" s="585"/>
      <c r="PN12" s="585"/>
      <c r="PO12" s="585"/>
      <c r="PP12" s="585"/>
      <c r="PQ12" s="585"/>
      <c r="PR12" s="585"/>
      <c r="PS12" s="585"/>
      <c r="PT12" s="585"/>
      <c r="PU12" s="585"/>
      <c r="PV12" s="585"/>
      <c r="PW12" s="585"/>
      <c r="PX12" s="585"/>
      <c r="PY12" s="585"/>
      <c r="PZ12" s="585"/>
      <c r="QA12" s="585"/>
      <c r="QB12" s="585"/>
      <c r="QC12" s="585"/>
      <c r="QD12" s="585"/>
      <c r="QE12" s="585"/>
      <c r="QF12" s="585"/>
      <c r="QG12" s="585"/>
      <c r="QH12" s="585"/>
      <c r="QI12" s="585"/>
      <c r="QJ12" s="585"/>
      <c r="QK12" s="585"/>
      <c r="QL12" s="585"/>
      <c r="QM12" s="585"/>
      <c r="QN12" s="585"/>
      <c r="QO12" s="585"/>
      <c r="QP12" s="585"/>
      <c r="QQ12" s="585"/>
      <c r="QR12" s="585"/>
      <c r="QS12" s="585"/>
      <c r="QT12" s="585"/>
      <c r="QU12" s="585"/>
      <c r="QV12" s="585"/>
      <c r="QW12" s="585"/>
      <c r="QX12" s="585"/>
      <c r="QY12" s="585"/>
      <c r="QZ12" s="585"/>
      <c r="RA12" s="585"/>
      <c r="RB12" s="585"/>
      <c r="RC12" s="585"/>
      <c r="RD12" s="585"/>
      <c r="RE12" s="585"/>
      <c r="RF12" s="585"/>
      <c r="RG12" s="585"/>
      <c r="RH12" s="585"/>
      <c r="RI12" s="585"/>
      <c r="RJ12" s="585"/>
      <c r="RK12" s="585"/>
      <c r="RL12" s="585"/>
      <c r="RM12" s="585"/>
      <c r="RN12" s="585"/>
      <c r="RO12" s="585"/>
      <c r="RP12" s="585"/>
      <c r="RQ12" s="585"/>
      <c r="RR12" s="585"/>
      <c r="RS12" s="585"/>
      <c r="RT12" s="585"/>
      <c r="RU12" s="585"/>
      <c r="RV12" s="585"/>
      <c r="RW12" s="585"/>
      <c r="RX12" s="585"/>
      <c r="RY12" s="585"/>
      <c r="RZ12" s="585"/>
      <c r="SA12" s="585"/>
      <c r="SB12" s="585"/>
      <c r="SC12" s="585"/>
      <c r="SD12" s="585"/>
      <c r="SE12" s="585"/>
    </row>
    <row r="13" spans="2:499" s="390" customFormat="1" ht="20.25" customHeight="1">
      <c r="B13" s="597" t="s">
        <v>111</v>
      </c>
      <c r="C13" s="504">
        <v>25959.4</v>
      </c>
      <c r="D13" s="631"/>
      <c r="E13" s="506">
        <v>25033.7</v>
      </c>
      <c r="F13" s="488"/>
      <c r="G13" s="493">
        <f>C13-E13</f>
        <v>925.70000000000073</v>
      </c>
      <c r="H13" s="504">
        <v>5579.6</v>
      </c>
      <c r="I13" s="499">
        <v>2</v>
      </c>
      <c r="J13" s="506">
        <v>5598.4</v>
      </c>
      <c r="K13" s="496">
        <v>3</v>
      </c>
      <c r="L13" s="493">
        <f>H13-J13</f>
        <v>-18.799999999999272</v>
      </c>
      <c r="M13" s="504">
        <v>-261.3</v>
      </c>
      <c r="N13" s="518"/>
      <c r="O13" s="506">
        <v>-236.8</v>
      </c>
      <c r="P13" s="519"/>
      <c r="Q13" s="493">
        <f>M13-O13</f>
        <v>-24.5</v>
      </c>
      <c r="R13" s="504">
        <f>C13+H13+M13</f>
        <v>31277.7</v>
      </c>
      <c r="S13" s="601"/>
      <c r="T13" s="506">
        <f>J13+O13+E13</f>
        <v>30395.3</v>
      </c>
      <c r="U13" s="398"/>
      <c r="V13" s="257">
        <f>R13-T13</f>
        <v>882.40000000000146</v>
      </c>
      <c r="W13" s="589"/>
      <c r="X13" s="590"/>
      <c r="Y13" s="396"/>
      <c r="Z13" s="396"/>
      <c r="AA13" s="391"/>
      <c r="AB13" s="389"/>
      <c r="AC13" s="389"/>
      <c r="AD13" s="389"/>
      <c r="AE13" s="389"/>
      <c r="AF13" s="389"/>
      <c r="AG13" s="389"/>
      <c r="AH13" s="389"/>
      <c r="AI13" s="389"/>
      <c r="AJ13" s="389"/>
      <c r="AK13" s="389"/>
      <c r="AL13" s="389"/>
      <c r="AM13" s="389"/>
      <c r="AN13" s="389"/>
      <c r="AO13" s="389"/>
      <c r="AP13" s="389"/>
      <c r="AQ13" s="389"/>
      <c r="AR13" s="389"/>
      <c r="AS13" s="389"/>
      <c r="AT13" s="389"/>
      <c r="AU13" s="389"/>
      <c r="AV13" s="389"/>
      <c r="AW13" s="389"/>
      <c r="AX13" s="389"/>
      <c r="AY13" s="389"/>
      <c r="AZ13" s="389"/>
      <c r="BA13" s="389"/>
      <c r="BB13" s="389"/>
      <c r="BC13" s="389"/>
      <c r="BD13" s="389"/>
      <c r="BE13" s="389"/>
      <c r="BF13" s="389"/>
      <c r="BG13" s="389"/>
      <c r="BH13" s="389"/>
      <c r="BI13" s="389"/>
      <c r="BJ13" s="389"/>
      <c r="BK13" s="389"/>
      <c r="BL13" s="389"/>
      <c r="BM13" s="389"/>
      <c r="BN13" s="389"/>
      <c r="BO13" s="389"/>
      <c r="BP13" s="389"/>
      <c r="BQ13" s="389"/>
      <c r="BR13" s="389"/>
      <c r="BS13" s="389"/>
      <c r="BT13" s="389"/>
      <c r="BU13" s="389"/>
      <c r="BV13" s="389"/>
      <c r="BW13" s="389"/>
      <c r="BX13" s="389"/>
      <c r="BY13" s="389"/>
      <c r="BZ13" s="389"/>
      <c r="CA13" s="389"/>
      <c r="CB13" s="389"/>
      <c r="CC13" s="389"/>
      <c r="CD13" s="389"/>
      <c r="CE13" s="389"/>
      <c r="CF13" s="389"/>
      <c r="CG13" s="389"/>
      <c r="CH13" s="389"/>
      <c r="CI13" s="389"/>
      <c r="CJ13" s="389"/>
      <c r="CK13" s="389"/>
      <c r="CL13" s="389"/>
      <c r="CM13" s="389"/>
      <c r="CN13" s="389"/>
      <c r="CO13" s="389"/>
      <c r="CP13" s="389"/>
      <c r="CQ13" s="389"/>
      <c r="CR13" s="389"/>
      <c r="CS13" s="389"/>
      <c r="CT13" s="389"/>
      <c r="CU13" s="389"/>
      <c r="CV13" s="389"/>
      <c r="CW13" s="389"/>
      <c r="CX13" s="389"/>
      <c r="CY13" s="389"/>
      <c r="CZ13" s="389"/>
      <c r="DA13" s="389"/>
      <c r="DB13" s="389"/>
      <c r="DC13" s="389"/>
      <c r="DD13" s="389"/>
      <c r="DE13" s="389"/>
      <c r="DF13" s="389"/>
      <c r="DG13" s="389"/>
      <c r="DH13" s="389"/>
      <c r="DI13" s="389"/>
      <c r="DJ13" s="389"/>
      <c r="DK13" s="389"/>
      <c r="DL13" s="389"/>
      <c r="DM13" s="389"/>
      <c r="DN13" s="389"/>
      <c r="DO13" s="389"/>
      <c r="DP13" s="389"/>
      <c r="DQ13" s="389"/>
      <c r="DR13" s="389"/>
      <c r="DS13" s="389"/>
      <c r="DT13" s="389"/>
      <c r="DU13" s="389"/>
      <c r="DV13" s="389"/>
      <c r="DW13" s="389"/>
      <c r="DX13" s="389"/>
      <c r="DY13" s="389"/>
      <c r="DZ13" s="389"/>
      <c r="EA13" s="389"/>
      <c r="EB13" s="389"/>
      <c r="EC13" s="389"/>
      <c r="ED13" s="389"/>
      <c r="EE13" s="389"/>
      <c r="EF13" s="389"/>
      <c r="EG13" s="389"/>
      <c r="EH13" s="389"/>
      <c r="EI13" s="389"/>
      <c r="EJ13" s="389"/>
      <c r="EK13" s="389"/>
      <c r="EL13" s="389"/>
      <c r="EM13" s="389"/>
      <c r="EN13" s="389"/>
      <c r="EO13" s="389"/>
      <c r="EP13" s="389"/>
      <c r="EQ13" s="389"/>
      <c r="ER13" s="389"/>
      <c r="ES13" s="389"/>
      <c r="ET13" s="389"/>
      <c r="EU13" s="389"/>
      <c r="EV13" s="389"/>
      <c r="EW13" s="389"/>
      <c r="EX13" s="389"/>
      <c r="EY13" s="389"/>
      <c r="EZ13" s="389"/>
      <c r="FA13" s="389"/>
      <c r="FB13" s="389"/>
      <c r="FC13" s="389"/>
      <c r="FD13" s="389"/>
      <c r="FE13" s="389"/>
      <c r="FF13" s="389"/>
      <c r="FG13" s="389"/>
      <c r="FH13" s="389"/>
      <c r="FI13" s="389"/>
      <c r="FJ13" s="389"/>
      <c r="FK13" s="389"/>
      <c r="FL13" s="389"/>
      <c r="FM13" s="389"/>
      <c r="FN13" s="389"/>
      <c r="FO13" s="389"/>
      <c r="FP13" s="389"/>
      <c r="FQ13" s="389"/>
      <c r="FR13" s="389"/>
      <c r="FS13" s="389"/>
      <c r="FT13" s="389"/>
      <c r="FU13" s="389"/>
      <c r="FV13" s="389"/>
      <c r="FW13" s="389"/>
      <c r="FX13" s="389"/>
      <c r="FY13" s="389"/>
      <c r="FZ13" s="389"/>
      <c r="GA13" s="389"/>
      <c r="GB13" s="389"/>
      <c r="GC13" s="389"/>
      <c r="GD13" s="389"/>
      <c r="GE13" s="389"/>
      <c r="GF13" s="389"/>
      <c r="GG13" s="389"/>
      <c r="GH13" s="389"/>
      <c r="GI13" s="389"/>
      <c r="GJ13" s="389"/>
      <c r="GK13" s="389"/>
      <c r="GL13" s="389"/>
      <c r="GM13" s="389"/>
      <c r="GN13" s="389"/>
      <c r="GO13" s="389"/>
      <c r="GP13" s="389"/>
      <c r="GQ13" s="389"/>
      <c r="GR13" s="389"/>
      <c r="GS13" s="389"/>
      <c r="GT13" s="389"/>
      <c r="GU13" s="389"/>
      <c r="GV13" s="389"/>
      <c r="GW13" s="389"/>
      <c r="GX13" s="389"/>
      <c r="GY13" s="389"/>
      <c r="GZ13" s="389"/>
      <c r="HA13" s="389"/>
      <c r="HB13" s="389"/>
      <c r="HC13" s="389"/>
      <c r="HD13" s="389"/>
      <c r="HE13" s="389"/>
      <c r="HF13" s="389"/>
      <c r="HG13" s="389"/>
      <c r="HH13" s="389"/>
      <c r="HI13" s="389"/>
      <c r="HJ13" s="389"/>
      <c r="HK13" s="389"/>
      <c r="HL13" s="389"/>
      <c r="HM13" s="389"/>
      <c r="HN13" s="389"/>
      <c r="HO13" s="389"/>
      <c r="HP13" s="389"/>
      <c r="HQ13" s="389"/>
      <c r="HR13" s="389"/>
      <c r="HS13" s="389"/>
      <c r="HT13" s="389"/>
      <c r="HU13" s="389"/>
      <c r="HV13" s="389"/>
      <c r="HW13" s="389"/>
      <c r="HX13" s="389"/>
      <c r="HY13" s="389"/>
      <c r="HZ13" s="389"/>
      <c r="IA13" s="389"/>
      <c r="IB13" s="389"/>
      <c r="IC13" s="389"/>
      <c r="ID13" s="389"/>
      <c r="IE13" s="389"/>
      <c r="IF13" s="389"/>
      <c r="IG13" s="389"/>
      <c r="IH13" s="389"/>
      <c r="II13" s="389"/>
      <c r="IJ13" s="389"/>
      <c r="IK13" s="389"/>
      <c r="IL13" s="389"/>
      <c r="IM13" s="389"/>
      <c r="IN13" s="389"/>
      <c r="IO13" s="389"/>
      <c r="IP13" s="389"/>
      <c r="IQ13" s="389"/>
      <c r="IR13" s="389"/>
      <c r="IS13" s="389"/>
      <c r="IT13" s="389"/>
      <c r="IU13" s="389"/>
      <c r="IV13" s="389"/>
      <c r="IW13" s="389"/>
      <c r="IX13" s="389"/>
      <c r="IY13" s="389"/>
      <c r="IZ13" s="389"/>
      <c r="JA13" s="389"/>
      <c r="JB13" s="389"/>
      <c r="JC13" s="389"/>
      <c r="JD13" s="389"/>
      <c r="JE13" s="389"/>
      <c r="JF13" s="389"/>
      <c r="JG13" s="389"/>
      <c r="JH13" s="389"/>
      <c r="JI13" s="389"/>
      <c r="JJ13" s="389"/>
      <c r="JK13" s="389"/>
      <c r="JL13" s="389"/>
      <c r="JM13" s="389"/>
      <c r="JN13" s="389"/>
      <c r="JO13" s="389"/>
      <c r="JP13" s="389"/>
      <c r="JQ13" s="389"/>
      <c r="JR13" s="389"/>
      <c r="JS13" s="389"/>
      <c r="JT13" s="389"/>
      <c r="JU13" s="389"/>
      <c r="JV13" s="389"/>
      <c r="JW13" s="389"/>
      <c r="JX13" s="389"/>
      <c r="JY13" s="389"/>
      <c r="JZ13" s="389"/>
      <c r="KA13" s="389"/>
      <c r="KB13" s="389"/>
      <c r="KC13" s="389"/>
      <c r="KD13" s="389"/>
      <c r="KE13" s="389"/>
      <c r="KF13" s="389"/>
      <c r="KG13" s="389"/>
      <c r="KH13" s="389"/>
      <c r="KI13" s="389"/>
      <c r="KJ13" s="389"/>
      <c r="KK13" s="389"/>
      <c r="KL13" s="389"/>
      <c r="KM13" s="389"/>
      <c r="KN13" s="389"/>
      <c r="KO13" s="389"/>
      <c r="KP13" s="389"/>
      <c r="KQ13" s="389"/>
      <c r="KR13" s="389"/>
      <c r="KS13" s="389"/>
      <c r="KT13" s="389"/>
      <c r="KU13" s="389"/>
      <c r="KV13" s="389"/>
      <c r="KW13" s="389"/>
      <c r="KX13" s="389"/>
      <c r="KY13" s="389"/>
      <c r="KZ13" s="389"/>
      <c r="LA13" s="389"/>
      <c r="LB13" s="389"/>
      <c r="LC13" s="389"/>
      <c r="LD13" s="389"/>
      <c r="LE13" s="389"/>
      <c r="LF13" s="389"/>
      <c r="LG13" s="389"/>
      <c r="LH13" s="389"/>
      <c r="LI13" s="389"/>
      <c r="LJ13" s="389"/>
      <c r="LK13" s="389"/>
      <c r="LL13" s="389"/>
      <c r="LM13" s="389"/>
      <c r="LN13" s="389"/>
      <c r="LO13" s="389"/>
      <c r="LP13" s="389"/>
      <c r="LQ13" s="389"/>
      <c r="LR13" s="389"/>
      <c r="LS13" s="389"/>
      <c r="LT13" s="389"/>
      <c r="LU13" s="389"/>
      <c r="LV13" s="389"/>
      <c r="LW13" s="389"/>
      <c r="LX13" s="389"/>
      <c r="LY13" s="389"/>
      <c r="LZ13" s="389"/>
      <c r="MA13" s="389"/>
      <c r="MB13" s="389"/>
      <c r="MC13" s="389"/>
      <c r="MD13" s="389"/>
      <c r="ME13" s="389"/>
      <c r="MF13" s="389"/>
      <c r="MG13" s="389"/>
      <c r="MH13" s="389"/>
      <c r="MI13" s="389"/>
      <c r="MJ13" s="389"/>
      <c r="MK13" s="389"/>
      <c r="ML13" s="389"/>
      <c r="MM13" s="389"/>
      <c r="MN13" s="389"/>
      <c r="MO13" s="389"/>
      <c r="MP13" s="389"/>
      <c r="MQ13" s="389"/>
      <c r="MR13" s="389"/>
      <c r="MS13" s="389"/>
      <c r="MT13" s="389"/>
      <c r="MU13" s="389"/>
      <c r="MV13" s="389"/>
      <c r="MW13" s="389"/>
      <c r="MX13" s="389"/>
      <c r="MY13" s="389"/>
      <c r="MZ13" s="389"/>
      <c r="NA13" s="389"/>
      <c r="NB13" s="389"/>
      <c r="NC13" s="389"/>
      <c r="ND13" s="389"/>
      <c r="NE13" s="389"/>
      <c r="NF13" s="389"/>
      <c r="NG13" s="389"/>
      <c r="NH13" s="389"/>
      <c r="NI13" s="389"/>
      <c r="NJ13" s="389"/>
      <c r="NK13" s="389"/>
      <c r="NL13" s="389"/>
      <c r="NM13" s="389"/>
      <c r="NN13" s="389"/>
      <c r="NO13" s="389"/>
      <c r="NP13" s="389"/>
      <c r="NQ13" s="389"/>
      <c r="NR13" s="389"/>
      <c r="NS13" s="389"/>
      <c r="NT13" s="389"/>
      <c r="NU13" s="389"/>
      <c r="NV13" s="389"/>
      <c r="NW13" s="389"/>
      <c r="NX13" s="389"/>
      <c r="NY13" s="389"/>
      <c r="NZ13" s="389"/>
      <c r="OA13" s="389"/>
      <c r="OB13" s="389"/>
      <c r="OC13" s="389"/>
      <c r="OD13" s="389"/>
      <c r="OE13" s="389"/>
      <c r="OF13" s="389"/>
      <c r="OG13" s="389"/>
      <c r="OH13" s="389"/>
      <c r="OI13" s="389"/>
      <c r="OJ13" s="389"/>
      <c r="OK13" s="389"/>
      <c r="OL13" s="389"/>
      <c r="OM13" s="389"/>
      <c r="ON13" s="389"/>
      <c r="OO13" s="389"/>
      <c r="OP13" s="389"/>
      <c r="OQ13" s="389"/>
      <c r="OR13" s="389"/>
      <c r="OS13" s="389"/>
      <c r="OT13" s="389"/>
      <c r="OU13" s="389"/>
      <c r="OV13" s="389"/>
      <c r="OW13" s="389"/>
      <c r="OX13" s="389"/>
      <c r="OY13" s="389"/>
      <c r="OZ13" s="389"/>
      <c r="PA13" s="389"/>
      <c r="PB13" s="389"/>
      <c r="PC13" s="389"/>
      <c r="PD13" s="389"/>
      <c r="PE13" s="389"/>
      <c r="PF13" s="389"/>
      <c r="PG13" s="389"/>
      <c r="PH13" s="389"/>
      <c r="PI13" s="389"/>
      <c r="PJ13" s="389"/>
      <c r="PK13" s="389"/>
      <c r="PL13" s="389"/>
      <c r="PM13" s="389"/>
      <c r="PN13" s="389"/>
      <c r="PO13" s="389"/>
      <c r="PP13" s="389"/>
      <c r="PQ13" s="389"/>
      <c r="PR13" s="389"/>
      <c r="PS13" s="389"/>
      <c r="PT13" s="389"/>
      <c r="PU13" s="389"/>
      <c r="PV13" s="389"/>
      <c r="PW13" s="389"/>
      <c r="PX13" s="389"/>
      <c r="PY13" s="389"/>
      <c r="PZ13" s="389"/>
      <c r="QA13" s="389"/>
      <c r="QB13" s="389"/>
      <c r="QC13" s="389"/>
      <c r="QD13" s="389"/>
      <c r="QE13" s="389"/>
      <c r="QF13" s="389"/>
      <c r="QG13" s="389"/>
      <c r="QH13" s="389"/>
      <c r="QI13" s="389"/>
      <c r="QJ13" s="389"/>
      <c r="QK13" s="389"/>
      <c r="QL13" s="389"/>
      <c r="QM13" s="389"/>
      <c r="QN13" s="389"/>
      <c r="QO13" s="389"/>
      <c r="QP13" s="389"/>
      <c r="QQ13" s="389"/>
      <c r="QR13" s="389"/>
      <c r="QS13" s="389"/>
      <c r="QT13" s="389"/>
      <c r="QU13" s="389"/>
      <c r="QV13" s="389"/>
      <c r="QW13" s="389"/>
      <c r="QX13" s="389"/>
      <c r="QY13" s="389"/>
      <c r="QZ13" s="389"/>
      <c r="RA13" s="389"/>
      <c r="RB13" s="389"/>
      <c r="RC13" s="389"/>
      <c r="RD13" s="389"/>
      <c r="RE13" s="389"/>
      <c r="RF13" s="389"/>
      <c r="RG13" s="389"/>
      <c r="RH13" s="389"/>
      <c r="RI13" s="389"/>
      <c r="RJ13" s="389"/>
      <c r="RK13" s="389"/>
      <c r="RL13" s="389"/>
      <c r="RM13" s="389"/>
      <c r="RN13" s="389"/>
      <c r="RO13" s="389"/>
      <c r="RP13" s="389"/>
      <c r="RQ13" s="389"/>
      <c r="RR13" s="389"/>
      <c r="RS13" s="389"/>
      <c r="RT13" s="389"/>
      <c r="RU13" s="389"/>
      <c r="RV13" s="389"/>
      <c r="RW13" s="389"/>
      <c r="RX13" s="389"/>
      <c r="RY13" s="389"/>
      <c r="RZ13" s="389"/>
      <c r="SA13" s="389"/>
      <c r="SB13" s="389"/>
      <c r="SC13" s="389"/>
      <c r="SD13" s="389"/>
      <c r="SE13" s="389"/>
    </row>
    <row r="14" spans="2:499" s="390" customFormat="1" ht="31.5" customHeight="1" thickBot="1">
      <c r="B14" s="598" t="s">
        <v>112</v>
      </c>
      <c r="C14" s="521">
        <v>46.7</v>
      </c>
      <c r="D14" s="522"/>
      <c r="E14" s="628">
        <v>3.8</v>
      </c>
      <c r="F14" s="489"/>
      <c r="G14" s="495">
        <f>C14-E14</f>
        <v>42.900000000000006</v>
      </c>
      <c r="H14" s="521">
        <v>25.4</v>
      </c>
      <c r="I14" s="500"/>
      <c r="J14" s="628">
        <v>33.1</v>
      </c>
      <c r="K14" s="497"/>
      <c r="L14" s="495">
        <f>H14-J14</f>
        <v>-7.7000000000000028</v>
      </c>
      <c r="M14" s="521">
        <v>0</v>
      </c>
      <c r="N14" s="522"/>
      <c r="O14" s="628">
        <v>0</v>
      </c>
      <c r="P14" s="520"/>
      <c r="Q14" s="495">
        <f>M14-O14</f>
        <v>0</v>
      </c>
      <c r="R14" s="521">
        <f t="shared" si="3"/>
        <v>72.099999999999994</v>
      </c>
      <c r="S14" s="602"/>
      <c r="T14" s="628">
        <f>J14+O14+E14</f>
        <v>36.9</v>
      </c>
      <c r="U14" s="404"/>
      <c r="V14" s="258">
        <f>R14-T14</f>
        <v>35.199999999999996</v>
      </c>
      <c r="W14" s="589"/>
      <c r="X14" s="590"/>
      <c r="Y14" s="396"/>
      <c r="Z14" s="396"/>
      <c r="AA14" s="391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389"/>
      <c r="AP14" s="389"/>
      <c r="AQ14" s="389"/>
      <c r="AR14" s="389"/>
      <c r="AS14" s="389"/>
      <c r="AT14" s="389"/>
      <c r="AU14" s="389"/>
      <c r="AV14" s="389"/>
      <c r="AW14" s="389"/>
      <c r="AX14" s="389"/>
      <c r="AY14" s="389"/>
      <c r="AZ14" s="389"/>
      <c r="BA14" s="389"/>
      <c r="BB14" s="389"/>
      <c r="BC14" s="389"/>
      <c r="BD14" s="389"/>
      <c r="BE14" s="389"/>
      <c r="BF14" s="389"/>
      <c r="BG14" s="389"/>
      <c r="BH14" s="389"/>
      <c r="BI14" s="389"/>
      <c r="BJ14" s="389"/>
      <c r="BK14" s="389"/>
      <c r="BL14" s="389"/>
      <c r="BM14" s="389"/>
      <c r="BN14" s="389"/>
      <c r="BO14" s="389"/>
      <c r="BP14" s="389"/>
      <c r="BQ14" s="389"/>
      <c r="BR14" s="389"/>
      <c r="BS14" s="389"/>
      <c r="BT14" s="389"/>
      <c r="BU14" s="389"/>
      <c r="BV14" s="389"/>
      <c r="BW14" s="389"/>
      <c r="BX14" s="389"/>
      <c r="BY14" s="389"/>
      <c r="BZ14" s="389"/>
      <c r="CA14" s="389"/>
      <c r="CB14" s="389"/>
      <c r="CC14" s="389"/>
      <c r="CD14" s="389"/>
      <c r="CE14" s="389"/>
      <c r="CF14" s="389"/>
      <c r="CG14" s="389"/>
      <c r="CH14" s="389"/>
      <c r="CI14" s="389"/>
      <c r="CJ14" s="389"/>
      <c r="CK14" s="389"/>
      <c r="CL14" s="389"/>
      <c r="CM14" s="389"/>
      <c r="CN14" s="389"/>
      <c r="CO14" s="389"/>
      <c r="CP14" s="389"/>
      <c r="CQ14" s="389"/>
      <c r="CR14" s="389"/>
      <c r="CS14" s="389"/>
      <c r="CT14" s="389"/>
      <c r="CU14" s="389"/>
      <c r="CV14" s="389"/>
      <c r="CW14" s="389"/>
      <c r="CX14" s="389"/>
      <c r="CY14" s="389"/>
      <c r="CZ14" s="389"/>
      <c r="DA14" s="389"/>
      <c r="DB14" s="389"/>
      <c r="DC14" s="389"/>
      <c r="DD14" s="389"/>
      <c r="DE14" s="389"/>
      <c r="DF14" s="389"/>
      <c r="DG14" s="389"/>
      <c r="DH14" s="389"/>
      <c r="DI14" s="389"/>
      <c r="DJ14" s="389"/>
      <c r="DK14" s="389"/>
      <c r="DL14" s="389"/>
      <c r="DM14" s="389"/>
      <c r="DN14" s="389"/>
      <c r="DO14" s="389"/>
      <c r="DP14" s="389"/>
      <c r="DQ14" s="389"/>
      <c r="DR14" s="389"/>
      <c r="DS14" s="389"/>
      <c r="DT14" s="389"/>
      <c r="DU14" s="389"/>
      <c r="DV14" s="389"/>
      <c r="DW14" s="389"/>
      <c r="DX14" s="389"/>
      <c r="DY14" s="389"/>
      <c r="DZ14" s="389"/>
      <c r="EA14" s="389"/>
      <c r="EB14" s="389"/>
      <c r="EC14" s="389"/>
      <c r="ED14" s="389"/>
      <c r="EE14" s="389"/>
      <c r="EF14" s="389"/>
      <c r="EG14" s="389"/>
      <c r="EH14" s="389"/>
      <c r="EI14" s="389"/>
      <c r="EJ14" s="389"/>
      <c r="EK14" s="389"/>
      <c r="EL14" s="389"/>
      <c r="EM14" s="389"/>
      <c r="EN14" s="389"/>
      <c r="EO14" s="389"/>
      <c r="EP14" s="389"/>
      <c r="EQ14" s="389"/>
      <c r="ER14" s="389"/>
      <c r="ES14" s="389"/>
      <c r="ET14" s="389"/>
      <c r="EU14" s="389"/>
      <c r="EV14" s="389"/>
      <c r="EW14" s="389"/>
      <c r="EX14" s="389"/>
      <c r="EY14" s="389"/>
      <c r="EZ14" s="389"/>
      <c r="FA14" s="389"/>
      <c r="FB14" s="389"/>
      <c r="FC14" s="389"/>
      <c r="FD14" s="389"/>
      <c r="FE14" s="389"/>
      <c r="FF14" s="389"/>
      <c r="FG14" s="389"/>
      <c r="FH14" s="389"/>
      <c r="FI14" s="389"/>
      <c r="FJ14" s="389"/>
      <c r="FK14" s="389"/>
      <c r="FL14" s="389"/>
      <c r="FM14" s="389"/>
      <c r="FN14" s="389"/>
      <c r="FO14" s="389"/>
      <c r="FP14" s="389"/>
      <c r="FQ14" s="389"/>
      <c r="FR14" s="389"/>
      <c r="FS14" s="389"/>
      <c r="FT14" s="389"/>
      <c r="FU14" s="389"/>
      <c r="FV14" s="389"/>
      <c r="FW14" s="389"/>
      <c r="FX14" s="389"/>
      <c r="FY14" s="389"/>
      <c r="FZ14" s="389"/>
      <c r="GA14" s="389"/>
      <c r="GB14" s="389"/>
      <c r="GC14" s="389"/>
      <c r="GD14" s="389"/>
      <c r="GE14" s="389"/>
      <c r="GF14" s="389"/>
      <c r="GG14" s="389"/>
      <c r="GH14" s="389"/>
      <c r="GI14" s="389"/>
      <c r="GJ14" s="389"/>
      <c r="GK14" s="389"/>
      <c r="GL14" s="389"/>
      <c r="GM14" s="389"/>
      <c r="GN14" s="389"/>
      <c r="GO14" s="389"/>
      <c r="GP14" s="389"/>
      <c r="GQ14" s="389"/>
      <c r="GR14" s="389"/>
      <c r="GS14" s="389"/>
      <c r="GT14" s="389"/>
      <c r="GU14" s="389"/>
      <c r="GV14" s="389"/>
      <c r="GW14" s="389"/>
      <c r="GX14" s="389"/>
      <c r="GY14" s="389"/>
      <c r="GZ14" s="389"/>
      <c r="HA14" s="389"/>
      <c r="HB14" s="389"/>
      <c r="HC14" s="389"/>
      <c r="HD14" s="389"/>
      <c r="HE14" s="389"/>
      <c r="HF14" s="389"/>
      <c r="HG14" s="389"/>
      <c r="HH14" s="389"/>
      <c r="HI14" s="389"/>
      <c r="HJ14" s="389"/>
      <c r="HK14" s="389"/>
      <c r="HL14" s="389"/>
      <c r="HM14" s="389"/>
      <c r="HN14" s="389"/>
      <c r="HO14" s="389"/>
      <c r="HP14" s="389"/>
      <c r="HQ14" s="389"/>
      <c r="HR14" s="389"/>
      <c r="HS14" s="389"/>
      <c r="HT14" s="389"/>
      <c r="HU14" s="389"/>
      <c r="HV14" s="389"/>
      <c r="HW14" s="389"/>
      <c r="HX14" s="389"/>
      <c r="HY14" s="389"/>
      <c r="HZ14" s="389"/>
      <c r="IA14" s="389"/>
      <c r="IB14" s="389"/>
      <c r="IC14" s="389"/>
      <c r="ID14" s="389"/>
      <c r="IE14" s="389"/>
      <c r="IF14" s="389"/>
      <c r="IG14" s="389"/>
      <c r="IH14" s="389"/>
      <c r="II14" s="389"/>
      <c r="IJ14" s="389"/>
      <c r="IK14" s="389"/>
      <c r="IL14" s="389"/>
      <c r="IM14" s="389"/>
      <c r="IN14" s="389"/>
      <c r="IO14" s="389"/>
      <c r="IP14" s="389"/>
      <c r="IQ14" s="389"/>
      <c r="IR14" s="389"/>
      <c r="IS14" s="389"/>
      <c r="IT14" s="389"/>
      <c r="IU14" s="389"/>
      <c r="IV14" s="389"/>
      <c r="IW14" s="389"/>
      <c r="IX14" s="389"/>
      <c r="IY14" s="389"/>
      <c r="IZ14" s="389"/>
      <c r="JA14" s="389"/>
      <c r="JB14" s="389"/>
      <c r="JC14" s="389"/>
      <c r="JD14" s="389"/>
      <c r="JE14" s="389"/>
      <c r="JF14" s="389"/>
      <c r="JG14" s="389"/>
      <c r="JH14" s="389"/>
      <c r="JI14" s="389"/>
      <c r="JJ14" s="389"/>
      <c r="JK14" s="389"/>
      <c r="JL14" s="389"/>
      <c r="JM14" s="389"/>
      <c r="JN14" s="389"/>
      <c r="JO14" s="389"/>
      <c r="JP14" s="389"/>
      <c r="JQ14" s="389"/>
      <c r="JR14" s="389"/>
      <c r="JS14" s="389"/>
      <c r="JT14" s="389"/>
      <c r="JU14" s="389"/>
      <c r="JV14" s="389"/>
      <c r="JW14" s="389"/>
      <c r="JX14" s="389"/>
      <c r="JY14" s="389"/>
      <c r="JZ14" s="389"/>
      <c r="KA14" s="389"/>
      <c r="KB14" s="389"/>
      <c r="KC14" s="389"/>
      <c r="KD14" s="389"/>
      <c r="KE14" s="389"/>
      <c r="KF14" s="389"/>
      <c r="KG14" s="389"/>
      <c r="KH14" s="389"/>
      <c r="KI14" s="389"/>
      <c r="KJ14" s="389"/>
      <c r="KK14" s="389"/>
      <c r="KL14" s="389"/>
      <c r="KM14" s="389"/>
      <c r="KN14" s="389"/>
      <c r="KO14" s="389"/>
      <c r="KP14" s="389"/>
      <c r="KQ14" s="389"/>
      <c r="KR14" s="389"/>
      <c r="KS14" s="389"/>
      <c r="KT14" s="389"/>
      <c r="KU14" s="389"/>
      <c r="KV14" s="389"/>
      <c r="KW14" s="389"/>
      <c r="KX14" s="389"/>
      <c r="KY14" s="389"/>
      <c r="KZ14" s="389"/>
      <c r="LA14" s="389"/>
      <c r="LB14" s="389"/>
      <c r="LC14" s="389"/>
      <c r="LD14" s="389"/>
      <c r="LE14" s="389"/>
      <c r="LF14" s="389"/>
      <c r="LG14" s="389"/>
      <c r="LH14" s="389"/>
      <c r="LI14" s="389"/>
      <c r="LJ14" s="389"/>
      <c r="LK14" s="389"/>
      <c r="LL14" s="389"/>
      <c r="LM14" s="389"/>
      <c r="LN14" s="389"/>
      <c r="LO14" s="389"/>
      <c r="LP14" s="389"/>
      <c r="LQ14" s="389"/>
      <c r="LR14" s="389"/>
      <c r="LS14" s="389"/>
      <c r="LT14" s="389"/>
      <c r="LU14" s="389"/>
      <c r="LV14" s="389"/>
      <c r="LW14" s="389"/>
      <c r="LX14" s="389"/>
      <c r="LY14" s="389"/>
      <c r="LZ14" s="389"/>
      <c r="MA14" s="389"/>
      <c r="MB14" s="389"/>
      <c r="MC14" s="389"/>
      <c r="MD14" s="389"/>
      <c r="ME14" s="389"/>
      <c r="MF14" s="389"/>
      <c r="MG14" s="389"/>
      <c r="MH14" s="389"/>
      <c r="MI14" s="389"/>
      <c r="MJ14" s="389"/>
      <c r="MK14" s="389"/>
      <c r="ML14" s="389"/>
      <c r="MM14" s="389"/>
      <c r="MN14" s="389"/>
      <c r="MO14" s="389"/>
      <c r="MP14" s="389"/>
      <c r="MQ14" s="389"/>
      <c r="MR14" s="389"/>
      <c r="MS14" s="389"/>
      <c r="MT14" s="389"/>
      <c r="MU14" s="389"/>
      <c r="MV14" s="389"/>
      <c r="MW14" s="389"/>
      <c r="MX14" s="389"/>
      <c r="MY14" s="389"/>
      <c r="MZ14" s="389"/>
      <c r="NA14" s="389"/>
      <c r="NB14" s="389"/>
      <c r="NC14" s="389"/>
      <c r="ND14" s="389"/>
      <c r="NE14" s="389"/>
      <c r="NF14" s="389"/>
      <c r="NG14" s="389"/>
      <c r="NH14" s="389"/>
      <c r="NI14" s="389"/>
      <c r="NJ14" s="389"/>
      <c r="NK14" s="389"/>
      <c r="NL14" s="389"/>
      <c r="NM14" s="389"/>
      <c r="NN14" s="389"/>
      <c r="NO14" s="389"/>
      <c r="NP14" s="389"/>
      <c r="NQ14" s="389"/>
      <c r="NR14" s="389"/>
      <c r="NS14" s="389"/>
      <c r="NT14" s="389"/>
      <c r="NU14" s="389"/>
      <c r="NV14" s="389"/>
      <c r="NW14" s="389"/>
      <c r="NX14" s="389"/>
      <c r="NY14" s="389"/>
      <c r="NZ14" s="389"/>
      <c r="OA14" s="389"/>
      <c r="OB14" s="389"/>
      <c r="OC14" s="389"/>
      <c r="OD14" s="389"/>
      <c r="OE14" s="389"/>
      <c r="OF14" s="389"/>
      <c r="OG14" s="389"/>
      <c r="OH14" s="389"/>
      <c r="OI14" s="389"/>
      <c r="OJ14" s="389"/>
      <c r="OK14" s="389"/>
      <c r="OL14" s="389"/>
      <c r="OM14" s="389"/>
      <c r="ON14" s="389"/>
      <c r="OO14" s="389"/>
      <c r="OP14" s="389"/>
      <c r="OQ14" s="389"/>
      <c r="OR14" s="389"/>
      <c r="OS14" s="389"/>
      <c r="OT14" s="389"/>
      <c r="OU14" s="389"/>
      <c r="OV14" s="389"/>
      <c r="OW14" s="389"/>
      <c r="OX14" s="389"/>
      <c r="OY14" s="389"/>
      <c r="OZ14" s="389"/>
      <c r="PA14" s="389"/>
      <c r="PB14" s="389"/>
      <c r="PC14" s="389"/>
      <c r="PD14" s="389"/>
      <c r="PE14" s="389"/>
      <c r="PF14" s="389"/>
      <c r="PG14" s="389"/>
      <c r="PH14" s="389"/>
      <c r="PI14" s="389"/>
      <c r="PJ14" s="389"/>
      <c r="PK14" s="389"/>
      <c r="PL14" s="389"/>
      <c r="PM14" s="389"/>
      <c r="PN14" s="389"/>
      <c r="PO14" s="389"/>
      <c r="PP14" s="389"/>
      <c r="PQ14" s="389"/>
      <c r="PR14" s="389"/>
      <c r="PS14" s="389"/>
      <c r="PT14" s="389"/>
      <c r="PU14" s="389"/>
      <c r="PV14" s="389"/>
      <c r="PW14" s="389"/>
      <c r="PX14" s="389"/>
      <c r="PY14" s="389"/>
      <c r="PZ14" s="389"/>
      <c r="QA14" s="389"/>
      <c r="QB14" s="389"/>
      <c r="QC14" s="389"/>
      <c r="QD14" s="389"/>
      <c r="QE14" s="389"/>
      <c r="QF14" s="389"/>
      <c r="QG14" s="389"/>
      <c r="QH14" s="389"/>
      <c r="QI14" s="389"/>
      <c r="QJ14" s="389"/>
      <c r="QK14" s="389"/>
      <c r="QL14" s="389"/>
      <c r="QM14" s="389"/>
      <c r="QN14" s="389"/>
      <c r="QO14" s="389"/>
      <c r="QP14" s="389"/>
      <c r="QQ14" s="389"/>
      <c r="QR14" s="389"/>
      <c r="QS14" s="389"/>
      <c r="QT14" s="389"/>
      <c r="QU14" s="389"/>
      <c r="QV14" s="389"/>
      <c r="QW14" s="389"/>
      <c r="QX14" s="389"/>
      <c r="QY14" s="389"/>
      <c r="QZ14" s="389"/>
      <c r="RA14" s="389"/>
      <c r="RB14" s="389"/>
      <c r="RC14" s="389"/>
      <c r="RD14" s="389"/>
      <c r="RE14" s="389"/>
      <c r="RF14" s="389"/>
      <c r="RG14" s="389"/>
      <c r="RH14" s="389"/>
      <c r="RI14" s="389"/>
      <c r="RJ14" s="389"/>
      <c r="RK14" s="389"/>
      <c r="RL14" s="389"/>
      <c r="RM14" s="389"/>
      <c r="RN14" s="389"/>
      <c r="RO14" s="389"/>
      <c r="RP14" s="389"/>
      <c r="RQ14" s="389"/>
      <c r="RR14" s="389"/>
      <c r="RS14" s="389"/>
      <c r="RT14" s="389"/>
      <c r="RU14" s="389"/>
      <c r="RV14" s="389"/>
      <c r="RW14" s="389"/>
      <c r="RX14" s="389"/>
      <c r="RY14" s="389"/>
      <c r="RZ14" s="389"/>
      <c r="SA14" s="389"/>
      <c r="SB14" s="389"/>
      <c r="SC14" s="389"/>
      <c r="SD14" s="389"/>
      <c r="SE14" s="389"/>
    </row>
    <row r="15" spans="2:499" s="389" customFormat="1" ht="14.45" customHeight="1">
      <c r="B15" s="701" t="s">
        <v>281</v>
      </c>
      <c r="C15" s="701"/>
      <c r="D15" s="701"/>
      <c r="E15" s="701"/>
      <c r="F15" s="701"/>
      <c r="G15" s="701"/>
      <c r="H15" s="387"/>
      <c r="I15" s="387"/>
      <c r="J15" s="23"/>
      <c r="K15" s="23"/>
      <c r="L15" s="23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585"/>
      <c r="X15" s="591"/>
      <c r="Y15" s="391"/>
      <c r="Z15" s="391"/>
      <c r="AA15" s="391"/>
    </row>
    <row r="16" spans="2:499" s="387" customFormat="1">
      <c r="B16" s="24" t="s">
        <v>282</v>
      </c>
      <c r="C16" s="24"/>
      <c r="D16" s="24"/>
      <c r="E16" s="24"/>
      <c r="F16" s="24"/>
      <c r="G16" s="24"/>
      <c r="J16" s="23"/>
      <c r="K16" s="23"/>
      <c r="L16" s="23"/>
      <c r="W16" s="584"/>
      <c r="X16" s="584"/>
    </row>
    <row r="17" spans="2:27" s="389" customFormat="1" ht="15" customHeight="1">
      <c r="B17" s="24" t="s">
        <v>283</v>
      </c>
      <c r="C17" s="386"/>
      <c r="D17" s="386"/>
      <c r="E17" s="386"/>
      <c r="F17" s="386"/>
      <c r="G17" s="386"/>
      <c r="H17" s="387"/>
      <c r="I17" s="387"/>
      <c r="J17" s="23"/>
      <c r="K17" s="23"/>
      <c r="L17" s="23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585"/>
      <c r="X17" s="586"/>
      <c r="Y17" s="391"/>
      <c r="Z17" s="391"/>
      <c r="AA17" s="391"/>
    </row>
    <row r="18" spans="2:27" s="387" customFormat="1">
      <c r="B18" s="386"/>
      <c r="C18" s="24"/>
      <c r="D18" s="24"/>
      <c r="E18" s="24"/>
      <c r="F18" s="24"/>
      <c r="G18" s="24"/>
      <c r="J18" s="23"/>
      <c r="K18" s="23"/>
      <c r="L18" s="23"/>
      <c r="W18" s="584"/>
      <c r="X18" s="584"/>
    </row>
    <row r="19" spans="2:27" s="387" customFormat="1">
      <c r="B19" s="24"/>
      <c r="G19" s="25"/>
      <c r="J19" s="25"/>
      <c r="K19" s="25"/>
      <c r="L19" s="25"/>
      <c r="W19" s="584"/>
      <c r="X19" s="584"/>
    </row>
    <row r="20" spans="2:27" s="387" customFormat="1">
      <c r="G20" s="26"/>
      <c r="J20" s="26"/>
      <c r="K20" s="26"/>
      <c r="L20" s="26"/>
      <c r="W20" s="584"/>
      <c r="X20" s="584"/>
    </row>
    <row r="21" spans="2:27" s="387" customFormat="1">
      <c r="G21" s="25"/>
      <c r="J21" s="25"/>
      <c r="K21" s="25"/>
      <c r="L21" s="25"/>
      <c r="W21" s="584"/>
      <c r="X21" s="584"/>
    </row>
    <row r="22" spans="2:27" s="387" customFormat="1">
      <c r="W22" s="584"/>
      <c r="X22" s="584"/>
    </row>
    <row r="23" spans="2:27" s="387" customFormat="1">
      <c r="W23" s="584"/>
      <c r="X23" s="584"/>
    </row>
    <row r="24" spans="2:27" s="387" customFormat="1">
      <c r="W24" s="584"/>
      <c r="X24" s="584"/>
    </row>
    <row r="25" spans="2:27" s="387" customFormat="1">
      <c r="W25" s="584"/>
      <c r="X25" s="584"/>
    </row>
    <row r="26" spans="2:27" s="387" customFormat="1">
      <c r="W26" s="584"/>
      <c r="X26" s="584"/>
    </row>
    <row r="27" spans="2:27" s="387" customFormat="1">
      <c r="W27" s="584"/>
      <c r="X27" s="584"/>
    </row>
    <row r="28" spans="2:27" s="387" customFormat="1">
      <c r="W28" s="584"/>
      <c r="X28" s="584"/>
    </row>
    <row r="29" spans="2:27" s="387" customFormat="1">
      <c r="W29" s="584"/>
      <c r="X29" s="584"/>
    </row>
    <row r="30" spans="2:27" s="387" customFormat="1">
      <c r="W30" s="584"/>
      <c r="X30" s="584"/>
    </row>
    <row r="31" spans="2:27" s="387" customFormat="1">
      <c r="W31" s="584"/>
      <c r="X31" s="584"/>
    </row>
    <row r="32" spans="2:27" s="387" customFormat="1">
      <c r="W32" s="584"/>
      <c r="X32" s="584"/>
    </row>
    <row r="33" spans="23:24" s="387" customFormat="1">
      <c r="W33" s="584"/>
      <c r="X33" s="584"/>
    </row>
    <row r="34" spans="23:24" s="387" customFormat="1">
      <c r="W34" s="584"/>
      <c r="X34" s="584"/>
    </row>
    <row r="35" spans="23:24" s="387" customFormat="1">
      <c r="W35" s="584"/>
      <c r="X35" s="584"/>
    </row>
    <row r="36" spans="23:24" s="387" customFormat="1">
      <c r="W36" s="584"/>
      <c r="X36" s="584"/>
    </row>
    <row r="37" spans="23:24" s="387" customFormat="1">
      <c r="W37" s="584"/>
      <c r="X37" s="584"/>
    </row>
    <row r="38" spans="23:24" s="387" customFormat="1">
      <c r="W38" s="584"/>
      <c r="X38" s="584"/>
    </row>
    <row r="39" spans="23:24" s="387" customFormat="1">
      <c r="W39" s="584"/>
      <c r="X39" s="584"/>
    </row>
    <row r="40" spans="23:24" s="387" customFormat="1">
      <c r="W40" s="584"/>
      <c r="X40" s="584"/>
    </row>
    <row r="41" spans="23:24" s="387" customFormat="1">
      <c r="W41" s="584"/>
      <c r="X41" s="584"/>
    </row>
    <row r="42" spans="23:24" s="387" customFormat="1">
      <c r="W42" s="584"/>
      <c r="X42" s="584"/>
    </row>
    <row r="43" spans="23:24" s="387" customFormat="1">
      <c r="W43" s="584"/>
      <c r="X43" s="584"/>
    </row>
    <row r="44" spans="23:24" s="387" customFormat="1">
      <c r="W44" s="584"/>
      <c r="X44" s="584"/>
    </row>
    <row r="45" spans="23:24" s="387" customFormat="1">
      <c r="W45" s="584"/>
      <c r="X45" s="584"/>
    </row>
    <row r="46" spans="23:24" s="387" customFormat="1">
      <c r="W46" s="584"/>
      <c r="X46" s="584"/>
    </row>
    <row r="47" spans="23:24" s="387" customFormat="1">
      <c r="W47" s="584"/>
      <c r="X47" s="584"/>
    </row>
    <row r="48" spans="23:24" s="387" customFormat="1">
      <c r="W48" s="584"/>
      <c r="X48" s="584"/>
    </row>
    <row r="49" spans="23:24" s="387" customFormat="1">
      <c r="W49" s="584"/>
      <c r="X49" s="584"/>
    </row>
    <row r="50" spans="23:24" s="387" customFormat="1">
      <c r="W50" s="584"/>
      <c r="X50" s="584"/>
    </row>
    <row r="51" spans="23:24" s="387" customFormat="1">
      <c r="W51" s="584"/>
      <c r="X51" s="584"/>
    </row>
    <row r="52" spans="23:24" s="387" customFormat="1">
      <c r="W52" s="584"/>
      <c r="X52" s="584"/>
    </row>
    <row r="53" spans="23:24" s="387" customFormat="1">
      <c r="W53" s="584"/>
      <c r="X53" s="584"/>
    </row>
    <row r="54" spans="23:24" s="387" customFormat="1">
      <c r="W54" s="584"/>
      <c r="X54" s="584"/>
    </row>
    <row r="55" spans="23:24" s="387" customFormat="1">
      <c r="W55" s="584"/>
      <c r="X55" s="584"/>
    </row>
    <row r="56" spans="23:24" s="387" customFormat="1">
      <c r="W56" s="584"/>
      <c r="X56" s="584"/>
    </row>
    <row r="57" spans="23:24" s="387" customFormat="1">
      <c r="W57" s="584"/>
      <c r="X57" s="584"/>
    </row>
    <row r="58" spans="23:24" s="387" customFormat="1">
      <c r="W58" s="584"/>
      <c r="X58" s="584"/>
    </row>
    <row r="59" spans="23:24" s="387" customFormat="1">
      <c r="W59" s="584"/>
      <c r="X59" s="584"/>
    </row>
    <row r="60" spans="23:24" s="387" customFormat="1">
      <c r="W60" s="584"/>
      <c r="X60" s="584"/>
    </row>
    <row r="61" spans="23:24" s="387" customFormat="1">
      <c r="W61" s="584"/>
      <c r="X61" s="584"/>
    </row>
    <row r="62" spans="23:24" s="387" customFormat="1">
      <c r="W62" s="584"/>
      <c r="X62" s="584"/>
    </row>
    <row r="63" spans="23:24" s="387" customFormat="1">
      <c r="W63" s="584"/>
      <c r="X63" s="584"/>
    </row>
    <row r="64" spans="23:24" s="387" customFormat="1">
      <c r="W64" s="584"/>
      <c r="X64" s="584"/>
    </row>
    <row r="65" spans="23:24" s="387" customFormat="1">
      <c r="W65" s="584"/>
      <c r="X65" s="584"/>
    </row>
    <row r="66" spans="23:24" s="387" customFormat="1">
      <c r="W66" s="584"/>
      <c r="X66" s="584"/>
    </row>
    <row r="67" spans="23:24" s="387" customFormat="1">
      <c r="W67" s="584"/>
      <c r="X67" s="584"/>
    </row>
    <row r="68" spans="23:24" s="387" customFormat="1">
      <c r="W68" s="584"/>
      <c r="X68" s="584"/>
    </row>
    <row r="69" spans="23:24" s="387" customFormat="1">
      <c r="W69" s="584"/>
      <c r="X69" s="584"/>
    </row>
    <row r="70" spans="23:24" s="387" customFormat="1">
      <c r="W70" s="584"/>
      <c r="X70" s="584"/>
    </row>
    <row r="71" spans="23:24" s="387" customFormat="1">
      <c r="W71" s="584"/>
      <c r="X71" s="584"/>
    </row>
    <row r="72" spans="23:24" s="387" customFormat="1">
      <c r="W72" s="584"/>
      <c r="X72" s="584"/>
    </row>
    <row r="73" spans="23:24" s="387" customFormat="1">
      <c r="W73" s="584"/>
      <c r="X73" s="584"/>
    </row>
    <row r="74" spans="23:24" s="387" customFormat="1">
      <c r="W74" s="584"/>
      <c r="X74" s="584"/>
    </row>
    <row r="75" spans="23:24" s="387" customFormat="1">
      <c r="W75" s="584"/>
      <c r="X75" s="584"/>
    </row>
    <row r="76" spans="23:24" s="387" customFormat="1">
      <c r="W76" s="584"/>
      <c r="X76" s="584"/>
    </row>
    <row r="77" spans="23:24" s="387" customFormat="1">
      <c r="W77" s="584"/>
      <c r="X77" s="584"/>
    </row>
    <row r="78" spans="23:24" s="387" customFormat="1">
      <c r="W78" s="584"/>
      <c r="X78" s="584"/>
    </row>
    <row r="79" spans="23:24" s="387" customFormat="1">
      <c r="W79" s="584"/>
      <c r="X79" s="584"/>
    </row>
    <row r="80" spans="23:24" s="387" customFormat="1">
      <c r="W80" s="584"/>
      <c r="X80" s="584"/>
    </row>
    <row r="81" spans="23:24" s="387" customFormat="1">
      <c r="W81" s="584"/>
      <c r="X81" s="584"/>
    </row>
    <row r="82" spans="23:24" s="387" customFormat="1">
      <c r="W82" s="584"/>
      <c r="X82" s="584"/>
    </row>
    <row r="83" spans="23:24" s="387" customFormat="1">
      <c r="W83" s="584"/>
      <c r="X83" s="584"/>
    </row>
    <row r="84" spans="23:24" s="387" customFormat="1">
      <c r="W84" s="584"/>
      <c r="X84" s="584"/>
    </row>
    <row r="85" spans="23:24" s="387" customFormat="1">
      <c r="W85" s="584"/>
      <c r="X85" s="584"/>
    </row>
    <row r="86" spans="23:24" s="387" customFormat="1">
      <c r="W86" s="584"/>
      <c r="X86" s="584"/>
    </row>
    <row r="87" spans="23:24" s="387" customFormat="1">
      <c r="W87" s="584"/>
      <c r="X87" s="584"/>
    </row>
    <row r="88" spans="23:24" s="387" customFormat="1">
      <c r="W88" s="584"/>
      <c r="X88" s="584"/>
    </row>
    <row r="89" spans="23:24" s="387" customFormat="1">
      <c r="W89" s="584"/>
      <c r="X89" s="584"/>
    </row>
    <row r="90" spans="23:24" s="387" customFormat="1">
      <c r="W90" s="584"/>
      <c r="X90" s="584"/>
    </row>
    <row r="91" spans="23:24" s="387" customFormat="1">
      <c r="W91" s="584"/>
      <c r="X91" s="584"/>
    </row>
    <row r="92" spans="23:24" s="387" customFormat="1">
      <c r="W92" s="584"/>
      <c r="X92" s="584"/>
    </row>
    <row r="93" spans="23:24" s="387" customFormat="1">
      <c r="W93" s="584"/>
      <c r="X93" s="584"/>
    </row>
    <row r="94" spans="23:24" s="387" customFormat="1">
      <c r="W94" s="584"/>
      <c r="X94" s="584"/>
    </row>
    <row r="95" spans="23:24" s="387" customFormat="1">
      <c r="W95" s="584"/>
      <c r="X95" s="584"/>
    </row>
    <row r="96" spans="23:24" s="387" customFormat="1">
      <c r="W96" s="584"/>
      <c r="X96" s="584"/>
    </row>
    <row r="97" spans="23:24" s="387" customFormat="1">
      <c r="W97" s="584"/>
      <c r="X97" s="584"/>
    </row>
    <row r="98" spans="23:24" s="387" customFormat="1">
      <c r="W98" s="584"/>
      <c r="X98" s="584"/>
    </row>
    <row r="99" spans="23:24" s="387" customFormat="1">
      <c r="W99" s="584"/>
      <c r="X99" s="584"/>
    </row>
    <row r="100" spans="23:24" s="387" customFormat="1">
      <c r="W100" s="584"/>
      <c r="X100" s="584"/>
    </row>
    <row r="101" spans="23:24" s="387" customFormat="1">
      <c r="W101" s="584"/>
      <c r="X101" s="584"/>
    </row>
    <row r="102" spans="23:24" s="387" customFormat="1">
      <c r="W102" s="584"/>
      <c r="X102" s="584"/>
    </row>
    <row r="103" spans="23:24" s="387" customFormat="1">
      <c r="W103" s="584"/>
      <c r="X103" s="584"/>
    </row>
    <row r="104" spans="23:24" s="387" customFormat="1">
      <c r="W104" s="584"/>
      <c r="X104" s="584"/>
    </row>
    <row r="105" spans="23:24" s="387" customFormat="1">
      <c r="W105" s="584"/>
      <c r="X105" s="584"/>
    </row>
    <row r="106" spans="23:24" s="387" customFormat="1">
      <c r="W106" s="584"/>
      <c r="X106" s="584"/>
    </row>
    <row r="107" spans="23:24" s="387" customFormat="1">
      <c r="W107" s="584"/>
      <c r="X107" s="584"/>
    </row>
    <row r="108" spans="23:24" s="387" customFormat="1">
      <c r="W108" s="584"/>
      <c r="X108" s="584"/>
    </row>
    <row r="109" spans="23:24" s="387" customFormat="1">
      <c r="W109" s="584"/>
      <c r="X109" s="584"/>
    </row>
    <row r="110" spans="23:24" s="387" customFormat="1">
      <c r="W110" s="584"/>
      <c r="X110" s="584"/>
    </row>
    <row r="111" spans="23:24" s="387" customFormat="1">
      <c r="W111" s="584"/>
      <c r="X111" s="584"/>
    </row>
    <row r="112" spans="23:24" s="387" customFormat="1">
      <c r="W112" s="584"/>
      <c r="X112" s="584"/>
    </row>
    <row r="113" spans="23:24" s="387" customFormat="1">
      <c r="W113" s="584"/>
      <c r="X113" s="584"/>
    </row>
    <row r="114" spans="23:24" s="387" customFormat="1">
      <c r="W114" s="584"/>
      <c r="X114" s="584"/>
    </row>
    <row r="115" spans="23:24" s="387" customFormat="1">
      <c r="W115" s="584"/>
      <c r="X115" s="584"/>
    </row>
    <row r="116" spans="23:24" s="387" customFormat="1">
      <c r="W116" s="584"/>
      <c r="X116" s="584"/>
    </row>
    <row r="117" spans="23:24" s="387" customFormat="1">
      <c r="W117" s="584"/>
      <c r="X117" s="584"/>
    </row>
    <row r="118" spans="23:24" s="387" customFormat="1">
      <c r="W118" s="584"/>
      <c r="X118" s="584"/>
    </row>
    <row r="119" spans="23:24" s="387" customFormat="1">
      <c r="W119" s="584"/>
      <c r="X119" s="584"/>
    </row>
    <row r="120" spans="23:24" s="387" customFormat="1">
      <c r="W120" s="584"/>
      <c r="X120" s="584"/>
    </row>
    <row r="121" spans="23:24" s="387" customFormat="1">
      <c r="W121" s="584"/>
      <c r="X121" s="584"/>
    </row>
    <row r="122" spans="23:24" s="387" customFormat="1">
      <c r="W122" s="584"/>
      <c r="X122" s="584"/>
    </row>
    <row r="123" spans="23:24" s="387" customFormat="1">
      <c r="W123" s="584"/>
      <c r="X123" s="584"/>
    </row>
    <row r="124" spans="23:24" s="387" customFormat="1">
      <c r="W124" s="584"/>
      <c r="X124" s="584"/>
    </row>
    <row r="125" spans="23:24" s="387" customFormat="1">
      <c r="W125" s="584"/>
      <c r="X125" s="584"/>
    </row>
    <row r="126" spans="23:24" s="387" customFormat="1">
      <c r="W126" s="584"/>
      <c r="X126" s="584"/>
    </row>
    <row r="127" spans="23:24" s="387" customFormat="1">
      <c r="W127" s="584"/>
      <c r="X127" s="584"/>
    </row>
    <row r="128" spans="23:24" s="387" customFormat="1">
      <c r="W128" s="584"/>
      <c r="X128" s="584"/>
    </row>
    <row r="129" spans="23:24" s="387" customFormat="1">
      <c r="W129" s="584"/>
      <c r="X129" s="584"/>
    </row>
    <row r="130" spans="23:24" s="387" customFormat="1">
      <c r="W130" s="584"/>
      <c r="X130" s="584"/>
    </row>
    <row r="131" spans="23:24" s="387" customFormat="1">
      <c r="W131" s="584"/>
      <c r="X131" s="584"/>
    </row>
    <row r="132" spans="23:24" s="387" customFormat="1">
      <c r="W132" s="584"/>
      <c r="X132" s="584"/>
    </row>
    <row r="133" spans="23:24" s="387" customFormat="1">
      <c r="W133" s="584"/>
      <c r="X133" s="584"/>
    </row>
    <row r="134" spans="23:24" s="387" customFormat="1">
      <c r="W134" s="584"/>
      <c r="X134" s="584"/>
    </row>
    <row r="135" spans="23:24" s="387" customFormat="1">
      <c r="W135" s="584"/>
      <c r="X135" s="584"/>
    </row>
    <row r="136" spans="23:24" s="387" customFormat="1">
      <c r="W136" s="584"/>
      <c r="X136" s="584"/>
    </row>
    <row r="137" spans="23:24" s="387" customFormat="1">
      <c r="W137" s="584"/>
      <c r="X137" s="584"/>
    </row>
    <row r="138" spans="23:24" s="387" customFormat="1">
      <c r="W138" s="584"/>
      <c r="X138" s="584"/>
    </row>
    <row r="139" spans="23:24" s="387" customFormat="1">
      <c r="W139" s="584"/>
      <c r="X139" s="584"/>
    </row>
    <row r="140" spans="23:24" s="387" customFormat="1">
      <c r="W140" s="584"/>
      <c r="X140" s="584"/>
    </row>
    <row r="141" spans="23:24" s="387" customFormat="1">
      <c r="W141" s="584"/>
      <c r="X141" s="584"/>
    </row>
    <row r="142" spans="23:24" s="387" customFormat="1">
      <c r="W142" s="584"/>
      <c r="X142" s="584"/>
    </row>
    <row r="143" spans="23:24" s="387" customFormat="1">
      <c r="W143" s="584"/>
      <c r="X143" s="584"/>
    </row>
    <row r="144" spans="23:24" s="387" customFormat="1">
      <c r="W144" s="584"/>
      <c r="X144" s="584"/>
    </row>
    <row r="145" spans="23:24" s="387" customFormat="1">
      <c r="W145" s="584"/>
      <c r="X145" s="584"/>
    </row>
    <row r="146" spans="23:24" s="387" customFormat="1">
      <c r="W146" s="584"/>
      <c r="X146" s="584"/>
    </row>
    <row r="147" spans="23:24" s="387" customFormat="1">
      <c r="W147" s="584"/>
      <c r="X147" s="584"/>
    </row>
    <row r="148" spans="23:24" s="387" customFormat="1">
      <c r="W148" s="584"/>
      <c r="X148" s="584"/>
    </row>
    <row r="149" spans="23:24" s="387" customFormat="1">
      <c r="W149" s="584"/>
      <c r="X149" s="584"/>
    </row>
    <row r="150" spans="23:24" s="387" customFormat="1">
      <c r="W150" s="584"/>
      <c r="X150" s="584"/>
    </row>
    <row r="151" spans="23:24" s="387" customFormat="1">
      <c r="W151" s="584"/>
      <c r="X151" s="584"/>
    </row>
    <row r="152" spans="23:24" s="387" customFormat="1">
      <c r="W152" s="584"/>
      <c r="X152" s="584"/>
    </row>
    <row r="153" spans="23:24" s="387" customFormat="1">
      <c r="W153" s="584"/>
      <c r="X153" s="584"/>
    </row>
    <row r="154" spans="23:24" s="387" customFormat="1">
      <c r="W154" s="584"/>
      <c r="X154" s="584"/>
    </row>
    <row r="155" spans="23:24" s="387" customFormat="1">
      <c r="W155" s="584"/>
      <c r="X155" s="584"/>
    </row>
    <row r="156" spans="23:24" s="387" customFormat="1">
      <c r="W156" s="584"/>
      <c r="X156" s="584"/>
    </row>
    <row r="157" spans="23:24" s="387" customFormat="1">
      <c r="W157" s="584"/>
      <c r="X157" s="584"/>
    </row>
    <row r="158" spans="23:24" s="387" customFormat="1">
      <c r="W158" s="584"/>
      <c r="X158" s="584"/>
    </row>
    <row r="159" spans="23:24" s="387" customFormat="1">
      <c r="W159" s="584"/>
      <c r="X159" s="584"/>
    </row>
    <row r="160" spans="23:24" s="387" customFormat="1">
      <c r="W160" s="584"/>
      <c r="X160" s="584"/>
    </row>
    <row r="161" spans="23:24" s="387" customFormat="1">
      <c r="W161" s="584"/>
      <c r="X161" s="584"/>
    </row>
    <row r="162" spans="23:24" s="387" customFormat="1">
      <c r="W162" s="584"/>
      <c r="X162" s="584"/>
    </row>
    <row r="163" spans="23:24" s="387" customFormat="1">
      <c r="W163" s="584"/>
      <c r="X163" s="584"/>
    </row>
    <row r="164" spans="23:24" s="387" customFormat="1">
      <c r="W164" s="584"/>
      <c r="X164" s="584"/>
    </row>
    <row r="165" spans="23:24" s="387" customFormat="1">
      <c r="W165" s="584"/>
      <c r="X165" s="584"/>
    </row>
    <row r="166" spans="23:24" s="387" customFormat="1">
      <c r="W166" s="584"/>
      <c r="X166" s="584"/>
    </row>
    <row r="167" spans="23:24" s="387" customFormat="1">
      <c r="W167" s="584"/>
      <c r="X167" s="584"/>
    </row>
    <row r="168" spans="23:24" s="387" customFormat="1">
      <c r="W168" s="584"/>
      <c r="X168" s="584"/>
    </row>
    <row r="169" spans="23:24" s="387" customFormat="1">
      <c r="W169" s="584"/>
      <c r="X169" s="584"/>
    </row>
    <row r="170" spans="23:24" s="387" customFormat="1">
      <c r="W170" s="584"/>
      <c r="X170" s="584"/>
    </row>
    <row r="171" spans="23:24" s="387" customFormat="1">
      <c r="W171" s="584"/>
      <c r="X171" s="584"/>
    </row>
    <row r="172" spans="23:24" s="387" customFormat="1">
      <c r="W172" s="584"/>
      <c r="X172" s="584"/>
    </row>
    <row r="173" spans="23:24" s="387" customFormat="1">
      <c r="W173" s="584"/>
      <c r="X173" s="584"/>
    </row>
    <row r="174" spans="23:24" s="387" customFormat="1">
      <c r="W174" s="584"/>
      <c r="X174" s="584"/>
    </row>
    <row r="175" spans="23:24" s="387" customFormat="1">
      <c r="W175" s="584"/>
      <c r="X175" s="584"/>
    </row>
    <row r="176" spans="23:24" s="387" customFormat="1">
      <c r="W176" s="584"/>
      <c r="X176" s="584"/>
    </row>
    <row r="177" spans="23:24" s="387" customFormat="1">
      <c r="W177" s="584"/>
      <c r="X177" s="584"/>
    </row>
    <row r="178" spans="23:24" s="387" customFormat="1">
      <c r="W178" s="584"/>
      <c r="X178" s="584"/>
    </row>
    <row r="179" spans="23:24" s="387" customFormat="1">
      <c r="W179" s="584"/>
      <c r="X179" s="584"/>
    </row>
    <row r="180" spans="23:24" s="387" customFormat="1">
      <c r="W180" s="584"/>
      <c r="X180" s="584"/>
    </row>
    <row r="181" spans="23:24" s="387" customFormat="1">
      <c r="W181" s="584"/>
      <c r="X181" s="584"/>
    </row>
    <row r="182" spans="23:24" s="387" customFormat="1">
      <c r="W182" s="584"/>
      <c r="X182" s="584"/>
    </row>
    <row r="183" spans="23:24" s="387" customFormat="1">
      <c r="W183" s="584"/>
      <c r="X183" s="584"/>
    </row>
    <row r="184" spans="23:24" s="387" customFormat="1">
      <c r="W184" s="584"/>
      <c r="X184" s="584"/>
    </row>
    <row r="185" spans="23:24" s="387" customFormat="1">
      <c r="W185" s="584"/>
      <c r="X185" s="584"/>
    </row>
    <row r="186" spans="23:24" s="387" customFormat="1">
      <c r="W186" s="584"/>
      <c r="X186" s="584"/>
    </row>
    <row r="187" spans="23:24" s="387" customFormat="1">
      <c r="W187" s="584"/>
      <c r="X187" s="584"/>
    </row>
    <row r="188" spans="23:24" s="387" customFormat="1">
      <c r="W188" s="584"/>
      <c r="X188" s="584"/>
    </row>
    <row r="189" spans="23:24" s="387" customFormat="1">
      <c r="W189" s="584"/>
      <c r="X189" s="584"/>
    </row>
    <row r="190" spans="23:24" s="387" customFormat="1">
      <c r="W190" s="584"/>
      <c r="X190" s="584"/>
    </row>
    <row r="191" spans="23:24" s="387" customFormat="1">
      <c r="W191" s="584"/>
      <c r="X191" s="584"/>
    </row>
    <row r="192" spans="23:24" s="387" customFormat="1">
      <c r="W192" s="584"/>
      <c r="X192" s="584"/>
    </row>
    <row r="193" spans="23:24" s="387" customFormat="1">
      <c r="W193" s="584"/>
      <c r="X193" s="584"/>
    </row>
    <row r="194" spans="23:24" s="387" customFormat="1">
      <c r="W194" s="584"/>
      <c r="X194" s="584"/>
    </row>
    <row r="195" spans="23:24" s="387" customFormat="1">
      <c r="W195" s="584"/>
      <c r="X195" s="584"/>
    </row>
    <row r="196" spans="23:24" s="387" customFormat="1">
      <c r="W196" s="584"/>
      <c r="X196" s="584"/>
    </row>
    <row r="197" spans="23:24" s="387" customFormat="1">
      <c r="W197" s="584"/>
      <c r="X197" s="584"/>
    </row>
    <row r="198" spans="23:24" s="387" customFormat="1">
      <c r="W198" s="584"/>
      <c r="X198" s="584"/>
    </row>
    <row r="199" spans="23:24" s="387" customFormat="1">
      <c r="W199" s="584"/>
      <c r="X199" s="584"/>
    </row>
    <row r="200" spans="23:24" s="387" customFormat="1">
      <c r="W200" s="584"/>
      <c r="X200" s="584"/>
    </row>
    <row r="201" spans="23:24" s="387" customFormat="1">
      <c r="W201" s="584"/>
      <c r="X201" s="584"/>
    </row>
    <row r="202" spans="23:24" s="387" customFormat="1">
      <c r="W202" s="584"/>
      <c r="X202" s="584"/>
    </row>
    <row r="203" spans="23:24" s="387" customFormat="1">
      <c r="W203" s="584"/>
      <c r="X203" s="584"/>
    </row>
    <row r="204" spans="23:24" s="387" customFormat="1">
      <c r="W204" s="584"/>
      <c r="X204" s="584"/>
    </row>
    <row r="205" spans="23:24" s="387" customFormat="1">
      <c r="W205" s="584"/>
      <c r="X205" s="584"/>
    </row>
    <row r="206" spans="23:24" s="387" customFormat="1">
      <c r="W206" s="584"/>
      <c r="X206" s="584"/>
    </row>
    <row r="207" spans="23:24" s="387" customFormat="1">
      <c r="W207" s="584"/>
      <c r="X207" s="584"/>
    </row>
    <row r="208" spans="23:24" s="387" customFormat="1">
      <c r="W208" s="584"/>
      <c r="X208" s="584"/>
    </row>
    <row r="209" spans="23:24" s="387" customFormat="1">
      <c r="W209" s="584"/>
      <c r="X209" s="584"/>
    </row>
    <row r="210" spans="23:24" s="387" customFormat="1">
      <c r="W210" s="584"/>
      <c r="X210" s="584"/>
    </row>
    <row r="211" spans="23:24" s="387" customFormat="1">
      <c r="W211" s="584"/>
      <c r="X211" s="584"/>
    </row>
    <row r="212" spans="23:24" s="387" customFormat="1">
      <c r="W212" s="584"/>
      <c r="X212" s="584"/>
    </row>
    <row r="213" spans="23:24" s="387" customFormat="1">
      <c r="W213" s="584"/>
      <c r="X213" s="584"/>
    </row>
    <row r="214" spans="23:24" s="387" customFormat="1">
      <c r="W214" s="584"/>
      <c r="X214" s="584"/>
    </row>
    <row r="215" spans="23:24" s="387" customFormat="1">
      <c r="W215" s="584"/>
      <c r="X215" s="584"/>
    </row>
    <row r="216" spans="23:24" s="387" customFormat="1">
      <c r="W216" s="584"/>
      <c r="X216" s="584"/>
    </row>
    <row r="217" spans="23:24" s="387" customFormat="1">
      <c r="W217" s="584"/>
      <c r="X217" s="584"/>
    </row>
    <row r="218" spans="23:24" s="387" customFormat="1">
      <c r="W218" s="584"/>
      <c r="X218" s="584"/>
    </row>
    <row r="219" spans="23:24" s="387" customFormat="1">
      <c r="W219" s="584"/>
      <c r="X219" s="584"/>
    </row>
    <row r="220" spans="23:24" s="387" customFormat="1">
      <c r="W220" s="584"/>
      <c r="X220" s="584"/>
    </row>
    <row r="221" spans="23:24" s="387" customFormat="1">
      <c r="W221" s="584"/>
      <c r="X221" s="584"/>
    </row>
    <row r="222" spans="23:24" s="387" customFormat="1">
      <c r="W222" s="584"/>
      <c r="X222" s="584"/>
    </row>
    <row r="223" spans="23:24" s="387" customFormat="1">
      <c r="W223" s="584"/>
      <c r="X223" s="584"/>
    </row>
    <row r="224" spans="23:24" s="387" customFormat="1">
      <c r="W224" s="584"/>
      <c r="X224" s="584"/>
    </row>
    <row r="225" spans="23:24" s="387" customFormat="1">
      <c r="W225" s="584"/>
      <c r="X225" s="584"/>
    </row>
    <row r="226" spans="23:24" s="387" customFormat="1">
      <c r="W226" s="584"/>
      <c r="X226" s="584"/>
    </row>
    <row r="227" spans="23:24" s="387" customFormat="1">
      <c r="W227" s="584"/>
      <c r="X227" s="584"/>
    </row>
    <row r="228" spans="23:24" s="387" customFormat="1">
      <c r="W228" s="584"/>
      <c r="X228" s="584"/>
    </row>
    <row r="229" spans="23:24" s="387" customFormat="1">
      <c r="W229" s="584"/>
      <c r="X229" s="584"/>
    </row>
    <row r="230" spans="23:24" s="387" customFormat="1">
      <c r="W230" s="584"/>
      <c r="X230" s="584"/>
    </row>
    <row r="231" spans="23:24" s="387" customFormat="1">
      <c r="W231" s="584"/>
      <c r="X231" s="584"/>
    </row>
    <row r="232" spans="23:24" s="387" customFormat="1">
      <c r="W232" s="584"/>
      <c r="X232" s="584"/>
    </row>
    <row r="233" spans="23:24" s="387" customFormat="1">
      <c r="W233" s="584"/>
      <c r="X233" s="584"/>
    </row>
    <row r="234" spans="23:24" s="387" customFormat="1">
      <c r="W234" s="584"/>
      <c r="X234" s="584"/>
    </row>
    <row r="235" spans="23:24" s="387" customFormat="1">
      <c r="W235" s="584"/>
      <c r="X235" s="584"/>
    </row>
    <row r="236" spans="23:24" s="387" customFormat="1">
      <c r="W236" s="584"/>
      <c r="X236" s="584"/>
    </row>
    <row r="237" spans="23:24" s="387" customFormat="1">
      <c r="W237" s="584"/>
      <c r="X237" s="584"/>
    </row>
    <row r="238" spans="23:24" s="387" customFormat="1">
      <c r="W238" s="584"/>
      <c r="X238" s="584"/>
    </row>
    <row r="239" spans="23:24" s="387" customFormat="1">
      <c r="W239" s="584"/>
      <c r="X239" s="584"/>
    </row>
    <row r="240" spans="23:24" s="387" customFormat="1">
      <c r="W240" s="584"/>
      <c r="X240" s="584"/>
    </row>
    <row r="241" spans="23:24" s="387" customFormat="1">
      <c r="W241" s="584"/>
      <c r="X241" s="584"/>
    </row>
    <row r="242" spans="23:24" s="387" customFormat="1">
      <c r="W242" s="584"/>
      <c r="X242" s="584"/>
    </row>
    <row r="243" spans="23:24" s="387" customFormat="1">
      <c r="W243" s="584"/>
      <c r="X243" s="584"/>
    </row>
    <row r="244" spans="23:24" s="387" customFormat="1">
      <c r="W244" s="584"/>
      <c r="X244" s="584"/>
    </row>
    <row r="245" spans="23:24" s="387" customFormat="1">
      <c r="W245" s="584"/>
      <c r="X245" s="584"/>
    </row>
    <row r="246" spans="23:24" s="387" customFormat="1">
      <c r="W246" s="584"/>
      <c r="X246" s="584"/>
    </row>
    <row r="247" spans="23:24" s="387" customFormat="1">
      <c r="W247" s="584"/>
      <c r="X247" s="584"/>
    </row>
    <row r="248" spans="23:24" s="387" customFormat="1">
      <c r="W248" s="584"/>
      <c r="X248" s="584"/>
    </row>
    <row r="249" spans="23:24" s="387" customFormat="1">
      <c r="W249" s="584"/>
      <c r="X249" s="584"/>
    </row>
    <row r="250" spans="23:24" s="387" customFormat="1">
      <c r="W250" s="584"/>
      <c r="X250" s="584"/>
    </row>
    <row r="251" spans="23:24" s="387" customFormat="1">
      <c r="W251" s="584"/>
      <c r="X251" s="584"/>
    </row>
    <row r="252" spans="23:24" s="387" customFormat="1">
      <c r="W252" s="584"/>
      <c r="X252" s="584"/>
    </row>
    <row r="253" spans="23:24" s="387" customFormat="1">
      <c r="W253" s="584"/>
      <c r="X253" s="584"/>
    </row>
    <row r="254" spans="23:24" s="387" customFormat="1">
      <c r="W254" s="584"/>
      <c r="X254" s="584"/>
    </row>
    <row r="255" spans="23:24" s="387" customFormat="1">
      <c r="W255" s="584"/>
      <c r="X255" s="584"/>
    </row>
    <row r="256" spans="23:24" s="387" customFormat="1">
      <c r="W256" s="584"/>
      <c r="X256" s="584"/>
    </row>
    <row r="257" spans="23:24" s="387" customFormat="1">
      <c r="W257" s="584"/>
      <c r="X257" s="584"/>
    </row>
    <row r="258" spans="23:24" s="387" customFormat="1">
      <c r="W258" s="584"/>
      <c r="X258" s="584"/>
    </row>
    <row r="259" spans="23:24" s="387" customFormat="1">
      <c r="W259" s="584"/>
      <c r="X259" s="584"/>
    </row>
    <row r="260" spans="23:24" s="387" customFormat="1">
      <c r="W260" s="584"/>
      <c r="X260" s="584"/>
    </row>
    <row r="261" spans="23:24" s="387" customFormat="1">
      <c r="W261" s="584"/>
      <c r="X261" s="584"/>
    </row>
    <row r="262" spans="23:24" s="387" customFormat="1">
      <c r="W262" s="584"/>
      <c r="X262" s="584"/>
    </row>
    <row r="263" spans="23:24" s="387" customFormat="1">
      <c r="W263" s="584"/>
      <c r="X263" s="584"/>
    </row>
    <row r="264" spans="23:24" s="387" customFormat="1">
      <c r="W264" s="584"/>
      <c r="X264" s="584"/>
    </row>
    <row r="265" spans="23:24" s="387" customFormat="1">
      <c r="W265" s="584"/>
      <c r="X265" s="584"/>
    </row>
    <row r="266" spans="23:24" s="387" customFormat="1">
      <c r="W266" s="584"/>
      <c r="X266" s="584"/>
    </row>
    <row r="267" spans="23:24" s="387" customFormat="1">
      <c r="W267" s="584"/>
      <c r="X267" s="584"/>
    </row>
    <row r="268" spans="23:24" s="387" customFormat="1">
      <c r="W268" s="584"/>
      <c r="X268" s="584"/>
    </row>
    <row r="269" spans="23:24" s="387" customFormat="1">
      <c r="W269" s="584"/>
      <c r="X269" s="584"/>
    </row>
    <row r="270" spans="23:24" s="387" customFormat="1">
      <c r="W270" s="584"/>
      <c r="X270" s="584"/>
    </row>
    <row r="271" spans="23:24" s="387" customFormat="1">
      <c r="W271" s="584"/>
      <c r="X271" s="584"/>
    </row>
    <row r="272" spans="23:24" s="387" customFormat="1">
      <c r="W272" s="584"/>
      <c r="X272" s="584"/>
    </row>
    <row r="273" spans="23:24" s="387" customFormat="1">
      <c r="W273" s="584"/>
      <c r="X273" s="584"/>
    </row>
    <row r="274" spans="23:24" s="387" customFormat="1">
      <c r="W274" s="584"/>
      <c r="X274" s="584"/>
    </row>
    <row r="275" spans="23:24" s="387" customFormat="1">
      <c r="W275" s="584"/>
      <c r="X275" s="584"/>
    </row>
    <row r="276" spans="23:24" s="387" customFormat="1">
      <c r="W276" s="584"/>
      <c r="X276" s="584"/>
    </row>
    <row r="277" spans="23:24" s="387" customFormat="1">
      <c r="W277" s="584"/>
      <c r="X277" s="584"/>
    </row>
    <row r="278" spans="23:24" s="387" customFormat="1">
      <c r="W278" s="584"/>
      <c r="X278" s="584"/>
    </row>
    <row r="279" spans="23:24" s="387" customFormat="1">
      <c r="W279" s="584"/>
      <c r="X279" s="584"/>
    </row>
    <row r="280" spans="23:24" s="387" customFormat="1">
      <c r="W280" s="584"/>
      <c r="X280" s="584"/>
    </row>
    <row r="281" spans="23:24" s="387" customFormat="1">
      <c r="W281" s="584"/>
      <c r="X281" s="584"/>
    </row>
    <row r="282" spans="23:24" s="387" customFormat="1">
      <c r="W282" s="584"/>
      <c r="X282" s="584"/>
    </row>
    <row r="283" spans="23:24" s="387" customFormat="1">
      <c r="W283" s="584"/>
      <c r="X283" s="584"/>
    </row>
    <row r="284" spans="23:24" s="387" customFormat="1">
      <c r="W284" s="584"/>
      <c r="X284" s="584"/>
    </row>
    <row r="285" spans="23:24" s="387" customFormat="1">
      <c r="W285" s="584"/>
      <c r="X285" s="584"/>
    </row>
    <row r="286" spans="23:24" s="387" customFormat="1">
      <c r="W286" s="584"/>
      <c r="X286" s="584"/>
    </row>
    <row r="287" spans="23:24" s="387" customFormat="1">
      <c r="W287" s="584"/>
      <c r="X287" s="584"/>
    </row>
    <row r="288" spans="23:24" s="387" customFormat="1">
      <c r="W288" s="584"/>
      <c r="X288" s="584"/>
    </row>
    <row r="289" spans="23:24" s="387" customFormat="1">
      <c r="W289" s="584"/>
      <c r="X289" s="584"/>
    </row>
    <row r="290" spans="23:24" s="387" customFormat="1">
      <c r="W290" s="584"/>
      <c r="X290" s="584"/>
    </row>
    <row r="291" spans="23:24" s="387" customFormat="1">
      <c r="W291" s="584"/>
      <c r="X291" s="584"/>
    </row>
    <row r="292" spans="23:24" s="387" customFormat="1">
      <c r="W292" s="584"/>
      <c r="X292" s="584"/>
    </row>
    <row r="293" spans="23:24" s="387" customFormat="1">
      <c r="W293" s="584"/>
      <c r="X293" s="584"/>
    </row>
    <row r="294" spans="23:24" s="387" customFormat="1">
      <c r="W294" s="584"/>
      <c r="X294" s="584"/>
    </row>
    <row r="295" spans="23:24" s="387" customFormat="1">
      <c r="W295" s="584"/>
      <c r="X295" s="584"/>
    </row>
    <row r="296" spans="23:24" s="387" customFormat="1">
      <c r="W296" s="584"/>
      <c r="X296" s="584"/>
    </row>
    <row r="297" spans="23:24" s="387" customFormat="1">
      <c r="W297" s="584"/>
      <c r="X297" s="584"/>
    </row>
    <row r="298" spans="23:24" s="387" customFormat="1">
      <c r="W298" s="584"/>
      <c r="X298" s="584"/>
    </row>
    <row r="299" spans="23:24" s="387" customFormat="1">
      <c r="W299" s="584"/>
      <c r="X299" s="584"/>
    </row>
    <row r="300" spans="23:24" s="387" customFormat="1">
      <c r="W300" s="584"/>
      <c r="X300" s="584"/>
    </row>
    <row r="301" spans="23:24" s="387" customFormat="1">
      <c r="W301" s="584"/>
      <c r="X301" s="584"/>
    </row>
    <row r="302" spans="23:24" s="387" customFormat="1">
      <c r="W302" s="584"/>
      <c r="X302" s="584"/>
    </row>
    <row r="303" spans="23:24" s="387" customFormat="1">
      <c r="W303" s="584"/>
      <c r="X303" s="584"/>
    </row>
    <row r="304" spans="23:24" s="387" customFormat="1">
      <c r="W304" s="584"/>
      <c r="X304" s="584"/>
    </row>
    <row r="305" spans="23:24" s="387" customFormat="1">
      <c r="W305" s="584"/>
      <c r="X305" s="584"/>
    </row>
    <row r="306" spans="23:24" s="387" customFormat="1">
      <c r="W306" s="584"/>
      <c r="X306" s="584"/>
    </row>
    <row r="307" spans="23:24" s="387" customFormat="1">
      <c r="W307" s="584"/>
      <c r="X307" s="584"/>
    </row>
    <row r="308" spans="23:24" s="387" customFormat="1">
      <c r="W308" s="584"/>
      <c r="X308" s="584"/>
    </row>
    <row r="309" spans="23:24" s="387" customFormat="1">
      <c r="W309" s="584"/>
      <c r="X309" s="584"/>
    </row>
    <row r="310" spans="23:24" s="387" customFormat="1">
      <c r="W310" s="584"/>
      <c r="X310" s="584"/>
    </row>
    <row r="311" spans="23:24" s="387" customFormat="1">
      <c r="W311" s="584"/>
      <c r="X311" s="584"/>
    </row>
    <row r="312" spans="23:24" s="387" customFormat="1">
      <c r="W312" s="584"/>
      <c r="X312" s="584"/>
    </row>
    <row r="313" spans="23:24" s="387" customFormat="1">
      <c r="W313" s="584"/>
      <c r="X313" s="584"/>
    </row>
    <row r="314" spans="23:24" s="387" customFormat="1">
      <c r="W314" s="584"/>
      <c r="X314" s="584"/>
    </row>
    <row r="315" spans="23:24" s="387" customFormat="1">
      <c r="W315" s="584"/>
      <c r="X315" s="584"/>
    </row>
    <row r="316" spans="23:24" s="387" customFormat="1">
      <c r="W316" s="584"/>
      <c r="X316" s="584"/>
    </row>
    <row r="317" spans="23:24" s="387" customFormat="1">
      <c r="W317" s="584"/>
      <c r="X317" s="584"/>
    </row>
    <row r="318" spans="23:24" s="387" customFormat="1">
      <c r="W318" s="584"/>
      <c r="X318" s="584"/>
    </row>
    <row r="319" spans="23:24" s="387" customFormat="1">
      <c r="W319" s="584"/>
      <c r="X319" s="584"/>
    </row>
    <row r="320" spans="23:24" s="387" customFormat="1">
      <c r="W320" s="584"/>
      <c r="X320" s="584"/>
    </row>
    <row r="321" spans="23:24" s="387" customFormat="1">
      <c r="W321" s="584"/>
      <c r="X321" s="584"/>
    </row>
    <row r="322" spans="23:24" s="387" customFormat="1">
      <c r="W322" s="584"/>
      <c r="X322" s="584"/>
    </row>
    <row r="323" spans="23:24" s="387" customFormat="1">
      <c r="W323" s="584"/>
      <c r="X323" s="584"/>
    </row>
    <row r="324" spans="23:24" s="387" customFormat="1">
      <c r="W324" s="584"/>
      <c r="X324" s="584"/>
    </row>
    <row r="325" spans="23:24" s="387" customFormat="1">
      <c r="W325" s="584"/>
      <c r="X325" s="584"/>
    </row>
    <row r="326" spans="23:24" s="387" customFormat="1">
      <c r="W326" s="584"/>
      <c r="X326" s="584"/>
    </row>
    <row r="327" spans="23:24" s="387" customFormat="1">
      <c r="W327" s="584"/>
      <c r="X327" s="584"/>
    </row>
    <row r="328" spans="23:24" s="387" customFormat="1">
      <c r="W328" s="584"/>
      <c r="X328" s="584"/>
    </row>
    <row r="329" spans="23:24" s="387" customFormat="1">
      <c r="W329" s="584"/>
      <c r="X329" s="584"/>
    </row>
    <row r="330" spans="23:24" s="387" customFormat="1">
      <c r="W330" s="584"/>
      <c r="X330" s="584"/>
    </row>
    <row r="331" spans="23:24" s="387" customFormat="1">
      <c r="W331" s="584"/>
      <c r="X331" s="584"/>
    </row>
    <row r="332" spans="23:24" s="387" customFormat="1">
      <c r="W332" s="584"/>
      <c r="X332" s="584"/>
    </row>
    <row r="333" spans="23:24" s="387" customFormat="1">
      <c r="W333" s="584"/>
      <c r="X333" s="584"/>
    </row>
    <row r="334" spans="23:24" s="387" customFormat="1">
      <c r="W334" s="584"/>
      <c r="X334" s="584"/>
    </row>
    <row r="335" spans="23:24" s="387" customFormat="1">
      <c r="W335" s="584"/>
      <c r="X335" s="584"/>
    </row>
    <row r="336" spans="23:24" s="387" customFormat="1">
      <c r="W336" s="584"/>
      <c r="X336" s="584"/>
    </row>
    <row r="337" spans="23:24" s="387" customFormat="1">
      <c r="W337" s="584"/>
      <c r="X337" s="584"/>
    </row>
    <row r="338" spans="23:24" s="387" customFormat="1">
      <c r="W338" s="584"/>
      <c r="X338" s="584"/>
    </row>
    <row r="339" spans="23:24" s="387" customFormat="1">
      <c r="W339" s="584"/>
      <c r="X339" s="584"/>
    </row>
    <row r="340" spans="23:24" s="387" customFormat="1">
      <c r="W340" s="584"/>
      <c r="X340" s="584"/>
    </row>
    <row r="341" spans="23:24" s="387" customFormat="1">
      <c r="W341" s="584"/>
      <c r="X341" s="584"/>
    </row>
    <row r="342" spans="23:24" s="387" customFormat="1">
      <c r="W342" s="584"/>
      <c r="X342" s="584"/>
    </row>
    <row r="343" spans="23:24" s="387" customFormat="1">
      <c r="W343" s="584"/>
      <c r="X343" s="584"/>
    </row>
    <row r="344" spans="23:24" s="387" customFormat="1">
      <c r="W344" s="584"/>
      <c r="X344" s="584"/>
    </row>
    <row r="345" spans="23:24" s="387" customFormat="1">
      <c r="W345" s="584"/>
      <c r="X345" s="584"/>
    </row>
    <row r="346" spans="23:24" s="387" customFormat="1">
      <c r="W346" s="584"/>
      <c r="X346" s="584"/>
    </row>
    <row r="347" spans="23:24" s="387" customFormat="1">
      <c r="W347" s="584"/>
      <c r="X347" s="584"/>
    </row>
    <row r="348" spans="23:24" s="387" customFormat="1">
      <c r="W348" s="584"/>
      <c r="X348" s="584"/>
    </row>
    <row r="349" spans="23:24" s="387" customFormat="1">
      <c r="W349" s="584"/>
      <c r="X349" s="584"/>
    </row>
    <row r="350" spans="23:24" s="387" customFormat="1">
      <c r="W350" s="584"/>
      <c r="X350" s="584"/>
    </row>
    <row r="351" spans="23:24" s="387" customFormat="1">
      <c r="W351" s="584"/>
      <c r="X351" s="584"/>
    </row>
    <row r="352" spans="23:24" s="387" customFormat="1">
      <c r="W352" s="584"/>
      <c r="X352" s="584"/>
    </row>
    <row r="353" spans="23:24" s="387" customFormat="1">
      <c r="W353" s="584"/>
      <c r="X353" s="584"/>
    </row>
    <row r="354" spans="23:24" s="387" customFormat="1">
      <c r="W354" s="584"/>
      <c r="X354" s="584"/>
    </row>
    <row r="355" spans="23:24" s="387" customFormat="1">
      <c r="W355" s="584"/>
      <c r="X355" s="584"/>
    </row>
    <row r="356" spans="23:24" s="387" customFormat="1">
      <c r="W356" s="584"/>
      <c r="X356" s="584"/>
    </row>
    <row r="357" spans="23:24" s="387" customFormat="1">
      <c r="W357" s="584"/>
      <c r="X357" s="584"/>
    </row>
    <row r="358" spans="23:24" s="387" customFormat="1">
      <c r="W358" s="584"/>
      <c r="X358" s="584"/>
    </row>
    <row r="359" spans="23:24" s="387" customFormat="1">
      <c r="W359" s="584"/>
      <c r="X359" s="584"/>
    </row>
    <row r="360" spans="23:24" s="387" customFormat="1">
      <c r="W360" s="584"/>
      <c r="X360" s="584"/>
    </row>
    <row r="361" spans="23:24" s="387" customFormat="1">
      <c r="W361" s="584"/>
      <c r="X361" s="584"/>
    </row>
    <row r="362" spans="23:24" s="387" customFormat="1">
      <c r="W362" s="584"/>
      <c r="X362" s="584"/>
    </row>
    <row r="363" spans="23:24" s="387" customFormat="1">
      <c r="W363" s="584"/>
      <c r="X363" s="584"/>
    </row>
    <row r="364" spans="23:24" s="387" customFormat="1">
      <c r="W364" s="584"/>
      <c r="X364" s="584"/>
    </row>
    <row r="365" spans="23:24" s="387" customFormat="1">
      <c r="W365" s="584"/>
      <c r="X365" s="584"/>
    </row>
    <row r="366" spans="23:24" s="387" customFormat="1">
      <c r="W366" s="584"/>
      <c r="X366" s="584"/>
    </row>
    <row r="367" spans="23:24" s="387" customFormat="1">
      <c r="W367" s="584"/>
      <c r="X367" s="584"/>
    </row>
    <row r="368" spans="23:24" s="387" customFormat="1">
      <c r="W368" s="584"/>
      <c r="X368" s="584"/>
    </row>
    <row r="369" spans="23:24" s="387" customFormat="1">
      <c r="W369" s="584"/>
      <c r="X369" s="584"/>
    </row>
    <row r="370" spans="23:24" s="387" customFormat="1">
      <c r="W370" s="584"/>
      <c r="X370" s="584"/>
    </row>
    <row r="371" spans="23:24" s="387" customFormat="1">
      <c r="W371" s="584"/>
      <c r="X371" s="584"/>
    </row>
    <row r="372" spans="23:24" s="387" customFormat="1">
      <c r="W372" s="584"/>
      <c r="X372" s="584"/>
    </row>
    <row r="373" spans="23:24" s="387" customFormat="1">
      <c r="W373" s="584"/>
      <c r="X373" s="584"/>
    </row>
    <row r="374" spans="23:24" s="387" customFormat="1">
      <c r="W374" s="584"/>
      <c r="X374" s="584"/>
    </row>
    <row r="375" spans="23:24" s="387" customFormat="1">
      <c r="W375" s="584"/>
      <c r="X375" s="584"/>
    </row>
    <row r="376" spans="23:24" s="387" customFormat="1">
      <c r="W376" s="584"/>
      <c r="X376" s="584"/>
    </row>
    <row r="377" spans="23:24" s="387" customFormat="1">
      <c r="W377" s="584"/>
      <c r="X377" s="584"/>
    </row>
    <row r="378" spans="23:24" s="387" customFormat="1">
      <c r="W378" s="584"/>
      <c r="X378" s="584"/>
    </row>
    <row r="379" spans="23:24" s="387" customFormat="1">
      <c r="W379" s="584"/>
      <c r="X379" s="584"/>
    </row>
    <row r="380" spans="23:24" s="387" customFormat="1">
      <c r="W380" s="584"/>
      <c r="X380" s="584"/>
    </row>
    <row r="381" spans="23:24" s="387" customFormat="1">
      <c r="W381" s="584"/>
      <c r="X381" s="584"/>
    </row>
    <row r="382" spans="23:24" s="387" customFormat="1">
      <c r="W382" s="584"/>
      <c r="X382" s="584"/>
    </row>
    <row r="383" spans="23:24" s="387" customFormat="1">
      <c r="W383" s="584"/>
      <c r="X383" s="584"/>
    </row>
    <row r="384" spans="23:24" s="387" customFormat="1">
      <c r="W384" s="584"/>
      <c r="X384" s="584"/>
    </row>
    <row r="385" spans="23:24" s="387" customFormat="1">
      <c r="W385" s="584"/>
      <c r="X385" s="584"/>
    </row>
    <row r="386" spans="23:24" s="387" customFormat="1">
      <c r="W386" s="584"/>
      <c r="X386" s="584"/>
    </row>
    <row r="387" spans="23:24" s="387" customFormat="1">
      <c r="W387" s="584"/>
      <c r="X387" s="584"/>
    </row>
    <row r="388" spans="23:24" s="387" customFormat="1">
      <c r="W388" s="584"/>
      <c r="X388" s="584"/>
    </row>
    <row r="389" spans="23:24" s="387" customFormat="1">
      <c r="W389" s="584"/>
      <c r="X389" s="584"/>
    </row>
    <row r="390" spans="23:24" s="387" customFormat="1">
      <c r="W390" s="584"/>
      <c r="X390" s="584"/>
    </row>
    <row r="391" spans="23:24" s="387" customFormat="1">
      <c r="W391" s="584"/>
      <c r="X391" s="584"/>
    </row>
    <row r="392" spans="23:24" s="387" customFormat="1">
      <c r="W392" s="584"/>
      <c r="X392" s="584"/>
    </row>
    <row r="393" spans="23:24" s="387" customFormat="1">
      <c r="W393" s="584"/>
      <c r="X393" s="584"/>
    </row>
    <row r="394" spans="23:24" s="387" customFormat="1">
      <c r="W394" s="584"/>
      <c r="X394" s="584"/>
    </row>
    <row r="395" spans="23:24" s="387" customFormat="1">
      <c r="W395" s="584"/>
      <c r="X395" s="584"/>
    </row>
    <row r="396" spans="23:24" s="387" customFormat="1">
      <c r="W396" s="584"/>
      <c r="X396" s="584"/>
    </row>
    <row r="397" spans="23:24" s="387" customFormat="1">
      <c r="W397" s="584"/>
      <c r="X397" s="584"/>
    </row>
    <row r="398" spans="23:24" s="387" customFormat="1">
      <c r="W398" s="584"/>
      <c r="X398" s="584"/>
    </row>
    <row r="399" spans="23:24" s="387" customFormat="1">
      <c r="W399" s="584"/>
      <c r="X399" s="584"/>
    </row>
    <row r="400" spans="23:24" s="387" customFormat="1">
      <c r="W400" s="584"/>
      <c r="X400" s="584"/>
    </row>
    <row r="401" spans="23:24" s="387" customFormat="1">
      <c r="W401" s="584"/>
      <c r="X401" s="584"/>
    </row>
    <row r="402" spans="23:24" s="387" customFormat="1">
      <c r="W402" s="584"/>
      <c r="X402" s="584"/>
    </row>
    <row r="403" spans="23:24" s="387" customFormat="1">
      <c r="W403" s="584"/>
      <c r="X403" s="584"/>
    </row>
    <row r="404" spans="23:24" s="387" customFormat="1">
      <c r="W404" s="584"/>
      <c r="X404" s="584"/>
    </row>
    <row r="405" spans="23:24" s="387" customFormat="1">
      <c r="W405" s="584"/>
      <c r="X405" s="584"/>
    </row>
    <row r="406" spans="23:24" s="387" customFormat="1">
      <c r="W406" s="584"/>
      <c r="X406" s="584"/>
    </row>
    <row r="407" spans="23:24" s="387" customFormat="1">
      <c r="W407" s="584"/>
      <c r="X407" s="584"/>
    </row>
    <row r="408" spans="23:24" s="387" customFormat="1">
      <c r="W408" s="584"/>
      <c r="X408" s="584"/>
    </row>
    <row r="409" spans="23:24" s="387" customFormat="1">
      <c r="W409" s="584"/>
      <c r="X409" s="584"/>
    </row>
    <row r="410" spans="23:24" s="387" customFormat="1">
      <c r="W410" s="584"/>
      <c r="X410" s="584"/>
    </row>
    <row r="411" spans="23:24" s="387" customFormat="1">
      <c r="W411" s="584"/>
      <c r="X411" s="584"/>
    </row>
    <row r="412" spans="23:24" s="387" customFormat="1">
      <c r="W412" s="584"/>
      <c r="X412" s="584"/>
    </row>
    <row r="413" spans="23:24" s="387" customFormat="1">
      <c r="W413" s="584"/>
      <c r="X413" s="584"/>
    </row>
    <row r="414" spans="23:24" s="387" customFormat="1">
      <c r="W414" s="584"/>
      <c r="X414" s="584"/>
    </row>
    <row r="415" spans="23:24" s="387" customFormat="1">
      <c r="W415" s="584"/>
      <c r="X415" s="584"/>
    </row>
    <row r="416" spans="23:24" s="387" customFormat="1">
      <c r="W416" s="584"/>
      <c r="X416" s="584"/>
    </row>
    <row r="417" spans="23:24" s="387" customFormat="1">
      <c r="W417" s="584"/>
      <c r="X417" s="584"/>
    </row>
    <row r="418" spans="23:24" s="387" customFormat="1">
      <c r="W418" s="584"/>
      <c r="X418" s="584"/>
    </row>
    <row r="419" spans="23:24" s="387" customFormat="1">
      <c r="W419" s="584"/>
      <c r="X419" s="584"/>
    </row>
    <row r="420" spans="23:24" s="387" customFormat="1">
      <c r="W420" s="584"/>
      <c r="X420" s="584"/>
    </row>
    <row r="421" spans="23:24" s="387" customFormat="1">
      <c r="W421" s="584"/>
      <c r="X421" s="584"/>
    </row>
    <row r="422" spans="23:24" s="387" customFormat="1">
      <c r="W422" s="584"/>
      <c r="X422" s="584"/>
    </row>
    <row r="423" spans="23:24" s="387" customFormat="1">
      <c r="W423" s="584"/>
      <c r="X423" s="584"/>
    </row>
    <row r="424" spans="23:24" s="387" customFormat="1">
      <c r="W424" s="584"/>
      <c r="X424" s="584"/>
    </row>
    <row r="425" spans="23:24" s="387" customFormat="1">
      <c r="W425" s="584"/>
      <c r="X425" s="584"/>
    </row>
    <row r="426" spans="23:24" s="387" customFormat="1">
      <c r="W426" s="584"/>
      <c r="X426" s="584"/>
    </row>
    <row r="427" spans="23:24" s="387" customFormat="1">
      <c r="W427" s="584"/>
      <c r="X427" s="584"/>
    </row>
    <row r="428" spans="23:24" s="387" customFormat="1">
      <c r="W428" s="584"/>
      <c r="X428" s="584"/>
    </row>
    <row r="429" spans="23:24" s="387" customFormat="1">
      <c r="W429" s="584"/>
      <c r="X429" s="584"/>
    </row>
    <row r="430" spans="23:24" s="387" customFormat="1">
      <c r="W430" s="584"/>
      <c r="X430" s="584"/>
    </row>
    <row r="431" spans="23:24" s="387" customFormat="1">
      <c r="W431" s="584"/>
      <c r="X431" s="584"/>
    </row>
    <row r="432" spans="23:24" s="387" customFormat="1">
      <c r="W432" s="584"/>
      <c r="X432" s="584"/>
    </row>
    <row r="433" spans="23:24" s="387" customFormat="1">
      <c r="W433" s="584"/>
      <c r="X433" s="584"/>
    </row>
    <row r="434" spans="23:24" s="387" customFormat="1">
      <c r="W434" s="584"/>
      <c r="X434" s="584"/>
    </row>
    <row r="435" spans="23:24" s="387" customFormat="1">
      <c r="W435" s="584"/>
      <c r="X435" s="584"/>
    </row>
    <row r="436" spans="23:24" s="387" customFormat="1">
      <c r="W436" s="584"/>
      <c r="X436" s="584"/>
    </row>
    <row r="437" spans="23:24" s="387" customFormat="1">
      <c r="W437" s="584"/>
      <c r="X437" s="584"/>
    </row>
    <row r="438" spans="23:24" s="387" customFormat="1">
      <c r="W438" s="584"/>
      <c r="X438" s="584"/>
    </row>
    <row r="439" spans="23:24" s="387" customFormat="1">
      <c r="W439" s="584"/>
      <c r="X439" s="584"/>
    </row>
    <row r="440" spans="23:24" s="387" customFormat="1">
      <c r="W440" s="584"/>
      <c r="X440" s="584"/>
    </row>
    <row r="441" spans="23:24" s="387" customFormat="1">
      <c r="W441" s="584"/>
      <c r="X441" s="584"/>
    </row>
    <row r="442" spans="23:24" s="387" customFormat="1">
      <c r="W442" s="584"/>
      <c r="X442" s="584"/>
    </row>
    <row r="443" spans="23:24" s="387" customFormat="1">
      <c r="W443" s="584"/>
      <c r="X443" s="584"/>
    </row>
    <row r="444" spans="23:24" s="387" customFormat="1">
      <c r="W444" s="584"/>
      <c r="X444" s="584"/>
    </row>
    <row r="445" spans="23:24" s="387" customFormat="1">
      <c r="W445" s="584"/>
      <c r="X445" s="584"/>
    </row>
    <row r="446" spans="23:24" s="387" customFormat="1">
      <c r="W446" s="584"/>
      <c r="X446" s="584"/>
    </row>
    <row r="447" spans="23:24" s="387" customFormat="1">
      <c r="W447" s="584"/>
      <c r="X447" s="584"/>
    </row>
    <row r="448" spans="23:24" s="387" customFormat="1">
      <c r="W448" s="584"/>
      <c r="X448" s="584"/>
    </row>
    <row r="449" spans="23:24" s="387" customFormat="1">
      <c r="W449" s="584"/>
      <c r="X449" s="584"/>
    </row>
    <row r="450" spans="23:24" s="387" customFormat="1">
      <c r="W450" s="584"/>
      <c r="X450" s="584"/>
    </row>
    <row r="451" spans="23:24" s="387" customFormat="1">
      <c r="W451" s="584"/>
      <c r="X451" s="584"/>
    </row>
    <row r="452" spans="23:24" s="387" customFormat="1">
      <c r="W452" s="584"/>
      <c r="X452" s="584"/>
    </row>
    <row r="453" spans="23:24" s="387" customFormat="1">
      <c r="W453" s="584"/>
      <c r="X453" s="584"/>
    </row>
    <row r="454" spans="23:24" s="387" customFormat="1">
      <c r="W454" s="584"/>
      <c r="X454" s="584"/>
    </row>
    <row r="455" spans="23:24" s="387" customFormat="1">
      <c r="W455" s="584"/>
      <c r="X455" s="584"/>
    </row>
    <row r="456" spans="23:24" s="387" customFormat="1">
      <c r="W456" s="584"/>
      <c r="X456" s="584"/>
    </row>
    <row r="457" spans="23:24" s="387" customFormat="1">
      <c r="W457" s="584"/>
      <c r="X457" s="584"/>
    </row>
    <row r="458" spans="23:24" s="387" customFormat="1">
      <c r="W458" s="584"/>
      <c r="X458" s="584"/>
    </row>
    <row r="459" spans="23:24" s="387" customFormat="1">
      <c r="W459" s="584"/>
      <c r="X459" s="584"/>
    </row>
    <row r="460" spans="23:24" s="387" customFormat="1">
      <c r="W460" s="584"/>
      <c r="X460" s="584"/>
    </row>
    <row r="461" spans="23:24" s="387" customFormat="1">
      <c r="W461" s="584"/>
      <c r="X461" s="584"/>
    </row>
    <row r="462" spans="23:24" s="387" customFormat="1">
      <c r="W462" s="584"/>
      <c r="X462" s="584"/>
    </row>
    <row r="463" spans="23:24" s="387" customFormat="1">
      <c r="W463" s="584"/>
      <c r="X463" s="584"/>
    </row>
    <row r="464" spans="23:24" s="387" customFormat="1">
      <c r="W464" s="584"/>
      <c r="X464" s="584"/>
    </row>
    <row r="465" spans="23:24" s="387" customFormat="1">
      <c r="W465" s="584"/>
      <c r="X465" s="584"/>
    </row>
    <row r="466" spans="23:24" s="387" customFormat="1">
      <c r="W466" s="584"/>
      <c r="X466" s="584"/>
    </row>
    <row r="467" spans="23:24" s="387" customFormat="1">
      <c r="W467" s="584"/>
      <c r="X467" s="584"/>
    </row>
    <row r="468" spans="23:24" s="387" customFormat="1">
      <c r="W468" s="584"/>
      <c r="X468" s="584"/>
    </row>
    <row r="469" spans="23:24" s="387" customFormat="1">
      <c r="W469" s="584"/>
      <c r="X469" s="584"/>
    </row>
    <row r="470" spans="23:24" s="387" customFormat="1">
      <c r="W470" s="584"/>
      <c r="X470" s="584"/>
    </row>
    <row r="471" spans="23:24" s="387" customFormat="1">
      <c r="W471" s="584"/>
      <c r="X471" s="584"/>
    </row>
    <row r="472" spans="23:24" s="387" customFormat="1">
      <c r="W472" s="584"/>
      <c r="X472" s="584"/>
    </row>
    <row r="473" spans="23:24" s="387" customFormat="1">
      <c r="W473" s="584"/>
      <c r="X473" s="584"/>
    </row>
    <row r="474" spans="23:24" s="387" customFormat="1">
      <c r="W474" s="584"/>
      <c r="X474" s="584"/>
    </row>
    <row r="475" spans="23:24" s="387" customFormat="1">
      <c r="W475" s="584"/>
      <c r="X475" s="584"/>
    </row>
    <row r="476" spans="23:24" s="387" customFormat="1">
      <c r="W476" s="584"/>
      <c r="X476" s="584"/>
    </row>
    <row r="477" spans="23:24" s="387" customFormat="1">
      <c r="W477" s="584"/>
      <c r="X477" s="584"/>
    </row>
    <row r="478" spans="23:24" s="387" customFormat="1">
      <c r="W478" s="584"/>
      <c r="X478" s="584"/>
    </row>
    <row r="479" spans="23:24" s="387" customFormat="1">
      <c r="W479" s="584"/>
      <c r="X479" s="584"/>
    </row>
    <row r="480" spans="23:24" s="387" customFormat="1">
      <c r="W480" s="584"/>
      <c r="X480" s="584"/>
    </row>
    <row r="481" spans="23:24" s="387" customFormat="1">
      <c r="W481" s="584"/>
      <c r="X481" s="584"/>
    </row>
    <row r="482" spans="23:24" s="387" customFormat="1">
      <c r="W482" s="584"/>
      <c r="X482" s="584"/>
    </row>
    <row r="483" spans="23:24" s="387" customFormat="1">
      <c r="W483" s="584"/>
      <c r="X483" s="584"/>
    </row>
    <row r="484" spans="23:24" s="387" customFormat="1">
      <c r="W484" s="584"/>
      <c r="X484" s="584"/>
    </row>
    <row r="485" spans="23:24" s="387" customFormat="1">
      <c r="W485" s="584"/>
      <c r="X485" s="584"/>
    </row>
    <row r="486" spans="23:24" s="387" customFormat="1">
      <c r="W486" s="584"/>
      <c r="X486" s="584"/>
    </row>
    <row r="487" spans="23:24" s="387" customFormat="1">
      <c r="W487" s="584"/>
      <c r="X487" s="584"/>
    </row>
    <row r="488" spans="23:24" s="387" customFormat="1">
      <c r="W488" s="584"/>
      <c r="X488" s="584"/>
    </row>
    <row r="489" spans="23:24" s="387" customFormat="1">
      <c r="W489" s="584"/>
      <c r="X489" s="584"/>
    </row>
    <row r="490" spans="23:24" s="387" customFormat="1">
      <c r="W490" s="584"/>
      <c r="X490" s="584"/>
    </row>
    <row r="491" spans="23:24" s="387" customFormat="1">
      <c r="W491" s="584"/>
      <c r="X491" s="584"/>
    </row>
    <row r="492" spans="23:24" s="387" customFormat="1">
      <c r="W492" s="584"/>
      <c r="X492" s="584"/>
    </row>
    <row r="493" spans="23:24" s="387" customFormat="1">
      <c r="W493" s="584"/>
      <c r="X493" s="584"/>
    </row>
    <row r="494" spans="23:24" s="387" customFormat="1">
      <c r="W494" s="584"/>
      <c r="X494" s="584"/>
    </row>
    <row r="495" spans="23:24" s="387" customFormat="1">
      <c r="W495" s="584"/>
      <c r="X495" s="584"/>
    </row>
    <row r="496" spans="23:24" s="387" customFormat="1">
      <c r="W496" s="584"/>
      <c r="X496" s="584"/>
    </row>
    <row r="497" spans="23:24" s="387" customFormat="1">
      <c r="W497" s="584"/>
      <c r="X497" s="584"/>
    </row>
    <row r="498" spans="23:24" s="387" customFormat="1">
      <c r="W498" s="584"/>
      <c r="X498" s="584"/>
    </row>
    <row r="499" spans="23:24" s="387" customFormat="1">
      <c r="W499" s="584"/>
      <c r="X499" s="584"/>
    </row>
    <row r="500" spans="23:24" s="387" customFormat="1">
      <c r="W500" s="584"/>
      <c r="X500" s="584"/>
    </row>
    <row r="501" spans="23:24" s="387" customFormat="1">
      <c r="W501" s="584"/>
      <c r="X501" s="584"/>
    </row>
    <row r="502" spans="23:24" s="387" customFormat="1">
      <c r="W502" s="584"/>
      <c r="X502" s="584"/>
    </row>
    <row r="503" spans="23:24" s="387" customFormat="1">
      <c r="W503" s="584"/>
      <c r="X503" s="584"/>
    </row>
    <row r="504" spans="23:24" s="387" customFormat="1">
      <c r="W504" s="584"/>
      <c r="X504" s="584"/>
    </row>
    <row r="505" spans="23:24" s="387" customFormat="1">
      <c r="W505" s="584"/>
      <c r="X505" s="584"/>
    </row>
    <row r="506" spans="23:24" s="387" customFormat="1">
      <c r="W506" s="584"/>
      <c r="X506" s="584"/>
    </row>
    <row r="507" spans="23:24" s="387" customFormat="1">
      <c r="W507" s="584"/>
      <c r="X507" s="584"/>
    </row>
    <row r="508" spans="23:24" s="387" customFormat="1">
      <c r="W508" s="584"/>
      <c r="X508" s="584"/>
    </row>
    <row r="509" spans="23:24" s="387" customFormat="1">
      <c r="W509" s="584"/>
      <c r="X509" s="584"/>
    </row>
    <row r="510" spans="23:24" s="387" customFormat="1">
      <c r="W510" s="584"/>
      <c r="X510" s="584"/>
    </row>
    <row r="511" spans="23:24" s="387" customFormat="1">
      <c r="W511" s="584"/>
      <c r="X511" s="584"/>
    </row>
    <row r="512" spans="23:24" s="387" customFormat="1">
      <c r="W512" s="584"/>
      <c r="X512" s="584"/>
    </row>
    <row r="513" spans="23:24" s="387" customFormat="1">
      <c r="W513" s="584"/>
      <c r="X513" s="584"/>
    </row>
    <row r="514" spans="23:24" s="387" customFormat="1">
      <c r="W514" s="584"/>
      <c r="X514" s="584"/>
    </row>
    <row r="515" spans="23:24" s="387" customFormat="1">
      <c r="W515" s="584"/>
      <c r="X515" s="584"/>
    </row>
    <row r="516" spans="23:24" s="387" customFormat="1">
      <c r="W516" s="584"/>
      <c r="X516" s="584"/>
    </row>
    <row r="517" spans="23:24" s="387" customFormat="1">
      <c r="W517" s="584"/>
      <c r="X517" s="584"/>
    </row>
    <row r="518" spans="23:24" s="387" customFormat="1">
      <c r="W518" s="584"/>
      <c r="X518" s="584"/>
    </row>
    <row r="519" spans="23:24" s="387" customFormat="1">
      <c r="W519" s="584"/>
      <c r="X519" s="584"/>
    </row>
    <row r="520" spans="23:24" s="387" customFormat="1">
      <c r="W520" s="584"/>
      <c r="X520" s="584"/>
    </row>
    <row r="521" spans="23:24" s="387" customFormat="1">
      <c r="W521" s="584"/>
      <c r="X521" s="584"/>
    </row>
    <row r="522" spans="23:24" s="387" customFormat="1">
      <c r="W522" s="584"/>
      <c r="X522" s="584"/>
    </row>
    <row r="523" spans="23:24" s="387" customFormat="1">
      <c r="W523" s="584"/>
      <c r="X523" s="584"/>
    </row>
    <row r="524" spans="23:24" s="387" customFormat="1">
      <c r="W524" s="584"/>
      <c r="X524" s="584"/>
    </row>
    <row r="525" spans="23:24" s="387" customFormat="1">
      <c r="W525" s="584"/>
      <c r="X525" s="584"/>
    </row>
    <row r="526" spans="23:24" s="387" customFormat="1">
      <c r="W526" s="584"/>
      <c r="X526" s="584"/>
    </row>
    <row r="527" spans="23:24" s="387" customFormat="1">
      <c r="W527" s="584"/>
      <c r="X527" s="584"/>
    </row>
    <row r="528" spans="23:24" s="387" customFormat="1">
      <c r="W528" s="584"/>
      <c r="X528" s="584"/>
    </row>
    <row r="529" spans="23:24" s="387" customFormat="1">
      <c r="W529" s="584"/>
      <c r="X529" s="584"/>
    </row>
    <row r="530" spans="23:24" s="387" customFormat="1">
      <c r="W530" s="584"/>
      <c r="X530" s="584"/>
    </row>
    <row r="531" spans="23:24" s="387" customFormat="1">
      <c r="W531" s="584"/>
      <c r="X531" s="584"/>
    </row>
    <row r="532" spans="23:24" s="387" customFormat="1">
      <c r="W532" s="584"/>
      <c r="X532" s="584"/>
    </row>
    <row r="533" spans="23:24" s="387" customFormat="1">
      <c r="W533" s="584"/>
      <c r="X533" s="584"/>
    </row>
    <row r="534" spans="23:24" s="387" customFormat="1">
      <c r="W534" s="584"/>
      <c r="X534" s="584"/>
    </row>
    <row r="535" spans="23:24" s="387" customFormat="1">
      <c r="W535" s="584"/>
      <c r="X535" s="584"/>
    </row>
    <row r="536" spans="23:24" s="387" customFormat="1">
      <c r="W536" s="584"/>
      <c r="X536" s="584"/>
    </row>
    <row r="537" spans="23:24" s="387" customFormat="1">
      <c r="W537" s="584"/>
      <c r="X537" s="584"/>
    </row>
    <row r="538" spans="23:24" s="387" customFormat="1">
      <c r="W538" s="584"/>
      <c r="X538" s="584"/>
    </row>
    <row r="539" spans="23:24" s="387" customFormat="1">
      <c r="W539" s="584"/>
      <c r="X539" s="584"/>
    </row>
    <row r="540" spans="23:24" s="387" customFormat="1">
      <c r="W540" s="584"/>
      <c r="X540" s="584"/>
    </row>
    <row r="541" spans="23:24" s="387" customFormat="1">
      <c r="W541" s="584"/>
      <c r="X541" s="584"/>
    </row>
    <row r="542" spans="23:24" s="387" customFormat="1">
      <c r="W542" s="584"/>
      <c r="X542" s="584"/>
    </row>
    <row r="543" spans="23:24" s="387" customFormat="1">
      <c r="W543" s="584"/>
      <c r="X543" s="584"/>
    </row>
    <row r="544" spans="23:24" s="387" customFormat="1">
      <c r="W544" s="584"/>
      <c r="X544" s="584"/>
    </row>
    <row r="545" spans="23:24" s="387" customFormat="1">
      <c r="W545" s="584"/>
      <c r="X545" s="584"/>
    </row>
    <row r="546" spans="23:24" s="387" customFormat="1">
      <c r="W546" s="584"/>
      <c r="X546" s="584"/>
    </row>
    <row r="547" spans="23:24" s="387" customFormat="1">
      <c r="W547" s="584"/>
      <c r="X547" s="584"/>
    </row>
    <row r="548" spans="23:24" s="387" customFormat="1">
      <c r="W548" s="584"/>
      <c r="X548" s="584"/>
    </row>
    <row r="549" spans="23:24" s="387" customFormat="1">
      <c r="W549" s="584"/>
      <c r="X549" s="584"/>
    </row>
    <row r="550" spans="23:24" s="387" customFormat="1">
      <c r="W550" s="584"/>
      <c r="X550" s="584"/>
    </row>
    <row r="551" spans="23:24" s="387" customFormat="1">
      <c r="W551" s="584"/>
      <c r="X551" s="584"/>
    </row>
    <row r="552" spans="23:24" s="387" customFormat="1">
      <c r="W552" s="584"/>
      <c r="X552" s="584"/>
    </row>
    <row r="553" spans="23:24" s="387" customFormat="1">
      <c r="W553" s="584"/>
      <c r="X553" s="584"/>
    </row>
    <row r="554" spans="23:24" s="387" customFormat="1">
      <c r="W554" s="584"/>
      <c r="X554" s="584"/>
    </row>
    <row r="555" spans="23:24" s="387" customFormat="1">
      <c r="W555" s="584"/>
      <c r="X555" s="584"/>
    </row>
    <row r="556" spans="23:24" s="387" customFormat="1">
      <c r="W556" s="584"/>
      <c r="X556" s="584"/>
    </row>
    <row r="557" spans="23:24" s="387" customFormat="1">
      <c r="W557" s="584"/>
      <c r="X557" s="584"/>
    </row>
    <row r="558" spans="23:24" s="387" customFormat="1">
      <c r="W558" s="584"/>
      <c r="X558" s="584"/>
    </row>
    <row r="559" spans="23:24" s="387" customFormat="1">
      <c r="W559" s="584"/>
      <c r="X559" s="584"/>
    </row>
    <row r="560" spans="23:24" s="387" customFormat="1">
      <c r="W560" s="584"/>
      <c r="X560" s="584"/>
    </row>
    <row r="561" spans="23:24" s="387" customFormat="1">
      <c r="W561" s="584"/>
      <c r="X561" s="584"/>
    </row>
    <row r="562" spans="23:24" s="387" customFormat="1">
      <c r="W562" s="584"/>
      <c r="X562" s="584"/>
    </row>
    <row r="563" spans="23:24" s="387" customFormat="1">
      <c r="W563" s="584"/>
      <c r="X563" s="584"/>
    </row>
    <row r="564" spans="23:24" s="387" customFormat="1">
      <c r="W564" s="584"/>
      <c r="X564" s="584"/>
    </row>
    <row r="565" spans="23:24" s="387" customFormat="1">
      <c r="W565" s="584"/>
      <c r="X565" s="584"/>
    </row>
    <row r="566" spans="23:24" s="387" customFormat="1">
      <c r="W566" s="584"/>
      <c r="X566" s="584"/>
    </row>
    <row r="567" spans="23:24" s="387" customFormat="1">
      <c r="W567" s="584"/>
      <c r="X567" s="584"/>
    </row>
    <row r="568" spans="23:24" s="387" customFormat="1">
      <c r="W568" s="584"/>
      <c r="X568" s="584"/>
    </row>
    <row r="569" spans="23:24" s="387" customFormat="1">
      <c r="W569" s="584"/>
      <c r="X569" s="584"/>
    </row>
    <row r="570" spans="23:24" s="387" customFormat="1">
      <c r="W570" s="584"/>
      <c r="X570" s="584"/>
    </row>
    <row r="571" spans="23:24" s="387" customFormat="1">
      <c r="W571" s="584"/>
      <c r="X571" s="584"/>
    </row>
    <row r="572" spans="23:24" s="387" customFormat="1">
      <c r="W572" s="584"/>
      <c r="X572" s="584"/>
    </row>
    <row r="573" spans="23:24" s="387" customFormat="1">
      <c r="W573" s="584"/>
      <c r="X573" s="584"/>
    </row>
    <row r="574" spans="23:24" s="387" customFormat="1">
      <c r="W574" s="584"/>
      <c r="X574" s="584"/>
    </row>
    <row r="575" spans="23:24" s="387" customFormat="1">
      <c r="W575" s="584"/>
      <c r="X575" s="584"/>
    </row>
    <row r="576" spans="23:24" s="387" customFormat="1">
      <c r="W576" s="584"/>
      <c r="X576" s="584"/>
    </row>
    <row r="577" spans="23:24" s="387" customFormat="1">
      <c r="W577" s="584"/>
      <c r="X577" s="584"/>
    </row>
    <row r="578" spans="23:24" s="387" customFormat="1">
      <c r="W578" s="584"/>
      <c r="X578" s="584"/>
    </row>
    <row r="579" spans="23:24" s="387" customFormat="1">
      <c r="W579" s="584"/>
      <c r="X579" s="584"/>
    </row>
    <row r="580" spans="23:24" s="387" customFormat="1">
      <c r="W580" s="584"/>
      <c r="X580" s="584"/>
    </row>
    <row r="581" spans="23:24" s="387" customFormat="1">
      <c r="W581" s="584"/>
      <c r="X581" s="584"/>
    </row>
    <row r="582" spans="23:24" s="387" customFormat="1">
      <c r="W582" s="584"/>
      <c r="X582" s="584"/>
    </row>
    <row r="583" spans="23:24" s="387" customFormat="1">
      <c r="W583" s="584"/>
      <c r="X583" s="584"/>
    </row>
    <row r="584" spans="23:24" s="387" customFormat="1">
      <c r="W584" s="584"/>
      <c r="X584" s="584"/>
    </row>
    <row r="585" spans="23:24" s="387" customFormat="1">
      <c r="W585" s="584"/>
      <c r="X585" s="584"/>
    </row>
    <row r="586" spans="23:24" s="387" customFormat="1">
      <c r="W586" s="584"/>
      <c r="X586" s="584"/>
    </row>
    <row r="587" spans="23:24" s="387" customFormat="1">
      <c r="W587" s="584"/>
      <c r="X587" s="584"/>
    </row>
    <row r="588" spans="23:24" s="387" customFormat="1">
      <c r="W588" s="584"/>
      <c r="X588" s="584"/>
    </row>
    <row r="589" spans="23:24" s="387" customFormat="1">
      <c r="W589" s="584"/>
      <c r="X589" s="584"/>
    </row>
    <row r="590" spans="23:24" s="387" customFormat="1">
      <c r="W590" s="584"/>
      <c r="X590" s="584"/>
    </row>
    <row r="591" spans="23:24" s="387" customFormat="1">
      <c r="W591" s="584"/>
      <c r="X591" s="584"/>
    </row>
    <row r="592" spans="23:24" s="387" customFormat="1">
      <c r="W592" s="584"/>
      <c r="X592" s="584"/>
    </row>
    <row r="593" spans="23:24" s="387" customFormat="1">
      <c r="W593" s="584"/>
      <c r="X593" s="584"/>
    </row>
    <row r="594" spans="23:24" s="387" customFormat="1">
      <c r="W594" s="584"/>
      <c r="X594" s="584"/>
    </row>
    <row r="595" spans="23:24" s="387" customFormat="1">
      <c r="W595" s="584"/>
      <c r="X595" s="584"/>
    </row>
    <row r="596" spans="23:24" s="387" customFormat="1">
      <c r="W596" s="584"/>
      <c r="X596" s="584"/>
    </row>
    <row r="597" spans="23:24" s="387" customFormat="1">
      <c r="W597" s="584"/>
      <c r="X597" s="584"/>
    </row>
    <row r="598" spans="23:24" s="387" customFormat="1">
      <c r="W598" s="584"/>
      <c r="X598" s="584"/>
    </row>
    <row r="599" spans="23:24" s="387" customFormat="1">
      <c r="W599" s="584"/>
      <c r="X599" s="584"/>
    </row>
    <row r="600" spans="23:24" s="387" customFormat="1">
      <c r="W600" s="584"/>
      <c r="X600" s="584"/>
    </row>
    <row r="601" spans="23:24" s="387" customFormat="1">
      <c r="W601" s="584"/>
      <c r="X601" s="584"/>
    </row>
    <row r="602" spans="23:24" s="387" customFormat="1">
      <c r="W602" s="584"/>
      <c r="X602" s="584"/>
    </row>
    <row r="603" spans="23:24" s="387" customFormat="1">
      <c r="W603" s="584"/>
      <c r="X603" s="584"/>
    </row>
    <row r="604" spans="23:24" s="387" customFormat="1">
      <c r="W604" s="584"/>
      <c r="X604" s="584"/>
    </row>
    <row r="605" spans="23:24" s="387" customFormat="1">
      <c r="W605" s="584"/>
      <c r="X605" s="584"/>
    </row>
    <row r="606" spans="23:24" s="387" customFormat="1">
      <c r="W606" s="584"/>
      <c r="X606" s="584"/>
    </row>
    <row r="607" spans="23:24" s="387" customFormat="1">
      <c r="W607" s="584"/>
      <c r="X607" s="584"/>
    </row>
    <row r="608" spans="23:24" s="387" customFormat="1">
      <c r="W608" s="584"/>
      <c r="X608" s="584"/>
    </row>
    <row r="609" spans="23:24" s="387" customFormat="1">
      <c r="W609" s="584"/>
      <c r="X609" s="584"/>
    </row>
    <row r="610" spans="23:24" s="387" customFormat="1">
      <c r="W610" s="584"/>
      <c r="X610" s="584"/>
    </row>
    <row r="611" spans="23:24" s="387" customFormat="1">
      <c r="W611" s="584"/>
      <c r="X611" s="584"/>
    </row>
    <row r="612" spans="23:24" s="387" customFormat="1">
      <c r="W612" s="584"/>
      <c r="X612" s="584"/>
    </row>
    <row r="613" spans="23:24" s="387" customFormat="1">
      <c r="W613" s="584"/>
      <c r="X613" s="584"/>
    </row>
    <row r="614" spans="23:24" s="387" customFormat="1">
      <c r="W614" s="584"/>
      <c r="X614" s="584"/>
    </row>
    <row r="615" spans="23:24" s="387" customFormat="1">
      <c r="W615" s="584"/>
      <c r="X615" s="584"/>
    </row>
    <row r="616" spans="23:24" s="387" customFormat="1">
      <c r="W616" s="584"/>
      <c r="X616" s="584"/>
    </row>
    <row r="617" spans="23:24" s="387" customFormat="1">
      <c r="W617" s="584"/>
      <c r="X617" s="584"/>
    </row>
    <row r="618" spans="23:24" s="387" customFormat="1">
      <c r="W618" s="584"/>
      <c r="X618" s="584"/>
    </row>
    <row r="619" spans="23:24" s="387" customFormat="1">
      <c r="W619" s="584"/>
      <c r="X619" s="584"/>
    </row>
    <row r="620" spans="23:24" s="387" customFormat="1">
      <c r="W620" s="584"/>
      <c r="X620" s="584"/>
    </row>
    <row r="621" spans="23:24" s="387" customFormat="1">
      <c r="W621" s="584"/>
      <c r="X621" s="584"/>
    </row>
    <row r="622" spans="23:24" s="387" customFormat="1">
      <c r="W622" s="584"/>
      <c r="X622" s="584"/>
    </row>
    <row r="623" spans="23:24" s="387" customFormat="1">
      <c r="W623" s="584"/>
      <c r="X623" s="584"/>
    </row>
    <row r="624" spans="23:24" s="387" customFormat="1">
      <c r="W624" s="584"/>
      <c r="X624" s="584"/>
    </row>
    <row r="625" spans="23:24" s="387" customFormat="1">
      <c r="W625" s="584"/>
      <c r="X625" s="584"/>
    </row>
    <row r="626" spans="23:24" s="387" customFormat="1">
      <c r="W626" s="584"/>
      <c r="X626" s="584"/>
    </row>
    <row r="627" spans="23:24" s="387" customFormat="1">
      <c r="W627" s="584"/>
      <c r="X627" s="584"/>
    </row>
    <row r="628" spans="23:24" s="387" customFormat="1">
      <c r="W628" s="584"/>
      <c r="X628" s="584"/>
    </row>
    <row r="629" spans="23:24" s="387" customFormat="1">
      <c r="W629" s="584"/>
      <c r="X629" s="584"/>
    </row>
    <row r="630" spans="23:24" s="387" customFormat="1">
      <c r="W630" s="584"/>
      <c r="X630" s="584"/>
    </row>
    <row r="631" spans="23:24" s="387" customFormat="1">
      <c r="W631" s="584"/>
      <c r="X631" s="584"/>
    </row>
    <row r="632" spans="23:24" s="387" customFormat="1">
      <c r="W632" s="584"/>
      <c r="X632" s="584"/>
    </row>
    <row r="633" spans="23:24" s="387" customFormat="1">
      <c r="W633" s="584"/>
      <c r="X633" s="584"/>
    </row>
    <row r="634" spans="23:24" s="387" customFormat="1">
      <c r="W634" s="584"/>
      <c r="X634" s="584"/>
    </row>
    <row r="635" spans="23:24" s="387" customFormat="1">
      <c r="W635" s="584"/>
      <c r="X635" s="584"/>
    </row>
    <row r="636" spans="23:24" s="387" customFormat="1">
      <c r="W636" s="584"/>
      <c r="X636" s="584"/>
    </row>
    <row r="637" spans="23:24" s="387" customFormat="1">
      <c r="W637" s="584"/>
      <c r="X637" s="584"/>
    </row>
    <row r="638" spans="23:24" s="387" customFormat="1">
      <c r="W638" s="584"/>
      <c r="X638" s="584"/>
    </row>
    <row r="639" spans="23:24" s="387" customFormat="1">
      <c r="W639" s="584"/>
      <c r="X639" s="584"/>
    </row>
    <row r="640" spans="23:24" s="387" customFormat="1">
      <c r="W640" s="584"/>
      <c r="X640" s="584"/>
    </row>
    <row r="641" spans="23:24" s="387" customFormat="1">
      <c r="W641" s="584"/>
      <c r="X641" s="584"/>
    </row>
    <row r="642" spans="23:24" s="387" customFormat="1">
      <c r="W642" s="584"/>
      <c r="X642" s="584"/>
    </row>
    <row r="643" spans="23:24" s="387" customFormat="1">
      <c r="W643" s="584"/>
      <c r="X643" s="584"/>
    </row>
    <row r="644" spans="23:24" s="387" customFormat="1">
      <c r="W644" s="584"/>
      <c r="X644" s="584"/>
    </row>
    <row r="645" spans="23:24" s="387" customFormat="1">
      <c r="W645" s="584"/>
      <c r="X645" s="584"/>
    </row>
    <row r="646" spans="23:24" s="387" customFormat="1">
      <c r="W646" s="584"/>
      <c r="X646" s="584"/>
    </row>
    <row r="647" spans="23:24" s="387" customFormat="1">
      <c r="W647" s="584"/>
      <c r="X647" s="584"/>
    </row>
    <row r="648" spans="23:24" s="387" customFormat="1">
      <c r="W648" s="584"/>
      <c r="X648" s="584"/>
    </row>
    <row r="649" spans="23:24" s="387" customFormat="1">
      <c r="W649" s="584"/>
      <c r="X649" s="584"/>
    </row>
    <row r="650" spans="23:24" s="387" customFormat="1">
      <c r="W650" s="584"/>
      <c r="X650" s="584"/>
    </row>
    <row r="651" spans="23:24" s="387" customFormat="1">
      <c r="W651" s="584"/>
      <c r="X651" s="584"/>
    </row>
    <row r="652" spans="23:24" s="387" customFormat="1">
      <c r="W652" s="584"/>
      <c r="X652" s="584"/>
    </row>
    <row r="653" spans="23:24" s="387" customFormat="1">
      <c r="W653" s="584"/>
      <c r="X653" s="584"/>
    </row>
    <row r="654" spans="23:24" s="387" customFormat="1">
      <c r="W654" s="584"/>
      <c r="X654" s="584"/>
    </row>
    <row r="655" spans="23:24" s="387" customFormat="1">
      <c r="W655" s="584"/>
      <c r="X655" s="584"/>
    </row>
    <row r="656" spans="23:24" s="387" customFormat="1">
      <c r="W656" s="584"/>
      <c r="X656" s="584"/>
    </row>
    <row r="657" spans="23:24" s="387" customFormat="1">
      <c r="W657" s="584"/>
      <c r="X657" s="584"/>
    </row>
    <row r="658" spans="23:24" s="387" customFormat="1">
      <c r="W658" s="584"/>
      <c r="X658" s="584"/>
    </row>
    <row r="659" spans="23:24" s="387" customFormat="1">
      <c r="W659" s="584"/>
      <c r="X659" s="584"/>
    </row>
    <row r="660" spans="23:24" s="387" customFormat="1">
      <c r="W660" s="584"/>
      <c r="X660" s="584"/>
    </row>
    <row r="661" spans="23:24" s="387" customFormat="1">
      <c r="W661" s="584"/>
      <c r="X661" s="584"/>
    </row>
    <row r="662" spans="23:24" s="387" customFormat="1">
      <c r="W662" s="584"/>
      <c r="X662" s="584"/>
    </row>
    <row r="663" spans="23:24" s="387" customFormat="1">
      <c r="W663" s="584"/>
      <c r="X663" s="584"/>
    </row>
    <row r="664" spans="23:24" s="387" customFormat="1">
      <c r="W664" s="584"/>
      <c r="X664" s="584"/>
    </row>
    <row r="665" spans="23:24" s="387" customFormat="1">
      <c r="W665" s="584"/>
      <c r="X665" s="584"/>
    </row>
    <row r="666" spans="23:24" s="387" customFormat="1">
      <c r="W666" s="584"/>
      <c r="X666" s="584"/>
    </row>
    <row r="667" spans="23:24" s="387" customFormat="1">
      <c r="W667" s="584"/>
      <c r="X667" s="584"/>
    </row>
    <row r="668" spans="23:24" s="387" customFormat="1">
      <c r="W668" s="584"/>
      <c r="X668" s="584"/>
    </row>
    <row r="669" spans="23:24" s="387" customFormat="1">
      <c r="W669" s="584"/>
      <c r="X669" s="584"/>
    </row>
    <row r="670" spans="23:24" s="387" customFormat="1">
      <c r="W670" s="584"/>
      <c r="X670" s="584"/>
    </row>
    <row r="671" spans="23:24" s="387" customFormat="1">
      <c r="W671" s="584"/>
      <c r="X671" s="584"/>
    </row>
    <row r="672" spans="23:24" s="387" customFormat="1">
      <c r="W672" s="584"/>
      <c r="X672" s="584"/>
    </row>
    <row r="673" spans="23:24" s="387" customFormat="1">
      <c r="W673" s="584"/>
      <c r="X673" s="584"/>
    </row>
    <row r="674" spans="23:24" s="387" customFormat="1">
      <c r="W674" s="584"/>
      <c r="X674" s="584"/>
    </row>
    <row r="675" spans="23:24" s="387" customFormat="1">
      <c r="W675" s="584"/>
      <c r="X675" s="584"/>
    </row>
    <row r="676" spans="23:24" s="387" customFormat="1">
      <c r="W676" s="584"/>
      <c r="X676" s="584"/>
    </row>
    <row r="677" spans="23:24" s="387" customFormat="1">
      <c r="W677" s="584"/>
      <c r="X677" s="584"/>
    </row>
    <row r="678" spans="23:24" s="387" customFormat="1">
      <c r="W678" s="584"/>
      <c r="X678" s="584"/>
    </row>
    <row r="679" spans="23:24" s="387" customFormat="1">
      <c r="W679" s="584"/>
      <c r="X679" s="584"/>
    </row>
    <row r="680" spans="23:24" s="387" customFormat="1">
      <c r="W680" s="584"/>
      <c r="X680" s="584"/>
    </row>
    <row r="681" spans="23:24" s="387" customFormat="1">
      <c r="W681" s="584"/>
      <c r="X681" s="584"/>
    </row>
    <row r="682" spans="23:24" s="387" customFormat="1">
      <c r="W682" s="584"/>
      <c r="X682" s="584"/>
    </row>
    <row r="683" spans="23:24" s="387" customFormat="1">
      <c r="W683" s="584"/>
      <c r="X683" s="584"/>
    </row>
    <row r="684" spans="23:24" s="387" customFormat="1">
      <c r="W684" s="584"/>
      <c r="X684" s="584"/>
    </row>
    <row r="685" spans="23:24" s="387" customFormat="1">
      <c r="W685" s="584"/>
      <c r="X685" s="584"/>
    </row>
    <row r="686" spans="23:24" s="387" customFormat="1">
      <c r="W686" s="584"/>
      <c r="X686" s="584"/>
    </row>
    <row r="687" spans="23:24" s="387" customFormat="1">
      <c r="W687" s="584"/>
      <c r="X687" s="584"/>
    </row>
    <row r="688" spans="23:24" s="387" customFormat="1">
      <c r="W688" s="584"/>
      <c r="X688" s="584"/>
    </row>
    <row r="689" spans="23:24" s="387" customFormat="1">
      <c r="W689" s="584"/>
      <c r="X689" s="584"/>
    </row>
    <row r="690" spans="23:24" s="387" customFormat="1">
      <c r="W690" s="584"/>
      <c r="X690" s="584"/>
    </row>
    <row r="691" spans="23:24" s="387" customFormat="1">
      <c r="W691" s="584"/>
      <c r="X691" s="584"/>
    </row>
    <row r="692" spans="23:24" s="387" customFormat="1">
      <c r="W692" s="584"/>
      <c r="X692" s="584"/>
    </row>
    <row r="693" spans="23:24" s="387" customFormat="1">
      <c r="W693" s="584"/>
      <c r="X693" s="584"/>
    </row>
    <row r="694" spans="23:24" s="387" customFormat="1">
      <c r="W694" s="584"/>
      <c r="X694" s="584"/>
    </row>
    <row r="695" spans="23:24" s="387" customFormat="1">
      <c r="W695" s="584"/>
      <c r="X695" s="584"/>
    </row>
    <row r="696" spans="23:24" s="387" customFormat="1">
      <c r="W696" s="584"/>
      <c r="X696" s="584"/>
    </row>
    <row r="697" spans="23:24" s="387" customFormat="1">
      <c r="W697" s="584"/>
      <c r="X697" s="584"/>
    </row>
    <row r="698" spans="23:24" s="387" customFormat="1">
      <c r="W698" s="584"/>
      <c r="X698" s="584"/>
    </row>
    <row r="699" spans="23:24" s="387" customFormat="1">
      <c r="W699" s="584"/>
      <c r="X699" s="584"/>
    </row>
    <row r="700" spans="23:24" s="387" customFormat="1">
      <c r="W700" s="584"/>
      <c r="X700" s="584"/>
    </row>
    <row r="701" spans="23:24" s="387" customFormat="1">
      <c r="W701" s="584"/>
      <c r="X701" s="584"/>
    </row>
    <row r="702" spans="23:24" s="387" customFormat="1">
      <c r="W702" s="584"/>
      <c r="X702" s="584"/>
    </row>
    <row r="703" spans="23:24" s="387" customFormat="1">
      <c r="W703" s="584"/>
      <c r="X703" s="584"/>
    </row>
    <row r="704" spans="23:24" s="387" customFormat="1">
      <c r="W704" s="584"/>
      <c r="X704" s="584"/>
    </row>
    <row r="705" spans="23:24" s="387" customFormat="1">
      <c r="W705" s="584"/>
      <c r="X705" s="584"/>
    </row>
    <row r="706" spans="23:24" s="387" customFormat="1">
      <c r="W706" s="584"/>
      <c r="X706" s="584"/>
    </row>
    <row r="707" spans="23:24" s="387" customFormat="1">
      <c r="W707" s="584"/>
      <c r="X707" s="584"/>
    </row>
    <row r="708" spans="23:24" s="387" customFormat="1">
      <c r="W708" s="584"/>
      <c r="X708" s="584"/>
    </row>
    <row r="709" spans="23:24" s="387" customFormat="1">
      <c r="W709" s="584"/>
      <c r="X709" s="584"/>
    </row>
    <row r="710" spans="23:24" s="387" customFormat="1">
      <c r="W710" s="584"/>
      <c r="X710" s="584"/>
    </row>
    <row r="711" spans="23:24" s="387" customFormat="1">
      <c r="W711" s="584"/>
      <c r="X711" s="584"/>
    </row>
    <row r="712" spans="23:24" s="387" customFormat="1">
      <c r="W712" s="584"/>
      <c r="X712" s="584"/>
    </row>
    <row r="713" spans="23:24" s="387" customFormat="1">
      <c r="W713" s="584"/>
      <c r="X713" s="584"/>
    </row>
    <row r="714" spans="23:24" s="387" customFormat="1">
      <c r="W714" s="584"/>
      <c r="X714" s="584"/>
    </row>
    <row r="715" spans="23:24" s="387" customFormat="1">
      <c r="W715" s="584"/>
      <c r="X715" s="584"/>
    </row>
    <row r="716" spans="23:24" s="387" customFormat="1">
      <c r="W716" s="584"/>
      <c r="X716" s="584"/>
    </row>
    <row r="717" spans="23:24" s="387" customFormat="1">
      <c r="W717" s="584"/>
      <c r="X717" s="584"/>
    </row>
    <row r="718" spans="23:24" s="387" customFormat="1">
      <c r="W718" s="584"/>
      <c r="X718" s="584"/>
    </row>
    <row r="719" spans="23:24" s="387" customFormat="1">
      <c r="W719" s="584"/>
      <c r="X719" s="584"/>
    </row>
    <row r="720" spans="23:24" s="387" customFormat="1">
      <c r="W720" s="584"/>
      <c r="X720" s="584"/>
    </row>
    <row r="721" spans="23:24" s="387" customFormat="1">
      <c r="W721" s="584"/>
      <c r="X721" s="584"/>
    </row>
    <row r="722" spans="23:24" s="387" customFormat="1">
      <c r="W722" s="584"/>
      <c r="X722" s="584"/>
    </row>
    <row r="723" spans="23:24" s="387" customFormat="1">
      <c r="W723" s="584"/>
      <c r="X723" s="584"/>
    </row>
    <row r="724" spans="23:24" s="387" customFormat="1">
      <c r="W724" s="584"/>
      <c r="X724" s="584"/>
    </row>
    <row r="725" spans="23:24" s="387" customFormat="1">
      <c r="W725" s="584"/>
      <c r="X725" s="584"/>
    </row>
    <row r="726" spans="23:24" s="387" customFormat="1">
      <c r="W726" s="584"/>
      <c r="X726" s="584"/>
    </row>
    <row r="727" spans="23:24" s="387" customFormat="1">
      <c r="W727" s="584"/>
      <c r="X727" s="584"/>
    </row>
    <row r="728" spans="23:24" s="387" customFormat="1">
      <c r="W728" s="584"/>
      <c r="X728" s="584"/>
    </row>
  </sheetData>
  <mergeCells count="10">
    <mergeCell ref="B15:G15"/>
    <mergeCell ref="B2:B4"/>
    <mergeCell ref="C2:G2"/>
    <mergeCell ref="H2:L2"/>
    <mergeCell ref="M2:Q2"/>
    <mergeCell ref="R2:V2"/>
    <mergeCell ref="C3:G3"/>
    <mergeCell ref="H3:L3"/>
    <mergeCell ref="M3:Q3"/>
    <mergeCell ref="R3:V3"/>
  </mergeCells>
  <pageMargins left="0.7" right="0.7" top="0.75" bottom="0.75" header="0.3" footer="0.3"/>
  <pageSetup paperSize="9" scale="46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RV76"/>
  <sheetViews>
    <sheetView showGridLines="0" zoomScaleNormal="100" zoomScaleSheetLayoutView="85" workbookViewId="0">
      <pane xSplit="1" ySplit="3" topLeftCell="AD51" activePane="bottomRight" state="frozen"/>
      <selection pane="topRight" activeCell="B1" sqref="B1"/>
      <selection pane="bottomLeft" activeCell="A4" sqref="A4"/>
      <selection pane="bottomRight" activeCell="AF46" sqref="AF46"/>
    </sheetView>
  </sheetViews>
  <sheetFormatPr defaultColWidth="9" defaultRowHeight="12.75"/>
  <cols>
    <col min="1" max="1" width="53" style="6" customWidth="1"/>
    <col min="2" max="2" width="11.5" style="7" bestFit="1" customWidth="1"/>
    <col min="3" max="3" width="12.375" style="7" bestFit="1" customWidth="1"/>
    <col min="4" max="4" width="13.625" style="7" customWidth="1"/>
    <col min="5" max="5" width="12.125" style="7" bestFit="1" customWidth="1"/>
    <col min="6" max="8" width="13.625" style="7" customWidth="1"/>
    <col min="9" max="9" width="12.125" style="7" customWidth="1"/>
    <col min="10" max="10" width="13.625" style="7" customWidth="1"/>
    <col min="11" max="12" width="13.625" style="31" customWidth="1"/>
    <col min="13" max="13" width="12.125" style="7" customWidth="1"/>
    <col min="14" max="15" width="13.625" style="7" customWidth="1"/>
    <col min="16" max="16" width="13.625" style="31" customWidth="1"/>
    <col min="17" max="33" width="13.625" style="7" customWidth="1"/>
    <col min="34" max="16384" width="9" style="7"/>
  </cols>
  <sheetData>
    <row r="1" spans="1:490" s="28" customFormat="1" ht="50.25" customHeight="1" thickBot="1">
      <c r="A1" s="5" t="s">
        <v>168</v>
      </c>
      <c r="B1" s="5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7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7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7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7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7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7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7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7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7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7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7"/>
      <c r="RM1" s="27"/>
      <c r="RN1" s="27"/>
      <c r="RO1" s="27"/>
      <c r="RP1" s="27"/>
      <c r="RQ1" s="27"/>
      <c r="RR1" s="27"/>
      <c r="RS1" s="27"/>
      <c r="RT1" s="27"/>
      <c r="RU1" s="27"/>
      <c r="RV1" s="27"/>
    </row>
    <row r="2" spans="1:490" s="28" customFormat="1" ht="24.95" customHeight="1">
      <c r="A2" s="8" t="s">
        <v>113</v>
      </c>
      <c r="B2" s="708">
        <v>2012</v>
      </c>
      <c r="C2" s="708"/>
      <c r="D2" s="708"/>
      <c r="E2" s="709"/>
      <c r="F2" s="708">
        <v>2013</v>
      </c>
      <c r="G2" s="708"/>
      <c r="H2" s="708"/>
      <c r="I2" s="708"/>
      <c r="J2" s="705">
        <v>2014</v>
      </c>
      <c r="K2" s="708"/>
      <c r="L2" s="708"/>
      <c r="M2" s="709"/>
      <c r="N2" s="710">
        <v>2015</v>
      </c>
      <c r="O2" s="710"/>
      <c r="P2" s="710"/>
      <c r="Q2" s="711"/>
      <c r="R2" s="705">
        <v>2016</v>
      </c>
      <c r="S2" s="708"/>
      <c r="T2" s="708"/>
      <c r="U2" s="709"/>
      <c r="V2" s="705" t="s">
        <v>237</v>
      </c>
      <c r="W2" s="708"/>
      <c r="X2" s="708"/>
      <c r="Y2" s="709"/>
      <c r="Z2" s="705" t="s">
        <v>246</v>
      </c>
      <c r="AA2" s="708"/>
      <c r="AB2" s="708"/>
      <c r="AC2" s="709"/>
      <c r="AD2" s="705" t="s">
        <v>259</v>
      </c>
      <c r="AE2" s="706"/>
      <c r="AF2" s="706"/>
      <c r="AG2" s="70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</row>
    <row r="3" spans="1:490" ht="34.5" customHeight="1" thickBot="1">
      <c r="A3" s="9" t="s">
        <v>97</v>
      </c>
      <c r="B3" s="29" t="s">
        <v>114</v>
      </c>
      <c r="C3" s="29" t="s">
        <v>115</v>
      </c>
      <c r="D3" s="29" t="s">
        <v>116</v>
      </c>
      <c r="E3" s="77" t="s">
        <v>117</v>
      </c>
      <c r="F3" s="29" t="s">
        <v>114</v>
      </c>
      <c r="G3" s="29" t="s">
        <v>115</v>
      </c>
      <c r="H3" s="29" t="s">
        <v>116</v>
      </c>
      <c r="I3" s="70" t="s">
        <v>117</v>
      </c>
      <c r="J3" s="78" t="s">
        <v>114</v>
      </c>
      <c r="K3" s="29" t="s">
        <v>115</v>
      </c>
      <c r="L3" s="29" t="s">
        <v>116</v>
      </c>
      <c r="M3" s="79" t="s">
        <v>190</v>
      </c>
      <c r="N3" s="29" t="s">
        <v>114</v>
      </c>
      <c r="O3" s="29" t="s">
        <v>115</v>
      </c>
      <c r="P3" s="29" t="s">
        <v>116</v>
      </c>
      <c r="Q3" s="77" t="s">
        <v>117</v>
      </c>
      <c r="R3" s="29" t="s">
        <v>114</v>
      </c>
      <c r="S3" s="29" t="s">
        <v>115</v>
      </c>
      <c r="T3" s="29" t="s">
        <v>116</v>
      </c>
      <c r="U3" s="77" t="s">
        <v>117</v>
      </c>
      <c r="V3" s="29" t="s">
        <v>114</v>
      </c>
      <c r="W3" s="29" t="s">
        <v>115</v>
      </c>
      <c r="X3" s="29" t="s">
        <v>116</v>
      </c>
      <c r="Y3" s="77" t="s">
        <v>117</v>
      </c>
      <c r="Z3" s="440" t="s">
        <v>114</v>
      </c>
      <c r="AA3" s="29" t="s">
        <v>115</v>
      </c>
      <c r="AB3" s="29" t="s">
        <v>116</v>
      </c>
      <c r="AC3" s="77" t="s">
        <v>117</v>
      </c>
      <c r="AD3" s="440" t="s">
        <v>114</v>
      </c>
      <c r="AE3" s="29" t="s">
        <v>115</v>
      </c>
      <c r="AF3" s="29" t="s">
        <v>116</v>
      </c>
      <c r="AG3" s="77" t="s">
        <v>117</v>
      </c>
    </row>
    <row r="4" spans="1:490" s="12" customFormat="1" ht="33.75" customHeight="1" thickBot="1">
      <c r="A4" s="64" t="s">
        <v>4</v>
      </c>
      <c r="B4" s="65"/>
      <c r="C4" s="65"/>
      <c r="D4" s="65"/>
      <c r="E4" s="81"/>
      <c r="F4" s="65"/>
      <c r="G4" s="65"/>
      <c r="H4" s="65"/>
      <c r="I4" s="71"/>
      <c r="J4" s="80"/>
      <c r="K4" s="66"/>
      <c r="L4" s="66"/>
      <c r="M4" s="81"/>
      <c r="N4" s="65"/>
      <c r="O4" s="65"/>
      <c r="P4" s="66"/>
      <c r="Q4" s="81"/>
      <c r="R4" s="65"/>
      <c r="S4" s="65"/>
      <c r="T4" s="65"/>
      <c r="U4" s="81"/>
      <c r="V4" s="65"/>
      <c r="W4" s="65"/>
      <c r="X4" s="65"/>
      <c r="Y4" s="81"/>
      <c r="Z4" s="65"/>
      <c r="AA4" s="65"/>
      <c r="AB4" s="65"/>
      <c r="AC4" s="81"/>
      <c r="AD4" s="65"/>
      <c r="AE4" s="65"/>
      <c r="AF4" s="65"/>
      <c r="AG4" s="81"/>
    </row>
    <row r="5" spans="1:490" s="12" customFormat="1" ht="20.100000000000001" customHeight="1">
      <c r="A5" s="50" t="s">
        <v>5</v>
      </c>
      <c r="B5" s="34">
        <f>415.308</f>
        <v>415.30799999999999</v>
      </c>
      <c r="C5" s="34">
        <f>419.479</f>
        <v>419.47899999999998</v>
      </c>
      <c r="D5" s="61">
        <f>(425068)*0.001</f>
        <v>425.06799999999998</v>
      </c>
      <c r="E5" s="284">
        <f>(420060)*0.001</f>
        <v>420.06</v>
      </c>
      <c r="F5" s="61">
        <f>(419894)*0.001</f>
        <v>419.89400000000001</v>
      </c>
      <c r="G5" s="61">
        <f>(418521)*0.001</f>
        <v>418.52100000000002</v>
      </c>
      <c r="H5" s="61">
        <f>(409736)*0.001</f>
        <v>409.73599999999999</v>
      </c>
      <c r="I5" s="285">
        <f>(407579)*0.001</f>
        <v>407.57900000000001</v>
      </c>
      <c r="J5" s="286">
        <f>(395393)*0.001</f>
        <v>395.39300000000003</v>
      </c>
      <c r="K5" s="34">
        <v>384.8</v>
      </c>
      <c r="L5" s="34">
        <v>417</v>
      </c>
      <c r="M5" s="82">
        <v>421.1</v>
      </c>
      <c r="N5" s="34">
        <v>416.6</v>
      </c>
      <c r="O5" s="34">
        <v>401.1</v>
      </c>
      <c r="P5" s="34">
        <v>377</v>
      </c>
      <c r="Q5" s="224">
        <v>371</v>
      </c>
      <c r="R5" s="263">
        <v>356.7</v>
      </c>
      <c r="S5" s="263">
        <v>353.3</v>
      </c>
      <c r="T5" s="263">
        <v>350.4</v>
      </c>
      <c r="U5" s="224">
        <v>350.9</v>
      </c>
      <c r="V5" s="263">
        <v>342.2</v>
      </c>
      <c r="W5" s="263">
        <v>332.9</v>
      </c>
      <c r="X5" s="263">
        <v>324</v>
      </c>
      <c r="Y5" s="224">
        <v>325.3</v>
      </c>
      <c r="Z5" s="524">
        <v>312.5</v>
      </c>
      <c r="AA5" s="524">
        <v>294.10000000000002</v>
      </c>
      <c r="AB5" s="524">
        <v>275.8</v>
      </c>
      <c r="AC5" s="224">
        <v>264.5</v>
      </c>
      <c r="AD5" s="540">
        <v>258.2</v>
      </c>
      <c r="AE5" s="540">
        <v>249.4</v>
      </c>
      <c r="AF5" s="264">
        <v>248.8</v>
      </c>
      <c r="AG5" s="224"/>
      <c r="AI5" s="633"/>
    </row>
    <row r="6" spans="1:490" s="12" customFormat="1" ht="20.100000000000001" customHeight="1">
      <c r="A6" s="50" t="s">
        <v>6</v>
      </c>
      <c r="B6" s="34">
        <f>258.7</f>
        <v>258.7</v>
      </c>
      <c r="C6" s="34">
        <f>258.506</f>
        <v>258.50599999999997</v>
      </c>
      <c r="D6" s="61">
        <f>(257043)*0.001</f>
        <v>257.04300000000001</v>
      </c>
      <c r="E6" s="284">
        <f>(276407)*0.001</f>
        <v>276.40699999999998</v>
      </c>
      <c r="F6" s="61">
        <f>(266252)*0.001</f>
        <v>266.25200000000001</v>
      </c>
      <c r="G6" s="61">
        <f>(265011)*0.001</f>
        <v>265.01100000000002</v>
      </c>
      <c r="H6" s="61">
        <f>(252063)*0.001</f>
        <v>252.06300000000002</v>
      </c>
      <c r="I6" s="285">
        <f>(251152)*0.001</f>
        <v>251.15200000000002</v>
      </c>
      <c r="J6" s="286">
        <f>(248178)*0.001</f>
        <v>248.178</v>
      </c>
      <c r="K6" s="33">
        <v>3010.6</v>
      </c>
      <c r="L6" s="33">
        <v>2933.8</v>
      </c>
      <c r="M6" s="82">
        <v>2714.9</v>
      </c>
      <c r="N6" s="34">
        <v>2855.8</v>
      </c>
      <c r="O6" s="34">
        <v>2541.1999999999998</v>
      </c>
      <c r="P6" s="33">
        <v>2535.1999999999998</v>
      </c>
      <c r="Q6" s="224">
        <v>2548.6</v>
      </c>
      <c r="R6" s="263">
        <v>3002.2</v>
      </c>
      <c r="S6" s="263">
        <v>2931</v>
      </c>
      <c r="T6" s="263">
        <v>2882.8</v>
      </c>
      <c r="U6" s="224">
        <v>2964.3</v>
      </c>
      <c r="V6" s="263">
        <v>2885.9</v>
      </c>
      <c r="W6" s="263">
        <v>2904.7</v>
      </c>
      <c r="X6" s="263">
        <v>2866.4</v>
      </c>
      <c r="Y6" s="224">
        <v>2867.1</v>
      </c>
      <c r="Z6" s="524">
        <v>2797</v>
      </c>
      <c r="AA6" s="524">
        <v>4419.8999999999996</v>
      </c>
      <c r="AB6" s="524">
        <v>4438</v>
      </c>
      <c r="AC6" s="224">
        <v>4792.2</v>
      </c>
      <c r="AD6" s="540">
        <v>4720.3</v>
      </c>
      <c r="AE6" s="540">
        <v>4782.7</v>
      </c>
      <c r="AF6" s="264">
        <v>4797.3</v>
      </c>
      <c r="AG6" s="224"/>
      <c r="AI6" s="633"/>
    </row>
    <row r="7" spans="1:490" s="12" customFormat="1" ht="20.100000000000001" customHeight="1">
      <c r="A7" s="50" t="s">
        <v>9</v>
      </c>
      <c r="B7" s="34">
        <f>2422.989</f>
        <v>2422.989</v>
      </c>
      <c r="C7" s="34">
        <f>2575.456</f>
        <v>2575.4560000000001</v>
      </c>
      <c r="D7" s="34">
        <f>(2575456)*0.001</f>
        <v>2575.4560000000001</v>
      </c>
      <c r="E7" s="82">
        <f>(2568033)*0.001</f>
        <v>2568.0329999999999</v>
      </c>
      <c r="F7" s="34">
        <f>(2568033)*0.001</f>
        <v>2568.0329999999999</v>
      </c>
      <c r="G7" s="34">
        <f>(2568033)*0.001</f>
        <v>2568.0329999999999</v>
      </c>
      <c r="H7" s="34">
        <f>(2637594)*0.001</f>
        <v>2637.5940000000001</v>
      </c>
      <c r="I7" s="82">
        <f>(2602804)*0.001</f>
        <v>2602.8040000000001</v>
      </c>
      <c r="J7" s="34">
        <f>(2602804)*0.001</f>
        <v>2602.8040000000001</v>
      </c>
      <c r="K7" s="33">
        <v>11735.5</v>
      </c>
      <c r="L7" s="33">
        <v>11735.5</v>
      </c>
      <c r="M7" s="82">
        <v>10585.3</v>
      </c>
      <c r="N7" s="34">
        <v>10831.2</v>
      </c>
      <c r="O7" s="34">
        <v>10606.4</v>
      </c>
      <c r="P7" s="33">
        <v>10606.4</v>
      </c>
      <c r="Q7" s="224">
        <v>10606.4</v>
      </c>
      <c r="R7" s="263">
        <v>11675.3</v>
      </c>
      <c r="S7" s="263">
        <v>10975.2</v>
      </c>
      <c r="T7" s="263">
        <v>10975.3</v>
      </c>
      <c r="U7" s="224">
        <v>10975.4</v>
      </c>
      <c r="V7" s="263">
        <v>10975.4</v>
      </c>
      <c r="W7" s="263">
        <v>10975.4</v>
      </c>
      <c r="X7" s="263">
        <v>10975.4</v>
      </c>
      <c r="Y7" s="224">
        <v>11041.7</v>
      </c>
      <c r="Z7" s="524">
        <v>11060.5</v>
      </c>
      <c r="AA7" s="524">
        <v>11530</v>
      </c>
      <c r="AB7" s="524">
        <v>11519.3</v>
      </c>
      <c r="AC7" s="224">
        <v>11309.4</v>
      </c>
      <c r="AD7" s="540">
        <v>11309.4</v>
      </c>
      <c r="AE7" s="540">
        <v>11316.4</v>
      </c>
      <c r="AF7" s="264">
        <v>11316.4</v>
      </c>
      <c r="AG7" s="224"/>
      <c r="AI7" s="633"/>
    </row>
    <row r="8" spans="1:490" s="12" customFormat="1" ht="20.100000000000001" customHeight="1">
      <c r="A8" s="50" t="s">
        <v>180</v>
      </c>
      <c r="B8" s="35">
        <f>0</f>
        <v>0</v>
      </c>
      <c r="C8" s="35">
        <v>0</v>
      </c>
      <c r="D8" s="35">
        <f>0</f>
        <v>0</v>
      </c>
      <c r="E8" s="88">
        <v>0</v>
      </c>
      <c r="F8" s="35">
        <f>0</f>
        <v>0</v>
      </c>
      <c r="G8" s="35">
        <f>0</f>
        <v>0</v>
      </c>
      <c r="H8" s="35">
        <f>0</f>
        <v>0</v>
      </c>
      <c r="I8" s="72">
        <f>0</f>
        <v>0</v>
      </c>
      <c r="J8" s="83">
        <v>0</v>
      </c>
      <c r="K8" s="33">
        <v>4482</v>
      </c>
      <c r="L8" s="33">
        <v>4331.8999999999996</v>
      </c>
      <c r="M8" s="82">
        <v>4255.8</v>
      </c>
      <c r="N8" s="37">
        <v>4002.2</v>
      </c>
      <c r="O8" s="37">
        <v>3944.6</v>
      </c>
      <c r="P8" s="33">
        <v>3791.6</v>
      </c>
      <c r="Q8" s="224">
        <v>3638.5</v>
      </c>
      <c r="R8" s="264">
        <v>3488.7</v>
      </c>
      <c r="S8" s="264">
        <v>3337.3</v>
      </c>
      <c r="T8" s="264">
        <v>3184.2</v>
      </c>
      <c r="U8" s="224">
        <v>3031.2</v>
      </c>
      <c r="V8" s="264">
        <v>2883.1</v>
      </c>
      <c r="W8" s="264">
        <v>2762.8</v>
      </c>
      <c r="X8" s="264">
        <v>2660.5</v>
      </c>
      <c r="Y8" s="224">
        <v>2557.3000000000002</v>
      </c>
      <c r="Z8" s="524">
        <v>2458.6</v>
      </c>
      <c r="AA8" s="525">
        <v>2358.6999999999998</v>
      </c>
      <c r="AB8" s="524">
        <v>2257.6999999999998</v>
      </c>
      <c r="AC8" s="224">
        <v>2212.1999999999998</v>
      </c>
      <c r="AD8" s="540">
        <v>2111.6</v>
      </c>
      <c r="AE8" s="264">
        <v>2009.9</v>
      </c>
      <c r="AF8" s="264">
        <v>1907</v>
      </c>
      <c r="AG8" s="224"/>
      <c r="AI8" s="633"/>
    </row>
    <row r="9" spans="1:490" s="12" customFormat="1" ht="20.100000000000001" customHeight="1">
      <c r="A9" s="50" t="s">
        <v>54</v>
      </c>
      <c r="B9" s="34">
        <f>840</f>
        <v>840</v>
      </c>
      <c r="C9" s="61">
        <f>(840000)*0.001</f>
        <v>840</v>
      </c>
      <c r="D9" s="61">
        <f>(840000)*0.001</f>
        <v>840</v>
      </c>
      <c r="E9" s="284">
        <f>(847800)*0.001</f>
        <v>847.80000000000007</v>
      </c>
      <c r="F9" s="61">
        <f>(847800)*0.001</f>
        <v>847.80000000000007</v>
      </c>
      <c r="G9" s="61">
        <f>(847800)*0.001</f>
        <v>847.80000000000007</v>
      </c>
      <c r="H9" s="61">
        <f>(847800)*0.001</f>
        <v>847.80000000000007</v>
      </c>
      <c r="I9" s="285">
        <f>(890800)*0.001</f>
        <v>890.80000000000007</v>
      </c>
      <c r="J9" s="286">
        <f>(890800)*0.001</f>
        <v>890.80000000000007</v>
      </c>
      <c r="K9" s="38">
        <v>890.8</v>
      </c>
      <c r="L9" s="38">
        <v>890.8</v>
      </c>
      <c r="M9" s="82">
        <v>2085.9</v>
      </c>
      <c r="N9" s="34">
        <v>1783.7</v>
      </c>
      <c r="O9" s="34">
        <v>2092.6999999999998</v>
      </c>
      <c r="P9" s="38">
        <v>2086.6</v>
      </c>
      <c r="Q9" s="224">
        <v>2080.6</v>
      </c>
      <c r="R9" s="263">
        <v>2074.6</v>
      </c>
      <c r="S9" s="263">
        <v>2068.6</v>
      </c>
      <c r="T9" s="263">
        <v>2062.5</v>
      </c>
      <c r="U9" s="224">
        <v>2056.5</v>
      </c>
      <c r="V9" s="263">
        <v>2050.5</v>
      </c>
      <c r="W9" s="263">
        <v>2044.4</v>
      </c>
      <c r="X9" s="263">
        <v>2038.4</v>
      </c>
      <c r="Y9" s="224">
        <v>2037.1</v>
      </c>
      <c r="Z9" s="524">
        <v>2031</v>
      </c>
      <c r="AA9" s="524">
        <v>2024.8</v>
      </c>
      <c r="AB9" s="524">
        <v>2019</v>
      </c>
      <c r="AC9" s="224">
        <v>2096.1</v>
      </c>
      <c r="AD9" s="540">
        <v>2087.9</v>
      </c>
      <c r="AE9" s="540">
        <v>2079.6999999999998</v>
      </c>
      <c r="AF9" s="264">
        <v>2071.4</v>
      </c>
      <c r="AG9" s="224"/>
      <c r="AI9" s="633"/>
    </row>
    <row r="10" spans="1:490" s="12" customFormat="1" ht="20.100000000000001" customHeight="1">
      <c r="A10" s="50" t="s">
        <v>59</v>
      </c>
      <c r="B10" s="34">
        <f>69.466</f>
        <v>69.465999999999994</v>
      </c>
      <c r="C10" s="61">
        <f>(69627)*0.001</f>
        <v>69.626999999999995</v>
      </c>
      <c r="D10" s="61">
        <f>(68459)*0.001</f>
        <v>68.459000000000003</v>
      </c>
      <c r="E10" s="284">
        <f>(81380)*0.001</f>
        <v>81.38</v>
      </c>
      <c r="F10" s="61">
        <f>(82841)*0.001</f>
        <v>82.841000000000008</v>
      </c>
      <c r="G10" s="61">
        <f>(83804)*0.001</f>
        <v>83.804000000000002</v>
      </c>
      <c r="H10" s="61">
        <f>(115337)*0.001</f>
        <v>115.337</v>
      </c>
      <c r="I10" s="285">
        <f>(137401)*0.001</f>
        <v>137.40100000000001</v>
      </c>
      <c r="J10" s="286">
        <f>(136697)*0.001</f>
        <v>136.697</v>
      </c>
      <c r="K10" s="33">
        <v>2360.6</v>
      </c>
      <c r="L10" s="33">
        <v>2624.2</v>
      </c>
      <c r="M10" s="82">
        <v>2591.4</v>
      </c>
      <c r="N10" s="34">
        <v>2527.5</v>
      </c>
      <c r="O10" s="34">
        <v>2525.8000000000002</v>
      </c>
      <c r="P10" s="33">
        <v>2464.1999999999998</v>
      </c>
      <c r="Q10" s="224">
        <v>2422.1999999999998</v>
      </c>
      <c r="R10" s="263">
        <v>2988.7</v>
      </c>
      <c r="S10" s="263">
        <v>3903</v>
      </c>
      <c r="T10" s="263">
        <v>3769.5</v>
      </c>
      <c r="U10" s="224">
        <v>3656.2</v>
      </c>
      <c r="V10" s="263">
        <v>3540.5</v>
      </c>
      <c r="W10" s="263">
        <v>3471.1</v>
      </c>
      <c r="X10" s="263">
        <v>3343.6</v>
      </c>
      <c r="Y10" s="224">
        <v>3261.5</v>
      </c>
      <c r="Z10" s="524">
        <v>3146.4</v>
      </c>
      <c r="AA10" s="524">
        <v>3097.5</v>
      </c>
      <c r="AB10" s="524">
        <v>3015.6</v>
      </c>
      <c r="AC10" s="224">
        <v>3005.5</v>
      </c>
      <c r="AD10" s="540">
        <v>2967.8</v>
      </c>
      <c r="AE10" s="540">
        <v>2943.7</v>
      </c>
      <c r="AF10" s="264">
        <v>2911.7</v>
      </c>
      <c r="AG10" s="224"/>
      <c r="AI10" s="633"/>
    </row>
    <row r="11" spans="1:490" s="12" customFormat="1" ht="20.100000000000001" customHeight="1">
      <c r="A11" s="50" t="s">
        <v>253</v>
      </c>
      <c r="B11" s="34"/>
      <c r="C11" s="61"/>
      <c r="D11" s="61"/>
      <c r="E11" s="284"/>
      <c r="F11" s="61"/>
      <c r="G11" s="61"/>
      <c r="H11" s="61"/>
      <c r="I11" s="285"/>
      <c r="J11" s="286"/>
      <c r="K11" s="33"/>
      <c r="L11" s="33"/>
      <c r="M11" s="82"/>
      <c r="N11" s="34"/>
      <c r="O11" s="34"/>
      <c r="P11" s="33"/>
      <c r="Q11" s="224"/>
      <c r="R11" s="540"/>
      <c r="S11" s="540"/>
      <c r="T11" s="540"/>
      <c r="U11" s="224"/>
      <c r="V11" s="540"/>
      <c r="W11" s="540"/>
      <c r="X11" s="540"/>
      <c r="Y11" s="224"/>
      <c r="Z11" s="540"/>
      <c r="AA11" s="540"/>
      <c r="AB11" s="540"/>
      <c r="AC11" s="224"/>
      <c r="AD11" s="540">
        <v>1482</v>
      </c>
      <c r="AE11" s="540">
        <v>1408.2</v>
      </c>
      <c r="AF11" s="264">
        <v>1340.8</v>
      </c>
      <c r="AG11" s="224"/>
      <c r="AI11" s="633"/>
    </row>
    <row r="12" spans="1:490" s="12" customFormat="1" ht="20.100000000000001" customHeight="1">
      <c r="A12" s="50" t="s">
        <v>55</v>
      </c>
      <c r="B12" s="34">
        <f>91.415</f>
        <v>91.415000000000006</v>
      </c>
      <c r="C12" s="61">
        <f>(95405)*0.001</f>
        <v>95.405000000000001</v>
      </c>
      <c r="D12" s="61">
        <f>(95323)*0.001</f>
        <v>95.323000000000008</v>
      </c>
      <c r="E12" s="284">
        <f>(97988)*0.001</f>
        <v>97.988</v>
      </c>
      <c r="F12" s="61">
        <f>(104074)*0.001</f>
        <v>104.074</v>
      </c>
      <c r="G12" s="61">
        <f>(115904)*0.001</f>
        <v>115.904</v>
      </c>
      <c r="H12" s="61">
        <f>(82162)*0.001</f>
        <v>82.162000000000006</v>
      </c>
      <c r="I12" s="285">
        <f>(71571)*0.001</f>
        <v>71.570999999999998</v>
      </c>
      <c r="J12" s="286">
        <f>(107548)*0.001</f>
        <v>107.548</v>
      </c>
      <c r="K12" s="38">
        <v>128.1</v>
      </c>
      <c r="L12" s="38">
        <v>148.80000000000001</v>
      </c>
      <c r="M12" s="82">
        <v>135.80000000000001</v>
      </c>
      <c r="N12" s="34">
        <v>158.69999999999999</v>
      </c>
      <c r="O12" s="34">
        <v>174.6</v>
      </c>
      <c r="P12" s="38">
        <v>109</v>
      </c>
      <c r="Q12" s="224">
        <v>145</v>
      </c>
      <c r="R12" s="263">
        <v>129.80000000000001</v>
      </c>
      <c r="S12" s="263">
        <v>156.19999999999999</v>
      </c>
      <c r="T12" s="263">
        <v>125.6</v>
      </c>
      <c r="U12" s="224">
        <v>151.80000000000001</v>
      </c>
      <c r="V12" s="263">
        <v>150</v>
      </c>
      <c r="W12" s="263">
        <v>167.3</v>
      </c>
      <c r="X12" s="263">
        <v>180.5</v>
      </c>
      <c r="Y12" s="224">
        <v>170.1</v>
      </c>
      <c r="Z12" s="524">
        <v>170.1</v>
      </c>
      <c r="AA12" s="524">
        <v>211.1</v>
      </c>
      <c r="AB12" s="524">
        <v>584.29999999999995</v>
      </c>
      <c r="AC12" s="224">
        <v>503.8</v>
      </c>
      <c r="AD12" s="540">
        <v>474</v>
      </c>
      <c r="AE12" s="540">
        <v>517.5</v>
      </c>
      <c r="AF12" s="264">
        <v>445.4</v>
      </c>
      <c r="AG12" s="224"/>
      <c r="AI12" s="633"/>
    </row>
    <row r="13" spans="1:490" s="12" customFormat="1" ht="20.100000000000001" customHeight="1">
      <c r="A13" s="50" t="s">
        <v>7</v>
      </c>
      <c r="B13" s="34">
        <f>8.419</f>
        <v>8.4190000000000005</v>
      </c>
      <c r="C13" s="61">
        <f>(8398)*0.001</f>
        <v>8.3979999999999997</v>
      </c>
      <c r="D13" s="61">
        <f>(8378)*0.001</f>
        <v>8.3780000000000001</v>
      </c>
      <c r="E13" s="284">
        <f>(8357)*0.001</f>
        <v>8.3569999999999993</v>
      </c>
      <c r="F13" s="61">
        <f>(8336)*0.001</f>
        <v>8.3360000000000003</v>
      </c>
      <c r="G13" s="61">
        <f>(7788)*0.001</f>
        <v>7.7880000000000003</v>
      </c>
      <c r="H13" s="61">
        <f>(7427)*0.001</f>
        <v>7.4270000000000005</v>
      </c>
      <c r="I13" s="285">
        <f>(5330)*0.001</f>
        <v>5.33</v>
      </c>
      <c r="J13" s="286">
        <f>(5315)*0.001</f>
        <v>5.3150000000000004</v>
      </c>
      <c r="K13" s="38">
        <v>5.3</v>
      </c>
      <c r="L13" s="38">
        <v>5.3</v>
      </c>
      <c r="M13" s="82">
        <v>5.3</v>
      </c>
      <c r="N13" s="34">
        <v>5.2</v>
      </c>
      <c r="O13" s="34">
        <v>5.2</v>
      </c>
      <c r="P13" s="38">
        <v>5.2</v>
      </c>
      <c r="Q13" s="224">
        <v>5.2</v>
      </c>
      <c r="R13" s="263">
        <v>5.2</v>
      </c>
      <c r="S13" s="263">
        <v>5.2</v>
      </c>
      <c r="T13" s="263">
        <v>5.2</v>
      </c>
      <c r="U13" s="224">
        <v>5.0999999999999996</v>
      </c>
      <c r="V13" s="263">
        <v>5.0999999999999996</v>
      </c>
      <c r="W13" s="263">
        <v>5.0999999999999996</v>
      </c>
      <c r="X13" s="263">
        <v>5.0999999999999996</v>
      </c>
      <c r="Y13" s="224">
        <v>5.0999999999999996</v>
      </c>
      <c r="Z13" s="524">
        <v>5.0999999999999996</v>
      </c>
      <c r="AA13" s="524">
        <v>30</v>
      </c>
      <c r="AB13" s="524">
        <v>29.9</v>
      </c>
      <c r="AC13" s="224">
        <v>29.9</v>
      </c>
      <c r="AD13" s="540">
        <v>29.7</v>
      </c>
      <c r="AE13" s="540">
        <v>29.6</v>
      </c>
      <c r="AF13" s="540">
        <v>29.5</v>
      </c>
      <c r="AG13" s="224"/>
      <c r="AI13" s="633"/>
    </row>
    <row r="14" spans="1:490" s="12" customFormat="1" ht="20.100000000000001" customHeight="1">
      <c r="A14" s="50" t="s">
        <v>181</v>
      </c>
      <c r="B14" s="312">
        <v>0</v>
      </c>
      <c r="C14" s="290">
        <f>(33259)*0.001</f>
        <v>33.259</v>
      </c>
      <c r="D14" s="290">
        <f>(33252)*0.001</f>
        <v>33.252000000000002</v>
      </c>
      <c r="E14" s="291">
        <f>(35125)*0.001</f>
        <v>35.125</v>
      </c>
      <c r="F14" s="290">
        <f>(34399)*0.001</f>
        <v>34.399000000000001</v>
      </c>
      <c r="G14" s="290">
        <f>(32935)*0.001</f>
        <v>32.935000000000002</v>
      </c>
      <c r="H14" s="290">
        <f>(29318)*0.001</f>
        <v>29.318000000000001</v>
      </c>
      <c r="I14" s="292">
        <f>(29551)*0.001</f>
        <v>29.551000000000002</v>
      </c>
      <c r="J14" s="293">
        <f>(26502)*0.001</f>
        <v>26.501999999999999</v>
      </c>
      <c r="K14" s="38">
        <v>46.2</v>
      </c>
      <c r="L14" s="38">
        <v>67</v>
      </c>
      <c r="M14" s="82">
        <v>81</v>
      </c>
      <c r="N14" s="34">
        <v>84.1</v>
      </c>
      <c r="O14" s="34">
        <v>82.3</v>
      </c>
      <c r="P14" s="38">
        <v>81.2</v>
      </c>
      <c r="Q14" s="224">
        <v>83.3</v>
      </c>
      <c r="R14" s="263">
        <v>81.099999999999994</v>
      </c>
      <c r="S14" s="263">
        <v>79.7</v>
      </c>
      <c r="T14" s="263">
        <v>80.400000000000006</v>
      </c>
      <c r="U14" s="224">
        <v>82.8</v>
      </c>
      <c r="V14" s="263">
        <v>83.8</v>
      </c>
      <c r="W14" s="263">
        <v>82.9</v>
      </c>
      <c r="X14" s="263">
        <v>85.8</v>
      </c>
      <c r="Y14" s="224">
        <v>91.4</v>
      </c>
      <c r="Z14" s="524">
        <v>90.4</v>
      </c>
      <c r="AA14" s="524">
        <v>93</v>
      </c>
      <c r="AB14" s="524">
        <v>94.8</v>
      </c>
      <c r="AC14" s="224">
        <v>99.7</v>
      </c>
      <c r="AD14" s="540">
        <v>97.9</v>
      </c>
      <c r="AE14" s="540">
        <v>93.9</v>
      </c>
      <c r="AF14" s="540">
        <v>98.1</v>
      </c>
      <c r="AG14" s="224"/>
      <c r="AI14" s="633"/>
    </row>
    <row r="15" spans="1:490" s="12" customFormat="1" ht="20.100000000000001" customHeight="1">
      <c r="A15" s="50" t="s">
        <v>169</v>
      </c>
      <c r="B15" s="43">
        <v>0</v>
      </c>
      <c r="C15" s="43">
        <v>0</v>
      </c>
      <c r="D15" s="43">
        <v>0</v>
      </c>
      <c r="E15" s="313">
        <v>0</v>
      </c>
      <c r="F15" s="43">
        <v>0</v>
      </c>
      <c r="G15" s="43">
        <v>0</v>
      </c>
      <c r="H15" s="43">
        <v>0</v>
      </c>
      <c r="I15" s="313">
        <v>0</v>
      </c>
      <c r="J15" s="43">
        <v>0</v>
      </c>
      <c r="K15" s="43">
        <v>0</v>
      </c>
      <c r="L15" s="43">
        <v>0</v>
      </c>
      <c r="M15" s="313">
        <v>0</v>
      </c>
      <c r="N15" s="43">
        <v>0</v>
      </c>
      <c r="O15" s="43">
        <v>0</v>
      </c>
      <c r="P15" s="43">
        <v>0</v>
      </c>
      <c r="Q15" s="313">
        <v>0</v>
      </c>
      <c r="R15" s="263">
        <v>180.5</v>
      </c>
      <c r="S15" s="263">
        <v>0</v>
      </c>
      <c r="T15" s="263">
        <v>0</v>
      </c>
      <c r="U15" s="224">
        <v>0</v>
      </c>
      <c r="V15" s="263">
        <v>0</v>
      </c>
      <c r="W15" s="263">
        <v>0</v>
      </c>
      <c r="X15" s="263">
        <v>0</v>
      </c>
      <c r="Y15" s="224">
        <v>0</v>
      </c>
      <c r="Z15" s="524">
        <v>0</v>
      </c>
      <c r="AA15" s="524">
        <v>0</v>
      </c>
      <c r="AB15" s="540">
        <v>0</v>
      </c>
      <c r="AC15" s="224">
        <v>0</v>
      </c>
      <c r="AD15" s="540">
        <v>0</v>
      </c>
      <c r="AE15" s="540">
        <v>0</v>
      </c>
      <c r="AF15" s="540">
        <v>0</v>
      </c>
      <c r="AG15" s="224"/>
      <c r="AI15" s="633"/>
    </row>
    <row r="16" spans="1:490" s="12" customFormat="1" ht="20.100000000000001" customHeight="1">
      <c r="A16" s="50" t="s">
        <v>182</v>
      </c>
      <c r="B16" s="34">
        <f>92.159</f>
        <v>92.159000000000006</v>
      </c>
      <c r="C16" s="61">
        <f>(84770)*0.001</f>
        <v>84.77</v>
      </c>
      <c r="D16" s="61">
        <f>(116704)*0.001</f>
        <v>116.70400000000001</v>
      </c>
      <c r="E16" s="284">
        <f>(109642)*0.001</f>
        <v>109.642</v>
      </c>
      <c r="F16" s="61">
        <f>(62960)*0.001</f>
        <v>62.96</v>
      </c>
      <c r="G16" s="61">
        <f>(61422)*0.001</f>
        <v>61.422000000000004</v>
      </c>
      <c r="H16" s="61">
        <f>(27107)*0.001</f>
        <v>27.106999999999999</v>
      </c>
      <c r="I16" s="285">
        <f>(20803)*0.001</f>
        <v>20.803000000000001</v>
      </c>
      <c r="J16" s="286">
        <f>(6430)*0.001</f>
        <v>6.43</v>
      </c>
      <c r="K16" s="38">
        <v>107.4</v>
      </c>
      <c r="L16" s="38">
        <v>141.4</v>
      </c>
      <c r="M16" s="82">
        <v>198.5</v>
      </c>
      <c r="N16" s="34">
        <v>238</v>
      </c>
      <c r="O16" s="34">
        <v>232.8</v>
      </c>
      <c r="P16" s="38">
        <v>232.7</v>
      </c>
      <c r="Q16" s="224">
        <v>272.8</v>
      </c>
      <c r="R16" s="263">
        <v>295.39999999999998</v>
      </c>
      <c r="S16" s="263">
        <v>331.8</v>
      </c>
      <c r="T16" s="263">
        <v>373.3</v>
      </c>
      <c r="U16" s="224">
        <v>452</v>
      </c>
      <c r="V16" s="263">
        <v>476.3</v>
      </c>
      <c r="W16" s="263">
        <v>508.1</v>
      </c>
      <c r="X16" s="263">
        <v>544.20000000000005</v>
      </c>
      <c r="Y16" s="224">
        <v>1270.7</v>
      </c>
      <c r="Z16" s="524">
        <v>1280.5999999999999</v>
      </c>
      <c r="AA16" s="524">
        <v>649.29999999999995</v>
      </c>
      <c r="AB16" s="524">
        <v>647.9</v>
      </c>
      <c r="AC16" s="224">
        <v>701.1</v>
      </c>
      <c r="AD16" s="540">
        <v>714.5</v>
      </c>
      <c r="AE16" s="540">
        <v>781.6</v>
      </c>
      <c r="AF16" s="540">
        <v>830.6</v>
      </c>
      <c r="AG16" s="224"/>
      <c r="AI16" s="633"/>
    </row>
    <row r="17" spans="1:35" s="374" customFormat="1" ht="25.5">
      <c r="A17" s="414" t="s">
        <v>210</v>
      </c>
      <c r="B17" s="415"/>
      <c r="C17" s="415"/>
      <c r="D17" s="415"/>
      <c r="E17" s="416"/>
      <c r="F17" s="415"/>
      <c r="G17" s="415"/>
      <c r="H17" s="415"/>
      <c r="I17" s="416"/>
      <c r="J17" s="415"/>
      <c r="K17" s="415"/>
      <c r="L17" s="415"/>
      <c r="M17" s="416"/>
      <c r="N17" s="415"/>
      <c r="O17" s="415"/>
      <c r="P17" s="415"/>
      <c r="Q17" s="416"/>
      <c r="R17" s="415"/>
      <c r="S17" s="415"/>
      <c r="T17" s="415"/>
      <c r="U17" s="225">
        <v>0</v>
      </c>
      <c r="V17" s="415"/>
      <c r="W17" s="415"/>
      <c r="X17" s="415"/>
      <c r="Y17" s="225">
        <v>665.2</v>
      </c>
      <c r="Z17" s="526">
        <v>681.2</v>
      </c>
      <c r="AA17" s="526">
        <v>40.4</v>
      </c>
      <c r="AB17" s="541">
        <v>36.9</v>
      </c>
      <c r="AC17" s="225">
        <v>43</v>
      </c>
      <c r="AD17" s="541">
        <v>41.3</v>
      </c>
      <c r="AE17" s="415">
        <v>67.5</v>
      </c>
      <c r="AF17" s="541">
        <v>66.2</v>
      </c>
      <c r="AG17" s="224"/>
      <c r="AI17" s="633"/>
    </row>
    <row r="18" spans="1:35" s="30" customFormat="1" ht="20.100000000000001" customHeight="1">
      <c r="A18" s="55" t="s">
        <v>91</v>
      </c>
      <c r="B18" s="40">
        <v>0</v>
      </c>
      <c r="C18" s="40">
        <v>0</v>
      </c>
      <c r="D18" s="40">
        <v>0</v>
      </c>
      <c r="E18" s="98">
        <v>0</v>
      </c>
      <c r="F18" s="40">
        <v>0</v>
      </c>
      <c r="G18" s="40">
        <v>0</v>
      </c>
      <c r="H18" s="40">
        <v>0</v>
      </c>
      <c r="I18" s="73">
        <v>0</v>
      </c>
      <c r="J18" s="84">
        <v>0</v>
      </c>
      <c r="K18" s="40">
        <v>0</v>
      </c>
      <c r="L18" s="40">
        <v>0</v>
      </c>
      <c r="M18" s="85">
        <v>1.2</v>
      </c>
      <c r="N18" s="40">
        <v>0</v>
      </c>
      <c r="O18" s="40">
        <v>0</v>
      </c>
      <c r="P18" s="40">
        <v>0</v>
      </c>
      <c r="Q18" s="225">
        <v>6.9</v>
      </c>
      <c r="R18" s="265">
        <v>0.6</v>
      </c>
      <c r="S18" s="265">
        <v>0</v>
      </c>
      <c r="T18" s="265">
        <v>3.5</v>
      </c>
      <c r="U18" s="225">
        <v>9.5</v>
      </c>
      <c r="V18" s="265">
        <v>7.8</v>
      </c>
      <c r="W18" s="265">
        <v>4.9000000000000004</v>
      </c>
      <c r="X18" s="265">
        <v>2.5</v>
      </c>
      <c r="Y18" s="225">
        <v>1.9</v>
      </c>
      <c r="Z18" s="526">
        <v>0.1</v>
      </c>
      <c r="AA18" s="526">
        <v>1.4</v>
      </c>
      <c r="AB18" s="541">
        <v>2.7</v>
      </c>
      <c r="AC18" s="225">
        <v>0</v>
      </c>
      <c r="AD18" s="541">
        <v>0</v>
      </c>
      <c r="AE18" s="541">
        <v>0</v>
      </c>
      <c r="AF18" s="541">
        <v>0.2</v>
      </c>
      <c r="AG18" s="224"/>
      <c r="AI18" s="633"/>
    </row>
    <row r="19" spans="1:35" s="12" customFormat="1" ht="20.100000000000001" customHeight="1" thickBot="1">
      <c r="A19" s="51" t="s">
        <v>8</v>
      </c>
      <c r="B19" s="42">
        <f>30.5</f>
        <v>30.5</v>
      </c>
      <c r="C19" s="61">
        <f>(40245)*0.001</f>
        <v>40.244999999999997</v>
      </c>
      <c r="D19" s="61">
        <f>(37018)*0.001</f>
        <v>37.018000000000001</v>
      </c>
      <c r="E19" s="284">
        <f>(31356)*0.001</f>
        <v>31.356000000000002</v>
      </c>
      <c r="F19" s="61">
        <f>(30260)*0.001</f>
        <v>30.26</v>
      </c>
      <c r="G19" s="61">
        <f>(27326)*0.001</f>
        <v>27.326000000000001</v>
      </c>
      <c r="H19" s="61">
        <f>(27552)*0.001</f>
        <v>27.552</v>
      </c>
      <c r="I19" s="285">
        <f>(38854)*0.001</f>
        <v>38.853999999999999</v>
      </c>
      <c r="J19" s="286">
        <f>(34685)*0.001</f>
        <v>34.685000000000002</v>
      </c>
      <c r="K19" s="41">
        <v>240.5</v>
      </c>
      <c r="L19" s="41">
        <v>285.7</v>
      </c>
      <c r="M19" s="86">
        <v>281.10000000000002</v>
      </c>
      <c r="N19" s="42">
        <v>229</v>
      </c>
      <c r="O19" s="42">
        <v>260.89999999999998</v>
      </c>
      <c r="P19" s="41">
        <v>107.2</v>
      </c>
      <c r="Q19" s="224">
        <v>87.6</v>
      </c>
      <c r="R19" s="266">
        <v>211.3</v>
      </c>
      <c r="S19" s="266">
        <v>236.5</v>
      </c>
      <c r="T19" s="266">
        <v>238.4</v>
      </c>
      <c r="U19" s="224">
        <v>232.7</v>
      </c>
      <c r="V19" s="263">
        <v>249.3</v>
      </c>
      <c r="W19" s="266">
        <v>199.9</v>
      </c>
      <c r="X19" s="266">
        <v>192.1</v>
      </c>
      <c r="Y19" s="224">
        <v>197.2</v>
      </c>
      <c r="Z19" s="524">
        <v>178.4</v>
      </c>
      <c r="AA19" s="527">
        <v>216</v>
      </c>
      <c r="AB19" s="524">
        <v>213</v>
      </c>
      <c r="AC19" s="224">
        <v>259.7</v>
      </c>
      <c r="AD19" s="540">
        <v>258.2</v>
      </c>
      <c r="AE19" s="527">
        <v>260.5</v>
      </c>
      <c r="AF19" s="540">
        <v>267.3</v>
      </c>
      <c r="AG19" s="224"/>
      <c r="AI19" s="633"/>
    </row>
    <row r="20" spans="1:35" s="15" customFormat="1" ht="24.95" customHeight="1" thickBot="1">
      <c r="A20" s="13" t="s">
        <v>10</v>
      </c>
      <c r="B20" s="54">
        <f t="shared" ref="B20:J20" si="0">(SUM(B5:B19))</f>
        <v>4228.9560000000001</v>
      </c>
      <c r="C20" s="54">
        <f t="shared" si="0"/>
        <v>4425.1450000000004</v>
      </c>
      <c r="D20" s="54">
        <f t="shared" si="0"/>
        <v>4456.701</v>
      </c>
      <c r="E20" s="76">
        <f t="shared" si="0"/>
        <v>4476.1480000000001</v>
      </c>
      <c r="F20" s="54">
        <f t="shared" si="0"/>
        <v>4424.8490000000011</v>
      </c>
      <c r="G20" s="54">
        <f t="shared" si="0"/>
        <v>4428.5439999999999</v>
      </c>
      <c r="H20" s="54">
        <f t="shared" si="0"/>
        <v>4436.0960000000005</v>
      </c>
      <c r="I20" s="54">
        <f t="shared" si="0"/>
        <v>4455.8450000000003</v>
      </c>
      <c r="J20" s="287">
        <f t="shared" si="0"/>
        <v>4454.3520000000008</v>
      </c>
      <c r="K20" s="53">
        <f>SUM(K5:K19)</f>
        <v>23391.8</v>
      </c>
      <c r="L20" s="53">
        <f>SUM(L5:L19)</f>
        <v>23581.399999999998</v>
      </c>
      <c r="M20" s="76">
        <f t="shared" ref="M20:X20" si="1">(SUM(M5:M19))-M18</f>
        <v>23356.1</v>
      </c>
      <c r="N20" s="54">
        <f t="shared" si="1"/>
        <v>23132</v>
      </c>
      <c r="O20" s="54">
        <f t="shared" si="1"/>
        <v>22867.599999999999</v>
      </c>
      <c r="P20" s="54">
        <f t="shared" si="1"/>
        <v>22396.3</v>
      </c>
      <c r="Q20" s="226">
        <f t="shared" si="1"/>
        <v>22261.199999999997</v>
      </c>
      <c r="R20" s="267">
        <f t="shared" si="1"/>
        <v>24489.499999999996</v>
      </c>
      <c r="S20" s="267">
        <f t="shared" si="1"/>
        <v>24377.8</v>
      </c>
      <c r="T20" s="267">
        <f t="shared" si="1"/>
        <v>24047.600000000002</v>
      </c>
      <c r="U20" s="226">
        <f t="shared" si="1"/>
        <v>23958.899999999998</v>
      </c>
      <c r="V20" s="267">
        <f t="shared" si="1"/>
        <v>23642.099999999995</v>
      </c>
      <c r="W20" s="267">
        <f t="shared" si="1"/>
        <v>23454.6</v>
      </c>
      <c r="X20" s="267">
        <f t="shared" si="1"/>
        <v>23215.999999999996</v>
      </c>
      <c r="Y20" s="226">
        <f>(SUM(Y5:Y19))-Y18-Y17</f>
        <v>23824.5</v>
      </c>
      <c r="Z20" s="267">
        <f>SUM(Z5:Z16,Z19)</f>
        <v>23530.6</v>
      </c>
      <c r="AA20" s="267">
        <f>SUM(AA5:AA16,AA19)</f>
        <v>24924.399999999998</v>
      </c>
      <c r="AB20" s="542">
        <f>SUM(AB5:AB16,AB19)</f>
        <v>25095.3</v>
      </c>
      <c r="AC20" s="226">
        <f>(SUM(AC5:AC19))-AC18-AC17</f>
        <v>25274.1</v>
      </c>
      <c r="AD20" s="542">
        <f>SUM(AD5:AD16,AD19)</f>
        <v>26511.500000000004</v>
      </c>
      <c r="AE20" s="542">
        <f>SUM(AE5:AE16,AE19)</f>
        <v>26473.100000000002</v>
      </c>
      <c r="AF20" s="542">
        <f>SUM(AF5:AF16,AF19)</f>
        <v>26264.3</v>
      </c>
      <c r="AG20" s="226">
        <f>(SUM(AG5:AG19))-AG18-AG17</f>
        <v>0</v>
      </c>
      <c r="AI20" s="633"/>
    </row>
    <row r="21" spans="1:35" s="15" customFormat="1" ht="20.100000000000001" customHeight="1">
      <c r="A21" s="49" t="s">
        <v>56</v>
      </c>
      <c r="B21" s="32">
        <f>176.114</f>
        <v>176.114</v>
      </c>
      <c r="C21" s="61">
        <f>(167251)*0.001</f>
        <v>167.251</v>
      </c>
      <c r="D21" s="61">
        <f>(171461)*0.001</f>
        <v>171.46100000000001</v>
      </c>
      <c r="E21" s="284">
        <f>(141652)*0.001</f>
        <v>141.65200000000002</v>
      </c>
      <c r="F21" s="61">
        <f>(155399)*0.001</f>
        <v>155.399</v>
      </c>
      <c r="G21" s="61">
        <f>(170743)*0.001</f>
        <v>170.74299999999999</v>
      </c>
      <c r="H21" s="61">
        <f>(208533)*0.001</f>
        <v>208.53300000000002</v>
      </c>
      <c r="I21" s="285">
        <f>(181341)*0.001</f>
        <v>181.34100000000001</v>
      </c>
      <c r="J21" s="286">
        <f>(228936)*0.001</f>
        <v>228.93600000000001</v>
      </c>
      <c r="K21" s="56">
        <v>199.1</v>
      </c>
      <c r="L21" s="56">
        <v>172.6</v>
      </c>
      <c r="M21" s="87">
        <v>152.1</v>
      </c>
      <c r="N21" s="32">
        <v>163.1</v>
      </c>
      <c r="O21" s="32">
        <v>170.4</v>
      </c>
      <c r="P21" s="56">
        <v>255.6</v>
      </c>
      <c r="Q21" s="224">
        <v>192.2</v>
      </c>
      <c r="R21" s="268">
        <v>234.7</v>
      </c>
      <c r="S21" s="268">
        <v>163.5</v>
      </c>
      <c r="T21" s="268">
        <v>219.1</v>
      </c>
      <c r="U21" s="224">
        <v>192</v>
      </c>
      <c r="V21" s="268">
        <v>179.8</v>
      </c>
      <c r="W21" s="268">
        <v>214.3</v>
      </c>
      <c r="X21" s="268">
        <v>243.6</v>
      </c>
      <c r="Y21" s="224">
        <v>251.7</v>
      </c>
      <c r="Z21" s="531">
        <v>256.60000000000002</v>
      </c>
      <c r="AA21" s="531">
        <v>353.2</v>
      </c>
      <c r="AB21" s="531">
        <v>544.5</v>
      </c>
      <c r="AC21" s="224">
        <v>543.20000000000005</v>
      </c>
      <c r="AD21" s="533">
        <v>539.79999999999995</v>
      </c>
      <c r="AE21" s="533">
        <v>538.9</v>
      </c>
      <c r="AF21" s="540">
        <v>552.6</v>
      </c>
      <c r="AG21" s="224"/>
      <c r="AI21" s="633"/>
    </row>
    <row r="22" spans="1:35" s="15" customFormat="1" ht="20.100000000000001" customHeight="1">
      <c r="A22" s="50" t="s">
        <v>221</v>
      </c>
      <c r="B22" s="34"/>
      <c r="C22" s="61"/>
      <c r="D22" s="61"/>
      <c r="E22" s="284"/>
      <c r="F22" s="61"/>
      <c r="G22" s="61"/>
      <c r="H22" s="61"/>
      <c r="I22" s="285"/>
      <c r="J22" s="286"/>
      <c r="K22" s="38"/>
      <c r="L22" s="38"/>
      <c r="M22" s="82"/>
      <c r="N22" s="34"/>
      <c r="O22" s="34"/>
      <c r="P22" s="38"/>
      <c r="Q22" s="224"/>
      <c r="R22" s="263"/>
      <c r="S22" s="263"/>
      <c r="T22" s="263"/>
      <c r="U22" s="224"/>
      <c r="V22" s="263"/>
      <c r="W22" s="263"/>
      <c r="X22" s="263"/>
      <c r="Y22" s="224"/>
      <c r="Z22" s="528">
        <v>680.8</v>
      </c>
      <c r="AA22" s="528">
        <v>681.5</v>
      </c>
      <c r="AB22" s="528">
        <v>655.20000000000005</v>
      </c>
      <c r="AC22" s="224">
        <v>648.4</v>
      </c>
      <c r="AD22" s="540">
        <v>657.6</v>
      </c>
      <c r="AE22" s="540">
        <v>651.70000000000005</v>
      </c>
      <c r="AF22" s="540">
        <v>639.20000000000005</v>
      </c>
      <c r="AG22" s="224"/>
      <c r="AI22" s="633"/>
    </row>
    <row r="23" spans="1:35" s="12" customFormat="1" ht="20.100000000000001" customHeight="1">
      <c r="A23" s="50" t="s">
        <v>11</v>
      </c>
      <c r="B23" s="34">
        <f>185.376</f>
        <v>185.376</v>
      </c>
      <c r="C23" s="61">
        <f>(185528)*0.001</f>
        <v>185.52799999999999</v>
      </c>
      <c r="D23" s="61">
        <f>(177054)*0.001</f>
        <v>177.054</v>
      </c>
      <c r="E23" s="284">
        <f>(161974)*0.001</f>
        <v>161.97399999999999</v>
      </c>
      <c r="F23" s="61">
        <f>(150701)*0.001</f>
        <v>150.70099999999999</v>
      </c>
      <c r="G23" s="61">
        <f>(157445)*0.001</f>
        <v>157.44499999999999</v>
      </c>
      <c r="H23" s="61">
        <f>(155698)*0.001</f>
        <v>155.69800000000001</v>
      </c>
      <c r="I23" s="285">
        <f>(146771)*0.001</f>
        <v>146.77100000000002</v>
      </c>
      <c r="J23" s="286">
        <f>(163072)*0.001</f>
        <v>163.072</v>
      </c>
      <c r="K23" s="33">
        <v>343.8</v>
      </c>
      <c r="L23" s="33">
        <v>316.60000000000002</v>
      </c>
      <c r="M23" s="82">
        <v>301.39999999999998</v>
      </c>
      <c r="N23" s="34">
        <v>252.9</v>
      </c>
      <c r="O23" s="34">
        <v>261.7</v>
      </c>
      <c r="P23" s="33">
        <v>264.10000000000002</v>
      </c>
      <c r="Q23" s="224">
        <v>281</v>
      </c>
      <c r="R23" s="263">
        <v>260.2</v>
      </c>
      <c r="S23" s="263">
        <v>270</v>
      </c>
      <c r="T23" s="263">
        <v>281</v>
      </c>
      <c r="U23" s="224">
        <v>278.7</v>
      </c>
      <c r="V23" s="263">
        <v>237.2</v>
      </c>
      <c r="W23" s="263">
        <v>279</v>
      </c>
      <c r="X23" s="263">
        <v>295.60000000000002</v>
      </c>
      <c r="Y23" s="224">
        <v>283.7</v>
      </c>
      <c r="Z23" s="529">
        <v>305.3</v>
      </c>
      <c r="AA23" s="528">
        <v>362.1</v>
      </c>
      <c r="AB23" s="528">
        <v>387.6</v>
      </c>
      <c r="AC23" s="224">
        <v>394</v>
      </c>
      <c r="AD23" s="529">
        <v>333.7</v>
      </c>
      <c r="AE23" s="540">
        <v>344.5</v>
      </c>
      <c r="AF23" s="540">
        <v>359.6</v>
      </c>
      <c r="AG23" s="224"/>
      <c r="AI23" s="633"/>
    </row>
    <row r="24" spans="1:35" s="12" customFormat="1" ht="20.100000000000001" customHeight="1">
      <c r="A24" s="50" t="s">
        <v>61</v>
      </c>
      <c r="B24" s="34">
        <f>1.102</f>
        <v>1.1020000000000001</v>
      </c>
      <c r="C24" s="35">
        <f>0</f>
        <v>0</v>
      </c>
      <c r="D24" s="35">
        <f>0</f>
        <v>0</v>
      </c>
      <c r="E24" s="88">
        <f>0</f>
        <v>0</v>
      </c>
      <c r="F24" s="35">
        <f>0</f>
        <v>0</v>
      </c>
      <c r="G24" s="35">
        <f>0</f>
        <v>0</v>
      </c>
      <c r="H24" s="35">
        <f>0</f>
        <v>0</v>
      </c>
      <c r="I24" s="72">
        <v>0</v>
      </c>
      <c r="J24" s="83">
        <v>0</v>
      </c>
      <c r="K24" s="43">
        <v>0</v>
      </c>
      <c r="L24" s="43">
        <v>0</v>
      </c>
      <c r="M24" s="88">
        <f>0*($A$75)</f>
        <v>0</v>
      </c>
      <c r="N24" s="35">
        <f>0*($A$75)</f>
        <v>0</v>
      </c>
      <c r="O24" s="35">
        <v>0</v>
      </c>
      <c r="P24" s="43">
        <v>0</v>
      </c>
      <c r="Q24" s="224">
        <v>0</v>
      </c>
      <c r="R24" s="264">
        <v>0</v>
      </c>
      <c r="S24" s="264">
        <v>0</v>
      </c>
      <c r="T24" s="264">
        <v>0</v>
      </c>
      <c r="U24" s="224">
        <v>0</v>
      </c>
      <c r="V24" s="264">
        <v>0</v>
      </c>
      <c r="W24" s="264">
        <v>0</v>
      </c>
      <c r="X24" s="264">
        <v>0</v>
      </c>
      <c r="Y24" s="224">
        <v>0</v>
      </c>
      <c r="Z24" s="528">
        <v>0</v>
      </c>
      <c r="AA24" s="529">
        <v>0</v>
      </c>
      <c r="AB24" s="540">
        <v>0</v>
      </c>
      <c r="AC24" s="224">
        <v>0</v>
      </c>
      <c r="AD24" s="540">
        <v>0</v>
      </c>
      <c r="AE24" s="264">
        <v>0</v>
      </c>
      <c r="AF24" s="540">
        <v>0</v>
      </c>
      <c r="AG24" s="224"/>
      <c r="AI24" s="633"/>
    </row>
    <row r="25" spans="1:35" s="12" customFormat="1" ht="20.100000000000001" customHeight="1">
      <c r="A25" s="50" t="s">
        <v>183</v>
      </c>
      <c r="B25" s="34">
        <f>342.386</f>
        <v>342.38600000000002</v>
      </c>
      <c r="C25" s="61">
        <f>(382365)*0.001</f>
        <v>382.36500000000001</v>
      </c>
      <c r="D25" s="61">
        <f>(376949)*0.001</f>
        <v>376.94900000000001</v>
      </c>
      <c r="E25" s="284">
        <f>(375659)*0.001</f>
        <v>375.65899999999999</v>
      </c>
      <c r="F25" s="61">
        <f>(403593)*0.001</f>
        <v>403.59300000000002</v>
      </c>
      <c r="G25" s="61">
        <f>(410902)*0.001</f>
        <v>410.90199999999999</v>
      </c>
      <c r="H25" s="61">
        <f>(401503)*0.001</f>
        <v>401.50299999999999</v>
      </c>
      <c r="I25" s="285">
        <f>(374424)*0.001</f>
        <v>374.42400000000004</v>
      </c>
      <c r="J25" s="286">
        <f>(398589)*0.001</f>
        <v>398.589</v>
      </c>
      <c r="K25" s="33">
        <v>1374.4</v>
      </c>
      <c r="L25" s="33">
        <v>1369.9</v>
      </c>
      <c r="M25" s="82">
        <v>1453.4</v>
      </c>
      <c r="N25" s="34">
        <v>1599.5</v>
      </c>
      <c r="O25" s="34">
        <v>1988.6</v>
      </c>
      <c r="P25" s="33">
        <v>1699.4</v>
      </c>
      <c r="Q25" s="224">
        <v>1619.1</v>
      </c>
      <c r="R25" s="263">
        <v>1503.9</v>
      </c>
      <c r="S25" s="263">
        <v>1541.1</v>
      </c>
      <c r="T25" s="263">
        <v>1571.8</v>
      </c>
      <c r="U25" s="224">
        <v>1688</v>
      </c>
      <c r="V25" s="263">
        <v>1608.5</v>
      </c>
      <c r="W25" s="263">
        <v>1727</v>
      </c>
      <c r="X25" s="263">
        <v>1758.5</v>
      </c>
      <c r="Y25" s="224">
        <v>1983.2</v>
      </c>
      <c r="Z25" s="528">
        <v>1990.7</v>
      </c>
      <c r="AA25" s="528">
        <v>2161.3000000000002</v>
      </c>
      <c r="AB25" s="528">
        <v>2197.3000000000002</v>
      </c>
      <c r="AC25" s="224">
        <v>2370.4</v>
      </c>
      <c r="AD25" s="540">
        <v>2334.6999999999998</v>
      </c>
      <c r="AE25" s="540">
        <v>2284.4</v>
      </c>
      <c r="AF25" s="540">
        <v>2291.6</v>
      </c>
      <c r="AG25" s="224"/>
      <c r="AI25" s="633"/>
    </row>
    <row r="26" spans="1:35" s="12" customFormat="1" ht="20.100000000000001" customHeight="1">
      <c r="A26" s="50" t="s">
        <v>69</v>
      </c>
      <c r="B26" s="34">
        <f>9.894</f>
        <v>9.8940000000000001</v>
      </c>
      <c r="C26" s="61">
        <f>(263)*0.001</f>
        <v>0.26300000000000001</v>
      </c>
      <c r="D26" s="61">
        <f>(321)*0.001</f>
        <v>0.32100000000000001</v>
      </c>
      <c r="E26" s="284">
        <f>(6494)*0.001</f>
        <v>6.4939999999999998</v>
      </c>
      <c r="F26" s="61">
        <f>(1372)*0.001</f>
        <v>1.3720000000000001</v>
      </c>
      <c r="G26" s="61">
        <f>(1952)*0.001</f>
        <v>1.952</v>
      </c>
      <c r="H26" s="61">
        <f>(1195)*0.001</f>
        <v>1.1950000000000001</v>
      </c>
      <c r="I26" s="285">
        <f>(183)*0.001</f>
        <v>0.183</v>
      </c>
      <c r="J26" s="286">
        <f>(365)*0.001</f>
        <v>0.36499999999999999</v>
      </c>
      <c r="K26" s="33">
        <v>28</v>
      </c>
      <c r="L26" s="33">
        <v>26</v>
      </c>
      <c r="M26" s="82">
        <v>26</v>
      </c>
      <c r="N26" s="34">
        <v>28.9</v>
      </c>
      <c r="O26" s="34">
        <v>1.5</v>
      </c>
      <c r="P26" s="33">
        <v>0.7</v>
      </c>
      <c r="Q26" s="224">
        <v>0.7</v>
      </c>
      <c r="R26" s="263">
        <v>1.9</v>
      </c>
      <c r="S26" s="263">
        <v>1.4</v>
      </c>
      <c r="T26" s="263">
        <v>0.9</v>
      </c>
      <c r="U26" s="224">
        <v>29.1</v>
      </c>
      <c r="V26" s="263">
        <v>30.3</v>
      </c>
      <c r="W26" s="263">
        <v>17</v>
      </c>
      <c r="X26" s="263">
        <v>25.3</v>
      </c>
      <c r="Y26" s="224">
        <v>1.3</v>
      </c>
      <c r="Z26" s="528">
        <v>55.8</v>
      </c>
      <c r="AA26" s="528">
        <v>68.7</v>
      </c>
      <c r="AB26" s="528">
        <v>65.400000000000006</v>
      </c>
      <c r="AC26" s="224">
        <v>34.6</v>
      </c>
      <c r="AD26" s="540">
        <v>36.799999999999997</v>
      </c>
      <c r="AE26" s="540">
        <v>5.6</v>
      </c>
      <c r="AF26" s="540">
        <v>4.5</v>
      </c>
      <c r="AG26" s="224"/>
      <c r="AI26" s="633"/>
    </row>
    <row r="27" spans="1:35" s="12" customFormat="1" ht="20.100000000000001" customHeight="1">
      <c r="A27" s="50" t="s">
        <v>184</v>
      </c>
      <c r="B27" s="35">
        <v>0</v>
      </c>
      <c r="C27" s="61">
        <f>(53916)*0.001</f>
        <v>53.916000000000004</v>
      </c>
      <c r="D27" s="61">
        <f>(54038)*0.001</f>
        <v>54.038000000000004</v>
      </c>
      <c r="E27" s="284">
        <f>(57096)*0.001</f>
        <v>57.096000000000004</v>
      </c>
      <c r="F27" s="61">
        <f>(60035)*0.001</f>
        <v>60.035000000000004</v>
      </c>
      <c r="G27" s="61">
        <f>(63564)*0.001</f>
        <v>63.564</v>
      </c>
      <c r="H27" s="61">
        <f>(65852)*0.001</f>
        <v>65.852000000000004</v>
      </c>
      <c r="I27" s="285">
        <f>(70055)*0.001</f>
        <v>70.055000000000007</v>
      </c>
      <c r="J27" s="286">
        <f>(70958)*0.001</f>
        <v>70.957999999999998</v>
      </c>
      <c r="K27" s="33">
        <v>91.2</v>
      </c>
      <c r="L27" s="33">
        <v>117.3</v>
      </c>
      <c r="M27" s="82">
        <v>141.69999999999999</v>
      </c>
      <c r="N27" s="34">
        <v>165.3</v>
      </c>
      <c r="O27" s="34">
        <v>186.1</v>
      </c>
      <c r="P27" s="33">
        <v>200.4</v>
      </c>
      <c r="Q27" s="224">
        <v>212.7</v>
      </c>
      <c r="R27" s="263">
        <v>213.3</v>
      </c>
      <c r="S27" s="263">
        <v>209.1</v>
      </c>
      <c r="T27" s="263">
        <v>207.6</v>
      </c>
      <c r="U27" s="224">
        <v>207.2</v>
      </c>
      <c r="V27" s="263">
        <v>205.7</v>
      </c>
      <c r="W27" s="263">
        <v>202.3</v>
      </c>
      <c r="X27" s="263">
        <v>203.5</v>
      </c>
      <c r="Y27" s="224">
        <v>207.9</v>
      </c>
      <c r="Z27" s="528">
        <v>206.9</v>
      </c>
      <c r="AA27" s="528">
        <v>230.1</v>
      </c>
      <c r="AB27" s="528">
        <v>230.1</v>
      </c>
      <c r="AC27" s="224">
        <v>218.5</v>
      </c>
      <c r="AD27" s="540">
        <v>221.6</v>
      </c>
      <c r="AE27" s="540">
        <v>221.7</v>
      </c>
      <c r="AF27" s="540">
        <v>227.5</v>
      </c>
      <c r="AG27" s="224"/>
      <c r="AI27" s="633"/>
    </row>
    <row r="28" spans="1:35" s="12" customFormat="1" ht="20.100000000000001" customHeight="1">
      <c r="A28" s="50" t="s">
        <v>185</v>
      </c>
      <c r="B28" s="34">
        <f>136.299</f>
        <v>136.29900000000001</v>
      </c>
      <c r="C28" s="61">
        <f>(73814)*0.001</f>
        <v>73.814000000000007</v>
      </c>
      <c r="D28" s="61">
        <f>(53239)*0.001</f>
        <v>53.239000000000004</v>
      </c>
      <c r="E28" s="284">
        <f>(71968)*0.001</f>
        <v>71.968000000000004</v>
      </c>
      <c r="F28" s="61">
        <f>(109187)*0.001</f>
        <v>109.187</v>
      </c>
      <c r="G28" s="61">
        <f>(93754)*0.001</f>
        <v>93.754000000000005</v>
      </c>
      <c r="H28" s="61">
        <f>(113708)*0.001</f>
        <v>113.708</v>
      </c>
      <c r="I28" s="285">
        <f>(105360)*0.001</f>
        <v>105.36</v>
      </c>
      <c r="J28" s="286">
        <f>(106732)*0.001</f>
        <v>106.732</v>
      </c>
      <c r="K28" s="33">
        <v>221.9</v>
      </c>
      <c r="L28" s="33">
        <v>224.2</v>
      </c>
      <c r="M28" s="82">
        <v>160.1</v>
      </c>
      <c r="N28" s="34">
        <v>212.9</v>
      </c>
      <c r="O28" s="34">
        <v>226.2</v>
      </c>
      <c r="P28" s="33">
        <v>255</v>
      </c>
      <c r="Q28" s="224">
        <v>399.5</v>
      </c>
      <c r="R28" s="263">
        <v>69.599999999999994</v>
      </c>
      <c r="S28" s="263">
        <v>62.8</v>
      </c>
      <c r="T28" s="263">
        <v>54.9</v>
      </c>
      <c r="U28" s="224">
        <v>38.700000000000003</v>
      </c>
      <c r="V28" s="263">
        <v>72.3</v>
      </c>
      <c r="W28" s="263">
        <v>60.7</v>
      </c>
      <c r="X28" s="263">
        <v>61.7</v>
      </c>
      <c r="Y28" s="224">
        <v>31.7</v>
      </c>
      <c r="Z28" s="528">
        <v>70.2</v>
      </c>
      <c r="AA28" s="528">
        <v>82.5</v>
      </c>
      <c r="AB28" s="528">
        <v>56.8</v>
      </c>
      <c r="AC28" s="224">
        <v>34.9</v>
      </c>
      <c r="AD28" s="540">
        <v>71.099999999999994</v>
      </c>
      <c r="AE28" s="540">
        <v>55.5</v>
      </c>
      <c r="AF28" s="540">
        <v>52.2</v>
      </c>
      <c r="AG28" s="224"/>
      <c r="AI28" s="633"/>
    </row>
    <row r="29" spans="1:35" s="30" customFormat="1" ht="20.100000000000001" customHeight="1">
      <c r="A29" s="55" t="s">
        <v>91</v>
      </c>
      <c r="B29" s="35">
        <v>0</v>
      </c>
      <c r="C29" s="35">
        <f>0</f>
        <v>0</v>
      </c>
      <c r="D29" s="35">
        <v>0</v>
      </c>
      <c r="E29" s="99">
        <f>0</f>
        <v>0</v>
      </c>
      <c r="F29" s="35">
        <f>0</f>
        <v>0</v>
      </c>
      <c r="G29" s="35">
        <v>0</v>
      </c>
      <c r="H29" s="35">
        <f>0</f>
        <v>0</v>
      </c>
      <c r="I29" s="74">
        <v>0</v>
      </c>
      <c r="J29" s="83">
        <v>0</v>
      </c>
      <c r="K29" s="35">
        <f>0*($A$75)</f>
        <v>0</v>
      </c>
      <c r="L29" s="35">
        <f>0*($A$75)</f>
        <v>0</v>
      </c>
      <c r="M29" s="85">
        <v>22.2</v>
      </c>
      <c r="N29" s="39">
        <v>26.3</v>
      </c>
      <c r="O29" s="39">
        <v>27.3</v>
      </c>
      <c r="P29" s="44">
        <v>3.8</v>
      </c>
      <c r="Q29" s="225">
        <v>10.5</v>
      </c>
      <c r="R29" s="265">
        <v>0.2</v>
      </c>
      <c r="S29" s="265">
        <v>3.6</v>
      </c>
      <c r="T29" s="265">
        <v>4.8</v>
      </c>
      <c r="U29" s="225">
        <v>6.7</v>
      </c>
      <c r="V29" s="265">
        <v>4.9000000000000004</v>
      </c>
      <c r="W29" s="265">
        <v>5.3</v>
      </c>
      <c r="X29" s="265">
        <v>6.4</v>
      </c>
      <c r="Y29" s="225">
        <v>5.0999999999999996</v>
      </c>
      <c r="Z29" s="530">
        <v>2.7</v>
      </c>
      <c r="AA29" s="530">
        <v>1.6</v>
      </c>
      <c r="AB29" s="541">
        <v>0.4</v>
      </c>
      <c r="AC29" s="225">
        <v>0</v>
      </c>
      <c r="AD29" s="541">
        <v>0</v>
      </c>
      <c r="AE29" s="541">
        <v>0</v>
      </c>
      <c r="AF29" s="540">
        <v>0</v>
      </c>
      <c r="AG29" s="224"/>
      <c r="AI29" s="633"/>
    </row>
    <row r="30" spans="1:35" s="12" customFormat="1" ht="20.100000000000001" customHeight="1">
      <c r="A30" s="50" t="s">
        <v>85</v>
      </c>
      <c r="B30" s="35">
        <v>0</v>
      </c>
      <c r="C30" s="35">
        <f>0</f>
        <v>0</v>
      </c>
      <c r="D30" s="35">
        <v>0</v>
      </c>
      <c r="E30" s="88">
        <v>0</v>
      </c>
      <c r="F30" s="35">
        <f>0</f>
        <v>0</v>
      </c>
      <c r="G30" s="35">
        <v>0</v>
      </c>
      <c r="H30" s="35">
        <f>0</f>
        <v>0</v>
      </c>
      <c r="I30" s="72">
        <v>0</v>
      </c>
      <c r="J30" s="83">
        <v>0</v>
      </c>
      <c r="K30" s="45">
        <v>270</v>
      </c>
      <c r="L30" s="45">
        <v>30</v>
      </c>
      <c r="M30" s="88">
        <f>0*($A$75)</f>
        <v>0</v>
      </c>
      <c r="N30" s="34">
        <v>42.7</v>
      </c>
      <c r="O30" s="34">
        <v>43.1</v>
      </c>
      <c r="P30" s="36">
        <v>0</v>
      </c>
      <c r="Q30" s="224">
        <v>0</v>
      </c>
      <c r="R30" s="263">
        <v>12.4</v>
      </c>
      <c r="S30" s="263">
        <v>0</v>
      </c>
      <c r="T30" s="263">
        <v>0</v>
      </c>
      <c r="U30" s="224">
        <v>0</v>
      </c>
      <c r="V30" s="263">
        <v>0</v>
      </c>
      <c r="W30" s="263">
        <v>0</v>
      </c>
      <c r="X30" s="263">
        <v>0</v>
      </c>
      <c r="Y30" s="224">
        <v>0</v>
      </c>
      <c r="Z30" s="528">
        <v>0</v>
      </c>
      <c r="AA30" s="528">
        <v>0</v>
      </c>
      <c r="AB30" s="540">
        <v>0</v>
      </c>
      <c r="AC30" s="224">
        <v>0</v>
      </c>
      <c r="AD30" s="540">
        <v>0</v>
      </c>
      <c r="AE30" s="540">
        <v>0</v>
      </c>
      <c r="AF30" s="540">
        <v>0</v>
      </c>
      <c r="AG30" s="224"/>
      <c r="AI30" s="633"/>
    </row>
    <row r="31" spans="1:35" s="12" customFormat="1" ht="20.100000000000001" customHeight="1">
      <c r="A31" s="50" t="s">
        <v>12</v>
      </c>
      <c r="B31" s="34">
        <f>422.627</f>
        <v>422.62700000000001</v>
      </c>
      <c r="C31" s="61">
        <f>(309519)*0.001</f>
        <v>309.51900000000001</v>
      </c>
      <c r="D31" s="61">
        <f>(225111)*0.001</f>
        <v>225.11100000000002</v>
      </c>
      <c r="E31" s="284">
        <f>(270354)*0.001</f>
        <v>270.35399999999998</v>
      </c>
      <c r="F31" s="61">
        <f>(324338)*0.001</f>
        <v>324.33800000000002</v>
      </c>
      <c r="G31" s="61">
        <f>(265803)*0.001</f>
        <v>265.803</v>
      </c>
      <c r="H31" s="61">
        <f>(215396)*0.001</f>
        <v>215.39600000000002</v>
      </c>
      <c r="I31" s="285">
        <f>(342251)*0.001</f>
        <v>342.25100000000003</v>
      </c>
      <c r="J31" s="286">
        <f>(428190)*0.001</f>
        <v>428.19</v>
      </c>
      <c r="K31" s="33">
        <v>1894.3</v>
      </c>
      <c r="L31" s="33">
        <v>1631</v>
      </c>
      <c r="M31" s="82">
        <v>1735.3</v>
      </c>
      <c r="N31" s="34">
        <v>1478.9</v>
      </c>
      <c r="O31" s="34">
        <v>1383.8</v>
      </c>
      <c r="P31" s="33">
        <v>1059.5999999999999</v>
      </c>
      <c r="Q31" s="224">
        <v>1512</v>
      </c>
      <c r="R31" s="263">
        <v>1538.6</v>
      </c>
      <c r="S31" s="263">
        <v>944.5</v>
      </c>
      <c r="T31" s="263">
        <v>1099.4000000000001</v>
      </c>
      <c r="U31" s="224">
        <v>1326</v>
      </c>
      <c r="V31" s="263">
        <v>1567.7</v>
      </c>
      <c r="W31" s="263">
        <v>1354.6</v>
      </c>
      <c r="X31" s="263">
        <v>1080.2</v>
      </c>
      <c r="Y31" s="224">
        <v>1161.5</v>
      </c>
      <c r="Z31" s="528">
        <v>785.9</v>
      </c>
      <c r="AA31" s="528">
        <v>876.1</v>
      </c>
      <c r="AB31" s="528">
        <v>1151.5</v>
      </c>
      <c r="AC31" s="224">
        <v>1167</v>
      </c>
      <c r="AD31" s="540">
        <v>745.7</v>
      </c>
      <c r="AE31" s="540">
        <v>774.9</v>
      </c>
      <c r="AF31" s="540">
        <v>878.2</v>
      </c>
      <c r="AG31" s="224"/>
      <c r="AI31" s="633"/>
    </row>
    <row r="32" spans="1:35" s="12" customFormat="1" ht="20.100000000000001" customHeight="1" thickBot="1">
      <c r="A32" s="50" t="s">
        <v>43</v>
      </c>
      <c r="B32" s="35">
        <v>0</v>
      </c>
      <c r="C32" s="35">
        <f>0</f>
        <v>0</v>
      </c>
      <c r="D32" s="35">
        <f>0</f>
        <v>0</v>
      </c>
      <c r="E32" s="88">
        <v>0</v>
      </c>
      <c r="F32" s="35">
        <f>0</f>
        <v>0</v>
      </c>
      <c r="G32" s="35">
        <v>0</v>
      </c>
      <c r="H32" s="35">
        <f>0</f>
        <v>0</v>
      </c>
      <c r="I32" s="72">
        <v>0</v>
      </c>
      <c r="J32" s="83">
        <v>0</v>
      </c>
      <c r="K32" s="45">
        <v>12.6</v>
      </c>
      <c r="L32" s="45">
        <v>12.2</v>
      </c>
      <c r="M32" s="82">
        <v>12.6</v>
      </c>
      <c r="N32" s="34">
        <v>12.7</v>
      </c>
      <c r="O32" s="34">
        <v>12.8</v>
      </c>
      <c r="P32" s="45">
        <v>12.4</v>
      </c>
      <c r="Q32" s="224">
        <v>11.7</v>
      </c>
      <c r="R32" s="263">
        <v>31.4</v>
      </c>
      <c r="S32" s="263">
        <v>10.9</v>
      </c>
      <c r="T32" s="263">
        <v>10.8</v>
      </c>
      <c r="U32" s="224">
        <v>10.7</v>
      </c>
      <c r="V32" s="263">
        <v>9.6</v>
      </c>
      <c r="W32" s="263">
        <v>8</v>
      </c>
      <c r="X32" s="263">
        <v>8.1999999999999993</v>
      </c>
      <c r="Y32" s="224">
        <v>10.5</v>
      </c>
      <c r="Z32" s="528">
        <v>11.6</v>
      </c>
      <c r="AA32" s="528">
        <v>11.7</v>
      </c>
      <c r="AB32" s="528">
        <v>11.6</v>
      </c>
      <c r="AC32" s="224">
        <v>11.7</v>
      </c>
      <c r="AD32" s="540">
        <v>11.3</v>
      </c>
      <c r="AE32" s="540">
        <v>8.9</v>
      </c>
      <c r="AF32" s="540">
        <v>8</v>
      </c>
      <c r="AG32" s="224"/>
      <c r="AI32" s="633"/>
    </row>
    <row r="33" spans="1:35" s="15" customFormat="1" ht="24.95" customHeight="1" thickBot="1">
      <c r="A33" s="13" t="s">
        <v>13</v>
      </c>
      <c r="B33" s="54">
        <f t="shared" ref="B33:L33" si="2">SUM(B21:B32)</f>
        <v>1273.798</v>
      </c>
      <c r="C33" s="54">
        <f t="shared" si="2"/>
        <v>1172.6559999999999</v>
      </c>
      <c r="D33" s="54">
        <f t="shared" si="2"/>
        <v>1058.173</v>
      </c>
      <c r="E33" s="76">
        <f t="shared" si="2"/>
        <v>1085.1969999999999</v>
      </c>
      <c r="F33" s="54">
        <f t="shared" si="2"/>
        <v>1204.625</v>
      </c>
      <c r="G33" s="54">
        <f t="shared" si="2"/>
        <v>1164.163</v>
      </c>
      <c r="H33" s="54">
        <f t="shared" si="2"/>
        <v>1161.885</v>
      </c>
      <c r="I33" s="54">
        <f t="shared" si="2"/>
        <v>1220.3850000000002</v>
      </c>
      <c r="J33" s="287">
        <f t="shared" si="2"/>
        <v>1396.8419999999999</v>
      </c>
      <c r="K33" s="53">
        <f t="shared" si="2"/>
        <v>4435.3</v>
      </c>
      <c r="L33" s="53">
        <f t="shared" si="2"/>
        <v>3899.7999999999997</v>
      </c>
      <c r="M33" s="76">
        <f t="shared" ref="M33:R33" si="3">SUM(M21:M32)-M29</f>
        <v>3982.6</v>
      </c>
      <c r="N33" s="54">
        <f t="shared" si="3"/>
        <v>3956.9</v>
      </c>
      <c r="O33" s="54">
        <f t="shared" si="3"/>
        <v>4274.2</v>
      </c>
      <c r="P33" s="54">
        <f t="shared" si="3"/>
        <v>3747.2000000000003</v>
      </c>
      <c r="Q33" s="226">
        <f t="shared" si="3"/>
        <v>4228.8999999999987</v>
      </c>
      <c r="R33" s="267">
        <f t="shared" si="3"/>
        <v>3866.0000000000005</v>
      </c>
      <c r="S33" s="267">
        <f t="shared" ref="S33:T33" si="4">SUM(S21:S32)-S29</f>
        <v>3203.3</v>
      </c>
      <c r="T33" s="267">
        <f t="shared" si="4"/>
        <v>3445.5000000000005</v>
      </c>
      <c r="U33" s="226">
        <f t="shared" ref="U33" si="5">SUM(U21:U32)-U29</f>
        <v>3770.3999999999992</v>
      </c>
      <c r="V33" s="267">
        <f t="shared" ref="V33:W33" si="6">SUM(V21:V32)-V29</f>
        <v>3911.1000000000004</v>
      </c>
      <c r="W33" s="267">
        <f t="shared" si="6"/>
        <v>3862.9</v>
      </c>
      <c r="X33" s="267">
        <f t="shared" ref="X33:AA33" si="7">SUM(X21:X32)-X29</f>
        <v>3676.6</v>
      </c>
      <c r="Y33" s="226">
        <f t="shared" si="7"/>
        <v>3931.5</v>
      </c>
      <c r="Z33" s="267">
        <f t="shared" si="7"/>
        <v>4363.8</v>
      </c>
      <c r="AA33" s="267">
        <f t="shared" si="7"/>
        <v>4827.2</v>
      </c>
      <c r="AB33" s="542">
        <f>SUM(AB21:AB32)-AB29</f>
        <v>5300.0000000000009</v>
      </c>
      <c r="AC33" s="226">
        <f>SUM(AC21:AC32)-AC29</f>
        <v>5422.7</v>
      </c>
      <c r="AD33" s="542">
        <f>SUM(AD21:AD32)-AD29</f>
        <v>4952.3000000000011</v>
      </c>
      <c r="AE33" s="542">
        <f t="shared" ref="AE33:AG33" si="8">SUM(AE21:AE32)-AE29</f>
        <v>4886.0999999999985</v>
      </c>
      <c r="AF33" s="542">
        <f t="shared" si="8"/>
        <v>5013.3999999999996</v>
      </c>
      <c r="AG33" s="226">
        <f t="shared" si="8"/>
        <v>0</v>
      </c>
      <c r="AI33" s="633"/>
    </row>
    <row r="34" spans="1:35" s="12" customFormat="1" ht="24.95" customHeight="1" thickBot="1">
      <c r="A34" s="57" t="s">
        <v>118</v>
      </c>
      <c r="B34" s="58">
        <f t="shared" ref="B34:P34" si="9">B20+B33</f>
        <v>5502.7539999999999</v>
      </c>
      <c r="C34" s="58">
        <f t="shared" si="9"/>
        <v>5597.8010000000004</v>
      </c>
      <c r="D34" s="58">
        <f t="shared" si="9"/>
        <v>5514.8739999999998</v>
      </c>
      <c r="E34" s="89">
        <f t="shared" si="9"/>
        <v>5561.3450000000003</v>
      </c>
      <c r="F34" s="58">
        <f t="shared" si="9"/>
        <v>5629.4740000000011</v>
      </c>
      <c r="G34" s="58">
        <f t="shared" si="9"/>
        <v>5592.7070000000003</v>
      </c>
      <c r="H34" s="58">
        <f t="shared" si="9"/>
        <v>5597.9810000000007</v>
      </c>
      <c r="I34" s="288">
        <f t="shared" si="9"/>
        <v>5676.2300000000005</v>
      </c>
      <c r="J34" s="289">
        <f t="shared" si="9"/>
        <v>5851.1940000000004</v>
      </c>
      <c r="K34" s="58">
        <f t="shared" si="9"/>
        <v>27827.1</v>
      </c>
      <c r="L34" s="58">
        <f t="shared" si="9"/>
        <v>27481.199999999997</v>
      </c>
      <c r="M34" s="89">
        <f t="shared" si="9"/>
        <v>27338.699999999997</v>
      </c>
      <c r="N34" s="58">
        <f t="shared" si="9"/>
        <v>27088.9</v>
      </c>
      <c r="O34" s="58">
        <f t="shared" si="9"/>
        <v>27141.8</v>
      </c>
      <c r="P34" s="58">
        <f t="shared" si="9"/>
        <v>26143.5</v>
      </c>
      <c r="Q34" s="227">
        <f t="shared" ref="Q34:R34" si="10">Q20+Q33</f>
        <v>26490.099999999995</v>
      </c>
      <c r="R34" s="269">
        <f t="shared" si="10"/>
        <v>28355.499999999996</v>
      </c>
      <c r="S34" s="269">
        <f t="shared" ref="S34:V34" si="11">S20+S33</f>
        <v>27581.1</v>
      </c>
      <c r="T34" s="269">
        <f t="shared" si="11"/>
        <v>27493.100000000002</v>
      </c>
      <c r="U34" s="227">
        <f t="shared" si="11"/>
        <v>27729.299999999996</v>
      </c>
      <c r="V34" s="269">
        <f t="shared" si="11"/>
        <v>27553.199999999997</v>
      </c>
      <c r="W34" s="269">
        <f t="shared" ref="W34:X34" si="12">W20+W33</f>
        <v>27317.5</v>
      </c>
      <c r="X34" s="269">
        <f t="shared" si="12"/>
        <v>26892.599999999995</v>
      </c>
      <c r="Y34" s="227">
        <f t="shared" ref="Y34:AG34" si="13">Y20+Y33</f>
        <v>27756</v>
      </c>
      <c r="Z34" s="269">
        <f t="shared" si="13"/>
        <v>27894.399999999998</v>
      </c>
      <c r="AA34" s="269">
        <f t="shared" si="13"/>
        <v>29751.599999999999</v>
      </c>
      <c r="AB34" s="269">
        <f t="shared" si="13"/>
        <v>30395.3</v>
      </c>
      <c r="AC34" s="227">
        <f t="shared" si="13"/>
        <v>30696.799999999999</v>
      </c>
      <c r="AD34" s="269">
        <f t="shared" si="13"/>
        <v>31463.800000000003</v>
      </c>
      <c r="AE34" s="269">
        <f t="shared" si="13"/>
        <v>31359.200000000001</v>
      </c>
      <c r="AF34" s="269">
        <f t="shared" si="13"/>
        <v>31277.699999999997</v>
      </c>
      <c r="AG34" s="227">
        <f t="shared" si="13"/>
        <v>0</v>
      </c>
      <c r="AI34" s="633"/>
    </row>
    <row r="35" spans="1:35" s="12" customFormat="1" ht="33.75" customHeight="1" thickBot="1">
      <c r="A35" s="64" t="s">
        <v>14</v>
      </c>
      <c r="B35" s="65"/>
      <c r="C35" s="65"/>
      <c r="D35" s="65"/>
      <c r="E35" s="81"/>
      <c r="F35" s="65"/>
      <c r="G35" s="65"/>
      <c r="H35" s="65"/>
      <c r="I35" s="71"/>
      <c r="J35" s="80"/>
      <c r="K35" s="66"/>
      <c r="L35" s="66"/>
      <c r="M35" s="81"/>
      <c r="N35" s="65"/>
      <c r="O35" s="65"/>
      <c r="P35" s="66"/>
      <c r="Q35" s="81"/>
      <c r="R35" s="270"/>
      <c r="S35" s="270"/>
      <c r="T35" s="270"/>
      <c r="U35" s="81"/>
      <c r="V35" s="270"/>
      <c r="W35" s="270"/>
      <c r="X35" s="270"/>
      <c r="Y35" s="81"/>
      <c r="Z35" s="442"/>
      <c r="AA35" s="270"/>
      <c r="AB35" s="442"/>
      <c r="AC35" s="81"/>
      <c r="AD35" s="442"/>
      <c r="AE35" s="270"/>
      <c r="AF35" s="442"/>
      <c r="AG35" s="441"/>
      <c r="AI35" s="633"/>
    </row>
    <row r="36" spans="1:35" s="12" customFormat="1" ht="20.100000000000001" customHeight="1">
      <c r="A36" s="49" t="s">
        <v>15</v>
      </c>
      <c r="B36" s="294">
        <f>13.934</f>
        <v>13.933999999999999</v>
      </c>
      <c r="C36" s="294">
        <f t="shared" ref="C36:J36" si="14">(13934)*0.001</f>
        <v>13.934000000000001</v>
      </c>
      <c r="D36" s="294">
        <f t="shared" si="14"/>
        <v>13.934000000000001</v>
      </c>
      <c r="E36" s="295">
        <f t="shared" si="14"/>
        <v>13.934000000000001</v>
      </c>
      <c r="F36" s="294">
        <f t="shared" si="14"/>
        <v>13.934000000000001</v>
      </c>
      <c r="G36" s="294">
        <f t="shared" si="14"/>
        <v>13.934000000000001</v>
      </c>
      <c r="H36" s="294">
        <f t="shared" si="14"/>
        <v>13.934000000000001</v>
      </c>
      <c r="I36" s="296">
        <f t="shared" si="14"/>
        <v>13.934000000000001</v>
      </c>
      <c r="J36" s="297">
        <f t="shared" si="14"/>
        <v>13.934000000000001</v>
      </c>
      <c r="K36" s="67">
        <v>25.6</v>
      </c>
      <c r="L36" s="67">
        <v>25.6</v>
      </c>
      <c r="M36" s="90">
        <v>25.6</v>
      </c>
      <c r="N36" s="68">
        <v>25.6</v>
      </c>
      <c r="O36" s="68">
        <v>25.6</v>
      </c>
      <c r="P36" s="68">
        <v>25.6</v>
      </c>
      <c r="Q36" s="228">
        <v>25.6</v>
      </c>
      <c r="R36" s="268">
        <v>25.6</v>
      </c>
      <c r="S36" s="268">
        <v>25.6</v>
      </c>
      <c r="T36" s="268">
        <v>25.6</v>
      </c>
      <c r="U36" s="228">
        <v>25.6</v>
      </c>
      <c r="V36" s="268">
        <v>25.6</v>
      </c>
      <c r="W36" s="268">
        <v>25.6</v>
      </c>
      <c r="X36" s="268">
        <v>25.6</v>
      </c>
      <c r="Y36" s="228">
        <v>25.6</v>
      </c>
      <c r="Z36" s="533">
        <v>25.6</v>
      </c>
      <c r="AA36" s="533">
        <v>25.6</v>
      </c>
      <c r="AB36" s="532">
        <v>25.6</v>
      </c>
      <c r="AC36" s="228">
        <v>25.6</v>
      </c>
      <c r="AD36" s="533">
        <v>25.6</v>
      </c>
      <c r="AE36" s="533">
        <v>25.6</v>
      </c>
      <c r="AF36" s="540">
        <v>25.6</v>
      </c>
      <c r="AG36" s="228"/>
      <c r="AI36" s="633"/>
    </row>
    <row r="37" spans="1:35" s="12" customFormat="1" ht="20.100000000000001" customHeight="1">
      <c r="A37" s="50" t="s">
        <v>16</v>
      </c>
      <c r="B37" s="290">
        <f>432.265</f>
        <v>432.26499999999999</v>
      </c>
      <c r="C37" s="43">
        <v>0</v>
      </c>
      <c r="D37" s="43">
        <v>0</v>
      </c>
      <c r="E37" s="92">
        <v>0</v>
      </c>
      <c r="F37" s="43">
        <v>0</v>
      </c>
      <c r="G37" s="43">
        <v>0</v>
      </c>
      <c r="H37" s="43">
        <v>0</v>
      </c>
      <c r="I37" s="75">
        <v>0</v>
      </c>
      <c r="J37" s="91">
        <v>0</v>
      </c>
      <c r="K37" s="43">
        <v>0</v>
      </c>
      <c r="L37" s="43">
        <v>0</v>
      </c>
      <c r="M37" s="92">
        <v>0</v>
      </c>
      <c r="N37" s="43">
        <v>0</v>
      </c>
      <c r="O37" s="43">
        <v>0</v>
      </c>
      <c r="P37" s="43">
        <v>0</v>
      </c>
      <c r="Q37" s="224">
        <v>0</v>
      </c>
      <c r="R37" s="271">
        <v>0</v>
      </c>
      <c r="S37" s="271">
        <v>0</v>
      </c>
      <c r="T37" s="271">
        <v>0</v>
      </c>
      <c r="U37" s="224">
        <v>0</v>
      </c>
      <c r="V37" s="271">
        <v>0</v>
      </c>
      <c r="W37" s="271">
        <v>0</v>
      </c>
      <c r="X37" s="271">
        <v>0</v>
      </c>
      <c r="Y37" s="224">
        <v>0</v>
      </c>
      <c r="Z37" s="534">
        <v>0</v>
      </c>
      <c r="AA37" s="534">
        <v>0</v>
      </c>
      <c r="AB37" s="534">
        <v>0</v>
      </c>
      <c r="AC37" s="224">
        <v>0</v>
      </c>
      <c r="AD37" s="534">
        <v>0</v>
      </c>
      <c r="AE37" s="534">
        <v>0</v>
      </c>
      <c r="AF37" s="534">
        <v>0</v>
      </c>
      <c r="AG37" s="224"/>
      <c r="AI37" s="633"/>
    </row>
    <row r="38" spans="1:35" s="12" customFormat="1" ht="20.100000000000001" customHeight="1">
      <c r="A38" s="50" t="s">
        <v>17</v>
      </c>
      <c r="B38" s="290">
        <f>1305.277</f>
        <v>1305.277</v>
      </c>
      <c r="C38" s="43">
        <v>0</v>
      </c>
      <c r="D38" s="43">
        <v>0</v>
      </c>
      <c r="E38" s="92">
        <v>0</v>
      </c>
      <c r="F38" s="43">
        <v>0</v>
      </c>
      <c r="G38" s="43">
        <v>0</v>
      </c>
      <c r="H38" s="43">
        <v>0</v>
      </c>
      <c r="I38" s="75">
        <v>0</v>
      </c>
      <c r="J38" s="91">
        <v>0</v>
      </c>
      <c r="K38" s="43">
        <v>0</v>
      </c>
      <c r="L38" s="43">
        <v>0</v>
      </c>
      <c r="M38" s="92">
        <v>0</v>
      </c>
      <c r="N38" s="43">
        <v>0</v>
      </c>
      <c r="O38" s="43">
        <v>0</v>
      </c>
      <c r="P38" s="43">
        <v>0</v>
      </c>
      <c r="Q38" s="224">
        <v>0</v>
      </c>
      <c r="R38" s="271">
        <v>0</v>
      </c>
      <c r="S38" s="271">
        <v>0</v>
      </c>
      <c r="T38" s="271">
        <v>0</v>
      </c>
      <c r="U38" s="224">
        <v>0</v>
      </c>
      <c r="V38" s="271">
        <v>0</v>
      </c>
      <c r="W38" s="271">
        <v>0</v>
      </c>
      <c r="X38" s="271">
        <v>0</v>
      </c>
      <c r="Y38" s="224">
        <v>0</v>
      </c>
      <c r="Z38" s="534">
        <v>0</v>
      </c>
      <c r="AA38" s="534">
        <v>0</v>
      </c>
      <c r="AB38" s="534">
        <v>0</v>
      </c>
      <c r="AC38" s="224">
        <v>0</v>
      </c>
      <c r="AD38" s="534">
        <v>0</v>
      </c>
      <c r="AE38" s="534">
        <v>0</v>
      </c>
      <c r="AF38" s="534">
        <v>0</v>
      </c>
      <c r="AG38" s="224"/>
      <c r="AI38" s="633"/>
    </row>
    <row r="39" spans="1:35" s="12" customFormat="1" ht="20.100000000000001" customHeight="1">
      <c r="A39" s="50" t="s">
        <v>186</v>
      </c>
      <c r="B39" s="43">
        <v>0</v>
      </c>
      <c r="C39" s="34">
        <f t="shared" ref="C39:J39" si="15">(1295103)*0.001</f>
        <v>1295.1030000000001</v>
      </c>
      <c r="D39" s="34">
        <f t="shared" si="15"/>
        <v>1295.1030000000001</v>
      </c>
      <c r="E39" s="82">
        <f t="shared" si="15"/>
        <v>1295.1030000000001</v>
      </c>
      <c r="F39" s="34">
        <f t="shared" si="15"/>
        <v>1295.1030000000001</v>
      </c>
      <c r="G39" s="34">
        <f t="shared" si="15"/>
        <v>1295.1030000000001</v>
      </c>
      <c r="H39" s="34">
        <f t="shared" si="15"/>
        <v>1295.1030000000001</v>
      </c>
      <c r="I39" s="82">
        <f t="shared" si="15"/>
        <v>1295.1030000000001</v>
      </c>
      <c r="J39" s="34">
        <f t="shared" si="15"/>
        <v>1295.1030000000001</v>
      </c>
      <c r="K39" s="60">
        <v>7237.5</v>
      </c>
      <c r="L39" s="60">
        <v>7237.5</v>
      </c>
      <c r="M39" s="93">
        <v>7174</v>
      </c>
      <c r="N39" s="33">
        <v>7237.4</v>
      </c>
      <c r="O39" s="33">
        <v>7174</v>
      </c>
      <c r="P39" s="33">
        <v>7174</v>
      </c>
      <c r="Q39" s="224">
        <v>7174</v>
      </c>
      <c r="R39" s="263">
        <v>7174</v>
      </c>
      <c r="S39" s="263">
        <v>7174</v>
      </c>
      <c r="T39" s="263">
        <v>7174</v>
      </c>
      <c r="U39" s="224">
        <v>7174</v>
      </c>
      <c r="V39" s="263">
        <v>7174</v>
      </c>
      <c r="W39" s="263">
        <v>7174</v>
      </c>
      <c r="X39" s="263">
        <v>7174</v>
      </c>
      <c r="Y39" s="224">
        <v>7174</v>
      </c>
      <c r="Z39" s="532">
        <v>7174</v>
      </c>
      <c r="AA39" s="532">
        <v>7174</v>
      </c>
      <c r="AB39" s="532">
        <v>7174</v>
      </c>
      <c r="AC39" s="224">
        <v>7174</v>
      </c>
      <c r="AD39" s="540">
        <v>7174</v>
      </c>
      <c r="AE39" s="540">
        <v>7174</v>
      </c>
      <c r="AF39" s="540">
        <v>7174</v>
      </c>
      <c r="AG39" s="224"/>
      <c r="AI39" s="633"/>
    </row>
    <row r="40" spans="1:35" s="12" customFormat="1" ht="20.100000000000001" customHeight="1">
      <c r="A40" s="50" t="s">
        <v>57</v>
      </c>
      <c r="B40" s="298">
        <f>-3.17</f>
        <v>-3.17</v>
      </c>
      <c r="C40" s="43">
        <v>0</v>
      </c>
      <c r="D40" s="43">
        <v>0</v>
      </c>
      <c r="E40" s="92">
        <v>0</v>
      </c>
      <c r="F40" s="43">
        <v>0</v>
      </c>
      <c r="G40" s="43">
        <v>0</v>
      </c>
      <c r="H40" s="43">
        <v>0</v>
      </c>
      <c r="I40" s="75">
        <v>0</v>
      </c>
      <c r="J40" s="91">
        <v>0</v>
      </c>
      <c r="K40" s="43">
        <v>0</v>
      </c>
      <c r="L40" s="43">
        <v>0</v>
      </c>
      <c r="M40" s="92">
        <v>0</v>
      </c>
      <c r="N40" s="43">
        <v>0</v>
      </c>
      <c r="O40" s="43">
        <v>0</v>
      </c>
      <c r="P40" s="43">
        <v>0</v>
      </c>
      <c r="Q40" s="224">
        <v>0</v>
      </c>
      <c r="R40" s="271">
        <v>0</v>
      </c>
      <c r="S40" s="271">
        <v>0</v>
      </c>
      <c r="T40" s="271">
        <v>0</v>
      </c>
      <c r="U40" s="224">
        <v>0</v>
      </c>
      <c r="V40" s="271">
        <v>0</v>
      </c>
      <c r="W40" s="271">
        <v>0</v>
      </c>
      <c r="X40" s="271">
        <v>0</v>
      </c>
      <c r="Y40" s="224">
        <v>0</v>
      </c>
      <c r="Z40" s="534">
        <v>0</v>
      </c>
      <c r="AA40" s="534">
        <v>0</v>
      </c>
      <c r="AB40" s="534">
        <v>0</v>
      </c>
      <c r="AC40" s="224">
        <v>0</v>
      </c>
      <c r="AD40" s="534">
        <v>0</v>
      </c>
      <c r="AE40" s="534">
        <v>0</v>
      </c>
      <c r="AF40" s="534">
        <v>0</v>
      </c>
      <c r="AG40" s="224"/>
      <c r="AI40" s="633"/>
    </row>
    <row r="41" spans="1:35" s="12" customFormat="1" ht="20.100000000000001" customHeight="1">
      <c r="A41" s="50" t="s">
        <v>58</v>
      </c>
      <c r="B41" s="290">
        <f>2.396</f>
        <v>2.3959999999999999</v>
      </c>
      <c r="C41" s="43">
        <v>0</v>
      </c>
      <c r="D41" s="43">
        <v>0</v>
      </c>
      <c r="E41" s="92">
        <v>0</v>
      </c>
      <c r="F41" s="43">
        <v>0</v>
      </c>
      <c r="G41" s="43">
        <v>0</v>
      </c>
      <c r="H41" s="43">
        <v>0</v>
      </c>
      <c r="I41" s="75">
        <v>0</v>
      </c>
      <c r="J41" s="91">
        <v>0</v>
      </c>
      <c r="K41" s="43">
        <v>0</v>
      </c>
      <c r="L41" s="43">
        <v>0</v>
      </c>
      <c r="M41" s="92">
        <v>0</v>
      </c>
      <c r="N41" s="43">
        <v>0</v>
      </c>
      <c r="O41" s="43">
        <v>0</v>
      </c>
      <c r="P41" s="43">
        <v>0</v>
      </c>
      <c r="Q41" s="224">
        <v>0</v>
      </c>
      <c r="R41" s="271">
        <v>0</v>
      </c>
      <c r="S41" s="271">
        <v>0</v>
      </c>
      <c r="T41" s="271">
        <v>0</v>
      </c>
      <c r="U41" s="224">
        <v>0</v>
      </c>
      <c r="V41" s="271">
        <v>0</v>
      </c>
      <c r="W41" s="271">
        <v>0</v>
      </c>
      <c r="X41" s="271">
        <v>0</v>
      </c>
      <c r="Y41" s="224">
        <v>0</v>
      </c>
      <c r="Z41" s="534">
        <v>0</v>
      </c>
      <c r="AA41" s="534">
        <v>0</v>
      </c>
      <c r="AB41" s="534">
        <v>0</v>
      </c>
      <c r="AC41" s="224">
        <v>0</v>
      </c>
      <c r="AD41" s="534">
        <v>0</v>
      </c>
      <c r="AE41" s="534">
        <v>0</v>
      </c>
      <c r="AF41" s="534">
        <v>0</v>
      </c>
      <c r="AG41" s="224"/>
      <c r="AI41" s="633"/>
    </row>
    <row r="42" spans="1:35" s="12" customFormat="1" ht="20.100000000000001" customHeight="1">
      <c r="A42" s="50" t="s">
        <v>187</v>
      </c>
      <c r="B42" s="43">
        <v>0</v>
      </c>
      <c r="C42" s="290">
        <f>(1225)*0.001</f>
        <v>1.2250000000000001</v>
      </c>
      <c r="D42" s="290">
        <f>(-8191)*0.001</f>
        <v>-8.1910000000000007</v>
      </c>
      <c r="E42" s="291">
        <f>(-16327)*0.001</f>
        <v>-16.327000000000002</v>
      </c>
      <c r="F42" s="290">
        <f>(-17667)*0.001</f>
        <v>-17.667000000000002</v>
      </c>
      <c r="G42" s="290">
        <f>(-13285)*0.001</f>
        <v>-13.285</v>
      </c>
      <c r="H42" s="290">
        <f>(-11455)*0.001</f>
        <v>-11.455</v>
      </c>
      <c r="I42" s="292">
        <f>(-8964)*0.001</f>
        <v>-8.9640000000000004</v>
      </c>
      <c r="J42" s="91">
        <v>0</v>
      </c>
      <c r="K42" s="43">
        <v>0</v>
      </c>
      <c r="L42" s="61">
        <v>-9.1999999999999993</v>
      </c>
      <c r="M42" s="94">
        <v>-12.2</v>
      </c>
      <c r="N42" s="61">
        <v>-12.7</v>
      </c>
      <c r="O42" s="61">
        <v>-7.9</v>
      </c>
      <c r="P42" s="61">
        <v>-8.1999999999999993</v>
      </c>
      <c r="Q42" s="224">
        <v>-3.7</v>
      </c>
      <c r="R42" s="272">
        <v>-1.7</v>
      </c>
      <c r="S42" s="272">
        <v>0.1</v>
      </c>
      <c r="T42" s="272">
        <v>2.2000000000000002</v>
      </c>
      <c r="U42" s="224">
        <v>4.5</v>
      </c>
      <c r="V42" s="272">
        <v>3.8</v>
      </c>
      <c r="W42" s="272">
        <v>3.6</v>
      </c>
      <c r="X42" s="272">
        <v>3.5</v>
      </c>
      <c r="Y42" s="224">
        <v>3.2</v>
      </c>
      <c r="Z42" s="535">
        <v>2.8</v>
      </c>
      <c r="AA42" s="535">
        <v>-204.3</v>
      </c>
      <c r="AB42" s="532">
        <v>-204.1</v>
      </c>
      <c r="AC42" s="224">
        <v>-162.5</v>
      </c>
      <c r="AD42" s="543">
        <v>-162.4</v>
      </c>
      <c r="AE42" s="543">
        <v>3.3</v>
      </c>
      <c r="AF42" s="540">
        <v>3.4</v>
      </c>
      <c r="AG42" s="224"/>
      <c r="AI42" s="633"/>
    </row>
    <row r="43" spans="1:35" s="12" customFormat="1" ht="20.100000000000001" customHeight="1" thickBot="1">
      <c r="A43" s="50" t="s">
        <v>204</v>
      </c>
      <c r="B43" s="290">
        <f>340.065</f>
        <v>340.065</v>
      </c>
      <c r="C43" s="290">
        <f>(882007)*0.001</f>
        <v>882.00700000000006</v>
      </c>
      <c r="D43" s="299">
        <f>(1054069)*0.001</f>
        <v>1054.069</v>
      </c>
      <c r="E43" s="300">
        <f>(1175693)*0.001</f>
        <v>1175.693</v>
      </c>
      <c r="F43" s="299">
        <f>(1270798)*0.001</f>
        <v>1270.798</v>
      </c>
      <c r="G43" s="299">
        <f>(1351543)*0.001</f>
        <v>1351.5430000000001</v>
      </c>
      <c r="H43" s="299">
        <f>(1527994)*0.001</f>
        <v>1527.9940000000001</v>
      </c>
      <c r="I43" s="300">
        <f>(1701138)*0.001</f>
        <v>1701.1380000000001</v>
      </c>
      <c r="J43" s="299">
        <f>(1799310)*0.001</f>
        <v>1799.31</v>
      </c>
      <c r="K43" s="60">
        <v>1828.6</v>
      </c>
      <c r="L43" s="60">
        <v>1876.8</v>
      </c>
      <c r="M43" s="95">
        <v>1890.8</v>
      </c>
      <c r="N43" s="60">
        <v>2061.6</v>
      </c>
      <c r="O43" s="60">
        <v>2366.1</v>
      </c>
      <c r="P43" s="60">
        <v>2868.6</v>
      </c>
      <c r="Q43" s="224">
        <v>3054.2</v>
      </c>
      <c r="R43" s="272">
        <v>3229.7</v>
      </c>
      <c r="S43" s="272">
        <v>3467.4</v>
      </c>
      <c r="T43" s="272">
        <v>3745.6</v>
      </c>
      <c r="U43" s="224">
        <v>4095.5</v>
      </c>
      <c r="V43" s="272">
        <v>4374.8999999999996</v>
      </c>
      <c r="W43" s="272">
        <v>4461.3999999999996</v>
      </c>
      <c r="X43" s="272">
        <v>4704.3</v>
      </c>
      <c r="Y43" s="224">
        <v>4871.3999999999996</v>
      </c>
      <c r="Z43" s="535">
        <v>5668.6</v>
      </c>
      <c r="AA43" s="535">
        <v>5904.4</v>
      </c>
      <c r="AB43" s="532">
        <v>6130.5</v>
      </c>
      <c r="AC43" s="224">
        <v>6189.9</v>
      </c>
      <c r="AD43" s="543">
        <v>6481.8</v>
      </c>
      <c r="AE43" s="543">
        <v>6065.1</v>
      </c>
      <c r="AF43" s="540">
        <v>6296.4</v>
      </c>
      <c r="AG43" s="224"/>
      <c r="AI43" s="633"/>
    </row>
    <row r="44" spans="1:35" s="15" customFormat="1" ht="24.95" customHeight="1" thickBot="1">
      <c r="A44" s="13" t="s">
        <v>71</v>
      </c>
      <c r="B44" s="53">
        <f t="shared" ref="B44:C44" si="16">SUM(B36:B43)</f>
        <v>2090.7669999999998</v>
      </c>
      <c r="C44" s="53">
        <f t="shared" si="16"/>
        <v>2192.2690000000002</v>
      </c>
      <c r="D44" s="53">
        <f t="shared" ref="D44:H44" si="17">SUM(D36:D43)</f>
        <v>2354.915</v>
      </c>
      <c r="E44" s="53">
        <f t="shared" si="17"/>
        <v>2468.4030000000002</v>
      </c>
      <c r="F44" s="53">
        <f t="shared" si="17"/>
        <v>2562.1680000000001</v>
      </c>
      <c r="G44" s="53">
        <f t="shared" si="17"/>
        <v>2647.2950000000001</v>
      </c>
      <c r="H44" s="53">
        <f t="shared" si="17"/>
        <v>2825.576</v>
      </c>
      <c r="I44" s="53">
        <f t="shared" ref="I44:J44" si="18">SUM(I36:I43)</f>
        <v>3001.2110000000002</v>
      </c>
      <c r="J44" s="53">
        <f t="shared" si="18"/>
        <v>3108.3469999999998</v>
      </c>
      <c r="K44" s="53">
        <f t="shared" ref="K44:Q44" si="19">SUM(K36:K43)</f>
        <v>9091.7000000000007</v>
      </c>
      <c r="L44" s="53">
        <f t="shared" si="19"/>
        <v>9130.7000000000007</v>
      </c>
      <c r="M44" s="76">
        <f t="shared" si="19"/>
        <v>9078.2000000000007</v>
      </c>
      <c r="N44" s="54">
        <f t="shared" si="19"/>
        <v>9311.9</v>
      </c>
      <c r="O44" s="54">
        <f t="shared" si="19"/>
        <v>9557.8000000000011</v>
      </c>
      <c r="P44" s="54">
        <f t="shared" si="19"/>
        <v>10060</v>
      </c>
      <c r="Q44" s="229">
        <f t="shared" si="19"/>
        <v>10250.1</v>
      </c>
      <c r="R44" s="267">
        <f t="shared" ref="R44:Y44" si="20">SUM(R36:R43)</f>
        <v>10427.6</v>
      </c>
      <c r="S44" s="267">
        <f t="shared" si="20"/>
        <v>10667.1</v>
      </c>
      <c r="T44" s="267">
        <f t="shared" si="20"/>
        <v>10947.4</v>
      </c>
      <c r="U44" s="229">
        <f t="shared" si="20"/>
        <v>11299.6</v>
      </c>
      <c r="V44" s="267">
        <f t="shared" si="20"/>
        <v>11578.3</v>
      </c>
      <c r="W44" s="267">
        <f t="shared" si="20"/>
        <v>11664.6</v>
      </c>
      <c r="X44" s="267">
        <f t="shared" si="20"/>
        <v>11907.400000000001</v>
      </c>
      <c r="Y44" s="229">
        <f t="shared" si="20"/>
        <v>12074.2</v>
      </c>
      <c r="Z44" s="267">
        <f t="shared" ref="Z44:AB44" si="21">SUM(Z36:Z43)</f>
        <v>12871</v>
      </c>
      <c r="AA44" s="267">
        <f t="shared" si="21"/>
        <v>12899.7</v>
      </c>
      <c r="AB44" s="267">
        <f t="shared" si="21"/>
        <v>13126</v>
      </c>
      <c r="AC44" s="229">
        <f>SUM(AC36:AC43)</f>
        <v>13227</v>
      </c>
      <c r="AD44" s="542">
        <f>SUM(AD36:AD43)</f>
        <v>13519</v>
      </c>
      <c r="AE44" s="542">
        <f t="shared" ref="AE44:AF44" si="22">SUM(AE36:AE43)</f>
        <v>13268</v>
      </c>
      <c r="AF44" s="542">
        <f t="shared" si="22"/>
        <v>13499.4</v>
      </c>
      <c r="AG44" s="229">
        <f>SUM(AG36:AG43)</f>
        <v>0</v>
      </c>
      <c r="AI44" s="633"/>
    </row>
    <row r="45" spans="1:35" s="15" customFormat="1" ht="20.100000000000001" customHeight="1" thickBot="1">
      <c r="A45" s="69" t="s">
        <v>70</v>
      </c>
      <c r="B45" s="43">
        <v>0</v>
      </c>
      <c r="C45" s="43">
        <v>0</v>
      </c>
      <c r="D45" s="43">
        <v>0</v>
      </c>
      <c r="E45" s="92">
        <v>0</v>
      </c>
      <c r="F45" s="43">
        <v>0</v>
      </c>
      <c r="G45" s="43">
        <v>0</v>
      </c>
      <c r="H45" s="301">
        <f>2/1000</f>
        <v>2E-3</v>
      </c>
      <c r="I45" s="302">
        <f>2/1000</f>
        <v>2E-3</v>
      </c>
      <c r="J45" s="303">
        <f>2/1000</f>
        <v>2E-3</v>
      </c>
      <c r="K45" s="47">
        <v>0</v>
      </c>
      <c r="L45" s="47">
        <v>0</v>
      </c>
      <c r="M45" s="92">
        <v>0</v>
      </c>
      <c r="N45" s="47">
        <v>0</v>
      </c>
      <c r="O45" s="47">
        <v>0</v>
      </c>
      <c r="P45" s="47">
        <v>0</v>
      </c>
      <c r="Q45" s="230">
        <v>0</v>
      </c>
      <c r="R45" s="273">
        <v>-22.4</v>
      </c>
      <c r="S45" s="273">
        <v>94.5</v>
      </c>
      <c r="T45" s="273">
        <v>86.1</v>
      </c>
      <c r="U45" s="411">
        <v>78</v>
      </c>
      <c r="V45" s="273">
        <v>70</v>
      </c>
      <c r="W45" s="273">
        <v>60.5</v>
      </c>
      <c r="X45" s="273">
        <v>52.5</v>
      </c>
      <c r="Y45" s="411">
        <v>42.6</v>
      </c>
      <c r="Z45" s="536">
        <v>34</v>
      </c>
      <c r="AA45" s="536">
        <v>554.29999999999995</v>
      </c>
      <c r="AB45" s="536">
        <v>555.29999999999995</v>
      </c>
      <c r="AC45" s="411">
        <v>648.20000000000005</v>
      </c>
      <c r="AD45" s="536">
        <v>653.6</v>
      </c>
      <c r="AE45" s="536">
        <v>650.5</v>
      </c>
      <c r="AF45" s="536">
        <v>655.7</v>
      </c>
      <c r="AG45" s="411"/>
      <c r="AI45" s="633"/>
    </row>
    <row r="46" spans="1:35" s="15" customFormat="1" ht="24.95" customHeight="1" thickBot="1">
      <c r="A46" s="13" t="s">
        <v>18</v>
      </c>
      <c r="B46" s="54">
        <f t="shared" ref="B46" si="23">B44+B45</f>
        <v>2090.7669999999998</v>
      </c>
      <c r="C46" s="54">
        <f t="shared" ref="C46" si="24">C44+C45</f>
        <v>2192.2690000000002</v>
      </c>
      <c r="D46" s="54">
        <f t="shared" ref="D46" si="25">D44+D45</f>
        <v>2354.915</v>
      </c>
      <c r="E46" s="76">
        <f t="shared" ref="E46:G46" si="26">E44</f>
        <v>2468.4030000000002</v>
      </c>
      <c r="F46" s="54">
        <f t="shared" si="26"/>
        <v>2562.1680000000001</v>
      </c>
      <c r="G46" s="54">
        <f t="shared" si="26"/>
        <v>2647.2950000000001</v>
      </c>
      <c r="H46" s="54">
        <f>SUM(H44:H45)</f>
        <v>2825.578</v>
      </c>
      <c r="I46" s="54">
        <f t="shared" ref="I46:O46" si="27">I44+I45</f>
        <v>3001.2130000000002</v>
      </c>
      <c r="J46" s="287">
        <f t="shared" si="27"/>
        <v>3108.3489999999997</v>
      </c>
      <c r="K46" s="53">
        <f t="shared" si="27"/>
        <v>9091.7000000000007</v>
      </c>
      <c r="L46" s="53">
        <f t="shared" si="27"/>
        <v>9130.7000000000007</v>
      </c>
      <c r="M46" s="76">
        <f t="shared" si="27"/>
        <v>9078.2000000000007</v>
      </c>
      <c r="N46" s="54">
        <f t="shared" si="27"/>
        <v>9311.9</v>
      </c>
      <c r="O46" s="54">
        <f t="shared" si="27"/>
        <v>9557.8000000000011</v>
      </c>
      <c r="P46" s="54">
        <f t="shared" ref="P46:R46" si="28">P44+P45</f>
        <v>10060</v>
      </c>
      <c r="Q46" s="229">
        <f t="shared" si="28"/>
        <v>10250.1</v>
      </c>
      <c r="R46" s="267">
        <f t="shared" si="28"/>
        <v>10405.200000000001</v>
      </c>
      <c r="S46" s="267">
        <f t="shared" ref="S46:Y46" si="29">S44+S45</f>
        <v>10761.6</v>
      </c>
      <c r="T46" s="267">
        <f t="shared" si="29"/>
        <v>11033.5</v>
      </c>
      <c r="U46" s="229">
        <f t="shared" si="29"/>
        <v>11377.6</v>
      </c>
      <c r="V46" s="267">
        <f t="shared" si="29"/>
        <v>11648.3</v>
      </c>
      <c r="W46" s="267">
        <f t="shared" si="29"/>
        <v>11725.1</v>
      </c>
      <c r="X46" s="267">
        <f t="shared" si="29"/>
        <v>11959.900000000001</v>
      </c>
      <c r="Y46" s="229">
        <f t="shared" si="29"/>
        <v>12116.800000000001</v>
      </c>
      <c r="Z46" s="267">
        <f t="shared" ref="Z46:AC46" si="30">Z44+Z45</f>
        <v>12905</v>
      </c>
      <c r="AA46" s="267">
        <f t="shared" si="30"/>
        <v>13454</v>
      </c>
      <c r="AB46" s="267">
        <f t="shared" si="30"/>
        <v>13681.3</v>
      </c>
      <c r="AC46" s="229">
        <f t="shared" si="30"/>
        <v>13875.2</v>
      </c>
      <c r="AD46" s="542">
        <f t="shared" ref="AD46:AG46" si="31">AD44+AD45</f>
        <v>14172.6</v>
      </c>
      <c r="AE46" s="542">
        <f t="shared" si="31"/>
        <v>13918.5</v>
      </c>
      <c r="AF46" s="542">
        <f t="shared" si="31"/>
        <v>14155.1</v>
      </c>
      <c r="AG46" s="229">
        <f t="shared" si="31"/>
        <v>0</v>
      </c>
      <c r="AI46" s="633"/>
    </row>
    <row r="47" spans="1:35" s="12" customFormat="1" ht="20.100000000000001" customHeight="1">
      <c r="A47" s="50" t="s">
        <v>19</v>
      </c>
      <c r="B47" s="61">
        <f>932.068</f>
        <v>932.06799999999998</v>
      </c>
      <c r="C47" s="61">
        <f>(889155)*0.001</f>
        <v>889.15499999999997</v>
      </c>
      <c r="D47" s="61">
        <f>(680371)*0.001</f>
        <v>680.37099999999998</v>
      </c>
      <c r="E47" s="284">
        <f>(592003)*0.001</f>
        <v>592.00300000000004</v>
      </c>
      <c r="F47" s="61">
        <f>(572819)*0.001</f>
        <v>572.81899999999996</v>
      </c>
      <c r="G47" s="61">
        <f>(422858)*0.001</f>
        <v>422.858</v>
      </c>
      <c r="H47" s="61">
        <f>(329798)*0.001</f>
        <v>329.798</v>
      </c>
      <c r="I47" s="285">
        <f>(239889)*0.001</f>
        <v>239.88900000000001</v>
      </c>
      <c r="J47" s="286">
        <f>(236277)*0.001</f>
        <v>236.27700000000002</v>
      </c>
      <c r="K47" s="34">
        <v>8446.1</v>
      </c>
      <c r="L47" s="34">
        <v>7976.3</v>
      </c>
      <c r="M47" s="93">
        <v>7683.5</v>
      </c>
      <c r="N47" s="60">
        <v>7357.9</v>
      </c>
      <c r="O47" s="60">
        <v>7034.6</v>
      </c>
      <c r="P47" s="34">
        <v>5644.9</v>
      </c>
      <c r="Q47" s="230">
        <v>5379.8</v>
      </c>
      <c r="R47" s="272">
        <v>9982.1</v>
      </c>
      <c r="S47" s="272">
        <v>9752</v>
      </c>
      <c r="T47" s="272">
        <v>9530.2999999999993</v>
      </c>
      <c r="U47" s="230">
        <v>9302.7000000000007</v>
      </c>
      <c r="V47" s="272">
        <v>9056</v>
      </c>
      <c r="W47" s="272">
        <v>8808.6</v>
      </c>
      <c r="X47" s="272">
        <v>8561.9</v>
      </c>
      <c r="Y47" s="230">
        <v>9291.4</v>
      </c>
      <c r="Z47" s="539">
        <v>9474.7000000000007</v>
      </c>
      <c r="AA47" s="539">
        <v>9139.4</v>
      </c>
      <c r="AB47" s="537">
        <v>9043.7999999999993</v>
      </c>
      <c r="AC47" s="230">
        <v>8605.2999999999993</v>
      </c>
      <c r="AD47" s="543">
        <v>8339.7999999999993</v>
      </c>
      <c r="AE47" s="543">
        <v>8100.2</v>
      </c>
      <c r="AF47" s="543">
        <v>7861.1</v>
      </c>
      <c r="AG47" s="230"/>
      <c r="AI47" s="633"/>
    </row>
    <row r="48" spans="1:35" s="12" customFormat="1" ht="20.100000000000001" customHeight="1">
      <c r="A48" s="50" t="s">
        <v>84</v>
      </c>
      <c r="B48" s="34">
        <f>1360.637</f>
        <v>1360.6369999999999</v>
      </c>
      <c r="C48" s="34">
        <f>(1369593)*0.001</f>
        <v>1369.5930000000001</v>
      </c>
      <c r="D48" s="34">
        <f>(1347224)*0.001</f>
        <v>1347.2239999999999</v>
      </c>
      <c r="E48" s="82">
        <f>(1316479)*0.001</f>
        <v>1316.479</v>
      </c>
      <c r="F48" s="34">
        <f>(1370119)*0.001</f>
        <v>1370.1190000000001</v>
      </c>
      <c r="G48" s="34">
        <f>(1395972)*0.001</f>
        <v>1395.972</v>
      </c>
      <c r="H48" s="34">
        <f>(1385314)*0.001</f>
        <v>1385.3140000000001</v>
      </c>
      <c r="I48" s="82">
        <f>(1340010)*0.001</f>
        <v>1340.01</v>
      </c>
      <c r="J48" s="34">
        <f>(1396071)*0.001</f>
        <v>1396.0710000000001</v>
      </c>
      <c r="K48" s="34">
        <v>4286.8999999999996</v>
      </c>
      <c r="L48" s="34">
        <v>4302.1000000000004</v>
      </c>
      <c r="M48" s="93">
        <v>4550.2</v>
      </c>
      <c r="N48" s="60">
        <v>4470</v>
      </c>
      <c r="O48" s="60">
        <v>4582.5</v>
      </c>
      <c r="P48" s="34">
        <v>964.4</v>
      </c>
      <c r="Q48" s="230">
        <v>975.3</v>
      </c>
      <c r="R48" s="272">
        <v>2252.6</v>
      </c>
      <c r="S48" s="272">
        <v>1795.1</v>
      </c>
      <c r="T48" s="272">
        <v>1805.1</v>
      </c>
      <c r="U48" s="230">
        <v>1835.7</v>
      </c>
      <c r="V48" s="272">
        <v>964.9</v>
      </c>
      <c r="W48" s="272">
        <v>975.3</v>
      </c>
      <c r="X48" s="272">
        <v>965.2</v>
      </c>
      <c r="Y48" s="230">
        <v>975.7</v>
      </c>
      <c r="Z48" s="539">
        <v>965.2</v>
      </c>
      <c r="AA48" s="539">
        <v>975.5</v>
      </c>
      <c r="AB48" s="537">
        <v>965.6</v>
      </c>
      <c r="AC48" s="230">
        <v>976</v>
      </c>
      <c r="AD48" s="543">
        <v>965.5</v>
      </c>
      <c r="AE48" s="543">
        <v>968.9</v>
      </c>
      <c r="AF48" s="543">
        <v>977.7</v>
      </c>
      <c r="AG48" s="230"/>
      <c r="AI48" s="633"/>
    </row>
    <row r="49" spans="1:35" s="12" customFormat="1" ht="20.100000000000001" customHeight="1">
      <c r="A49" s="659" t="s">
        <v>268</v>
      </c>
      <c r="B49" s="61">
        <f>0.81</f>
        <v>0.81</v>
      </c>
      <c r="C49" s="61">
        <f>(741)*0.001</f>
        <v>0.74099999999999999</v>
      </c>
      <c r="D49" s="61">
        <f>(638)*0.001</f>
        <v>0.63800000000000001</v>
      </c>
      <c r="E49" s="284">
        <f>(551)*0.001</f>
        <v>0.55100000000000005</v>
      </c>
      <c r="F49" s="61">
        <f>(474)*0.001</f>
        <v>0.47400000000000003</v>
      </c>
      <c r="G49" s="61">
        <f>(424)*0.001</f>
        <v>0.42399999999999999</v>
      </c>
      <c r="H49" s="61">
        <f>(306)*0.001</f>
        <v>0.30599999999999999</v>
      </c>
      <c r="I49" s="285">
        <f>(227)*0.001</f>
        <v>0.22700000000000001</v>
      </c>
      <c r="J49" s="286">
        <f>(166)*0.001</f>
        <v>0.16600000000000001</v>
      </c>
      <c r="K49" s="33">
        <v>4.5</v>
      </c>
      <c r="L49" s="33">
        <v>7.9</v>
      </c>
      <c r="M49" s="95">
        <v>11.7</v>
      </c>
      <c r="N49" s="62">
        <v>13.4</v>
      </c>
      <c r="O49" s="62">
        <v>15.7</v>
      </c>
      <c r="P49" s="33">
        <v>21.3</v>
      </c>
      <c r="Q49" s="230">
        <v>20.9</v>
      </c>
      <c r="R49" s="263">
        <v>21.2</v>
      </c>
      <c r="S49" s="263">
        <v>23.3</v>
      </c>
      <c r="T49" s="263">
        <v>22.1</v>
      </c>
      <c r="U49" s="230">
        <v>20.9</v>
      </c>
      <c r="V49" s="263">
        <v>22.6</v>
      </c>
      <c r="W49" s="263">
        <v>21.4</v>
      </c>
      <c r="X49" s="263">
        <v>19.399999999999999</v>
      </c>
      <c r="Y49" s="230">
        <v>18.600000000000001</v>
      </c>
      <c r="Z49" s="537">
        <v>17.3</v>
      </c>
      <c r="AA49" s="537">
        <v>14.6</v>
      </c>
      <c r="AB49" s="537">
        <v>15</v>
      </c>
      <c r="AC49" s="230">
        <v>15.8</v>
      </c>
      <c r="AD49" s="540">
        <v>1070</v>
      </c>
      <c r="AE49" s="540">
        <v>997.6</v>
      </c>
      <c r="AF49" s="543">
        <v>946.9</v>
      </c>
      <c r="AG49" s="230"/>
      <c r="AI49" s="633"/>
    </row>
    <row r="50" spans="1:35" s="12" customFormat="1" ht="20.100000000000001" customHeight="1">
      <c r="A50" s="50" t="s">
        <v>188</v>
      </c>
      <c r="B50" s="35">
        <f>0*($A$75)</f>
        <v>0</v>
      </c>
      <c r="C50" s="35">
        <f>0</f>
        <v>0</v>
      </c>
      <c r="D50" s="35">
        <f>0</f>
        <v>0</v>
      </c>
      <c r="E50" s="99">
        <v>0</v>
      </c>
      <c r="F50" s="35">
        <v>0</v>
      </c>
      <c r="G50" s="35">
        <f>0</f>
        <v>0</v>
      </c>
      <c r="H50" s="35">
        <v>0</v>
      </c>
      <c r="I50" s="74">
        <v>0</v>
      </c>
      <c r="J50" s="83">
        <v>0</v>
      </c>
      <c r="K50" s="33">
        <v>835.8</v>
      </c>
      <c r="L50" s="33">
        <v>730.2</v>
      </c>
      <c r="M50" s="95">
        <v>750.3</v>
      </c>
      <c r="N50" s="62">
        <v>724.4</v>
      </c>
      <c r="O50" s="62">
        <v>747.9</v>
      </c>
      <c r="P50" s="33">
        <v>645.1</v>
      </c>
      <c r="Q50" s="230">
        <v>652.79999999999995</v>
      </c>
      <c r="R50" s="263">
        <v>658</v>
      </c>
      <c r="S50" s="263">
        <v>686.7</v>
      </c>
      <c r="T50" s="263">
        <v>555.79999999999995</v>
      </c>
      <c r="U50" s="230">
        <v>574</v>
      </c>
      <c r="V50" s="263">
        <v>551</v>
      </c>
      <c r="W50" s="263">
        <v>555.4</v>
      </c>
      <c r="X50" s="263">
        <v>452.4</v>
      </c>
      <c r="Y50" s="230">
        <v>440.8</v>
      </c>
      <c r="Z50" s="537">
        <v>447.6</v>
      </c>
      <c r="AA50" s="537">
        <v>466.9</v>
      </c>
      <c r="AB50" s="537">
        <v>343.6</v>
      </c>
      <c r="AC50" s="230">
        <v>348.2</v>
      </c>
      <c r="AD50" s="540">
        <v>350.5</v>
      </c>
      <c r="AE50" s="540">
        <v>348.8</v>
      </c>
      <c r="AF50" s="543">
        <v>241.7</v>
      </c>
      <c r="AG50" s="230"/>
      <c r="AI50" s="633"/>
    </row>
    <row r="51" spans="1:35" s="12" customFormat="1" ht="20.100000000000001" customHeight="1">
      <c r="A51" s="50" t="s">
        <v>20</v>
      </c>
      <c r="B51" s="290">
        <f>87.307</f>
        <v>87.307000000000002</v>
      </c>
      <c r="C51" s="290">
        <f>(88480)*0.001</f>
        <v>88.48</v>
      </c>
      <c r="D51" s="290">
        <f>(97271)*0.001</f>
        <v>97.271000000000001</v>
      </c>
      <c r="E51" s="291">
        <f>(94258)*0.001</f>
        <v>94.257999999999996</v>
      </c>
      <c r="F51" s="290">
        <f>(93487)*0.001</f>
        <v>93.487000000000009</v>
      </c>
      <c r="G51" s="290">
        <f>(93150)*0.001</f>
        <v>93.15</v>
      </c>
      <c r="H51" s="290">
        <f>(98799)*0.001</f>
        <v>98.799000000000007</v>
      </c>
      <c r="I51" s="292">
        <f>(108066)*0.001</f>
        <v>108.066</v>
      </c>
      <c r="J51" s="293">
        <f>(95950)*0.001</f>
        <v>95.95</v>
      </c>
      <c r="K51" s="34">
        <v>1010.7</v>
      </c>
      <c r="L51" s="34">
        <v>1038.8</v>
      </c>
      <c r="M51" s="95">
        <v>908.7</v>
      </c>
      <c r="N51" s="62">
        <v>888.6</v>
      </c>
      <c r="O51" s="62">
        <v>821.1</v>
      </c>
      <c r="P51" s="34">
        <v>770.4</v>
      </c>
      <c r="Q51" s="230">
        <v>615.79999999999995</v>
      </c>
      <c r="R51" s="263">
        <v>694.4</v>
      </c>
      <c r="S51" s="263">
        <v>889.1</v>
      </c>
      <c r="T51" s="263">
        <v>923.2</v>
      </c>
      <c r="U51" s="230">
        <v>786.9</v>
      </c>
      <c r="V51" s="263">
        <v>812.3</v>
      </c>
      <c r="W51" s="263">
        <v>775.7</v>
      </c>
      <c r="X51" s="263">
        <v>771.8</v>
      </c>
      <c r="Y51" s="230">
        <v>879.8</v>
      </c>
      <c r="Z51" s="537">
        <v>1034.8</v>
      </c>
      <c r="AA51" s="537">
        <v>1027.8</v>
      </c>
      <c r="AB51" s="537">
        <v>1006.2</v>
      </c>
      <c r="AC51" s="230">
        <v>1160.0999999999999</v>
      </c>
      <c r="AD51" s="540">
        <v>1132</v>
      </c>
      <c r="AE51" s="540">
        <v>1129.8</v>
      </c>
      <c r="AF51" s="543">
        <v>1086.0999999999999</v>
      </c>
      <c r="AG51" s="230"/>
      <c r="AI51" s="633"/>
    </row>
    <row r="52" spans="1:35" s="12" customFormat="1" ht="20.100000000000001" customHeight="1">
      <c r="A52" s="50" t="s">
        <v>189</v>
      </c>
      <c r="B52" s="43">
        <v>0</v>
      </c>
      <c r="C52" s="290">
        <f>(6285)*0.001</f>
        <v>6.2850000000000001</v>
      </c>
      <c r="D52" s="290">
        <f>(5716)*0.001</f>
        <v>5.7160000000000002</v>
      </c>
      <c r="E52" s="291">
        <f>(5181)*0.001</f>
        <v>5.181</v>
      </c>
      <c r="F52" s="290">
        <f>(4978)*0.001</f>
        <v>4.9779999999999998</v>
      </c>
      <c r="G52" s="290">
        <f>(4754)*0.001</f>
        <v>4.7540000000000004</v>
      </c>
      <c r="H52" s="290">
        <f>(4303)*0.001</f>
        <v>4.3029999999999999</v>
      </c>
      <c r="I52" s="292">
        <f>(4079)*0.001</f>
        <v>4.0789999999999997</v>
      </c>
      <c r="J52" s="293">
        <f>(3008)*0.001</f>
        <v>3.008</v>
      </c>
      <c r="K52" s="33">
        <v>2.8</v>
      </c>
      <c r="L52" s="33">
        <v>3.9</v>
      </c>
      <c r="M52" s="95">
        <v>4.7</v>
      </c>
      <c r="N52" s="62">
        <v>5.5</v>
      </c>
      <c r="O52" s="62">
        <v>5</v>
      </c>
      <c r="P52" s="33">
        <v>4.5</v>
      </c>
      <c r="Q52" s="230">
        <v>4.7</v>
      </c>
      <c r="R52" s="263">
        <v>22.1</v>
      </c>
      <c r="S52" s="263">
        <v>21</v>
      </c>
      <c r="T52" s="263">
        <v>20.100000000000001</v>
      </c>
      <c r="U52" s="230">
        <v>20.100000000000001</v>
      </c>
      <c r="V52" s="263">
        <v>4</v>
      </c>
      <c r="W52" s="263">
        <v>3.8</v>
      </c>
      <c r="X52" s="263">
        <v>3.4</v>
      </c>
      <c r="Y52" s="230">
        <v>3.2</v>
      </c>
      <c r="Z52" s="537">
        <v>0</v>
      </c>
      <c r="AA52" s="537">
        <v>0</v>
      </c>
      <c r="AB52" s="537">
        <v>0</v>
      </c>
      <c r="AC52" s="230">
        <v>0</v>
      </c>
      <c r="AD52" s="540">
        <v>0</v>
      </c>
      <c r="AE52" s="540">
        <v>0</v>
      </c>
      <c r="AF52" s="543">
        <v>0</v>
      </c>
      <c r="AG52" s="230"/>
      <c r="AI52" s="633"/>
    </row>
    <row r="53" spans="1:35" s="12" customFormat="1" ht="20.100000000000001" customHeight="1">
      <c r="A53" s="50" t="s">
        <v>21</v>
      </c>
      <c r="B53" s="290">
        <f>13.779</f>
        <v>13.779</v>
      </c>
      <c r="C53" s="290">
        <f>(17835)*0.001</f>
        <v>17.835000000000001</v>
      </c>
      <c r="D53" s="290">
        <f>(19037)*0.001</f>
        <v>19.036999999999999</v>
      </c>
      <c r="E53" s="291">
        <f>(17690)*0.001</f>
        <v>17.690000000000001</v>
      </c>
      <c r="F53" s="290">
        <f>(17684)*0.001</f>
        <v>17.684000000000001</v>
      </c>
      <c r="G53" s="290">
        <f>(10154)*0.001</f>
        <v>10.154</v>
      </c>
      <c r="H53" s="290">
        <f>(8594)*0.001</f>
        <v>8.5939999999999994</v>
      </c>
      <c r="I53" s="292">
        <f>(7915)*0.001</f>
        <v>7.915</v>
      </c>
      <c r="J53" s="293">
        <f>(7828)*0.001</f>
        <v>7.8280000000000003</v>
      </c>
      <c r="K53" s="33">
        <v>158.19999999999999</v>
      </c>
      <c r="L53" s="33">
        <v>164.6</v>
      </c>
      <c r="M53" s="95">
        <v>184.2</v>
      </c>
      <c r="N53" s="62">
        <v>167.4</v>
      </c>
      <c r="O53" s="62">
        <v>132.4</v>
      </c>
      <c r="P53" s="33">
        <v>133.1</v>
      </c>
      <c r="Q53" s="230">
        <v>124.2</v>
      </c>
      <c r="R53" s="263">
        <v>157.30000000000001</v>
      </c>
      <c r="S53" s="263">
        <v>148.9</v>
      </c>
      <c r="T53" s="263">
        <v>148.19999999999999</v>
      </c>
      <c r="U53" s="230">
        <v>130.19999999999999</v>
      </c>
      <c r="V53" s="263">
        <v>128.1</v>
      </c>
      <c r="W53" s="263">
        <v>122</v>
      </c>
      <c r="X53" s="263">
        <v>122.2</v>
      </c>
      <c r="Y53" s="230">
        <v>114.2</v>
      </c>
      <c r="Z53" s="537">
        <v>122.4</v>
      </c>
      <c r="AA53" s="537">
        <v>436.6</v>
      </c>
      <c r="AB53" s="537">
        <v>728.3</v>
      </c>
      <c r="AC53" s="230">
        <v>697.6</v>
      </c>
      <c r="AD53" s="540">
        <v>620.1</v>
      </c>
      <c r="AE53" s="540">
        <v>494</v>
      </c>
      <c r="AF53" s="543">
        <v>380.5</v>
      </c>
      <c r="AG53" s="230"/>
      <c r="AI53" s="633"/>
    </row>
    <row r="54" spans="1:35" s="30" customFormat="1" ht="20.100000000000001" customHeight="1" thickBot="1">
      <c r="A54" s="55" t="s">
        <v>92</v>
      </c>
      <c r="B54" s="35">
        <f>0*($A$75)</f>
        <v>0</v>
      </c>
      <c r="C54" s="35">
        <f>0</f>
        <v>0</v>
      </c>
      <c r="D54" s="35">
        <f>0</f>
        <v>0</v>
      </c>
      <c r="E54" s="99">
        <v>0</v>
      </c>
      <c r="F54" s="35">
        <v>0</v>
      </c>
      <c r="G54" s="35">
        <f>0</f>
        <v>0</v>
      </c>
      <c r="H54" s="35">
        <v>0</v>
      </c>
      <c r="I54" s="96">
        <v>0.1</v>
      </c>
      <c r="J54" s="83">
        <v>0</v>
      </c>
      <c r="K54" s="35">
        <f>0*($A$75)</f>
        <v>0</v>
      </c>
      <c r="L54" s="35">
        <f>0*($A$75)</f>
        <v>0</v>
      </c>
      <c r="M54" s="96">
        <v>40.1</v>
      </c>
      <c r="N54" s="63">
        <v>22.6</v>
      </c>
      <c r="O54" s="63">
        <v>2</v>
      </c>
      <c r="P54" s="44">
        <v>1.9</v>
      </c>
      <c r="Q54" s="230">
        <v>0</v>
      </c>
      <c r="R54" s="265">
        <v>1.1000000000000001</v>
      </c>
      <c r="S54" s="265">
        <v>0.9</v>
      </c>
      <c r="T54" s="265">
        <v>0</v>
      </c>
      <c r="U54" s="230">
        <v>0</v>
      </c>
      <c r="V54" s="265">
        <v>1.5</v>
      </c>
      <c r="W54" s="265">
        <v>1.7</v>
      </c>
      <c r="X54" s="265">
        <v>1.3</v>
      </c>
      <c r="Y54" s="230">
        <v>0</v>
      </c>
      <c r="Z54" s="538">
        <v>2.2000000000000002</v>
      </c>
      <c r="AA54" s="538">
        <v>0.5</v>
      </c>
      <c r="AB54" s="541">
        <v>205</v>
      </c>
      <c r="AC54" s="230">
        <v>165.2</v>
      </c>
      <c r="AD54" s="541">
        <v>167.2</v>
      </c>
      <c r="AE54" s="541">
        <v>5.4</v>
      </c>
      <c r="AF54" s="541">
        <v>6.7</v>
      </c>
      <c r="AG54" s="230"/>
      <c r="AI54" s="633"/>
    </row>
    <row r="55" spans="1:35" s="15" customFormat="1" ht="24.95" customHeight="1" thickBot="1">
      <c r="A55" s="13" t="s">
        <v>22</v>
      </c>
      <c r="B55" s="54">
        <f t="shared" ref="B55" si="32">SUM(B47:B53)</f>
        <v>2394.6009999999997</v>
      </c>
      <c r="C55" s="54">
        <f t="shared" ref="C55" si="33">SUM(C47:C53)</f>
        <v>2372.0889999999999</v>
      </c>
      <c r="D55" s="54">
        <f t="shared" ref="D55" si="34">SUM(D47:D53)</f>
        <v>2150.2569999999996</v>
      </c>
      <c r="E55" s="76">
        <f t="shared" ref="E55:H55" si="35">SUM(E47:E53)</f>
        <v>2026.162</v>
      </c>
      <c r="F55" s="54">
        <f t="shared" si="35"/>
        <v>2059.5610000000001</v>
      </c>
      <c r="G55" s="54">
        <f t="shared" si="35"/>
        <v>1927.3119999999999</v>
      </c>
      <c r="H55" s="54">
        <f t="shared" si="35"/>
        <v>1827.1140000000003</v>
      </c>
      <c r="I55" s="54">
        <f t="shared" ref="I55:J55" si="36">SUM(I47:I53)</f>
        <v>1700.1859999999999</v>
      </c>
      <c r="J55" s="287">
        <f t="shared" si="36"/>
        <v>1739.3000000000002</v>
      </c>
      <c r="K55" s="53">
        <f t="shared" ref="K55:L55" si="37">SUM(K47:K53)</f>
        <v>14745</v>
      </c>
      <c r="L55" s="53">
        <f t="shared" si="37"/>
        <v>14223.800000000001</v>
      </c>
      <c r="M55" s="76">
        <f t="shared" ref="M55:R55" si="38">SUM(M47:M54)-M54</f>
        <v>14093.300000000003</v>
      </c>
      <c r="N55" s="54">
        <f t="shared" si="38"/>
        <v>13627.199999999999</v>
      </c>
      <c r="O55" s="54">
        <f t="shared" si="38"/>
        <v>13339.2</v>
      </c>
      <c r="P55" s="54">
        <f t="shared" si="38"/>
        <v>8183.7</v>
      </c>
      <c r="Q55" s="229">
        <f t="shared" si="38"/>
        <v>7773.5</v>
      </c>
      <c r="R55" s="267">
        <f t="shared" si="38"/>
        <v>13787.7</v>
      </c>
      <c r="S55" s="267">
        <f t="shared" ref="S55:T55" si="39">SUM(S47:S54)-S54</f>
        <v>13316.1</v>
      </c>
      <c r="T55" s="267">
        <f t="shared" si="39"/>
        <v>13004.800000000001</v>
      </c>
      <c r="U55" s="229">
        <f t="shared" ref="U55" si="40">SUM(U47:U54)-U54</f>
        <v>12670.500000000002</v>
      </c>
      <c r="V55" s="267">
        <f t="shared" ref="V55:Y55" si="41">SUM(V47:V54)-V54</f>
        <v>11538.9</v>
      </c>
      <c r="W55" s="267">
        <f t="shared" si="41"/>
        <v>11262.199999999999</v>
      </c>
      <c r="X55" s="267">
        <f t="shared" si="41"/>
        <v>10896.3</v>
      </c>
      <c r="Y55" s="229">
        <f t="shared" si="41"/>
        <v>11723.7</v>
      </c>
      <c r="Z55" s="267">
        <f t="shared" ref="Z55:AD55" si="42">SUM(Z47:Z54)-Z54</f>
        <v>12062</v>
      </c>
      <c r="AA55" s="267">
        <f t="shared" si="42"/>
        <v>12060.8</v>
      </c>
      <c r="AB55" s="267">
        <f t="shared" si="42"/>
        <v>12102.5</v>
      </c>
      <c r="AC55" s="229">
        <f t="shared" si="42"/>
        <v>11803</v>
      </c>
      <c r="AD55" s="542">
        <f t="shared" si="42"/>
        <v>12477.9</v>
      </c>
      <c r="AE55" s="542">
        <f t="shared" ref="AE55:AG55" si="43">SUM(AE47:AE54)-AE54</f>
        <v>12039.3</v>
      </c>
      <c r="AF55" s="542">
        <f t="shared" si="43"/>
        <v>11494.000000000002</v>
      </c>
      <c r="AG55" s="229">
        <f t="shared" si="43"/>
        <v>0</v>
      </c>
      <c r="AI55" s="633"/>
    </row>
    <row r="56" spans="1:35" s="12" customFormat="1" ht="20.100000000000001" customHeight="1">
      <c r="A56" s="50" t="s">
        <v>19</v>
      </c>
      <c r="B56" s="290">
        <f>250.363</f>
        <v>250.363</v>
      </c>
      <c r="C56" s="290">
        <f>(265796)*0.001</f>
        <v>265.79599999999999</v>
      </c>
      <c r="D56" s="290">
        <f>(238676)*0.001</f>
        <v>238.67600000000002</v>
      </c>
      <c r="E56" s="291">
        <f>(275608)*0.001</f>
        <v>275.608</v>
      </c>
      <c r="F56" s="290">
        <f>(250329)*0.001</f>
        <v>250.32900000000001</v>
      </c>
      <c r="G56" s="290">
        <f>(263389)*0.001</f>
        <v>263.38900000000001</v>
      </c>
      <c r="H56" s="290">
        <f>(214673)*0.001</f>
        <v>214.673</v>
      </c>
      <c r="I56" s="292">
        <f>(245994)*0.001</f>
        <v>245.994</v>
      </c>
      <c r="J56" s="293">
        <f>(240921)*0.001</f>
        <v>240.92099999999999</v>
      </c>
      <c r="K56" s="34">
        <v>1094.3</v>
      </c>
      <c r="L56" s="34">
        <v>1365.1</v>
      </c>
      <c r="M56" s="93">
        <v>1322.6</v>
      </c>
      <c r="N56" s="60">
        <v>1543.9</v>
      </c>
      <c r="O56" s="60">
        <v>1169.9000000000001</v>
      </c>
      <c r="P56" s="34">
        <v>963.7</v>
      </c>
      <c r="Q56" s="230">
        <v>1230.9000000000001</v>
      </c>
      <c r="R56" s="272">
        <v>1593</v>
      </c>
      <c r="S56" s="272">
        <v>1251.3</v>
      </c>
      <c r="T56" s="272">
        <v>1269.4000000000001</v>
      </c>
      <c r="U56" s="230">
        <v>1270</v>
      </c>
      <c r="V56" s="272">
        <v>1286.8</v>
      </c>
      <c r="W56" s="272">
        <v>1805.9</v>
      </c>
      <c r="X56" s="272">
        <v>1824.8</v>
      </c>
      <c r="Y56" s="230">
        <v>1341.9</v>
      </c>
      <c r="Z56" s="543">
        <v>552.9</v>
      </c>
      <c r="AA56" s="543">
        <v>1074.7</v>
      </c>
      <c r="AB56" s="540">
        <v>1368.9</v>
      </c>
      <c r="AC56" s="230">
        <v>1611.3</v>
      </c>
      <c r="AD56" s="543">
        <v>1298.2</v>
      </c>
      <c r="AE56" s="543">
        <v>1279</v>
      </c>
      <c r="AF56" s="543">
        <v>1748.5</v>
      </c>
      <c r="AG56" s="230"/>
      <c r="AI56" s="633"/>
    </row>
    <row r="57" spans="1:35" s="12" customFormat="1" ht="20.100000000000001" customHeight="1">
      <c r="A57" s="50" t="s">
        <v>84</v>
      </c>
      <c r="B57" s="290">
        <f>100.836</f>
        <v>100.836</v>
      </c>
      <c r="C57" s="290">
        <f>(101342)*0.001</f>
        <v>101.342</v>
      </c>
      <c r="D57" s="290">
        <f>(99687)*0.001</f>
        <v>99.686999999999998</v>
      </c>
      <c r="E57" s="291">
        <f>(97256)*0.001</f>
        <v>97.256</v>
      </c>
      <c r="F57" s="290">
        <f>(101219)*0.001</f>
        <v>101.21900000000001</v>
      </c>
      <c r="G57" s="290">
        <f>(102957)*0.001</f>
        <v>102.95700000000001</v>
      </c>
      <c r="H57" s="290">
        <f>(102171)*0.001</f>
        <v>102.17100000000001</v>
      </c>
      <c r="I57" s="292">
        <f>(98659)*0.001</f>
        <v>98.659000000000006</v>
      </c>
      <c r="J57" s="293">
        <f>(101071)*0.001</f>
        <v>101.071</v>
      </c>
      <c r="K57" s="33">
        <v>431.9</v>
      </c>
      <c r="L57" s="33">
        <v>439.1</v>
      </c>
      <c r="M57" s="95">
        <v>464.4</v>
      </c>
      <c r="N57" s="62">
        <v>462.5</v>
      </c>
      <c r="O57" s="62">
        <v>479.4</v>
      </c>
      <c r="P57" s="33">
        <v>4607.5</v>
      </c>
      <c r="Q57" s="230">
        <v>4776.7</v>
      </c>
      <c r="R57" s="263">
        <v>41.5</v>
      </c>
      <c r="S57" s="263">
        <v>42.3</v>
      </c>
      <c r="T57" s="263">
        <v>41.9</v>
      </c>
      <c r="U57" s="230">
        <v>42.4</v>
      </c>
      <c r="V57" s="263">
        <v>981.4</v>
      </c>
      <c r="W57" s="263">
        <v>42.5</v>
      </c>
      <c r="X57" s="263">
        <v>42.1</v>
      </c>
      <c r="Y57" s="230">
        <v>42.5</v>
      </c>
      <c r="Z57" s="540">
        <v>41.9</v>
      </c>
      <c r="AA57" s="540">
        <v>42.4</v>
      </c>
      <c r="AB57" s="540">
        <v>41.8</v>
      </c>
      <c r="AC57" s="230">
        <v>42.3</v>
      </c>
      <c r="AD57" s="540">
        <v>41.9</v>
      </c>
      <c r="AE57" s="540">
        <v>34.799999999999997</v>
      </c>
      <c r="AF57" s="543">
        <v>35.1</v>
      </c>
      <c r="AG57" s="230"/>
      <c r="AI57" s="633"/>
    </row>
    <row r="58" spans="1:35" s="12" customFormat="1" ht="20.100000000000001" customHeight="1">
      <c r="A58" s="50" t="s">
        <v>264</v>
      </c>
      <c r="B58" s="290">
        <f>0.237</f>
        <v>0.23699999999999999</v>
      </c>
      <c r="C58" s="290">
        <f>(243)*0.001</f>
        <v>0.24299999999999999</v>
      </c>
      <c r="D58" s="290">
        <f>(234)*0.001</f>
        <v>0.23400000000000001</v>
      </c>
      <c r="E58" s="291">
        <f>(233)*0.001</f>
        <v>0.23300000000000001</v>
      </c>
      <c r="F58" s="290">
        <f>(238)*0.001</f>
        <v>0.23800000000000002</v>
      </c>
      <c r="G58" s="290">
        <f>(247)*0.001</f>
        <v>0.247</v>
      </c>
      <c r="H58" s="290">
        <f>(240)*0.001</f>
        <v>0.24</v>
      </c>
      <c r="I58" s="292">
        <f>(236)*0.001</f>
        <v>0.23600000000000002</v>
      </c>
      <c r="J58" s="293">
        <f>(237)*0.001</f>
        <v>0.23700000000000002</v>
      </c>
      <c r="K58" s="33">
        <v>5.3</v>
      </c>
      <c r="L58" s="33">
        <v>5.8</v>
      </c>
      <c r="M58" s="95">
        <v>6.8</v>
      </c>
      <c r="N58" s="62">
        <v>2.7</v>
      </c>
      <c r="O58" s="62">
        <v>3.7</v>
      </c>
      <c r="P58" s="33">
        <v>4.3</v>
      </c>
      <c r="Q58" s="230">
        <v>4.3</v>
      </c>
      <c r="R58" s="263">
        <v>4.5</v>
      </c>
      <c r="S58" s="263">
        <v>4.9000000000000004</v>
      </c>
      <c r="T58" s="263">
        <v>4.9000000000000004</v>
      </c>
      <c r="U58" s="230">
        <v>5</v>
      </c>
      <c r="V58" s="263">
        <v>5.2</v>
      </c>
      <c r="W58" s="263">
        <v>7.6</v>
      </c>
      <c r="X58" s="263">
        <v>7</v>
      </c>
      <c r="Y58" s="230">
        <v>9.6999999999999993</v>
      </c>
      <c r="Z58" s="540">
        <v>10.4</v>
      </c>
      <c r="AA58" s="540">
        <v>9.6999999999999993</v>
      </c>
      <c r="AB58" s="540">
        <v>10.7</v>
      </c>
      <c r="AC58" s="230">
        <v>8.1999999999999993</v>
      </c>
      <c r="AD58" s="540">
        <v>411.5</v>
      </c>
      <c r="AE58" s="540">
        <v>411.1</v>
      </c>
      <c r="AF58" s="543">
        <v>411.4</v>
      </c>
      <c r="AG58" s="230"/>
      <c r="AI58" s="633"/>
    </row>
    <row r="59" spans="1:35" s="12" customFormat="1" ht="20.100000000000001" customHeight="1">
      <c r="A59" s="50" t="s">
        <v>188</v>
      </c>
      <c r="B59" s="36">
        <v>0</v>
      </c>
      <c r="C59" s="36">
        <v>0</v>
      </c>
      <c r="D59" s="36">
        <v>0</v>
      </c>
      <c r="E59" s="88">
        <v>0</v>
      </c>
      <c r="F59" s="36">
        <v>0</v>
      </c>
      <c r="G59" s="36">
        <v>0</v>
      </c>
      <c r="H59" s="36">
        <v>0</v>
      </c>
      <c r="I59" s="72">
        <v>0</v>
      </c>
      <c r="J59" s="97">
        <v>0</v>
      </c>
      <c r="K59" s="33">
        <v>115.8</v>
      </c>
      <c r="L59" s="33">
        <v>113.9</v>
      </c>
      <c r="M59" s="95">
        <v>117.1</v>
      </c>
      <c r="N59" s="62">
        <v>113</v>
      </c>
      <c r="O59" s="62">
        <v>116.7</v>
      </c>
      <c r="P59" s="33">
        <v>115.6</v>
      </c>
      <c r="Q59" s="230">
        <v>117</v>
      </c>
      <c r="R59" s="263">
        <v>118</v>
      </c>
      <c r="S59" s="263">
        <v>123.1</v>
      </c>
      <c r="T59" s="263">
        <v>117.7</v>
      </c>
      <c r="U59" s="230">
        <v>121.5</v>
      </c>
      <c r="V59" s="263">
        <v>116.6</v>
      </c>
      <c r="W59" s="263">
        <v>117.6</v>
      </c>
      <c r="X59" s="263">
        <v>117.6</v>
      </c>
      <c r="Y59" s="230">
        <v>114.5</v>
      </c>
      <c r="Z59" s="540">
        <v>116.3</v>
      </c>
      <c r="AA59" s="540">
        <v>121.3</v>
      </c>
      <c r="AB59" s="540">
        <v>116.6</v>
      </c>
      <c r="AC59" s="230">
        <v>118.1</v>
      </c>
      <c r="AD59" s="540">
        <v>118.9</v>
      </c>
      <c r="AE59" s="540">
        <v>118.3</v>
      </c>
      <c r="AF59" s="543">
        <v>119.3</v>
      </c>
      <c r="AG59" s="230"/>
      <c r="AI59" s="633"/>
    </row>
    <row r="60" spans="1:35" s="12" customFormat="1" ht="20.100000000000001" customHeight="1">
      <c r="A60" s="50" t="s">
        <v>222</v>
      </c>
      <c r="B60" s="36"/>
      <c r="C60" s="36"/>
      <c r="D60" s="36"/>
      <c r="E60" s="88"/>
      <c r="F60" s="36"/>
      <c r="G60" s="36"/>
      <c r="H60" s="36"/>
      <c r="I60" s="72"/>
      <c r="J60" s="97"/>
      <c r="K60" s="33"/>
      <c r="L60" s="33"/>
      <c r="M60" s="95"/>
      <c r="N60" s="62"/>
      <c r="O60" s="62"/>
      <c r="P60" s="33"/>
      <c r="Q60" s="230"/>
      <c r="R60" s="263"/>
      <c r="S60" s="263"/>
      <c r="T60" s="263"/>
      <c r="U60" s="230"/>
      <c r="V60" s="263"/>
      <c r="W60" s="263"/>
      <c r="X60" s="263"/>
      <c r="Y60" s="230"/>
      <c r="Z60" s="543">
        <v>359</v>
      </c>
      <c r="AA60" s="540">
        <v>649.1</v>
      </c>
      <c r="AB60" s="540">
        <v>643.5</v>
      </c>
      <c r="AC60" s="230">
        <v>705.2</v>
      </c>
      <c r="AD60" s="543">
        <v>722.6</v>
      </c>
      <c r="AE60" s="540">
        <v>712.2</v>
      </c>
      <c r="AF60" s="543">
        <v>729.6</v>
      </c>
      <c r="AG60" s="230"/>
      <c r="AI60" s="633"/>
    </row>
    <row r="61" spans="1:35" s="12" customFormat="1" ht="20.100000000000001" customHeight="1">
      <c r="A61" s="50" t="s">
        <v>24</v>
      </c>
      <c r="B61" s="290">
        <f>435.427</f>
        <v>435.42700000000002</v>
      </c>
      <c r="C61" s="290">
        <f>(436188)*0.001</f>
        <v>436.18799999999999</v>
      </c>
      <c r="D61" s="290">
        <f>(441676)*0.001</f>
        <v>441.67599999999999</v>
      </c>
      <c r="E61" s="291">
        <f>(472094)*0.001</f>
        <v>472.09399999999999</v>
      </c>
      <c r="F61" s="290">
        <f>(432897)*0.001</f>
        <v>432.89699999999999</v>
      </c>
      <c r="G61" s="290">
        <f>(428004)*0.001</f>
        <v>428.00400000000002</v>
      </c>
      <c r="H61" s="290">
        <f>(390829)*0.001</f>
        <v>390.82900000000001</v>
      </c>
      <c r="I61" s="292">
        <f>(413210)*0.001</f>
        <v>413.21000000000004</v>
      </c>
      <c r="J61" s="293">
        <f>(418100)*0.001</f>
        <v>418.1</v>
      </c>
      <c r="K61" s="34">
        <v>1618.8</v>
      </c>
      <c r="L61" s="34">
        <v>1505.3</v>
      </c>
      <c r="M61" s="93">
        <v>1523</v>
      </c>
      <c r="N61" s="60">
        <v>1333.5</v>
      </c>
      <c r="O61" s="60">
        <v>1670.4</v>
      </c>
      <c r="P61" s="34">
        <v>1431.5</v>
      </c>
      <c r="Q61" s="230">
        <v>1485.4</v>
      </c>
      <c r="R61" s="272">
        <v>1711.4</v>
      </c>
      <c r="S61" s="272">
        <v>1365.9</v>
      </c>
      <c r="T61" s="272">
        <v>1338.1</v>
      </c>
      <c r="U61" s="230">
        <v>1569.5</v>
      </c>
      <c r="V61" s="272">
        <v>1337.9</v>
      </c>
      <c r="W61" s="272">
        <v>1694.4</v>
      </c>
      <c r="X61" s="272">
        <v>1397.9</v>
      </c>
      <c r="Y61" s="230">
        <v>1727.3</v>
      </c>
      <c r="Z61" s="540">
        <v>1430.8</v>
      </c>
      <c r="AA61" s="543">
        <v>2254.9</v>
      </c>
      <c r="AB61" s="540">
        <v>2302.6999999999998</v>
      </c>
      <c r="AC61" s="230">
        <v>2382.4</v>
      </c>
      <c r="AD61" s="540">
        <v>2029.1</v>
      </c>
      <c r="AE61" s="543">
        <v>2691.7</v>
      </c>
      <c r="AF61" s="543">
        <v>2392.3000000000002</v>
      </c>
      <c r="AG61" s="230"/>
      <c r="AI61" s="633"/>
    </row>
    <row r="62" spans="1:35" s="30" customFormat="1" ht="20.100000000000001" customHeight="1">
      <c r="A62" s="55" t="s">
        <v>92</v>
      </c>
      <c r="B62" s="40">
        <v>0</v>
      </c>
      <c r="C62" s="40">
        <v>0</v>
      </c>
      <c r="D62" s="40">
        <v>0</v>
      </c>
      <c r="E62" s="98">
        <v>0</v>
      </c>
      <c r="F62" s="40">
        <v>0</v>
      </c>
      <c r="G62" s="40">
        <v>0</v>
      </c>
      <c r="H62" s="40">
        <v>0</v>
      </c>
      <c r="I62" s="96">
        <v>12</v>
      </c>
      <c r="J62" s="84">
        <v>0</v>
      </c>
      <c r="K62" s="40">
        <v>0</v>
      </c>
      <c r="L62" s="40">
        <v>0</v>
      </c>
      <c r="M62" s="96">
        <v>87</v>
      </c>
      <c r="N62" s="63">
        <v>99.7</v>
      </c>
      <c r="O62" s="63">
        <v>79</v>
      </c>
      <c r="P62" s="39">
        <v>57.1</v>
      </c>
      <c r="Q62" s="385">
        <v>72.900000000000006</v>
      </c>
      <c r="R62" s="265">
        <v>25.8</v>
      </c>
      <c r="S62" s="265">
        <v>3.5</v>
      </c>
      <c r="T62" s="265">
        <v>1.8</v>
      </c>
      <c r="U62" s="385">
        <v>0</v>
      </c>
      <c r="V62" s="265">
        <v>1.5</v>
      </c>
      <c r="W62" s="265">
        <v>0.6</v>
      </c>
      <c r="X62" s="265">
        <v>0.5</v>
      </c>
      <c r="Y62" s="385">
        <v>3.6</v>
      </c>
      <c r="Z62" s="541">
        <v>2.8</v>
      </c>
      <c r="AA62" s="541">
        <v>4.2</v>
      </c>
      <c r="AB62" s="540">
        <v>5.5</v>
      </c>
      <c r="AC62" s="385">
        <v>8.8000000000000007</v>
      </c>
      <c r="AD62" s="541">
        <v>9.1</v>
      </c>
      <c r="AE62" s="541">
        <v>9</v>
      </c>
      <c r="AF62" s="675">
        <v>7.5</v>
      </c>
      <c r="AG62" s="230"/>
      <c r="AI62" s="633"/>
    </row>
    <row r="63" spans="1:35" s="12" customFormat="1" ht="20.100000000000001" customHeight="1">
      <c r="A63" s="50" t="s">
        <v>23</v>
      </c>
      <c r="B63" s="290">
        <f>29.589</f>
        <v>29.588999999999999</v>
      </c>
      <c r="C63" s="290">
        <f>(7799)*0.001</f>
        <v>7.7990000000000004</v>
      </c>
      <c r="D63" s="290">
        <f>(6782)*0.001</f>
        <v>6.782</v>
      </c>
      <c r="E63" s="291">
        <f>(7092)*0.001</f>
        <v>7.0920000000000005</v>
      </c>
      <c r="F63" s="290">
        <f>(1990)*0.001</f>
        <v>1.99</v>
      </c>
      <c r="G63" s="290">
        <f>(6510)*0.001</f>
        <v>6.51</v>
      </c>
      <c r="H63" s="290">
        <f>(14152)*0.001</f>
        <v>14.152000000000001</v>
      </c>
      <c r="I63" s="292">
        <f>(4520)*0.001</f>
        <v>4.5200000000000005</v>
      </c>
      <c r="J63" s="293">
        <f>(12203)*0.001</f>
        <v>12.202999999999999</v>
      </c>
      <c r="K63" s="33">
        <v>43.7</v>
      </c>
      <c r="L63" s="33">
        <v>22.1</v>
      </c>
      <c r="M63" s="95">
        <v>48.028993427171699</v>
      </c>
      <c r="N63" s="62">
        <v>22.5</v>
      </c>
      <c r="O63" s="62">
        <v>132.69999999999999</v>
      </c>
      <c r="P63" s="33">
        <v>96.3</v>
      </c>
      <c r="Q63" s="230">
        <v>176.1</v>
      </c>
      <c r="R63" s="263">
        <v>29.2</v>
      </c>
      <c r="S63" s="263">
        <v>39.1</v>
      </c>
      <c r="T63" s="263">
        <v>21.967722325707697</v>
      </c>
      <c r="U63" s="230">
        <v>24.9</v>
      </c>
      <c r="V63" s="263">
        <v>4.3</v>
      </c>
      <c r="W63" s="263">
        <v>24.9</v>
      </c>
      <c r="X63" s="263">
        <v>17.5</v>
      </c>
      <c r="Y63" s="230">
        <v>61.3</v>
      </c>
      <c r="Z63" s="540">
        <v>60.1</v>
      </c>
      <c r="AA63" s="540">
        <v>44.9</v>
      </c>
      <c r="AB63" s="540">
        <v>62.3</v>
      </c>
      <c r="AC63" s="230">
        <v>151.1</v>
      </c>
      <c r="AD63" s="540">
        <v>191.1</v>
      </c>
      <c r="AE63" s="540">
        <v>154.30000000000001</v>
      </c>
      <c r="AF63" s="543">
        <v>192.4</v>
      </c>
      <c r="AG63" s="230"/>
      <c r="AI63" s="633"/>
    </row>
    <row r="64" spans="1:35" s="12" customFormat="1" ht="20.100000000000001" customHeight="1">
      <c r="A64" s="50" t="s">
        <v>44</v>
      </c>
      <c r="B64" s="290">
        <f>12.532</f>
        <v>12.532</v>
      </c>
      <c r="C64" s="290">
        <f>(12125)*0.001</f>
        <v>12.125</v>
      </c>
      <c r="D64" s="290">
        <f>(12084)*0.001</f>
        <v>12.084</v>
      </c>
      <c r="E64" s="291">
        <f>(13259)*0.001</f>
        <v>13.259</v>
      </c>
      <c r="F64" s="290">
        <f>(13182)*0.001</f>
        <v>13.182</v>
      </c>
      <c r="G64" s="290">
        <f>(12551)*0.001</f>
        <v>12.551</v>
      </c>
      <c r="H64" s="290">
        <f>(12536)*0.001</f>
        <v>12.536</v>
      </c>
      <c r="I64" s="292">
        <f>(2727)*0.001</f>
        <v>2.7269999999999999</v>
      </c>
      <c r="J64" s="293">
        <f>(2843)*0.001</f>
        <v>2.843</v>
      </c>
      <c r="K64" s="33">
        <v>2.6</v>
      </c>
      <c r="L64" s="33">
        <v>2.7</v>
      </c>
      <c r="M64" s="95">
        <v>1.4</v>
      </c>
      <c r="N64" s="62">
        <v>1.4</v>
      </c>
      <c r="O64" s="48" t="s">
        <v>62</v>
      </c>
      <c r="P64" s="48" t="s">
        <v>62</v>
      </c>
      <c r="Q64" s="231" t="s">
        <v>62</v>
      </c>
      <c r="R64" s="274" t="s">
        <v>62</v>
      </c>
      <c r="S64" s="274" t="s">
        <v>62</v>
      </c>
      <c r="T64" s="274" t="s">
        <v>62</v>
      </c>
      <c r="U64" s="231" t="s">
        <v>62</v>
      </c>
      <c r="V64" s="274" t="s">
        <v>62</v>
      </c>
      <c r="W64" s="274" t="s">
        <v>62</v>
      </c>
      <c r="X64" s="274" t="s">
        <v>62</v>
      </c>
      <c r="Y64" s="231" t="s">
        <v>62</v>
      </c>
      <c r="Z64" s="544" t="s">
        <v>62</v>
      </c>
      <c r="AA64" s="544" t="s">
        <v>62</v>
      </c>
      <c r="AB64" s="544" t="s">
        <v>62</v>
      </c>
      <c r="AC64" s="231" t="s">
        <v>62</v>
      </c>
      <c r="AD64" s="544" t="s">
        <v>62</v>
      </c>
      <c r="AE64" s="544" t="s">
        <v>62</v>
      </c>
      <c r="AF64" s="544" t="s">
        <v>62</v>
      </c>
      <c r="AG64" s="230"/>
      <c r="AI64" s="633"/>
    </row>
    <row r="65" spans="1:35" s="12" customFormat="1" ht="20.100000000000001" customHeight="1" thickBot="1">
      <c r="A65" s="50" t="s">
        <v>189</v>
      </c>
      <c r="B65" s="290">
        <f>188.402</f>
        <v>188.40199999999999</v>
      </c>
      <c r="C65" s="290">
        <f>(209950)*0.001</f>
        <v>209.95000000000002</v>
      </c>
      <c r="D65" s="290">
        <f>(210563)*0.001</f>
        <v>210.56300000000002</v>
      </c>
      <c r="E65" s="291">
        <f>(201238)*0.001</f>
        <v>201.238</v>
      </c>
      <c r="F65" s="290">
        <f>(207890)*0.001</f>
        <v>207.89000000000001</v>
      </c>
      <c r="G65" s="290">
        <f>(204442)*0.001</f>
        <v>204.44200000000001</v>
      </c>
      <c r="H65" s="290">
        <f>(210688)*0.001</f>
        <v>210.68800000000002</v>
      </c>
      <c r="I65" s="292">
        <f>(209485)*0.001</f>
        <v>209.48500000000001</v>
      </c>
      <c r="J65" s="293">
        <f>(228170)*0.001</f>
        <v>228.17000000000002</v>
      </c>
      <c r="K65" s="33">
        <v>678</v>
      </c>
      <c r="L65" s="33">
        <v>672.7</v>
      </c>
      <c r="M65" s="95">
        <v>683.9</v>
      </c>
      <c r="N65" s="62">
        <v>670.3</v>
      </c>
      <c r="O65" s="62">
        <v>672</v>
      </c>
      <c r="P65" s="33">
        <v>680.9</v>
      </c>
      <c r="Q65" s="230">
        <v>676.1</v>
      </c>
      <c r="R65" s="263">
        <v>665</v>
      </c>
      <c r="S65" s="263">
        <v>676.8</v>
      </c>
      <c r="T65" s="263">
        <v>660.84343092999995</v>
      </c>
      <c r="U65" s="230">
        <v>647.9</v>
      </c>
      <c r="V65" s="263">
        <v>633.79999999999995</v>
      </c>
      <c r="W65" s="263">
        <v>637.29999999999995</v>
      </c>
      <c r="X65" s="263">
        <v>629.5</v>
      </c>
      <c r="Y65" s="230">
        <v>618.29999999999995</v>
      </c>
      <c r="Z65" s="540">
        <v>356</v>
      </c>
      <c r="AA65" s="540">
        <v>39.799999999999997</v>
      </c>
      <c r="AB65" s="540">
        <v>65</v>
      </c>
      <c r="AC65" s="230">
        <v>0</v>
      </c>
      <c r="AD65" s="540">
        <v>0</v>
      </c>
      <c r="AE65" s="540">
        <v>0</v>
      </c>
      <c r="AF65" s="540">
        <v>0</v>
      </c>
      <c r="AG65" s="230"/>
      <c r="AI65" s="633"/>
    </row>
    <row r="66" spans="1:35" s="15" customFormat="1" ht="24.95" customHeight="1" thickBot="1">
      <c r="A66" s="13" t="s">
        <v>25</v>
      </c>
      <c r="B66" s="54">
        <f t="shared" ref="B66:L66" si="44">SUM(B56:B65)</f>
        <v>1017.386</v>
      </c>
      <c r="C66" s="54">
        <f t="shared" si="44"/>
        <v>1033.443</v>
      </c>
      <c r="D66" s="54">
        <f t="shared" si="44"/>
        <v>1009.7019999999999</v>
      </c>
      <c r="E66" s="76">
        <f t="shared" si="44"/>
        <v>1066.78</v>
      </c>
      <c r="F66" s="54">
        <f t="shared" si="44"/>
        <v>1007.745</v>
      </c>
      <c r="G66" s="54">
        <f t="shared" si="44"/>
        <v>1018.1</v>
      </c>
      <c r="H66" s="54">
        <f t="shared" si="44"/>
        <v>945.28899999999999</v>
      </c>
      <c r="I66" s="54">
        <f t="shared" si="44"/>
        <v>986.83100000000002</v>
      </c>
      <c r="J66" s="287">
        <f t="shared" si="44"/>
        <v>1003.5449999999998</v>
      </c>
      <c r="K66" s="53">
        <f t="shared" si="44"/>
        <v>3990.3999999999992</v>
      </c>
      <c r="L66" s="53">
        <f t="shared" si="44"/>
        <v>4126.7</v>
      </c>
      <c r="M66" s="76">
        <f t="shared" ref="M66:T66" si="45">SUM(M56:M65)-M62</f>
        <v>4167.2289934271712</v>
      </c>
      <c r="N66" s="54">
        <f t="shared" si="45"/>
        <v>4149.8</v>
      </c>
      <c r="O66" s="54">
        <f t="shared" si="45"/>
        <v>4244.8</v>
      </c>
      <c r="P66" s="54">
        <f t="shared" si="45"/>
        <v>7899.8</v>
      </c>
      <c r="Q66" s="229">
        <f t="shared" si="45"/>
        <v>8466.5000000000018</v>
      </c>
      <c r="R66" s="267">
        <f t="shared" si="45"/>
        <v>4162.5999999999995</v>
      </c>
      <c r="S66" s="267">
        <f t="shared" si="45"/>
        <v>3503.3999999999996</v>
      </c>
      <c r="T66" s="267">
        <f t="shared" si="45"/>
        <v>3454.8111532557077</v>
      </c>
      <c r="U66" s="229">
        <f t="shared" ref="U66" si="46">SUM(U56:U65)-U62</f>
        <v>3681.2000000000003</v>
      </c>
      <c r="V66" s="267">
        <f t="shared" ref="V66:W66" si="47">SUM(V56:V65)-V62</f>
        <v>4366</v>
      </c>
      <c r="W66" s="267">
        <f t="shared" si="47"/>
        <v>4330.2</v>
      </c>
      <c r="X66" s="267">
        <f t="shared" ref="X66:Y66" si="48">SUM(X56:X65)-X62</f>
        <v>4036.3999999999996</v>
      </c>
      <c r="Y66" s="229">
        <f t="shared" si="48"/>
        <v>3915.5000000000005</v>
      </c>
      <c r="Z66" s="267">
        <f t="shared" ref="Z66:AG66" si="49">SUM(Z56:Z65)-Z62</f>
        <v>2927.4</v>
      </c>
      <c r="AA66" s="267">
        <f t="shared" si="49"/>
        <v>4236.8</v>
      </c>
      <c r="AB66" s="542">
        <f t="shared" si="49"/>
        <v>4611.5</v>
      </c>
      <c r="AC66" s="229">
        <f t="shared" si="49"/>
        <v>5018.6000000000004</v>
      </c>
      <c r="AD66" s="542">
        <f t="shared" si="49"/>
        <v>4813.3000000000011</v>
      </c>
      <c r="AE66" s="542">
        <f t="shared" si="49"/>
        <v>5401.4000000000005</v>
      </c>
      <c r="AF66" s="542">
        <f t="shared" si="49"/>
        <v>5628.6</v>
      </c>
      <c r="AG66" s="229">
        <f t="shared" si="49"/>
        <v>0</v>
      </c>
      <c r="AI66" s="633"/>
    </row>
    <row r="67" spans="1:35" s="15" customFormat="1" ht="24.95" customHeight="1" thickBot="1">
      <c r="A67" s="13" t="s">
        <v>26</v>
      </c>
      <c r="B67" s="54">
        <f>B55+B66</f>
        <v>3411.9869999999996</v>
      </c>
      <c r="C67" s="54">
        <f>C55+C66</f>
        <v>3405.5320000000002</v>
      </c>
      <c r="D67" s="54">
        <f>D55+D66</f>
        <v>3159.9589999999994</v>
      </c>
      <c r="E67" s="76">
        <f t="shared" ref="E67:T67" si="50">E66+E55</f>
        <v>3092.942</v>
      </c>
      <c r="F67" s="54">
        <f t="shared" si="50"/>
        <v>3067.306</v>
      </c>
      <c r="G67" s="54">
        <f t="shared" si="50"/>
        <v>2945.4119999999998</v>
      </c>
      <c r="H67" s="54">
        <f t="shared" si="50"/>
        <v>2772.4030000000002</v>
      </c>
      <c r="I67" s="54">
        <f t="shared" si="50"/>
        <v>2687.0169999999998</v>
      </c>
      <c r="J67" s="287">
        <f t="shared" si="50"/>
        <v>2742.8450000000003</v>
      </c>
      <c r="K67" s="53">
        <f t="shared" si="50"/>
        <v>18735.399999999998</v>
      </c>
      <c r="L67" s="53">
        <f t="shared" si="50"/>
        <v>18350.5</v>
      </c>
      <c r="M67" s="76">
        <f t="shared" si="50"/>
        <v>18260.528993427175</v>
      </c>
      <c r="N67" s="54">
        <f t="shared" si="50"/>
        <v>17777</v>
      </c>
      <c r="O67" s="54">
        <f t="shared" si="50"/>
        <v>17584</v>
      </c>
      <c r="P67" s="54">
        <f t="shared" si="50"/>
        <v>16083.5</v>
      </c>
      <c r="Q67" s="229">
        <f t="shared" si="50"/>
        <v>16240.000000000002</v>
      </c>
      <c r="R67" s="267">
        <f t="shared" si="50"/>
        <v>17950.3</v>
      </c>
      <c r="S67" s="267">
        <f t="shared" si="50"/>
        <v>16819.5</v>
      </c>
      <c r="T67" s="267">
        <f t="shared" si="50"/>
        <v>16459.611153255708</v>
      </c>
      <c r="U67" s="229">
        <f t="shared" ref="U67:V67" si="51">U66+U55</f>
        <v>16351.700000000003</v>
      </c>
      <c r="V67" s="267">
        <f t="shared" si="51"/>
        <v>15904.9</v>
      </c>
      <c r="W67" s="267">
        <f t="shared" ref="W67:X67" si="52">W66+W55</f>
        <v>15592.399999999998</v>
      </c>
      <c r="X67" s="267">
        <f t="shared" si="52"/>
        <v>14932.699999999999</v>
      </c>
      <c r="Y67" s="229">
        <f t="shared" ref="Y67" si="53">Y66+Y55</f>
        <v>15639.2</v>
      </c>
      <c r="Z67" s="267">
        <f t="shared" ref="Z67:AG67" si="54">Z66+Z55</f>
        <v>14989.4</v>
      </c>
      <c r="AA67" s="267">
        <f t="shared" si="54"/>
        <v>16297.599999999999</v>
      </c>
      <c r="AB67" s="267">
        <f t="shared" si="54"/>
        <v>16714</v>
      </c>
      <c r="AC67" s="229">
        <f t="shared" si="54"/>
        <v>16821.599999999999</v>
      </c>
      <c r="AD67" s="542">
        <f t="shared" si="54"/>
        <v>17291.2</v>
      </c>
      <c r="AE67" s="542">
        <f t="shared" si="54"/>
        <v>17440.7</v>
      </c>
      <c r="AF67" s="542">
        <f t="shared" si="54"/>
        <v>17122.600000000002</v>
      </c>
      <c r="AG67" s="229">
        <f t="shared" si="54"/>
        <v>0</v>
      </c>
      <c r="AI67" s="633"/>
    </row>
    <row r="68" spans="1:35" s="15" customFormat="1" ht="24.95" customHeight="1" thickBot="1">
      <c r="A68" s="57" t="s">
        <v>27</v>
      </c>
      <c r="B68" s="58">
        <f t="shared" ref="B68:T68" si="55">B67+B46</f>
        <v>5502.753999999999</v>
      </c>
      <c r="C68" s="58">
        <f t="shared" si="55"/>
        <v>5597.8010000000004</v>
      </c>
      <c r="D68" s="58">
        <f t="shared" si="55"/>
        <v>5514.8739999999998</v>
      </c>
      <c r="E68" s="89">
        <f t="shared" si="55"/>
        <v>5561.3450000000003</v>
      </c>
      <c r="F68" s="58">
        <f t="shared" si="55"/>
        <v>5629.4740000000002</v>
      </c>
      <c r="G68" s="58">
        <f t="shared" si="55"/>
        <v>5592.7070000000003</v>
      </c>
      <c r="H68" s="58">
        <f t="shared" si="55"/>
        <v>5597.9809999999998</v>
      </c>
      <c r="I68" s="288">
        <f t="shared" si="55"/>
        <v>5688.23</v>
      </c>
      <c r="J68" s="289">
        <f t="shared" si="55"/>
        <v>5851.1939999999995</v>
      </c>
      <c r="K68" s="58">
        <f t="shared" si="55"/>
        <v>27827.1</v>
      </c>
      <c r="L68" s="58">
        <f t="shared" si="55"/>
        <v>27481.200000000001</v>
      </c>
      <c r="M68" s="89">
        <f t="shared" si="55"/>
        <v>27338.728993427176</v>
      </c>
      <c r="N68" s="58">
        <f t="shared" si="55"/>
        <v>27088.9</v>
      </c>
      <c r="O68" s="58">
        <f t="shared" si="55"/>
        <v>27141.800000000003</v>
      </c>
      <c r="P68" s="58">
        <f t="shared" si="55"/>
        <v>26143.5</v>
      </c>
      <c r="Q68" s="232">
        <f t="shared" si="55"/>
        <v>26490.100000000002</v>
      </c>
      <c r="R68" s="269">
        <f t="shared" si="55"/>
        <v>28355.5</v>
      </c>
      <c r="S68" s="269">
        <f t="shared" si="55"/>
        <v>27581.1</v>
      </c>
      <c r="T68" s="269">
        <f t="shared" si="55"/>
        <v>27493.111153255708</v>
      </c>
      <c r="U68" s="232">
        <f t="shared" ref="U68:V68" si="56">U67+U46</f>
        <v>27729.300000000003</v>
      </c>
      <c r="V68" s="269">
        <f t="shared" si="56"/>
        <v>27553.199999999997</v>
      </c>
      <c r="W68" s="269">
        <f t="shared" ref="W68:X68" si="57">W67+W46</f>
        <v>27317.5</v>
      </c>
      <c r="X68" s="269">
        <f t="shared" si="57"/>
        <v>26892.6</v>
      </c>
      <c r="Y68" s="232">
        <f t="shared" ref="Y68" si="58">Y67+Y46</f>
        <v>27756</v>
      </c>
      <c r="Z68" s="269">
        <f t="shared" ref="Z68:AG68" si="59">Z67+Z46</f>
        <v>27894.400000000001</v>
      </c>
      <c r="AA68" s="269">
        <f t="shared" si="59"/>
        <v>29751.599999999999</v>
      </c>
      <c r="AB68" s="269">
        <f t="shared" si="59"/>
        <v>30395.3</v>
      </c>
      <c r="AC68" s="232">
        <f t="shared" si="59"/>
        <v>30696.799999999999</v>
      </c>
      <c r="AD68" s="269">
        <f t="shared" si="59"/>
        <v>31463.800000000003</v>
      </c>
      <c r="AE68" s="269">
        <f t="shared" si="59"/>
        <v>31359.200000000001</v>
      </c>
      <c r="AF68" s="269">
        <f t="shared" si="59"/>
        <v>31277.700000000004</v>
      </c>
      <c r="AG68" s="232">
        <f t="shared" si="59"/>
        <v>0</v>
      </c>
      <c r="AI68" s="633"/>
    </row>
    <row r="69" spans="1:35" s="12" customFormat="1">
      <c r="A69" s="52"/>
      <c r="K69" s="14"/>
      <c r="L69" s="14"/>
      <c r="P69" s="14"/>
    </row>
    <row r="70" spans="1:35" s="12" customFormat="1">
      <c r="A70" s="52"/>
      <c r="K70" s="14"/>
      <c r="L70" s="14"/>
      <c r="P70" s="14"/>
    </row>
    <row r="71" spans="1:35" s="12" customFormat="1" ht="20.100000000000001" customHeight="1">
      <c r="A71" s="684" t="s">
        <v>224</v>
      </c>
      <c r="B71" s="684"/>
      <c r="C71" s="684"/>
      <c r="D71" s="684"/>
      <c r="E71" s="684"/>
      <c r="F71" s="684"/>
      <c r="G71" s="684"/>
      <c r="H71" s="684"/>
      <c r="I71" s="684"/>
      <c r="J71" s="684"/>
      <c r="K71" s="684"/>
      <c r="L71" s="684"/>
      <c r="M71" s="684"/>
      <c r="N71" s="684"/>
      <c r="O71" s="684"/>
      <c r="P71" s="684"/>
      <c r="Q71" s="684"/>
    </row>
    <row r="72" spans="1:35" s="12" customFormat="1" ht="20.100000000000001" customHeight="1">
      <c r="A72" s="684" t="s">
        <v>225</v>
      </c>
      <c r="B72" s="684"/>
      <c r="C72" s="684"/>
      <c r="D72" s="684"/>
      <c r="E72" s="684"/>
      <c r="F72" s="684"/>
      <c r="G72" s="684"/>
      <c r="H72" s="684"/>
      <c r="I72" s="684"/>
      <c r="J72" s="684"/>
      <c r="K72" s="684"/>
      <c r="L72" s="684"/>
      <c r="M72" s="684"/>
      <c r="N72" s="684"/>
      <c r="O72" s="684"/>
      <c r="P72" s="684"/>
      <c r="Q72" s="684"/>
    </row>
    <row r="73" spans="1:35" s="12" customFormat="1" ht="20.100000000000001" customHeight="1">
      <c r="A73" s="684"/>
      <c r="B73" s="684"/>
      <c r="C73" s="684"/>
      <c r="D73" s="684"/>
      <c r="E73" s="684"/>
      <c r="F73" s="684"/>
      <c r="G73" s="684"/>
      <c r="H73" s="684"/>
      <c r="I73" s="684"/>
      <c r="J73" s="684"/>
      <c r="K73" s="684"/>
      <c r="L73" s="684"/>
      <c r="M73" s="684"/>
      <c r="N73" s="684"/>
      <c r="O73" s="684"/>
      <c r="P73" s="684"/>
      <c r="Q73" s="684"/>
    </row>
    <row r="74" spans="1:35" s="12" customFormat="1">
      <c r="A74" s="59"/>
      <c r="K74" s="14"/>
      <c r="L74" s="14"/>
      <c r="P74" s="14"/>
    </row>
    <row r="75" spans="1:35" s="12" customFormat="1">
      <c r="A75" s="10"/>
      <c r="K75" s="14"/>
      <c r="L75" s="14"/>
      <c r="P75" s="14"/>
    </row>
    <row r="76" spans="1:35" s="12" customFormat="1">
      <c r="A76" s="10"/>
      <c r="K76" s="14"/>
      <c r="L76" s="14"/>
      <c r="P76" s="14"/>
    </row>
  </sheetData>
  <mergeCells count="11">
    <mergeCell ref="AD2:AG2"/>
    <mergeCell ref="A73:Q73"/>
    <mergeCell ref="Z2:AC2"/>
    <mergeCell ref="V2:Y2"/>
    <mergeCell ref="R2:U2"/>
    <mergeCell ref="A71:Q71"/>
    <mergeCell ref="A72:Q72"/>
    <mergeCell ref="B2:E2"/>
    <mergeCell ref="F2:I2"/>
    <mergeCell ref="J2:M2"/>
    <mergeCell ref="N2:Q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13" orientation="landscape" r:id="rId1"/>
  <ignoredErrors>
    <ignoredError sqref="F31 H31 C31 AC2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RV153"/>
  <sheetViews>
    <sheetView showGridLines="0" zoomScaleNormal="100" zoomScaleSheetLayoutView="110" workbookViewId="0">
      <pane xSplit="1" ySplit="3" topLeftCell="AI52" activePane="bottomRight" state="frozen"/>
      <selection pane="topRight" activeCell="B1" sqref="B1"/>
      <selection pane="bottomLeft" activeCell="A4" sqref="A4"/>
      <selection pane="bottomRight" activeCell="AK77" sqref="AK77"/>
    </sheetView>
  </sheetViews>
  <sheetFormatPr defaultColWidth="9" defaultRowHeight="12.75"/>
  <cols>
    <col min="1" max="1" width="62.125" style="6" customWidth="1"/>
    <col min="2" max="2" width="13.125" style="6" customWidth="1"/>
    <col min="3" max="4" width="13" style="6" bestFit="1" customWidth="1"/>
    <col min="5" max="5" width="12.5" style="6" bestFit="1" customWidth="1"/>
    <col min="6" max="6" width="13" style="6" bestFit="1" customWidth="1"/>
    <col min="7" max="8" width="12.875" style="6" customWidth="1"/>
    <col min="9" max="9" width="12.5" style="6" customWidth="1"/>
    <col min="10" max="11" width="13" style="6" bestFit="1" customWidth="1"/>
    <col min="12" max="12" width="12.875" style="6" customWidth="1"/>
    <col min="13" max="13" width="12.5" style="6" customWidth="1"/>
    <col min="14" max="16" width="13" style="6" bestFit="1" customWidth="1"/>
    <col min="17" max="17" width="13" style="6" customWidth="1"/>
    <col min="18" max="20" width="13" style="6" bestFit="1" customWidth="1"/>
    <col min="21" max="21" width="13" style="6" customWidth="1"/>
    <col min="22" max="24" width="13" style="6" bestFit="1" customWidth="1"/>
    <col min="25" max="28" width="13" style="6" customWidth="1"/>
    <col min="29" max="29" width="14.125" style="6" customWidth="1"/>
    <col min="30" max="33" width="13" style="10" customWidth="1"/>
    <col min="34" max="34" width="2.625" style="10" customWidth="1"/>
    <col min="35" max="38" width="13.125" style="10" customWidth="1"/>
    <col min="39" max="57" width="9" style="10"/>
    <col min="58" max="16384" width="9" style="6"/>
  </cols>
  <sheetData>
    <row r="1" spans="1:490" s="19" customFormat="1" ht="50.25" customHeight="1" thickBot="1">
      <c r="A1" s="5" t="s">
        <v>168</v>
      </c>
      <c r="B1" s="5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</row>
    <row r="2" spans="1:490" s="19" customFormat="1" ht="24.95" customHeight="1">
      <c r="A2" s="8" t="s">
        <v>124</v>
      </c>
      <c r="B2" s="708">
        <v>2012</v>
      </c>
      <c r="C2" s="708"/>
      <c r="D2" s="708"/>
      <c r="E2" s="709"/>
      <c r="F2" s="705">
        <v>2013</v>
      </c>
      <c r="G2" s="708"/>
      <c r="H2" s="708"/>
      <c r="I2" s="709"/>
      <c r="J2" s="708">
        <v>2014</v>
      </c>
      <c r="K2" s="708"/>
      <c r="L2" s="708"/>
      <c r="M2" s="708"/>
      <c r="N2" s="712">
        <v>2015</v>
      </c>
      <c r="O2" s="710"/>
      <c r="P2" s="710"/>
      <c r="Q2" s="711"/>
      <c r="R2" s="705">
        <v>2016</v>
      </c>
      <c r="S2" s="708"/>
      <c r="T2" s="708"/>
      <c r="U2" s="709"/>
      <c r="V2" s="705" t="s">
        <v>238</v>
      </c>
      <c r="W2" s="708"/>
      <c r="X2" s="708"/>
      <c r="Y2" s="709"/>
      <c r="Z2" s="705" t="s">
        <v>246</v>
      </c>
      <c r="AA2" s="706"/>
      <c r="AB2" s="706"/>
      <c r="AC2" s="707"/>
      <c r="AD2" s="705" t="s">
        <v>251</v>
      </c>
      <c r="AE2" s="706"/>
      <c r="AF2" s="706"/>
      <c r="AG2" s="707"/>
      <c r="AH2" s="18"/>
      <c r="AI2" s="705" t="s">
        <v>252</v>
      </c>
      <c r="AJ2" s="706"/>
      <c r="AK2" s="706"/>
      <c r="AL2" s="707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</row>
    <row r="3" spans="1:490" ht="39.950000000000003" customHeight="1" thickBot="1">
      <c r="A3" s="9" t="s">
        <v>97</v>
      </c>
      <c r="B3" s="100" t="s">
        <v>119</v>
      </c>
      <c r="C3" s="100" t="s">
        <v>120</v>
      </c>
      <c r="D3" s="100" t="s">
        <v>121</v>
      </c>
      <c r="E3" s="102" t="s">
        <v>122</v>
      </c>
      <c r="F3" s="101" t="s">
        <v>119</v>
      </c>
      <c r="G3" s="100" t="s">
        <v>120</v>
      </c>
      <c r="H3" s="100" t="s">
        <v>121</v>
      </c>
      <c r="I3" s="102" t="s">
        <v>122</v>
      </c>
      <c r="J3" s="100" t="s">
        <v>119</v>
      </c>
      <c r="K3" s="100" t="s">
        <v>120</v>
      </c>
      <c r="L3" s="100" t="s">
        <v>121</v>
      </c>
      <c r="M3" s="103" t="s">
        <v>122</v>
      </c>
      <c r="N3" s="101" t="s">
        <v>119</v>
      </c>
      <c r="O3" s="100" t="s">
        <v>120</v>
      </c>
      <c r="P3" s="100" t="s">
        <v>121</v>
      </c>
      <c r="Q3" s="223" t="s">
        <v>122</v>
      </c>
      <c r="R3" s="101" t="s">
        <v>119</v>
      </c>
      <c r="S3" s="100" t="s">
        <v>120</v>
      </c>
      <c r="T3" s="100" t="s">
        <v>121</v>
      </c>
      <c r="U3" s="223" t="s">
        <v>122</v>
      </c>
      <c r="V3" s="101" t="s">
        <v>119</v>
      </c>
      <c r="W3" s="100" t="s">
        <v>120</v>
      </c>
      <c r="X3" s="100" t="s">
        <v>121</v>
      </c>
      <c r="Y3" s="223" t="s">
        <v>122</v>
      </c>
      <c r="Z3" s="101" t="s">
        <v>119</v>
      </c>
      <c r="AA3" s="100" t="s">
        <v>120</v>
      </c>
      <c r="AB3" s="100" t="s">
        <v>121</v>
      </c>
      <c r="AC3" s="223" t="s">
        <v>122</v>
      </c>
      <c r="AD3" s="101" t="s">
        <v>119</v>
      </c>
      <c r="AE3" s="100" t="s">
        <v>120</v>
      </c>
      <c r="AF3" s="100" t="s">
        <v>121</v>
      </c>
      <c r="AG3" s="223" t="s">
        <v>122</v>
      </c>
      <c r="AI3" s="101" t="s">
        <v>119</v>
      </c>
      <c r="AJ3" s="100" t="s">
        <v>120</v>
      </c>
      <c r="AK3" s="100" t="s">
        <v>121</v>
      </c>
      <c r="AL3" s="223" t="s">
        <v>122</v>
      </c>
    </row>
    <row r="4" spans="1:490" s="10" customFormat="1" ht="20.100000000000001" customHeight="1" thickBot="1">
      <c r="A4" s="216" t="s">
        <v>123</v>
      </c>
      <c r="B4" s="234">
        <v>205.10900000000001</v>
      </c>
      <c r="C4" s="234">
        <v>304.61200000000002</v>
      </c>
      <c r="D4" s="234">
        <v>476.67400000000004</v>
      </c>
      <c r="E4" s="304">
        <v>598.298</v>
      </c>
      <c r="F4" s="233">
        <v>95.105000000000004</v>
      </c>
      <c r="G4" s="234">
        <v>175.85</v>
      </c>
      <c r="H4" s="234">
        <v>352.30099999999999</v>
      </c>
      <c r="I4" s="304">
        <v>525.44500000000005</v>
      </c>
      <c r="J4" s="234">
        <v>98.171999999999997</v>
      </c>
      <c r="K4" s="234">
        <f>'Skonsolidowany P&amp;L'!L26+'Skonsolidowany P&amp;L'!M26</f>
        <v>230.29999999999967</v>
      </c>
      <c r="L4" s="234">
        <v>278.5</v>
      </c>
      <c r="M4" s="245">
        <v>292.5</v>
      </c>
      <c r="N4" s="233">
        <v>170.8</v>
      </c>
      <c r="O4" s="234">
        <v>475.29999999999984</v>
      </c>
      <c r="P4" s="234">
        <f>SUM('Skonsolidowany P&amp;L'!Q26:S26)</f>
        <v>977.7999999999995</v>
      </c>
      <c r="Q4" s="235">
        <f>SUM('Skonsolidowany P&amp;L'!U26)</f>
        <v>1163.3999999999994</v>
      </c>
      <c r="R4" s="233">
        <f>'Skonsolidowany P&amp;L'!V26</f>
        <v>178.50000000000006</v>
      </c>
      <c r="S4" s="234">
        <f>'Skonsolidowany P&amp;L'!V26+'Skonsolidowany P&amp;L'!W26</f>
        <v>409.4000000000002</v>
      </c>
      <c r="T4" s="234">
        <f>S4+'Skonsolidowany P&amp;L'!X26</f>
        <v>679.20000000000061</v>
      </c>
      <c r="U4" s="235">
        <f>'Skonsolidowany P&amp;L'!Z26</f>
        <v>1021.0000000000001</v>
      </c>
      <c r="V4" s="233">
        <v>271.40000000000032</v>
      </c>
      <c r="W4" s="234">
        <v>553.10000000000025</v>
      </c>
      <c r="X4" s="234">
        <v>788</v>
      </c>
      <c r="Y4" s="235">
        <v>945.2</v>
      </c>
      <c r="Z4" s="566">
        <v>292.2</v>
      </c>
      <c r="AA4" s="566">
        <v>523.6</v>
      </c>
      <c r="AB4" s="566">
        <v>750.7</v>
      </c>
      <c r="AC4" s="235">
        <v>816.1</v>
      </c>
      <c r="AD4" s="566">
        <v>300.8</v>
      </c>
      <c r="AE4" s="566">
        <v>570.9</v>
      </c>
      <c r="AF4" s="566">
        <v>817.9</v>
      </c>
      <c r="AG4" s="235"/>
      <c r="AI4" s="233">
        <v>297.3</v>
      </c>
      <c r="AJ4" s="566">
        <v>566.20000000000005</v>
      </c>
      <c r="AK4" s="566">
        <v>802.7</v>
      </c>
      <c r="AL4" s="235"/>
      <c r="AO4" s="46"/>
    </row>
    <row r="5" spans="1:490" s="10" customFormat="1" ht="20.100000000000001" customHeight="1" thickBot="1">
      <c r="A5" s="216" t="s">
        <v>28</v>
      </c>
      <c r="B5" s="305">
        <f t="shared" ref="B5:Y5" si="0">SUM(B6:B27)</f>
        <v>27.58799999999999</v>
      </c>
      <c r="C5" s="305">
        <f t="shared" si="0"/>
        <v>110.99899999999997</v>
      </c>
      <c r="D5" s="305">
        <f t="shared" si="0"/>
        <v>152.09600000000003</v>
      </c>
      <c r="E5" s="304">
        <f t="shared" si="0"/>
        <v>244.9200000000001</v>
      </c>
      <c r="F5" s="233">
        <f t="shared" si="0"/>
        <v>70.556999999999988</v>
      </c>
      <c r="G5" s="234">
        <f t="shared" si="0"/>
        <v>176.07799999999997</v>
      </c>
      <c r="H5" s="234">
        <f t="shared" si="0"/>
        <v>195.94299999999996</v>
      </c>
      <c r="I5" s="304">
        <f t="shared" si="0"/>
        <v>334.28999999999991</v>
      </c>
      <c r="J5" s="234">
        <f t="shared" si="0"/>
        <v>86.532000000000011</v>
      </c>
      <c r="K5" s="234">
        <f t="shared" si="0"/>
        <v>505.40000000000015</v>
      </c>
      <c r="L5" s="234">
        <f t="shared" si="0"/>
        <v>1145.4000000000003</v>
      </c>
      <c r="M5" s="245">
        <f t="shared" si="0"/>
        <v>1825.2999999999997</v>
      </c>
      <c r="N5" s="233">
        <f t="shared" si="0"/>
        <v>282.2000000000001</v>
      </c>
      <c r="O5" s="234">
        <f t="shared" si="0"/>
        <v>852.69999999999982</v>
      </c>
      <c r="P5" s="234">
        <f t="shared" si="0"/>
        <v>1195.6999999999994</v>
      </c>
      <c r="Q5" s="235">
        <f t="shared" si="0"/>
        <v>1821.6999999999998</v>
      </c>
      <c r="R5" s="233">
        <f t="shared" si="0"/>
        <v>405.9</v>
      </c>
      <c r="S5" s="234">
        <f t="shared" si="0"/>
        <v>1140</v>
      </c>
      <c r="T5" s="234">
        <f t="shared" si="0"/>
        <v>1678.3000000000002</v>
      </c>
      <c r="U5" s="235">
        <f t="shared" si="0"/>
        <v>2130.5</v>
      </c>
      <c r="V5" s="233">
        <f t="shared" si="0"/>
        <v>509.29999999999995</v>
      </c>
      <c r="W5" s="234">
        <f t="shared" si="0"/>
        <v>1062.8</v>
      </c>
      <c r="X5" s="234">
        <f t="shared" si="0"/>
        <v>1457.6999999999998</v>
      </c>
      <c r="Y5" s="235">
        <f t="shared" si="0"/>
        <v>2181.1000000000004</v>
      </c>
      <c r="Z5" s="566">
        <f>SUM(Z6:Z27)</f>
        <v>340.90000000000009</v>
      </c>
      <c r="AA5" s="566">
        <f>SUM(AA6:AA27)</f>
        <v>873.30000000000007</v>
      </c>
      <c r="AB5" s="566">
        <v>1470.1</v>
      </c>
      <c r="AC5" s="235">
        <f>SUM(AC6:AC27)</f>
        <v>2416</v>
      </c>
      <c r="AD5" s="566">
        <f>SUM(AD6:AD27)</f>
        <v>402.4</v>
      </c>
      <c r="AE5" s="566">
        <f t="shared" ref="AE5" si="1">SUM(AE6:AE27)</f>
        <v>983.40000000000032</v>
      </c>
      <c r="AF5" s="566">
        <f t="shared" ref="AF5:AG5" si="2">SUM(AF6:AF27)</f>
        <v>1588.9000000000003</v>
      </c>
      <c r="AG5" s="235">
        <f t="shared" si="2"/>
        <v>0</v>
      </c>
      <c r="AI5" s="233">
        <f>SUM(AI6:AI27)</f>
        <v>464.9</v>
      </c>
      <c r="AJ5" s="566">
        <f t="shared" ref="AJ5" si="3">SUM(AJ6:AJ27)</f>
        <v>1143.1000000000001</v>
      </c>
      <c r="AK5" s="566">
        <f t="shared" ref="AK5:AL5" si="4">SUM(AK6:AK27)</f>
        <v>1857.2000000000003</v>
      </c>
      <c r="AL5" s="235">
        <f t="shared" si="4"/>
        <v>0</v>
      </c>
    </row>
    <row r="6" spans="1:490" s="10" customFormat="1" ht="20.100000000000001" customHeight="1">
      <c r="A6" s="217" t="s">
        <v>72</v>
      </c>
      <c r="B6" s="237">
        <v>54.433</v>
      </c>
      <c r="C6" s="237">
        <v>111.117</v>
      </c>
      <c r="D6" s="237">
        <v>171.35499999999999</v>
      </c>
      <c r="E6" s="306">
        <v>243.066</v>
      </c>
      <c r="F6" s="236">
        <v>60.698</v>
      </c>
      <c r="G6" s="237">
        <v>122.961</v>
      </c>
      <c r="H6" s="237">
        <v>187.82599999999999</v>
      </c>
      <c r="I6" s="306">
        <v>256.416</v>
      </c>
      <c r="J6" s="246">
        <v>62.434000000000005</v>
      </c>
      <c r="K6" s="246">
        <v>373.8</v>
      </c>
      <c r="L6" s="246">
        <v>852.1</v>
      </c>
      <c r="M6" s="247">
        <v>1295.9000000000001</v>
      </c>
      <c r="N6" s="236">
        <v>467.9</v>
      </c>
      <c r="O6" s="237">
        <v>861.4</v>
      </c>
      <c r="P6" s="237">
        <v>1262.5999999999999</v>
      </c>
      <c r="Q6" s="238">
        <v>1699.3</v>
      </c>
      <c r="R6" s="236">
        <v>423.7</v>
      </c>
      <c r="S6" s="237">
        <v>951.2</v>
      </c>
      <c r="T6" s="237">
        <v>1459.1</v>
      </c>
      <c r="U6" s="238">
        <v>1971.5</v>
      </c>
      <c r="V6" s="236">
        <v>472.3</v>
      </c>
      <c r="W6" s="237">
        <v>919</v>
      </c>
      <c r="X6" s="237">
        <v>1348.2</v>
      </c>
      <c r="Y6" s="238">
        <v>1783</v>
      </c>
      <c r="Z6" s="567">
        <v>454.5</v>
      </c>
      <c r="AA6" s="567">
        <v>925.3</v>
      </c>
      <c r="AB6" s="567">
        <v>1448.8</v>
      </c>
      <c r="AC6" s="238">
        <v>1970.7</v>
      </c>
      <c r="AD6" s="567">
        <v>440.1</v>
      </c>
      <c r="AE6" s="567">
        <v>884.7</v>
      </c>
      <c r="AF6" s="567">
        <v>1333.2</v>
      </c>
      <c r="AG6" s="238"/>
      <c r="AI6" s="236">
        <v>547.1</v>
      </c>
      <c r="AJ6" s="567">
        <v>1100.7</v>
      </c>
      <c r="AK6" s="567">
        <v>1662.2</v>
      </c>
      <c r="AL6" s="238"/>
    </row>
    <row r="7" spans="1:490" s="10" customFormat="1" ht="20.100000000000001" customHeight="1">
      <c r="A7" s="217" t="s">
        <v>49</v>
      </c>
      <c r="B7" s="237">
        <v>-29.711000000000002</v>
      </c>
      <c r="C7" s="237">
        <v>-88.683000000000007</v>
      </c>
      <c r="D7" s="237">
        <v>-140.589</v>
      </c>
      <c r="E7" s="306">
        <v>-177.86799999999999</v>
      </c>
      <c r="F7" s="236">
        <v>-44.32</v>
      </c>
      <c r="G7" s="237">
        <v>-122.45100000000001</v>
      </c>
      <c r="H7" s="237">
        <v>-189.477</v>
      </c>
      <c r="I7" s="306">
        <v>-222.45600000000002</v>
      </c>
      <c r="J7" s="246">
        <v>-109.42100000000001</v>
      </c>
      <c r="K7" s="246">
        <v>-148.9</v>
      </c>
      <c r="L7" s="246">
        <v>-224.7</v>
      </c>
      <c r="M7" s="247">
        <v>-306.8</v>
      </c>
      <c r="N7" s="236">
        <v>-41.5</v>
      </c>
      <c r="O7" s="237">
        <v>-115.2</v>
      </c>
      <c r="P7" s="237">
        <v>-195.4</v>
      </c>
      <c r="Q7" s="238">
        <v>-238.1</v>
      </c>
      <c r="R7" s="236">
        <v>-58.1</v>
      </c>
      <c r="S7" s="237">
        <v>-119</v>
      </c>
      <c r="T7" s="237">
        <v>-189.6</v>
      </c>
      <c r="U7" s="238">
        <v>-246.5</v>
      </c>
      <c r="V7" s="236">
        <v>-33.299999999999997</v>
      </c>
      <c r="W7" s="237">
        <v>-94.2</v>
      </c>
      <c r="X7" s="237">
        <v>-246.2</v>
      </c>
      <c r="Y7" s="238">
        <v>-305.10000000000002</v>
      </c>
      <c r="Z7" s="567">
        <v>-62.4</v>
      </c>
      <c r="AA7" s="567">
        <v>-124.7</v>
      </c>
      <c r="AB7" s="567">
        <v>-411.2</v>
      </c>
      <c r="AC7" s="238">
        <v>-363.5</v>
      </c>
      <c r="AD7" s="567">
        <v>-156.30000000000001</v>
      </c>
      <c r="AE7" s="567">
        <v>-343.1</v>
      </c>
      <c r="AF7" s="567">
        <v>-534</v>
      </c>
      <c r="AG7" s="238"/>
      <c r="AI7" s="236">
        <v>-156.30000000000001</v>
      </c>
      <c r="AJ7" s="567">
        <v>-343.1</v>
      </c>
      <c r="AK7" s="567">
        <v>-534</v>
      </c>
      <c r="AL7" s="238"/>
    </row>
    <row r="8" spans="1:490" s="10" customFormat="1" ht="20.100000000000001" customHeight="1">
      <c r="A8" s="217" t="s">
        <v>50</v>
      </c>
      <c r="B8" s="237">
        <v>46.908999999999999</v>
      </c>
      <c r="C8" s="237">
        <v>99.832000000000008</v>
      </c>
      <c r="D8" s="237">
        <v>145.40600000000001</v>
      </c>
      <c r="E8" s="306">
        <v>194.52100000000002</v>
      </c>
      <c r="F8" s="236">
        <v>46.048999999999999</v>
      </c>
      <c r="G8" s="237">
        <v>102.423</v>
      </c>
      <c r="H8" s="237">
        <v>162.63200000000001</v>
      </c>
      <c r="I8" s="306">
        <v>220.37100000000001</v>
      </c>
      <c r="J8" s="246">
        <v>40.084000000000003</v>
      </c>
      <c r="K8" s="246">
        <v>85.1</v>
      </c>
      <c r="L8" s="246">
        <v>162.19999999999999</v>
      </c>
      <c r="M8" s="247">
        <v>224.4</v>
      </c>
      <c r="N8" s="236">
        <v>43.7</v>
      </c>
      <c r="O8" s="237">
        <v>90.5</v>
      </c>
      <c r="P8" s="237">
        <v>149.9</v>
      </c>
      <c r="Q8" s="238">
        <v>212.6</v>
      </c>
      <c r="R8" s="236">
        <v>49.1</v>
      </c>
      <c r="S8" s="237">
        <v>125.3</v>
      </c>
      <c r="T8" s="237">
        <v>173.5</v>
      </c>
      <c r="U8" s="238">
        <v>230.7</v>
      </c>
      <c r="V8" s="236">
        <v>48.5</v>
      </c>
      <c r="W8" s="237">
        <v>102.7</v>
      </c>
      <c r="X8" s="237">
        <v>166.1</v>
      </c>
      <c r="Y8" s="238">
        <v>228.6</v>
      </c>
      <c r="Z8" s="567">
        <v>45.7</v>
      </c>
      <c r="AA8" s="567">
        <v>103.8</v>
      </c>
      <c r="AB8" s="567">
        <v>100.5</v>
      </c>
      <c r="AC8" s="238">
        <v>337</v>
      </c>
      <c r="AD8" s="567">
        <v>123.3</v>
      </c>
      <c r="AE8" s="567">
        <v>262.39999999999998</v>
      </c>
      <c r="AF8" s="567">
        <v>411</v>
      </c>
      <c r="AG8" s="238"/>
      <c r="AI8" s="236">
        <v>123.3</v>
      </c>
      <c r="AJ8" s="567">
        <v>262.39999999999998</v>
      </c>
      <c r="AK8" s="567">
        <v>411</v>
      </c>
      <c r="AL8" s="238"/>
    </row>
    <row r="9" spans="1:490" s="10" customFormat="1" ht="20.100000000000001" customHeight="1">
      <c r="A9" s="217" t="s">
        <v>86</v>
      </c>
      <c r="B9" s="237">
        <v>-1.0999999999999999E-2</v>
      </c>
      <c r="C9" s="237">
        <v>-0.25700000000000001</v>
      </c>
      <c r="D9" s="237">
        <v>-0.48299999999999998</v>
      </c>
      <c r="E9" s="306">
        <v>-0.111</v>
      </c>
      <c r="F9" s="236">
        <v>5.8000000000000003E-2</v>
      </c>
      <c r="G9" s="237">
        <v>7.2999999999999995E-2</v>
      </c>
      <c r="H9" s="237">
        <v>-38.896000000000001</v>
      </c>
      <c r="I9" s="306">
        <v>-35.765000000000001</v>
      </c>
      <c r="J9" s="246">
        <v>-5.2999999999999999E-2</v>
      </c>
      <c r="K9" s="246">
        <v>-0.7</v>
      </c>
      <c r="L9" s="246">
        <v>-2.4</v>
      </c>
      <c r="M9" s="247">
        <v>-2.9</v>
      </c>
      <c r="N9" s="236">
        <v>-0.4</v>
      </c>
      <c r="O9" s="237">
        <v>-4.8</v>
      </c>
      <c r="P9" s="237">
        <v>-5.7</v>
      </c>
      <c r="Q9" s="238">
        <v>-6.9</v>
      </c>
      <c r="R9" s="314" t="s">
        <v>62</v>
      </c>
      <c r="S9" s="315" t="s">
        <v>62</v>
      </c>
      <c r="T9" s="315" t="s">
        <v>62</v>
      </c>
      <c r="U9" s="380" t="s">
        <v>62</v>
      </c>
      <c r="V9" s="314" t="s">
        <v>62</v>
      </c>
      <c r="W9" s="315" t="s">
        <v>62</v>
      </c>
      <c r="X9" s="315" t="s">
        <v>62</v>
      </c>
      <c r="Y9" s="380" t="s">
        <v>62</v>
      </c>
      <c r="Z9" s="570" t="s">
        <v>62</v>
      </c>
      <c r="AA9" s="570" t="s">
        <v>62</v>
      </c>
      <c r="AB9" s="570" t="s">
        <v>62</v>
      </c>
      <c r="AC9" s="380" t="s">
        <v>62</v>
      </c>
      <c r="AD9" s="570" t="s">
        <v>62</v>
      </c>
      <c r="AE9" s="570" t="s">
        <v>62</v>
      </c>
      <c r="AF9" s="570" t="s">
        <v>62</v>
      </c>
      <c r="AG9" s="380"/>
      <c r="AI9" s="314" t="s">
        <v>62</v>
      </c>
      <c r="AJ9" s="570" t="s">
        <v>62</v>
      </c>
      <c r="AK9" s="570" t="s">
        <v>62</v>
      </c>
      <c r="AL9" s="380"/>
    </row>
    <row r="10" spans="1:490" s="10" customFormat="1" ht="20.100000000000001" customHeight="1">
      <c r="A10" s="217" t="s">
        <v>51</v>
      </c>
      <c r="B10" s="237">
        <v>2.3109999999999999</v>
      </c>
      <c r="C10" s="237">
        <v>4.6020000000000003</v>
      </c>
      <c r="D10" s="237">
        <v>6.1379999999999999</v>
      </c>
      <c r="E10" s="306">
        <v>9.2439999999999998</v>
      </c>
      <c r="F10" s="236">
        <v>3.504</v>
      </c>
      <c r="G10" s="237">
        <v>5.843</v>
      </c>
      <c r="H10" s="237">
        <v>6.3049999999999997</v>
      </c>
      <c r="I10" s="306">
        <v>6.407</v>
      </c>
      <c r="J10" s="246">
        <v>4.1000000000000002E-2</v>
      </c>
      <c r="K10" s="246">
        <v>0.1</v>
      </c>
      <c r="L10" s="246">
        <v>30.4</v>
      </c>
      <c r="M10" s="247">
        <v>30.5</v>
      </c>
      <c r="N10" s="236">
        <v>0.1</v>
      </c>
      <c r="O10" s="237">
        <v>0.5</v>
      </c>
      <c r="P10" s="237">
        <v>0.5</v>
      </c>
      <c r="Q10" s="238">
        <v>1.4</v>
      </c>
      <c r="R10" s="314" t="s">
        <v>62</v>
      </c>
      <c r="S10" s="315" t="s">
        <v>62</v>
      </c>
      <c r="T10" s="315" t="s">
        <v>62</v>
      </c>
      <c r="U10" s="380" t="s">
        <v>62</v>
      </c>
      <c r="V10" s="314" t="s">
        <v>62</v>
      </c>
      <c r="W10" s="315" t="s">
        <v>62</v>
      </c>
      <c r="X10" s="315" t="s">
        <v>62</v>
      </c>
      <c r="Y10" s="380" t="s">
        <v>62</v>
      </c>
      <c r="Z10" s="570" t="s">
        <v>62</v>
      </c>
      <c r="AA10" s="570" t="s">
        <v>62</v>
      </c>
      <c r="AB10" s="570" t="s">
        <v>62</v>
      </c>
      <c r="AC10" s="380" t="s">
        <v>62</v>
      </c>
      <c r="AD10" s="570" t="s">
        <v>62</v>
      </c>
      <c r="AE10" s="570" t="s">
        <v>62</v>
      </c>
      <c r="AF10" s="570" t="s">
        <v>62</v>
      </c>
      <c r="AG10" s="380"/>
      <c r="AI10" s="314" t="s">
        <v>62</v>
      </c>
      <c r="AJ10" s="570" t="s">
        <v>62</v>
      </c>
      <c r="AK10" s="570" t="s">
        <v>62</v>
      </c>
      <c r="AL10" s="380"/>
    </row>
    <row r="11" spans="1:490" s="10" customFormat="1" ht="20.100000000000001" customHeight="1">
      <c r="A11" s="217" t="s">
        <v>29</v>
      </c>
      <c r="B11" s="237">
        <v>52.017000000000003</v>
      </c>
      <c r="C11" s="237">
        <v>105.822</v>
      </c>
      <c r="D11" s="237">
        <v>156.893</v>
      </c>
      <c r="E11" s="306">
        <v>205.185</v>
      </c>
      <c r="F11" s="236">
        <v>46.368000000000002</v>
      </c>
      <c r="G11" s="237">
        <v>93.388999999999996</v>
      </c>
      <c r="H11" s="237">
        <v>140.42699999999999</v>
      </c>
      <c r="I11" s="306">
        <v>183.81100000000001</v>
      </c>
      <c r="J11" s="246">
        <v>90.381</v>
      </c>
      <c r="K11" s="246">
        <v>248.5</v>
      </c>
      <c r="L11" s="246">
        <v>421.4</v>
      </c>
      <c r="M11" s="247">
        <v>603.70000000000005</v>
      </c>
      <c r="N11" s="236">
        <v>177.4</v>
      </c>
      <c r="O11" s="237">
        <v>348.5</v>
      </c>
      <c r="P11" s="237">
        <v>581.29999999999995</v>
      </c>
      <c r="Q11" s="238">
        <v>763.6</v>
      </c>
      <c r="R11" s="236">
        <v>144.69999999999999</v>
      </c>
      <c r="S11" s="237">
        <v>285.89999999999998</v>
      </c>
      <c r="T11" s="237">
        <v>417.4</v>
      </c>
      <c r="U11" s="238">
        <v>541.9</v>
      </c>
      <c r="V11" s="236">
        <v>114.5</v>
      </c>
      <c r="W11" s="237">
        <v>228.7</v>
      </c>
      <c r="X11" s="237">
        <v>331.1</v>
      </c>
      <c r="Y11" s="238">
        <v>432.3</v>
      </c>
      <c r="Z11" s="567">
        <v>68.5</v>
      </c>
      <c r="AA11" s="567">
        <v>166.7</v>
      </c>
      <c r="AB11" s="567">
        <v>269</v>
      </c>
      <c r="AC11" s="238">
        <v>401.6</v>
      </c>
      <c r="AD11" s="567">
        <v>94.5</v>
      </c>
      <c r="AE11" s="567">
        <v>189.2</v>
      </c>
      <c r="AF11" s="567">
        <v>291</v>
      </c>
      <c r="AG11" s="238"/>
      <c r="AI11" s="236">
        <v>107.2</v>
      </c>
      <c r="AJ11" s="567">
        <v>214.3</v>
      </c>
      <c r="AK11" s="567">
        <v>327.5</v>
      </c>
      <c r="AL11" s="238"/>
    </row>
    <row r="12" spans="1:490" s="10" customFormat="1" ht="20.100000000000001" customHeight="1">
      <c r="A12" s="217" t="s">
        <v>30</v>
      </c>
      <c r="B12" s="237">
        <v>-7.2490000000000006</v>
      </c>
      <c r="C12" s="237">
        <v>-7.3810000000000002</v>
      </c>
      <c r="D12" s="237">
        <v>1.093</v>
      </c>
      <c r="E12" s="306">
        <v>16.173000000000002</v>
      </c>
      <c r="F12" s="236">
        <v>11.273</v>
      </c>
      <c r="G12" s="237">
        <v>4.4740000000000002</v>
      </c>
      <c r="H12" s="237">
        <v>5.9119999999999999</v>
      </c>
      <c r="I12" s="306">
        <v>14.839</v>
      </c>
      <c r="J12" s="246">
        <v>-16.302</v>
      </c>
      <c r="K12" s="246">
        <v>-41.8</v>
      </c>
      <c r="L12" s="246">
        <v>-14.7</v>
      </c>
      <c r="M12" s="247">
        <v>0.5</v>
      </c>
      <c r="N12" s="236">
        <v>48.6</v>
      </c>
      <c r="O12" s="237">
        <v>45.6</v>
      </c>
      <c r="P12" s="237">
        <v>43.3</v>
      </c>
      <c r="Q12" s="238">
        <v>26.4</v>
      </c>
      <c r="R12" s="236">
        <v>21.5</v>
      </c>
      <c r="S12" s="237">
        <v>11.7</v>
      </c>
      <c r="T12" s="237">
        <v>0.7</v>
      </c>
      <c r="U12" s="238">
        <v>3</v>
      </c>
      <c r="V12" s="236">
        <v>41.5</v>
      </c>
      <c r="W12" s="237">
        <v>-0.3</v>
      </c>
      <c r="X12" s="237">
        <v>-16.899999999999999</v>
      </c>
      <c r="Y12" s="238">
        <v>-5</v>
      </c>
      <c r="Z12" s="567">
        <v>7.7</v>
      </c>
      <c r="AA12" s="567">
        <v>-45.1</v>
      </c>
      <c r="AB12" s="567">
        <v>-70.8</v>
      </c>
      <c r="AC12" s="238">
        <v>-77.2</v>
      </c>
      <c r="AD12" s="567">
        <v>60.3</v>
      </c>
      <c r="AE12" s="567">
        <v>51.4</v>
      </c>
      <c r="AF12" s="567">
        <v>36.299999999999997</v>
      </c>
      <c r="AG12" s="238"/>
      <c r="AI12" s="236">
        <v>60.3</v>
      </c>
      <c r="AJ12" s="567">
        <v>51.4</v>
      </c>
      <c r="AK12" s="567">
        <v>36.299999999999997</v>
      </c>
      <c r="AL12" s="238"/>
    </row>
    <row r="13" spans="1:490" s="10" customFormat="1" ht="20.100000000000001" customHeight="1">
      <c r="A13" s="217" t="s">
        <v>31</v>
      </c>
      <c r="B13" s="237">
        <v>-48.496000000000002</v>
      </c>
      <c r="C13" s="237">
        <v>-85.073000000000008</v>
      </c>
      <c r="D13" s="237">
        <v>-90.59</v>
      </c>
      <c r="E13" s="306">
        <v>-106.816</v>
      </c>
      <c r="F13" s="236">
        <v>-18.654</v>
      </c>
      <c r="G13" s="237">
        <v>-16.358000000000001</v>
      </c>
      <c r="H13" s="237">
        <v>16.681000000000001</v>
      </c>
      <c r="I13" s="306">
        <v>60.908000000000001</v>
      </c>
      <c r="J13" s="246">
        <v>-5.1610000000000005</v>
      </c>
      <c r="K13" s="246">
        <v>-29.2</v>
      </c>
      <c r="L13" s="246">
        <v>-87.6</v>
      </c>
      <c r="M13" s="247">
        <v>-191.9</v>
      </c>
      <c r="N13" s="236">
        <v>-211.8</v>
      </c>
      <c r="O13" s="237">
        <v>-581.20000000000005</v>
      </c>
      <c r="P13" s="237">
        <v>-349.3</v>
      </c>
      <c r="Q13" s="238">
        <v>-478.2</v>
      </c>
      <c r="R13" s="236">
        <v>-33.9</v>
      </c>
      <c r="S13" s="237">
        <v>-105.3</v>
      </c>
      <c r="T13" s="237">
        <v>-164.6</v>
      </c>
      <c r="U13" s="238">
        <v>-329.9</v>
      </c>
      <c r="V13" s="236">
        <v>21.5</v>
      </c>
      <c r="W13" s="237">
        <v>-112.7</v>
      </c>
      <c r="X13" s="237">
        <v>-224.5</v>
      </c>
      <c r="Y13" s="238">
        <v>-470.8</v>
      </c>
      <c r="Z13" s="567">
        <v>38.1</v>
      </c>
      <c r="AA13" s="567">
        <v>-516.5</v>
      </c>
      <c r="AB13" s="567">
        <v>-266.89999999999998</v>
      </c>
      <c r="AC13" s="238">
        <v>-289.10000000000002</v>
      </c>
      <c r="AD13" s="567">
        <v>155.9</v>
      </c>
      <c r="AE13" s="567">
        <v>8.1</v>
      </c>
      <c r="AF13" s="567">
        <v>-51.3</v>
      </c>
      <c r="AG13" s="238"/>
      <c r="AI13" s="236">
        <v>158.4</v>
      </c>
      <c r="AJ13" s="567">
        <v>12.4</v>
      </c>
      <c r="AK13" s="567">
        <v>-48.3</v>
      </c>
      <c r="AL13" s="238"/>
    </row>
    <row r="14" spans="1:490" s="10" customFormat="1" ht="20.100000000000001" customHeight="1">
      <c r="A14" s="660" t="s">
        <v>269</v>
      </c>
      <c r="B14" s="237">
        <v>53.564</v>
      </c>
      <c r="C14" s="237">
        <v>51.881</v>
      </c>
      <c r="D14" s="237">
        <v>66.406999999999996</v>
      </c>
      <c r="E14" s="306">
        <v>67.872</v>
      </c>
      <c r="F14" s="236">
        <v>-36.840000000000003</v>
      </c>
      <c r="G14" s="237">
        <v>-56.231999999999999</v>
      </c>
      <c r="H14" s="237">
        <v>-85.896000000000001</v>
      </c>
      <c r="I14" s="306">
        <v>-104.93900000000001</v>
      </c>
      <c r="J14" s="246">
        <v>31.469000000000001</v>
      </c>
      <c r="K14" s="246">
        <v>-73.8</v>
      </c>
      <c r="L14" s="246">
        <v>-175.9</v>
      </c>
      <c r="M14" s="247">
        <v>-277.7</v>
      </c>
      <c r="N14" s="236">
        <v>-216.1</v>
      </c>
      <c r="O14" s="237">
        <v>69.3</v>
      </c>
      <c r="P14" s="237">
        <v>-184.3</v>
      </c>
      <c r="Q14" s="238">
        <v>-118</v>
      </c>
      <c r="R14" s="236">
        <v>-205.9</v>
      </c>
      <c r="S14" s="237">
        <v>-106.7</v>
      </c>
      <c r="T14" s="237">
        <v>-141.30000000000001</v>
      </c>
      <c r="U14" s="238">
        <v>-33.299999999999997</v>
      </c>
      <c r="V14" s="236">
        <v>-181.5</v>
      </c>
      <c r="W14" s="237">
        <v>-112.9</v>
      </c>
      <c r="X14" s="237">
        <v>-90.1</v>
      </c>
      <c r="Y14" s="238">
        <v>183.1</v>
      </c>
      <c r="Z14" s="567">
        <v>-259.2</v>
      </c>
      <c r="AA14" s="567">
        <v>125.8</v>
      </c>
      <c r="AB14" s="567">
        <v>88</v>
      </c>
      <c r="AC14" s="238">
        <v>-44.2</v>
      </c>
      <c r="AD14" s="567">
        <v>-379.7</v>
      </c>
      <c r="AE14" s="567">
        <v>-183.1</v>
      </c>
      <c r="AF14" s="567">
        <v>-163.69999999999999</v>
      </c>
      <c r="AG14" s="238"/>
      <c r="AI14" s="236">
        <v>-439.5</v>
      </c>
      <c r="AJ14" s="567">
        <v>-264.7</v>
      </c>
      <c r="AK14" s="567">
        <v>-266.8</v>
      </c>
      <c r="AL14" s="238"/>
    </row>
    <row r="15" spans="1:490" s="10" customFormat="1" ht="20.100000000000001" customHeight="1">
      <c r="A15" s="217" t="s">
        <v>229</v>
      </c>
      <c r="B15" s="237"/>
      <c r="C15" s="237"/>
      <c r="D15" s="237"/>
      <c r="E15" s="306"/>
      <c r="F15" s="236"/>
      <c r="G15" s="237"/>
      <c r="H15" s="237"/>
      <c r="I15" s="306"/>
      <c r="J15" s="246"/>
      <c r="K15" s="246"/>
      <c r="L15" s="246"/>
      <c r="M15" s="247"/>
      <c r="N15" s="236"/>
      <c r="O15" s="237"/>
      <c r="P15" s="237"/>
      <c r="Q15" s="238"/>
      <c r="R15" s="236"/>
      <c r="S15" s="237"/>
      <c r="T15" s="237"/>
      <c r="U15" s="238"/>
      <c r="V15" s="236"/>
      <c r="W15" s="237"/>
      <c r="X15" s="237"/>
      <c r="Y15" s="238"/>
      <c r="Z15" s="567">
        <v>29.6</v>
      </c>
      <c r="AA15" s="567">
        <v>48.1</v>
      </c>
      <c r="AB15" s="567">
        <v>55.2</v>
      </c>
      <c r="AC15" s="238">
        <v>47.8</v>
      </c>
      <c r="AD15" s="567">
        <v>-9.1999999999999993</v>
      </c>
      <c r="AE15" s="567">
        <v>-3.3</v>
      </c>
      <c r="AF15" s="567">
        <v>9.1999999999999993</v>
      </c>
      <c r="AG15" s="238"/>
      <c r="AI15" s="236">
        <v>-9.1999999999999993</v>
      </c>
      <c r="AJ15" s="567">
        <v>-3.3</v>
      </c>
      <c r="AK15" s="567">
        <v>9.1999999999999993</v>
      </c>
      <c r="AL15" s="238"/>
    </row>
    <row r="16" spans="1:490" s="10" customFormat="1" ht="20.100000000000001" customHeight="1">
      <c r="A16" s="217" t="s">
        <v>230</v>
      </c>
      <c r="B16" s="237"/>
      <c r="C16" s="237"/>
      <c r="D16" s="237"/>
      <c r="E16" s="306"/>
      <c r="F16" s="236"/>
      <c r="G16" s="237"/>
      <c r="H16" s="237"/>
      <c r="I16" s="306"/>
      <c r="J16" s="246"/>
      <c r="K16" s="246"/>
      <c r="L16" s="246"/>
      <c r="M16" s="247"/>
      <c r="N16" s="236"/>
      <c r="O16" s="237"/>
      <c r="P16" s="237"/>
      <c r="Q16" s="238"/>
      <c r="R16" s="236"/>
      <c r="S16" s="237"/>
      <c r="T16" s="237"/>
      <c r="U16" s="238"/>
      <c r="V16" s="236"/>
      <c r="W16" s="237"/>
      <c r="X16" s="237"/>
      <c r="Y16" s="238"/>
      <c r="Z16" s="567">
        <v>-9.6</v>
      </c>
      <c r="AA16" s="567">
        <v>39.5</v>
      </c>
      <c r="AB16" s="567">
        <v>43.2</v>
      </c>
      <c r="AC16" s="238">
        <v>107.6</v>
      </c>
      <c r="AD16" s="567">
        <v>17.399999999999999</v>
      </c>
      <c r="AE16" s="567">
        <v>7</v>
      </c>
      <c r="AF16" s="567">
        <v>24.4</v>
      </c>
      <c r="AG16" s="238"/>
      <c r="AI16" s="236">
        <v>17.399999999999999</v>
      </c>
      <c r="AJ16" s="567">
        <v>7</v>
      </c>
      <c r="AK16" s="567">
        <v>24.4</v>
      </c>
      <c r="AL16" s="238"/>
    </row>
    <row r="17" spans="1:38" s="10" customFormat="1" ht="20.100000000000001" customHeight="1">
      <c r="A17" s="217" t="s">
        <v>52</v>
      </c>
      <c r="B17" s="237">
        <v>-0.186</v>
      </c>
      <c r="C17" s="237">
        <v>4.0730000000000004</v>
      </c>
      <c r="D17" s="237">
        <v>0.502</v>
      </c>
      <c r="E17" s="306">
        <v>2.093</v>
      </c>
      <c r="F17" s="236">
        <v>-1.048</v>
      </c>
      <c r="G17" s="237">
        <v>2.4170000000000003</v>
      </c>
      <c r="H17" s="237">
        <v>-3.5390000000000001</v>
      </c>
      <c r="I17" s="306">
        <v>6.4770000000000003</v>
      </c>
      <c r="J17" s="246">
        <v>-13.309000000000001</v>
      </c>
      <c r="K17" s="246">
        <v>-1.5</v>
      </c>
      <c r="L17" s="246">
        <v>-17.399999999999999</v>
      </c>
      <c r="M17" s="247">
        <v>-4.9000000000000004</v>
      </c>
      <c r="N17" s="236">
        <v>-11.7</v>
      </c>
      <c r="O17" s="237">
        <v>-7.6</v>
      </c>
      <c r="P17" s="237">
        <v>-17.7</v>
      </c>
      <c r="Q17" s="238">
        <v>-3.9</v>
      </c>
      <c r="R17" s="236">
        <v>-11.1</v>
      </c>
      <c r="S17" s="237">
        <v>1</v>
      </c>
      <c r="T17" s="237">
        <v>-5.6</v>
      </c>
      <c r="U17" s="238">
        <v>-6.1</v>
      </c>
      <c r="V17" s="314" t="s">
        <v>62</v>
      </c>
      <c r="W17" s="237">
        <v>9.4</v>
      </c>
      <c r="X17" s="237">
        <v>1.4</v>
      </c>
      <c r="Y17" s="238">
        <v>3.9</v>
      </c>
      <c r="Z17" s="570" t="s">
        <v>62</v>
      </c>
      <c r="AA17" s="570" t="s">
        <v>62</v>
      </c>
      <c r="AB17" s="570" t="s">
        <v>62</v>
      </c>
      <c r="AC17" s="380" t="s">
        <v>62</v>
      </c>
      <c r="AD17" s="570" t="s">
        <v>62</v>
      </c>
      <c r="AE17" s="570" t="s">
        <v>62</v>
      </c>
      <c r="AF17" s="570" t="s">
        <v>62</v>
      </c>
      <c r="AG17" s="380"/>
      <c r="AI17" s="314" t="s">
        <v>62</v>
      </c>
      <c r="AJ17" s="570" t="s">
        <v>62</v>
      </c>
      <c r="AK17" s="570" t="s">
        <v>62</v>
      </c>
      <c r="AL17" s="380"/>
    </row>
    <row r="18" spans="1:38" s="10" customFormat="1" ht="20.100000000000001" customHeight="1">
      <c r="A18" s="217" t="s">
        <v>53</v>
      </c>
      <c r="B18" s="237">
        <v>-9.7880000000000003</v>
      </c>
      <c r="C18" s="237">
        <v>-10.354000000000001</v>
      </c>
      <c r="D18" s="237">
        <v>-21.978000000000002</v>
      </c>
      <c r="E18" s="306">
        <v>-31.345000000000002</v>
      </c>
      <c r="F18" s="236">
        <v>3.66</v>
      </c>
      <c r="G18" s="237">
        <v>9.0690000000000008</v>
      </c>
      <c r="H18" s="237">
        <v>11.329000000000001</v>
      </c>
      <c r="I18" s="306">
        <v>14.404</v>
      </c>
      <c r="J18" s="246">
        <v>11.066000000000001</v>
      </c>
      <c r="K18" s="246">
        <v>11.1</v>
      </c>
      <c r="L18" s="246">
        <v>-0.2</v>
      </c>
      <c r="M18" s="247">
        <v>-3.9</v>
      </c>
      <c r="N18" s="236">
        <v>-0.6</v>
      </c>
      <c r="O18" s="237">
        <v>5.3</v>
      </c>
      <c r="P18" s="237">
        <v>4.8</v>
      </c>
      <c r="Q18" s="238">
        <v>6.6</v>
      </c>
      <c r="R18" s="236">
        <v>2.5</v>
      </c>
      <c r="S18" s="237">
        <v>4.7</v>
      </c>
      <c r="T18" s="237">
        <v>7.3</v>
      </c>
      <c r="U18" s="238">
        <v>9.8000000000000007</v>
      </c>
      <c r="V18" s="314" t="s">
        <v>62</v>
      </c>
      <c r="W18" s="315" t="s">
        <v>62</v>
      </c>
      <c r="X18" s="315" t="s">
        <v>62</v>
      </c>
      <c r="Y18" s="380" t="s">
        <v>62</v>
      </c>
      <c r="Z18" s="570" t="s">
        <v>62</v>
      </c>
      <c r="AA18" s="570" t="s">
        <v>62</v>
      </c>
      <c r="AB18" s="570" t="s">
        <v>62</v>
      </c>
      <c r="AC18" s="380" t="s">
        <v>62</v>
      </c>
      <c r="AD18" s="570" t="s">
        <v>62</v>
      </c>
      <c r="AE18" s="570" t="s">
        <v>62</v>
      </c>
      <c r="AF18" s="570" t="s">
        <v>62</v>
      </c>
      <c r="AG18" s="380"/>
      <c r="AI18" s="314" t="s">
        <v>62</v>
      </c>
      <c r="AJ18" s="570" t="s">
        <v>62</v>
      </c>
      <c r="AK18" s="570" t="s">
        <v>62</v>
      </c>
      <c r="AL18" s="380"/>
    </row>
    <row r="19" spans="1:38" s="375" customFormat="1" ht="20.100000000000001" customHeight="1">
      <c r="A19" s="417" t="s">
        <v>216</v>
      </c>
      <c r="B19" s="256">
        <v>-0.73</v>
      </c>
      <c r="C19" s="256">
        <v>-1.5010000000000001</v>
      </c>
      <c r="D19" s="256">
        <v>-2.044</v>
      </c>
      <c r="E19" s="418">
        <v>-2.8970000000000002</v>
      </c>
      <c r="F19" s="419">
        <v>-0.76200000000000001</v>
      </c>
      <c r="G19" s="256">
        <v>-1.58</v>
      </c>
      <c r="H19" s="256">
        <v>-2.3290000000000002</v>
      </c>
      <c r="I19" s="418">
        <v>-2.9239999999999999</v>
      </c>
      <c r="J19" s="420">
        <v>-0.63300000000000001</v>
      </c>
      <c r="K19" s="420">
        <v>-1.3</v>
      </c>
      <c r="L19" s="420">
        <v>-2</v>
      </c>
      <c r="M19" s="247">
        <v>-2.6</v>
      </c>
      <c r="N19" s="419">
        <v>-0.5</v>
      </c>
      <c r="O19" s="256">
        <v>-1.4</v>
      </c>
      <c r="P19" s="256">
        <v>-1.9</v>
      </c>
      <c r="Q19" s="238">
        <v>-2.6</v>
      </c>
      <c r="R19" s="419">
        <v>-0.8</v>
      </c>
      <c r="S19" s="256">
        <v>0</v>
      </c>
      <c r="T19" s="256">
        <v>0</v>
      </c>
      <c r="U19" s="238">
        <v>0</v>
      </c>
      <c r="V19" s="424" t="s">
        <v>62</v>
      </c>
      <c r="W19" s="425" t="s">
        <v>62</v>
      </c>
      <c r="X19" s="425" t="s">
        <v>62</v>
      </c>
      <c r="Y19" s="380" t="s">
        <v>62</v>
      </c>
      <c r="Z19" s="570" t="s">
        <v>62</v>
      </c>
      <c r="AA19" s="572" t="s">
        <v>62</v>
      </c>
      <c r="AB19" s="572" t="s">
        <v>62</v>
      </c>
      <c r="AC19" s="380" t="s">
        <v>62</v>
      </c>
      <c r="AD19" s="570" t="s">
        <v>62</v>
      </c>
      <c r="AE19" s="572" t="s">
        <v>62</v>
      </c>
      <c r="AF19" s="572" t="s">
        <v>62</v>
      </c>
      <c r="AG19" s="380"/>
      <c r="AI19" s="424" t="s">
        <v>62</v>
      </c>
      <c r="AJ19" s="572" t="s">
        <v>62</v>
      </c>
      <c r="AK19" s="572" t="s">
        <v>62</v>
      </c>
      <c r="AL19" s="380"/>
    </row>
    <row r="20" spans="1:38" s="375" customFormat="1" ht="20.100000000000001" customHeight="1">
      <c r="A20" s="661" t="s">
        <v>270</v>
      </c>
      <c r="B20" s="256">
        <v>-0.73</v>
      </c>
      <c r="C20" s="256"/>
      <c r="D20" s="256"/>
      <c r="E20" s="418"/>
      <c r="F20" s="419"/>
      <c r="G20" s="256"/>
      <c r="H20" s="256"/>
      <c r="I20" s="418"/>
      <c r="J20" s="420"/>
      <c r="K20" s="420"/>
      <c r="L20" s="420"/>
      <c r="M20" s="247"/>
      <c r="N20" s="419"/>
      <c r="O20" s="256"/>
      <c r="P20" s="256"/>
      <c r="Q20" s="238"/>
      <c r="R20" s="419"/>
      <c r="S20" s="256"/>
      <c r="T20" s="256"/>
      <c r="U20" s="238">
        <v>0</v>
      </c>
      <c r="V20" s="424"/>
      <c r="W20" s="425"/>
      <c r="X20" s="425"/>
      <c r="Y20" s="238">
        <v>-2.8</v>
      </c>
      <c r="Z20" s="567">
        <v>-5.2</v>
      </c>
      <c r="AA20" s="567">
        <v>-5.0999999999999996</v>
      </c>
      <c r="AB20" s="567">
        <v>-1.6</v>
      </c>
      <c r="AC20" s="238">
        <v>1.2</v>
      </c>
      <c r="AD20" s="567">
        <v>1.7</v>
      </c>
      <c r="AE20" s="567">
        <v>3.6</v>
      </c>
      <c r="AF20" s="567">
        <v>4.9000000000000004</v>
      </c>
      <c r="AG20" s="238"/>
      <c r="AI20" s="236">
        <v>1.7</v>
      </c>
      <c r="AJ20" s="567">
        <v>3.6</v>
      </c>
      <c r="AK20" s="567">
        <v>4.9000000000000004</v>
      </c>
      <c r="AL20" s="238"/>
    </row>
    <row r="21" spans="1:38" s="10" customFormat="1" ht="20.100000000000001" customHeight="1">
      <c r="A21" s="217" t="s">
        <v>60</v>
      </c>
      <c r="B21" s="237">
        <v>-87.786000000000001</v>
      </c>
      <c r="C21" s="237">
        <v>-51.798000000000002</v>
      </c>
      <c r="D21" s="237">
        <v>-102.06700000000001</v>
      </c>
      <c r="E21" s="306">
        <v>-111.07600000000001</v>
      </c>
      <c r="F21" s="236">
        <v>25.975999999999999</v>
      </c>
      <c r="G21" s="237">
        <v>77.412999999999997</v>
      </c>
      <c r="H21" s="237">
        <v>39.252000000000002</v>
      </c>
      <c r="I21" s="306">
        <v>16.294</v>
      </c>
      <c r="J21" s="246">
        <v>10.337</v>
      </c>
      <c r="K21" s="246">
        <v>8.8000000000000007</v>
      </c>
      <c r="L21" s="246">
        <v>164.9</v>
      </c>
      <c r="M21" s="247">
        <v>369.9</v>
      </c>
      <c r="N21" s="236">
        <v>37.1</v>
      </c>
      <c r="O21" s="237">
        <v>99.2</v>
      </c>
      <c r="P21" s="237">
        <v>135.80000000000001</v>
      </c>
      <c r="Q21" s="238">
        <v>222</v>
      </c>
      <c r="R21" s="236">
        <v>250.2</v>
      </c>
      <c r="S21" s="237">
        <v>276.10000000000002</v>
      </c>
      <c r="T21" s="237">
        <v>258.3</v>
      </c>
      <c r="U21" s="238">
        <v>270.89999999999998</v>
      </c>
      <c r="V21" s="236">
        <v>-28.4</v>
      </c>
      <c r="W21" s="237">
        <v>-27.4</v>
      </c>
      <c r="X21" s="237">
        <v>-15.1</v>
      </c>
      <c r="Y21" s="238">
        <v>-31.1</v>
      </c>
      <c r="Z21" s="567">
        <v>4.5999999999999996</v>
      </c>
      <c r="AA21" s="567">
        <v>24.1</v>
      </c>
      <c r="AB21" s="567">
        <v>11.1</v>
      </c>
      <c r="AC21" s="238">
        <v>15.8</v>
      </c>
      <c r="AD21" s="567">
        <v>1.1000000000000001</v>
      </c>
      <c r="AE21" s="567">
        <v>-3.3</v>
      </c>
      <c r="AF21" s="567">
        <v>5.7</v>
      </c>
      <c r="AG21" s="238"/>
      <c r="AI21" s="236">
        <v>1.9</v>
      </c>
      <c r="AJ21" s="567">
        <v>-6.3</v>
      </c>
      <c r="AK21" s="567">
        <v>12.2</v>
      </c>
      <c r="AL21" s="238"/>
    </row>
    <row r="22" spans="1:38" s="10" customFormat="1" ht="20.100000000000001" customHeight="1">
      <c r="A22" s="217" t="s">
        <v>32</v>
      </c>
      <c r="B22" s="237">
        <v>41.158999999999999</v>
      </c>
      <c r="C22" s="237">
        <v>54.56</v>
      </c>
      <c r="D22" s="237">
        <v>80.768000000000001</v>
      </c>
      <c r="E22" s="306">
        <v>97.349000000000004</v>
      </c>
      <c r="F22" s="236">
        <v>14.031000000000001</v>
      </c>
      <c r="G22" s="237">
        <v>27.457000000000001</v>
      </c>
      <c r="H22" s="237">
        <v>51.835000000000001</v>
      </c>
      <c r="I22" s="306">
        <v>67.376000000000005</v>
      </c>
      <c r="J22" s="246">
        <v>14.384</v>
      </c>
      <c r="K22" s="246">
        <v>31.1</v>
      </c>
      <c r="L22" s="246">
        <v>32.200000000000003</v>
      </c>
      <c r="M22" s="247">
        <v>21.7</v>
      </c>
      <c r="N22" s="236">
        <v>26</v>
      </c>
      <c r="O22" s="237">
        <v>71.900000000000006</v>
      </c>
      <c r="P22" s="237">
        <v>182.7</v>
      </c>
      <c r="Q22" s="238">
        <v>169</v>
      </c>
      <c r="R22" s="236">
        <v>27.2</v>
      </c>
      <c r="S22" s="237">
        <v>48.4</v>
      </c>
      <c r="T22" s="237">
        <v>113.5</v>
      </c>
      <c r="U22" s="238">
        <v>12.4</v>
      </c>
      <c r="V22" s="236">
        <v>30.8</v>
      </c>
      <c r="W22" s="237">
        <v>138.4</v>
      </c>
      <c r="X22" s="237">
        <v>192.6</v>
      </c>
      <c r="Y22" s="238">
        <v>389.8</v>
      </c>
      <c r="Z22" s="567">
        <v>72.5</v>
      </c>
      <c r="AA22" s="567">
        <v>171.8</v>
      </c>
      <c r="AB22" s="567">
        <v>247.8</v>
      </c>
      <c r="AC22" s="238">
        <v>490</v>
      </c>
      <c r="AD22" s="567">
        <v>78</v>
      </c>
      <c r="AE22" s="567">
        <v>164.9</v>
      </c>
      <c r="AF22" s="567">
        <v>236.9</v>
      </c>
      <c r="AG22" s="238"/>
      <c r="AI22" s="236">
        <v>77.3</v>
      </c>
      <c r="AJ22" s="567">
        <v>163.80000000000001</v>
      </c>
      <c r="AK22" s="567">
        <v>233.3</v>
      </c>
      <c r="AL22" s="238"/>
    </row>
    <row r="23" spans="1:38" s="10" customFormat="1" ht="20.100000000000001" customHeight="1">
      <c r="A23" s="217" t="s">
        <v>265</v>
      </c>
      <c r="B23" s="237">
        <v>-38.363</v>
      </c>
      <c r="C23" s="237">
        <v>-76.626000000000005</v>
      </c>
      <c r="D23" s="237">
        <v>-120.02500000000001</v>
      </c>
      <c r="E23" s="306">
        <v>-164.00800000000001</v>
      </c>
      <c r="F23" s="236">
        <v>-40.92</v>
      </c>
      <c r="G23" s="237">
        <v>-81.858999999999995</v>
      </c>
      <c r="H23" s="237">
        <v>-116.813</v>
      </c>
      <c r="I23" s="306">
        <v>-158.85900000000001</v>
      </c>
      <c r="J23" s="246">
        <v>-30.564</v>
      </c>
      <c r="K23" s="246">
        <v>-65.3</v>
      </c>
      <c r="L23" s="246">
        <v>-142.1</v>
      </c>
      <c r="M23" s="247">
        <v>-193.1</v>
      </c>
      <c r="N23" s="236">
        <v>-43.6</v>
      </c>
      <c r="O23" s="237">
        <v>-72.2</v>
      </c>
      <c r="P23" s="237">
        <v>-96.7</v>
      </c>
      <c r="Q23" s="238">
        <v>-134.69999999999999</v>
      </c>
      <c r="R23" s="236">
        <v>-31.1</v>
      </c>
      <c r="S23" s="237">
        <v>-71.2</v>
      </c>
      <c r="T23" s="237">
        <v>-111</v>
      </c>
      <c r="U23" s="238">
        <v>-153</v>
      </c>
      <c r="V23" s="236">
        <v>-33.1</v>
      </c>
      <c r="W23" s="237">
        <v>-65.599999999999994</v>
      </c>
      <c r="X23" s="237">
        <v>-97.4</v>
      </c>
      <c r="Y23" s="238">
        <v>-137.5</v>
      </c>
      <c r="Z23" s="567">
        <v>-25.7</v>
      </c>
      <c r="AA23" s="567">
        <v>-42.9</v>
      </c>
      <c r="AB23" s="567">
        <v>-61.2</v>
      </c>
      <c r="AC23" s="238">
        <v>-83.9</v>
      </c>
      <c r="AD23" s="567">
        <v>-25.8</v>
      </c>
      <c r="AE23" s="567">
        <v>-48.8</v>
      </c>
      <c r="AF23" s="567">
        <v>-79.5</v>
      </c>
      <c r="AG23" s="238"/>
      <c r="AI23" s="236">
        <v>-25.8</v>
      </c>
      <c r="AJ23" s="567">
        <v>-48.8</v>
      </c>
      <c r="AK23" s="567">
        <v>-79.5</v>
      </c>
      <c r="AL23" s="238"/>
    </row>
    <row r="24" spans="1:38" s="10" customFormat="1" ht="30" customHeight="1">
      <c r="A24" s="427" t="s">
        <v>202</v>
      </c>
      <c r="B24" s="251">
        <v>0</v>
      </c>
      <c r="C24" s="251">
        <v>0</v>
      </c>
      <c r="D24" s="251">
        <v>0</v>
      </c>
      <c r="E24" s="252">
        <v>0</v>
      </c>
      <c r="F24" s="253">
        <v>0</v>
      </c>
      <c r="G24" s="251">
        <v>0</v>
      </c>
      <c r="H24" s="251">
        <v>0</v>
      </c>
      <c r="I24" s="252">
        <v>0</v>
      </c>
      <c r="J24" s="254">
        <v>0</v>
      </c>
      <c r="K24" s="246">
        <v>82.1</v>
      </c>
      <c r="L24" s="246">
        <v>82.1</v>
      </c>
      <c r="M24" s="247">
        <v>82.1</v>
      </c>
      <c r="N24" s="236">
        <v>0</v>
      </c>
      <c r="O24" s="237">
        <v>0</v>
      </c>
      <c r="P24" s="256">
        <v>-371.4</v>
      </c>
      <c r="Q24" s="238">
        <v>-371.4</v>
      </c>
      <c r="R24" s="236">
        <v>0</v>
      </c>
      <c r="S24" s="237">
        <v>0</v>
      </c>
      <c r="T24" s="237">
        <v>0</v>
      </c>
      <c r="U24" s="238">
        <v>0</v>
      </c>
      <c r="V24" s="236">
        <v>0</v>
      </c>
      <c r="W24" s="237">
        <v>0</v>
      </c>
      <c r="X24" s="237">
        <v>0</v>
      </c>
      <c r="Y24" s="238">
        <v>0</v>
      </c>
      <c r="Z24" s="567">
        <v>0</v>
      </c>
      <c r="AA24" s="237">
        <v>0</v>
      </c>
      <c r="AB24" s="567">
        <v>0</v>
      </c>
      <c r="AC24" s="238">
        <v>0</v>
      </c>
      <c r="AD24" s="567">
        <v>0</v>
      </c>
      <c r="AE24" s="567">
        <v>0</v>
      </c>
      <c r="AF24" s="567">
        <v>0</v>
      </c>
      <c r="AG24" s="238"/>
      <c r="AI24" s="236">
        <v>0</v>
      </c>
      <c r="AJ24" s="567">
        <v>0</v>
      </c>
      <c r="AK24" s="567">
        <v>0</v>
      </c>
      <c r="AL24" s="238"/>
    </row>
    <row r="25" spans="1:38" s="10" customFormat="1" ht="20.100000000000001" customHeight="1">
      <c r="A25" s="427" t="s">
        <v>219</v>
      </c>
      <c r="B25" s="251"/>
      <c r="C25" s="251"/>
      <c r="D25" s="251"/>
      <c r="E25" s="252"/>
      <c r="F25" s="253"/>
      <c r="G25" s="251"/>
      <c r="H25" s="251"/>
      <c r="I25" s="252"/>
      <c r="J25" s="254"/>
      <c r="K25" s="246"/>
      <c r="L25" s="246"/>
      <c r="M25" s="247"/>
      <c r="N25" s="236"/>
      <c r="O25" s="237"/>
      <c r="P25" s="256"/>
      <c r="Q25" s="238"/>
      <c r="R25" s="236"/>
      <c r="S25" s="237"/>
      <c r="T25" s="237"/>
      <c r="U25" s="238">
        <v>0</v>
      </c>
      <c r="V25" s="236">
        <v>58.7</v>
      </c>
      <c r="W25" s="237">
        <v>58.7</v>
      </c>
      <c r="X25" s="237">
        <v>58.7</v>
      </c>
      <c r="Y25" s="238">
        <v>58.7</v>
      </c>
      <c r="Z25" s="567">
        <v>0</v>
      </c>
      <c r="AA25" s="237">
        <v>0</v>
      </c>
      <c r="AB25" s="312">
        <v>0</v>
      </c>
      <c r="AC25" s="238">
        <v>0</v>
      </c>
      <c r="AD25" s="567">
        <v>0</v>
      </c>
      <c r="AE25" s="567">
        <v>0</v>
      </c>
      <c r="AF25" s="312">
        <v>0</v>
      </c>
      <c r="AG25" s="238"/>
      <c r="AI25" s="236">
        <v>0</v>
      </c>
      <c r="AJ25" s="567">
        <v>0</v>
      </c>
      <c r="AK25" s="312">
        <v>0</v>
      </c>
      <c r="AL25" s="238"/>
    </row>
    <row r="26" spans="1:38" s="10" customFormat="1" ht="20.100000000000001" customHeight="1">
      <c r="A26" s="217" t="s">
        <v>201</v>
      </c>
      <c r="B26" s="251">
        <v>0</v>
      </c>
      <c r="C26" s="251">
        <v>0</v>
      </c>
      <c r="D26" s="251">
        <v>0</v>
      </c>
      <c r="E26" s="252">
        <v>0</v>
      </c>
      <c r="F26" s="253">
        <v>0</v>
      </c>
      <c r="G26" s="251">
        <v>0</v>
      </c>
      <c r="H26" s="251">
        <v>0</v>
      </c>
      <c r="I26" s="252">
        <v>0</v>
      </c>
      <c r="J26" s="254">
        <v>0</v>
      </c>
      <c r="K26" s="246">
        <v>16.5</v>
      </c>
      <c r="L26" s="246">
        <v>55.4</v>
      </c>
      <c r="M26" s="247">
        <v>84.3</v>
      </c>
      <c r="N26" s="236">
        <v>10.6</v>
      </c>
      <c r="O26" s="237">
        <v>33.9</v>
      </c>
      <c r="P26" s="237">
        <v>37.6</v>
      </c>
      <c r="Q26" s="238">
        <v>53</v>
      </c>
      <c r="R26" s="236">
        <v>-174.6</v>
      </c>
      <c r="S26" s="237">
        <v>-160.19999999999999</v>
      </c>
      <c r="T26" s="237">
        <v>-161.9</v>
      </c>
      <c r="U26" s="238">
        <v>-164.9</v>
      </c>
      <c r="V26" s="236">
        <v>-0.1</v>
      </c>
      <c r="W26" s="237">
        <v>0.9</v>
      </c>
      <c r="X26" s="237">
        <v>-1.3</v>
      </c>
      <c r="Y26" s="238">
        <v>-1.5</v>
      </c>
      <c r="Z26" s="570" t="s">
        <v>62</v>
      </c>
      <c r="AA26" s="570" t="s">
        <v>62</v>
      </c>
      <c r="AB26" s="570" t="s">
        <v>62</v>
      </c>
      <c r="AC26" s="380" t="s">
        <v>62</v>
      </c>
      <c r="AD26" s="570" t="s">
        <v>62</v>
      </c>
      <c r="AE26" s="570" t="s">
        <v>62</v>
      </c>
      <c r="AF26" s="570" t="s">
        <v>62</v>
      </c>
      <c r="AG26" s="380"/>
      <c r="AI26" s="314" t="s">
        <v>62</v>
      </c>
      <c r="AJ26" s="570" t="s">
        <v>62</v>
      </c>
      <c r="AK26" s="570" t="s">
        <v>62</v>
      </c>
      <c r="AL26" s="380"/>
    </row>
    <row r="27" spans="1:38" s="10" customFormat="1" ht="20.100000000000001" customHeight="1" thickBot="1">
      <c r="A27" s="217" t="s">
        <v>33</v>
      </c>
      <c r="B27" s="237">
        <v>0.245</v>
      </c>
      <c r="C27" s="237">
        <v>0.78500000000000003</v>
      </c>
      <c r="D27" s="237">
        <v>1.31</v>
      </c>
      <c r="E27" s="306">
        <v>3.5380000000000003</v>
      </c>
      <c r="F27" s="236">
        <v>1.484</v>
      </c>
      <c r="G27" s="256">
        <f>4.197+4.842</f>
        <v>9.0389999999999997</v>
      </c>
      <c r="H27" s="256">
        <f>5.852+4.842</f>
        <v>10.693999999999999</v>
      </c>
      <c r="I27" s="306">
        <v>11.93</v>
      </c>
      <c r="J27" s="246">
        <v>1.7790000000000001</v>
      </c>
      <c r="K27" s="246">
        <v>10.8</v>
      </c>
      <c r="L27" s="246">
        <v>11.7</v>
      </c>
      <c r="M27" s="247">
        <v>96.1</v>
      </c>
      <c r="N27" s="236">
        <v>-3</v>
      </c>
      <c r="O27" s="237">
        <v>9</v>
      </c>
      <c r="P27" s="237">
        <v>19.600000000000001</v>
      </c>
      <c r="Q27" s="238">
        <v>21.6</v>
      </c>
      <c r="R27" s="236">
        <v>2.5</v>
      </c>
      <c r="S27" s="237">
        <v>-1.9</v>
      </c>
      <c r="T27" s="237">
        <v>22.5</v>
      </c>
      <c r="U27" s="238">
        <v>24</v>
      </c>
      <c r="V27" s="236">
        <v>-2.1</v>
      </c>
      <c r="W27" s="237">
        <v>18.100000000000001</v>
      </c>
      <c r="X27" s="237">
        <v>51.1</v>
      </c>
      <c r="Y27" s="238">
        <v>55.5</v>
      </c>
      <c r="Z27" s="567">
        <v>-18.2</v>
      </c>
      <c r="AA27" s="567">
        <v>2.5</v>
      </c>
      <c r="AB27" s="567">
        <v>18.2</v>
      </c>
      <c r="AC27" s="238">
        <v>-97.8</v>
      </c>
      <c r="AD27" s="567">
        <v>1.1000000000000001</v>
      </c>
      <c r="AE27" s="567">
        <v>-6.3</v>
      </c>
      <c r="AF27" s="567">
        <v>64.8</v>
      </c>
      <c r="AG27" s="238"/>
      <c r="AI27" s="236">
        <v>1.1000000000000001</v>
      </c>
      <c r="AJ27" s="567">
        <v>-6.3</v>
      </c>
      <c r="AK27" s="567">
        <v>64.8</v>
      </c>
      <c r="AL27" s="238"/>
    </row>
    <row r="28" spans="1:38" s="10" customFormat="1" ht="20.100000000000001" customHeight="1" thickBot="1">
      <c r="A28" s="216" t="s">
        <v>36</v>
      </c>
      <c r="B28" s="234">
        <f t="shared" ref="B28:V28" si="5">B4+B5</f>
        <v>232.697</v>
      </c>
      <c r="C28" s="234">
        <f t="shared" si="5"/>
        <v>415.61099999999999</v>
      </c>
      <c r="D28" s="234">
        <f t="shared" si="5"/>
        <v>628.7700000000001</v>
      </c>
      <c r="E28" s="304">
        <f t="shared" si="5"/>
        <v>843.21800000000007</v>
      </c>
      <c r="F28" s="233">
        <f t="shared" si="5"/>
        <v>165.66199999999998</v>
      </c>
      <c r="G28" s="234">
        <f t="shared" si="5"/>
        <v>351.928</v>
      </c>
      <c r="H28" s="234">
        <f t="shared" si="5"/>
        <v>548.24399999999991</v>
      </c>
      <c r="I28" s="304">
        <f t="shared" si="5"/>
        <v>859.7349999999999</v>
      </c>
      <c r="J28" s="234">
        <f t="shared" si="5"/>
        <v>184.70400000000001</v>
      </c>
      <c r="K28" s="234">
        <f t="shared" si="5"/>
        <v>735.69999999999982</v>
      </c>
      <c r="L28" s="234">
        <f t="shared" si="5"/>
        <v>1423.9000000000003</v>
      </c>
      <c r="M28" s="245">
        <f t="shared" si="5"/>
        <v>2117.7999999999997</v>
      </c>
      <c r="N28" s="233">
        <f t="shared" si="5"/>
        <v>453.00000000000011</v>
      </c>
      <c r="O28" s="234">
        <f t="shared" si="5"/>
        <v>1327.9999999999995</v>
      </c>
      <c r="P28" s="234">
        <f t="shared" si="5"/>
        <v>2173.4999999999991</v>
      </c>
      <c r="Q28" s="235">
        <f t="shared" si="5"/>
        <v>2985.0999999999995</v>
      </c>
      <c r="R28" s="233">
        <f t="shared" si="5"/>
        <v>584.40000000000009</v>
      </c>
      <c r="S28" s="234">
        <f t="shared" si="5"/>
        <v>1549.4</v>
      </c>
      <c r="T28" s="234">
        <f t="shared" si="5"/>
        <v>2357.5000000000009</v>
      </c>
      <c r="U28" s="235">
        <f t="shared" si="5"/>
        <v>3151.5</v>
      </c>
      <c r="V28" s="233">
        <f t="shared" si="5"/>
        <v>780.70000000000027</v>
      </c>
      <c r="W28" s="234">
        <f t="shared" ref="W28:AC28" si="6">W4+W5</f>
        <v>1615.9</v>
      </c>
      <c r="X28" s="234">
        <f t="shared" si="6"/>
        <v>2245.6999999999998</v>
      </c>
      <c r="Y28" s="235">
        <f t="shared" si="6"/>
        <v>3126.3</v>
      </c>
      <c r="Z28" s="566">
        <f t="shared" si="6"/>
        <v>633.10000000000014</v>
      </c>
      <c r="AA28" s="566">
        <f t="shared" si="6"/>
        <v>1396.9</v>
      </c>
      <c r="AB28" s="566">
        <v>2220.8000000000002</v>
      </c>
      <c r="AC28" s="235">
        <f t="shared" si="6"/>
        <v>3232.1</v>
      </c>
      <c r="AD28" s="566">
        <f>AD4+AD5</f>
        <v>703.2</v>
      </c>
      <c r="AE28" s="566">
        <f t="shared" ref="AE28" si="7">AE4+AE5</f>
        <v>1554.3000000000002</v>
      </c>
      <c r="AF28" s="566">
        <f t="shared" ref="AF28:AG28" si="8">AF4+AF5</f>
        <v>2406.8000000000002</v>
      </c>
      <c r="AG28" s="235">
        <f t="shared" si="8"/>
        <v>0</v>
      </c>
      <c r="AI28" s="233">
        <f>AI4+AI5</f>
        <v>762.2</v>
      </c>
      <c r="AJ28" s="566">
        <f t="shared" ref="AJ28" si="9">AJ4+AJ5</f>
        <v>1709.3000000000002</v>
      </c>
      <c r="AK28" s="566">
        <f t="shared" ref="AK28:AL28" si="10">AK4+AK5</f>
        <v>2659.9000000000005</v>
      </c>
      <c r="AL28" s="235">
        <f t="shared" si="10"/>
        <v>0</v>
      </c>
    </row>
    <row r="29" spans="1:38" s="10" customFormat="1" ht="20.100000000000001" customHeight="1">
      <c r="A29" s="217" t="s">
        <v>34</v>
      </c>
      <c r="B29" s="237">
        <v>-12.561</v>
      </c>
      <c r="C29" s="237">
        <v>-47.188000000000002</v>
      </c>
      <c r="D29" s="237">
        <v>-59.765999999999998</v>
      </c>
      <c r="E29" s="306">
        <v>-78.733000000000004</v>
      </c>
      <c r="F29" s="236">
        <v>-13.763</v>
      </c>
      <c r="G29" s="237">
        <v>-26.318999999999999</v>
      </c>
      <c r="H29" s="237">
        <v>-37.451999999999998</v>
      </c>
      <c r="I29" s="306">
        <v>-67.486000000000004</v>
      </c>
      <c r="J29" s="246">
        <v>-17.809000000000001</v>
      </c>
      <c r="K29" s="246">
        <v>-99.5</v>
      </c>
      <c r="L29" s="246">
        <v>-135.19999999999999</v>
      </c>
      <c r="M29" s="247">
        <v>-189.1</v>
      </c>
      <c r="N29" s="236">
        <v>-48.5</v>
      </c>
      <c r="O29" s="237">
        <v>-44.2</v>
      </c>
      <c r="P29" s="237">
        <v>-94.2</v>
      </c>
      <c r="Q29" s="238">
        <v>-136.19999999999999</v>
      </c>
      <c r="R29" s="236">
        <v>-145.69999999999999</v>
      </c>
      <c r="S29" s="237">
        <v>-186.5</v>
      </c>
      <c r="T29" s="237">
        <v>-236.1</v>
      </c>
      <c r="U29" s="238">
        <v>-292.7</v>
      </c>
      <c r="V29" s="236">
        <v>-43.5</v>
      </c>
      <c r="W29" s="237">
        <v>-112.5</v>
      </c>
      <c r="X29" s="237">
        <v>-181.5</v>
      </c>
      <c r="Y29" s="238">
        <v>-216.2</v>
      </c>
      <c r="Z29" s="567">
        <v>-70.599999999999994</v>
      </c>
      <c r="AA29" s="567">
        <v>-191.3</v>
      </c>
      <c r="AB29" s="567">
        <v>-265.10000000000002</v>
      </c>
      <c r="AC29" s="238">
        <v>-343.2</v>
      </c>
      <c r="AD29" s="567">
        <v>-66.099999999999994</v>
      </c>
      <c r="AE29" s="567">
        <v>-163</v>
      </c>
      <c r="AF29" s="567">
        <v>-252.5</v>
      </c>
      <c r="AG29" s="238"/>
      <c r="AI29" s="236">
        <v>-66.099999999999994</v>
      </c>
      <c r="AJ29" s="567">
        <v>-163</v>
      </c>
      <c r="AK29" s="567">
        <v>-252.5</v>
      </c>
      <c r="AL29" s="238"/>
    </row>
    <row r="30" spans="1:38" s="10" customFormat="1" ht="20.100000000000001" customHeight="1" thickBot="1">
      <c r="A30" s="217" t="s">
        <v>35</v>
      </c>
      <c r="B30" s="237">
        <v>3.843</v>
      </c>
      <c r="C30" s="237">
        <v>8.1440000000000001</v>
      </c>
      <c r="D30" s="237">
        <v>12.96</v>
      </c>
      <c r="E30" s="306">
        <v>16.882000000000001</v>
      </c>
      <c r="F30" s="236">
        <v>3.544</v>
      </c>
      <c r="G30" s="237">
        <v>6.1040000000000001</v>
      </c>
      <c r="H30" s="237">
        <v>8.5630000000000006</v>
      </c>
      <c r="I30" s="306">
        <v>10.41</v>
      </c>
      <c r="J30" s="246">
        <v>2.165</v>
      </c>
      <c r="K30" s="246">
        <v>13.4</v>
      </c>
      <c r="L30" s="246">
        <v>33.1</v>
      </c>
      <c r="M30" s="247">
        <v>45.2</v>
      </c>
      <c r="N30" s="236">
        <v>13.2</v>
      </c>
      <c r="O30" s="237">
        <v>20.5</v>
      </c>
      <c r="P30" s="237">
        <v>30.5</v>
      </c>
      <c r="Q30" s="238">
        <v>38.799999999999997</v>
      </c>
      <c r="R30" s="236">
        <v>8.1</v>
      </c>
      <c r="S30" s="237">
        <v>13.1</v>
      </c>
      <c r="T30" s="237">
        <v>19.5</v>
      </c>
      <c r="U30" s="238">
        <v>25.9</v>
      </c>
      <c r="V30" s="236">
        <v>14.5</v>
      </c>
      <c r="W30" s="237">
        <v>16</v>
      </c>
      <c r="X30" s="237">
        <v>23.5</v>
      </c>
      <c r="Y30" s="238">
        <v>31.3</v>
      </c>
      <c r="Z30" s="567">
        <v>7.5</v>
      </c>
      <c r="AA30" s="567">
        <v>14.6</v>
      </c>
      <c r="AB30" s="567">
        <v>20.5</v>
      </c>
      <c r="AC30" s="238">
        <v>26.2</v>
      </c>
      <c r="AD30" s="567">
        <v>4.8</v>
      </c>
      <c r="AE30" s="567">
        <v>11.8</v>
      </c>
      <c r="AF30" s="567">
        <v>18.3</v>
      </c>
      <c r="AG30" s="238"/>
      <c r="AI30" s="236">
        <v>4.8</v>
      </c>
      <c r="AJ30" s="567">
        <v>11.8</v>
      </c>
      <c r="AK30" s="567">
        <v>18.3</v>
      </c>
      <c r="AL30" s="238"/>
    </row>
    <row r="31" spans="1:38" s="10" customFormat="1" ht="24.95" customHeight="1" thickBot="1">
      <c r="A31" s="13" t="s">
        <v>63</v>
      </c>
      <c r="B31" s="240">
        <f t="shared" ref="B31:Q31" si="11">SUM(B28:B30)</f>
        <v>223.97899999999998</v>
      </c>
      <c r="C31" s="240">
        <f t="shared" si="11"/>
        <v>376.56700000000001</v>
      </c>
      <c r="D31" s="240">
        <f t="shared" si="11"/>
        <v>581.96400000000017</v>
      </c>
      <c r="E31" s="229">
        <f t="shared" si="11"/>
        <v>781.36700000000008</v>
      </c>
      <c r="F31" s="239">
        <f t="shared" si="11"/>
        <v>155.44299999999998</v>
      </c>
      <c r="G31" s="240">
        <f t="shared" si="11"/>
        <v>331.71299999999997</v>
      </c>
      <c r="H31" s="240">
        <f t="shared" si="11"/>
        <v>519.3549999999999</v>
      </c>
      <c r="I31" s="229">
        <f t="shared" si="11"/>
        <v>802.65899999999988</v>
      </c>
      <c r="J31" s="240">
        <f t="shared" si="11"/>
        <v>169.06</v>
      </c>
      <c r="K31" s="240">
        <f t="shared" si="11"/>
        <v>649.5999999999998</v>
      </c>
      <c r="L31" s="240">
        <f t="shared" si="11"/>
        <v>1321.8000000000002</v>
      </c>
      <c r="M31" s="248">
        <f t="shared" si="11"/>
        <v>1973.8999999999999</v>
      </c>
      <c r="N31" s="239">
        <f t="shared" si="11"/>
        <v>417.7000000000001</v>
      </c>
      <c r="O31" s="240">
        <f t="shared" si="11"/>
        <v>1304.2999999999995</v>
      </c>
      <c r="P31" s="240">
        <f t="shared" si="11"/>
        <v>2109.7999999999993</v>
      </c>
      <c r="Q31" s="241">
        <f t="shared" si="11"/>
        <v>2887.7</v>
      </c>
      <c r="R31" s="239">
        <f t="shared" ref="R31" si="12">SUM(R28:R30)</f>
        <v>446.80000000000013</v>
      </c>
      <c r="S31" s="240">
        <f t="shared" ref="S31:T31" si="13">SUM(S28:S30)</f>
        <v>1376</v>
      </c>
      <c r="T31" s="240">
        <f t="shared" si="13"/>
        <v>2140.900000000001</v>
      </c>
      <c r="U31" s="241">
        <f t="shared" ref="U31:Y31" si="14">SUM(U28:U30)</f>
        <v>2884.7000000000003</v>
      </c>
      <c r="V31" s="239">
        <f t="shared" si="14"/>
        <v>751.70000000000027</v>
      </c>
      <c r="W31" s="240">
        <f t="shared" si="14"/>
        <v>1519.4</v>
      </c>
      <c r="X31" s="240">
        <f t="shared" si="14"/>
        <v>2087.6999999999998</v>
      </c>
      <c r="Y31" s="241">
        <f t="shared" si="14"/>
        <v>2941.4000000000005</v>
      </c>
      <c r="Z31" s="239">
        <f t="shared" ref="Z31:AC31" si="15">SUM(Z28:Z30)</f>
        <v>570.00000000000011</v>
      </c>
      <c r="AA31" s="568">
        <f>SUM(AA28:AA30)</f>
        <v>1220.2</v>
      </c>
      <c r="AB31" s="568">
        <f>SUM(AB28:AB30)</f>
        <v>1976.2000000000003</v>
      </c>
      <c r="AC31" s="241">
        <f t="shared" si="15"/>
        <v>2915.1</v>
      </c>
      <c r="AD31" s="239">
        <f t="shared" ref="AD31:AG31" si="16">SUM(AD28:AD30)</f>
        <v>641.9</v>
      </c>
      <c r="AE31" s="568">
        <f t="shared" si="16"/>
        <v>1403.1000000000001</v>
      </c>
      <c r="AF31" s="568">
        <f t="shared" si="16"/>
        <v>2172.6000000000004</v>
      </c>
      <c r="AG31" s="241">
        <f t="shared" si="16"/>
        <v>0</v>
      </c>
      <c r="AI31" s="239">
        <f t="shared" ref="AI31:AL31" si="17">SUM(AI28:AI30)</f>
        <v>700.9</v>
      </c>
      <c r="AJ31" s="568">
        <f t="shared" si="17"/>
        <v>1558.1000000000001</v>
      </c>
      <c r="AK31" s="568">
        <f t="shared" si="17"/>
        <v>2425.7000000000007</v>
      </c>
      <c r="AL31" s="241">
        <f t="shared" si="17"/>
        <v>0</v>
      </c>
    </row>
    <row r="32" spans="1:38" s="10" customFormat="1" ht="20.100000000000001" customHeight="1">
      <c r="A32" s="217" t="s">
        <v>38</v>
      </c>
      <c r="B32" s="237">
        <v>-13.759</v>
      </c>
      <c r="C32" s="237">
        <v>-28.18</v>
      </c>
      <c r="D32" s="237">
        <v>-40.478000000000002</v>
      </c>
      <c r="E32" s="306">
        <v>-54.936999999999998</v>
      </c>
      <c r="F32" s="236">
        <v>-21.702999999999999</v>
      </c>
      <c r="G32" s="237">
        <v>-40.633000000000003</v>
      </c>
      <c r="H32" s="237">
        <v>-53.000999999999998</v>
      </c>
      <c r="I32" s="306">
        <v>-60.844999999999999</v>
      </c>
      <c r="J32" s="246">
        <v>-19.433</v>
      </c>
      <c r="K32" s="246">
        <v>-93</v>
      </c>
      <c r="L32" s="246">
        <v>-180</v>
      </c>
      <c r="M32" s="247">
        <v>-263.60000000000002</v>
      </c>
      <c r="N32" s="236">
        <v>-137.6</v>
      </c>
      <c r="O32" s="237">
        <v>-187</v>
      </c>
      <c r="P32" s="237">
        <v>-323.2</v>
      </c>
      <c r="Q32" s="238">
        <v>-417.8</v>
      </c>
      <c r="R32" s="236">
        <v>-98.4</v>
      </c>
      <c r="S32" s="237">
        <v>-179.5</v>
      </c>
      <c r="T32" s="237">
        <v>-301.2</v>
      </c>
      <c r="U32" s="238">
        <v>-436.2</v>
      </c>
      <c r="V32" s="236">
        <v>-138.9</v>
      </c>
      <c r="W32" s="237">
        <v>-268.8</v>
      </c>
      <c r="X32" s="237">
        <v>-418.9</v>
      </c>
      <c r="Y32" s="238">
        <v>-524.79999999999995</v>
      </c>
      <c r="Z32" s="567">
        <v>-131.6</v>
      </c>
      <c r="AA32" s="567">
        <v>-266.7</v>
      </c>
      <c r="AB32" s="567">
        <v>-465</v>
      </c>
      <c r="AC32" s="238">
        <v>-624.29999999999995</v>
      </c>
      <c r="AD32" s="567">
        <v>-251.4</v>
      </c>
      <c r="AE32" s="567">
        <v>-433.6</v>
      </c>
      <c r="AF32" s="567">
        <v>-651.9</v>
      </c>
      <c r="AG32" s="238"/>
      <c r="AI32" s="236">
        <v>-251.4</v>
      </c>
      <c r="AJ32" s="567">
        <v>-433.6</v>
      </c>
      <c r="AK32" s="567">
        <v>-651.9</v>
      </c>
      <c r="AL32" s="238"/>
    </row>
    <row r="33" spans="1:38" s="10" customFormat="1" ht="20.100000000000001" customHeight="1">
      <c r="A33" s="217" t="s">
        <v>37</v>
      </c>
      <c r="B33" s="237">
        <v>-7.0449999999999999</v>
      </c>
      <c r="C33" s="237">
        <v>-11.33</v>
      </c>
      <c r="D33" s="237">
        <v>-23.225000000000001</v>
      </c>
      <c r="E33" s="306">
        <v>-36.24</v>
      </c>
      <c r="F33" s="236">
        <v>-13.377000000000001</v>
      </c>
      <c r="G33" s="237">
        <v>-20.378</v>
      </c>
      <c r="H33" s="237">
        <v>-45.453000000000003</v>
      </c>
      <c r="I33" s="306">
        <v>-62.041000000000004</v>
      </c>
      <c r="J33" s="246">
        <v>-19.987000000000002</v>
      </c>
      <c r="K33" s="246">
        <v>-46.6</v>
      </c>
      <c r="L33" s="246">
        <v>-57.4</v>
      </c>
      <c r="M33" s="247">
        <v>-71.8</v>
      </c>
      <c r="N33" s="236">
        <v>-19.100000000000001</v>
      </c>
      <c r="O33" s="237">
        <v>-90.7</v>
      </c>
      <c r="P33" s="237">
        <v>-111.1</v>
      </c>
      <c r="Q33" s="238">
        <v>-165.3</v>
      </c>
      <c r="R33" s="236">
        <v>-20.3</v>
      </c>
      <c r="S33" s="237">
        <v>-61.3</v>
      </c>
      <c r="T33" s="237">
        <v>-94.6</v>
      </c>
      <c r="U33" s="238">
        <v>-154.19999999999999</v>
      </c>
      <c r="V33" s="236">
        <v>-33.200000000000003</v>
      </c>
      <c r="W33" s="237">
        <v>-114.2</v>
      </c>
      <c r="X33" s="237">
        <v>-137.30000000000001</v>
      </c>
      <c r="Y33" s="238">
        <v>-214.3</v>
      </c>
      <c r="Z33" s="567">
        <v>-42.8</v>
      </c>
      <c r="AA33" s="567">
        <v>-83.9</v>
      </c>
      <c r="AB33" s="567">
        <v>-168.4</v>
      </c>
      <c r="AC33" s="238">
        <v>-304.10000000000002</v>
      </c>
      <c r="AD33" s="567">
        <v>-108.5</v>
      </c>
      <c r="AE33" s="567">
        <v>-202.7</v>
      </c>
      <c r="AF33" s="567">
        <v>-302.7</v>
      </c>
      <c r="AG33" s="238"/>
      <c r="AI33" s="236">
        <v>-108.5</v>
      </c>
      <c r="AJ33" s="567">
        <v>-202.7</v>
      </c>
      <c r="AK33" s="567">
        <v>-302.7</v>
      </c>
      <c r="AL33" s="238"/>
    </row>
    <row r="34" spans="1:38" s="375" customFormat="1" ht="20.100000000000001" customHeight="1">
      <c r="A34" s="417" t="s">
        <v>193</v>
      </c>
      <c r="B34" s="256"/>
      <c r="C34" s="256"/>
      <c r="D34" s="256"/>
      <c r="E34" s="418"/>
      <c r="F34" s="419"/>
      <c r="G34" s="256"/>
      <c r="H34" s="256"/>
      <c r="I34" s="418"/>
      <c r="J34" s="420"/>
      <c r="K34" s="420"/>
      <c r="L34" s="420"/>
      <c r="M34" s="247"/>
      <c r="N34" s="419"/>
      <c r="O34" s="256"/>
      <c r="P34" s="256"/>
      <c r="Q34" s="238"/>
      <c r="R34" s="419"/>
      <c r="S34" s="256"/>
      <c r="T34" s="256"/>
      <c r="U34" s="238">
        <v>0</v>
      </c>
      <c r="V34" s="419"/>
      <c r="W34" s="256"/>
      <c r="X34" s="256"/>
      <c r="Y34" s="238">
        <v>-9.3000000000000007</v>
      </c>
      <c r="Z34" s="567">
        <v>0</v>
      </c>
      <c r="AA34" s="571">
        <v>0</v>
      </c>
      <c r="AB34" s="571">
        <v>0</v>
      </c>
      <c r="AC34" s="238">
        <v>-9.1999999999999993</v>
      </c>
      <c r="AD34" s="567">
        <v>0</v>
      </c>
      <c r="AE34" s="571"/>
      <c r="AF34" s="571">
        <v>0</v>
      </c>
      <c r="AG34" s="238"/>
      <c r="AI34" s="236">
        <v>0</v>
      </c>
      <c r="AJ34" s="571">
        <v>0</v>
      </c>
      <c r="AK34" s="571">
        <v>0</v>
      </c>
      <c r="AL34" s="238"/>
    </row>
    <row r="35" spans="1:38" s="375" customFormat="1" ht="20.100000000000001" customHeight="1">
      <c r="A35" s="417" t="s">
        <v>90</v>
      </c>
      <c r="B35" s="421">
        <v>0</v>
      </c>
      <c r="C35" s="421">
        <v>0</v>
      </c>
      <c r="D35" s="421">
        <v>0</v>
      </c>
      <c r="E35" s="422">
        <v>0</v>
      </c>
      <c r="F35" s="423">
        <v>0</v>
      </c>
      <c r="G35" s="421">
        <v>0</v>
      </c>
      <c r="H35" s="421">
        <v>0</v>
      </c>
      <c r="I35" s="422">
        <v>0</v>
      </c>
      <c r="J35" s="423">
        <v>0</v>
      </c>
      <c r="K35" s="256">
        <v>0</v>
      </c>
      <c r="L35" s="256">
        <v>-482.3</v>
      </c>
      <c r="M35" s="247">
        <v>-482.3</v>
      </c>
      <c r="N35" s="419">
        <v>0</v>
      </c>
      <c r="O35" s="256">
        <v>0</v>
      </c>
      <c r="P35" s="256">
        <v>-118.7</v>
      </c>
      <c r="Q35" s="238">
        <v>-118.7</v>
      </c>
      <c r="R35" s="419">
        <v>-147.69999999999999</v>
      </c>
      <c r="S35" s="256">
        <v>-147.69999999999999</v>
      </c>
      <c r="T35" s="256">
        <v>-268.5</v>
      </c>
      <c r="U35" s="238">
        <v>-268.5</v>
      </c>
      <c r="V35" s="419">
        <v>0</v>
      </c>
      <c r="W35" s="256">
        <v>0</v>
      </c>
      <c r="X35" s="256">
        <v>-120.7</v>
      </c>
      <c r="Y35" s="238">
        <v>-120.7</v>
      </c>
      <c r="Z35" s="567">
        <v>0</v>
      </c>
      <c r="AA35" s="571">
        <v>0</v>
      </c>
      <c r="AB35" s="571">
        <v>-119.6</v>
      </c>
      <c r="AC35" s="238">
        <v>-119.6</v>
      </c>
      <c r="AD35" s="567">
        <v>0</v>
      </c>
      <c r="AE35" s="571"/>
      <c r="AF35" s="571">
        <v>-122.4</v>
      </c>
      <c r="AG35" s="238"/>
      <c r="AI35" s="419">
        <v>0</v>
      </c>
      <c r="AJ35" s="571">
        <v>0</v>
      </c>
      <c r="AK35" s="571">
        <v>-122.4</v>
      </c>
      <c r="AL35" s="238"/>
    </row>
    <row r="36" spans="1:38" s="375" customFormat="1" ht="20.100000000000001" customHeight="1">
      <c r="A36" s="417" t="s">
        <v>231</v>
      </c>
      <c r="B36" s="421"/>
      <c r="C36" s="421"/>
      <c r="D36" s="421"/>
      <c r="E36" s="422"/>
      <c r="F36" s="421"/>
      <c r="G36" s="421"/>
      <c r="H36" s="421"/>
      <c r="I36" s="422"/>
      <c r="J36" s="421"/>
      <c r="K36" s="421"/>
      <c r="L36" s="421"/>
      <c r="M36" s="247"/>
      <c r="N36" s="236"/>
      <c r="O36" s="421"/>
      <c r="P36" s="421"/>
      <c r="Q36" s="238"/>
      <c r="R36" s="421">
        <v>0</v>
      </c>
      <c r="S36" s="421">
        <v>0</v>
      </c>
      <c r="T36" s="421">
        <v>0</v>
      </c>
      <c r="U36" s="238">
        <v>0</v>
      </c>
      <c r="V36" s="419">
        <v>0</v>
      </c>
      <c r="W36" s="256">
        <v>0</v>
      </c>
      <c r="X36" s="256">
        <v>0</v>
      </c>
      <c r="Y36" s="238">
        <v>-662.5</v>
      </c>
      <c r="Z36" s="567">
        <v>-11.3</v>
      </c>
      <c r="AA36" s="571">
        <v>-15.7</v>
      </c>
      <c r="AB36" s="571">
        <v>-15.7</v>
      </c>
      <c r="AC36" s="238">
        <v>-16.100000000000001</v>
      </c>
      <c r="AD36" s="567">
        <v>0</v>
      </c>
      <c r="AE36" s="571">
        <v>-14.7</v>
      </c>
      <c r="AF36" s="571">
        <v>-14.7</v>
      </c>
      <c r="AG36" s="238"/>
      <c r="AI36" s="236">
        <v>0</v>
      </c>
      <c r="AJ36" s="571">
        <v>-14.7</v>
      </c>
      <c r="AK36" s="571">
        <v>-14.7</v>
      </c>
      <c r="AL36" s="238"/>
    </row>
    <row r="37" spans="1:38" s="10" customFormat="1" ht="20.100000000000001" customHeight="1">
      <c r="A37" s="217" t="s">
        <v>66</v>
      </c>
      <c r="B37" s="237">
        <v>-2.3290000000000002</v>
      </c>
      <c r="C37" s="237">
        <v>-45.099000000000004</v>
      </c>
      <c r="D37" s="237">
        <v>-45.329000000000001</v>
      </c>
      <c r="E37" s="306">
        <v>-45.710999999999999</v>
      </c>
      <c r="F37" s="236">
        <v>-0.153</v>
      </c>
      <c r="G37" s="237">
        <v>-0.26800000000000002</v>
      </c>
      <c r="H37" s="237">
        <v>-64.186999999999998</v>
      </c>
      <c r="I37" s="306">
        <v>-64.266000000000005</v>
      </c>
      <c r="J37" s="254">
        <v>0</v>
      </c>
      <c r="K37" s="246">
        <v>1800.4</v>
      </c>
      <c r="L37" s="246">
        <v>1800.4</v>
      </c>
      <c r="M37" s="247">
        <v>1800.4</v>
      </c>
      <c r="N37" s="236">
        <v>-4.2</v>
      </c>
      <c r="O37" s="237">
        <v>-29.5</v>
      </c>
      <c r="P37" s="237">
        <v>-29.5</v>
      </c>
      <c r="Q37" s="238">
        <v>-29.5</v>
      </c>
      <c r="R37" s="236">
        <v>262.2</v>
      </c>
      <c r="S37" s="237">
        <v>-145.30000000000001</v>
      </c>
      <c r="T37" s="237">
        <v>-144.4</v>
      </c>
      <c r="U37" s="238">
        <v>-144.4</v>
      </c>
      <c r="V37" s="236">
        <v>0</v>
      </c>
      <c r="W37" s="237">
        <v>0</v>
      </c>
      <c r="X37" s="237">
        <v>1.6</v>
      </c>
      <c r="Y37" s="238">
        <v>-66.8</v>
      </c>
      <c r="Z37" s="567">
        <v>-16.7</v>
      </c>
      <c r="AA37" s="567">
        <v>-276.8</v>
      </c>
      <c r="AB37" s="567">
        <v>-453.7</v>
      </c>
      <c r="AC37" s="238">
        <v>-792.4</v>
      </c>
      <c r="AD37" s="567">
        <v>0</v>
      </c>
      <c r="AE37" s="567">
        <v>-63.8</v>
      </c>
      <c r="AF37" s="567">
        <v>-74.599999999999994</v>
      </c>
      <c r="AG37" s="238"/>
      <c r="AI37" s="419">
        <v>0</v>
      </c>
      <c r="AJ37" s="567">
        <v>-63.8</v>
      </c>
      <c r="AK37" s="567">
        <v>-74.599999999999994</v>
      </c>
      <c r="AL37" s="238"/>
    </row>
    <row r="38" spans="1:38" s="614" customFormat="1" ht="20.100000000000001" customHeight="1">
      <c r="A38" s="660" t="s">
        <v>267</v>
      </c>
      <c r="B38" s="639"/>
      <c r="C38" s="639"/>
      <c r="D38" s="639"/>
      <c r="E38" s="662"/>
      <c r="F38" s="663"/>
      <c r="G38" s="639"/>
      <c r="H38" s="639"/>
      <c r="I38" s="662"/>
      <c r="J38" s="664"/>
      <c r="K38" s="665"/>
      <c r="L38" s="665"/>
      <c r="M38" s="666"/>
      <c r="N38" s="663"/>
      <c r="O38" s="639"/>
      <c r="P38" s="639"/>
      <c r="Q38" s="667"/>
      <c r="R38" s="663"/>
      <c r="S38" s="639"/>
      <c r="T38" s="639"/>
      <c r="U38" s="667"/>
      <c r="V38" s="663"/>
      <c r="W38" s="639"/>
      <c r="X38" s="639"/>
      <c r="Y38" s="667"/>
      <c r="Z38" s="639"/>
      <c r="AA38" s="639"/>
      <c r="AB38" s="639"/>
      <c r="AC38" s="667"/>
      <c r="AD38" s="639"/>
      <c r="AE38" s="639">
        <v>-16.3</v>
      </c>
      <c r="AF38" s="639">
        <v>-16.3</v>
      </c>
      <c r="AG38" s="667"/>
      <c r="AI38" s="668"/>
      <c r="AJ38" s="639">
        <v>-16.3</v>
      </c>
      <c r="AK38" s="639">
        <v>-16.3</v>
      </c>
      <c r="AL38" s="667"/>
    </row>
    <row r="39" spans="1:38" s="10" customFormat="1" ht="20.100000000000001" customHeight="1">
      <c r="A39" s="217" t="s">
        <v>191</v>
      </c>
      <c r="B39" s="251">
        <v>0</v>
      </c>
      <c r="C39" s="251">
        <v>0</v>
      </c>
      <c r="D39" s="251">
        <v>0</v>
      </c>
      <c r="E39" s="252">
        <v>0</v>
      </c>
      <c r="F39" s="253">
        <v>0</v>
      </c>
      <c r="G39" s="251">
        <v>0</v>
      </c>
      <c r="H39" s="237">
        <v>48.219000000000001</v>
      </c>
      <c r="I39" s="306">
        <v>48.736000000000004</v>
      </c>
      <c r="J39" s="254">
        <v>0</v>
      </c>
      <c r="K39" s="246">
        <v>0</v>
      </c>
      <c r="L39" s="246">
        <v>0</v>
      </c>
      <c r="M39" s="247">
        <v>0</v>
      </c>
      <c r="N39" s="236">
        <v>0</v>
      </c>
      <c r="O39" s="237">
        <v>0</v>
      </c>
      <c r="P39" s="237">
        <v>0</v>
      </c>
      <c r="Q39" s="238">
        <v>0</v>
      </c>
      <c r="R39" s="236">
        <v>0</v>
      </c>
      <c r="S39" s="256">
        <v>0.2</v>
      </c>
      <c r="T39" s="256">
        <v>0.2</v>
      </c>
      <c r="U39" s="238">
        <v>0</v>
      </c>
      <c r="V39" s="236">
        <v>0</v>
      </c>
      <c r="W39" s="256">
        <v>0</v>
      </c>
      <c r="X39" s="256">
        <v>0</v>
      </c>
      <c r="Y39" s="238">
        <v>0</v>
      </c>
      <c r="Z39" s="567">
        <v>0</v>
      </c>
      <c r="AA39" s="571">
        <v>0</v>
      </c>
      <c r="AB39" s="571">
        <v>0</v>
      </c>
      <c r="AC39" s="238">
        <v>0</v>
      </c>
      <c r="AD39" s="567">
        <v>0</v>
      </c>
      <c r="AE39" s="571">
        <v>0</v>
      </c>
      <c r="AF39" s="571"/>
      <c r="AG39" s="238"/>
      <c r="AI39" s="236">
        <v>0</v>
      </c>
      <c r="AJ39" s="571">
        <v>0</v>
      </c>
      <c r="AK39" s="571"/>
      <c r="AL39" s="238"/>
    </row>
    <row r="40" spans="1:38" s="10" customFormat="1" ht="20.100000000000001" customHeight="1">
      <c r="A40" s="217" t="s">
        <v>46</v>
      </c>
      <c r="B40" s="237">
        <v>0.09</v>
      </c>
      <c r="C40" s="237">
        <v>0.121</v>
      </c>
      <c r="D40" s="237">
        <v>0.69000000000000006</v>
      </c>
      <c r="E40" s="306">
        <v>0.751</v>
      </c>
      <c r="F40" s="236">
        <v>0.35000000000000003</v>
      </c>
      <c r="G40" s="237">
        <v>0.41000000000000003</v>
      </c>
      <c r="H40" s="237">
        <v>1.756</v>
      </c>
      <c r="I40" s="306">
        <v>2.0640000000000001</v>
      </c>
      <c r="J40" s="254">
        <v>0.33700000000000002</v>
      </c>
      <c r="K40" s="246">
        <v>1.6</v>
      </c>
      <c r="L40" s="246">
        <v>4</v>
      </c>
      <c r="M40" s="247">
        <v>4.0999999999999996</v>
      </c>
      <c r="N40" s="236">
        <v>0.2</v>
      </c>
      <c r="O40" s="237">
        <v>13.3</v>
      </c>
      <c r="P40" s="237">
        <v>15.1</v>
      </c>
      <c r="Q40" s="238">
        <v>16.899999999999999</v>
      </c>
      <c r="R40" s="236">
        <v>3.5</v>
      </c>
      <c r="S40" s="237">
        <v>5</v>
      </c>
      <c r="T40" s="237">
        <v>6.3</v>
      </c>
      <c r="U40" s="238">
        <v>9.5</v>
      </c>
      <c r="V40" s="236">
        <v>12.8</v>
      </c>
      <c r="W40" s="237">
        <v>16</v>
      </c>
      <c r="X40" s="237">
        <v>15.8</v>
      </c>
      <c r="Y40" s="238">
        <v>19.3</v>
      </c>
      <c r="Z40" s="567">
        <v>3.4</v>
      </c>
      <c r="AA40" s="567">
        <v>10.6</v>
      </c>
      <c r="AB40" s="567">
        <v>11.6</v>
      </c>
      <c r="AC40" s="238">
        <v>11.6</v>
      </c>
      <c r="AD40" s="567">
        <v>2.5</v>
      </c>
      <c r="AE40" s="567">
        <v>4.2</v>
      </c>
      <c r="AF40" s="567">
        <v>4.8</v>
      </c>
      <c r="AG40" s="238"/>
      <c r="AI40" s="236">
        <v>2.5</v>
      </c>
      <c r="AJ40" s="567">
        <v>4.2</v>
      </c>
      <c r="AK40" s="567">
        <v>4.8</v>
      </c>
      <c r="AL40" s="238"/>
    </row>
    <row r="41" spans="1:38" s="10" customFormat="1" ht="20.100000000000001" customHeight="1">
      <c r="A41" s="417" t="s">
        <v>241</v>
      </c>
      <c r="B41" s="237"/>
      <c r="C41" s="237"/>
      <c r="D41" s="237"/>
      <c r="E41" s="306"/>
      <c r="F41" s="236"/>
      <c r="G41" s="237"/>
      <c r="H41" s="237"/>
      <c r="I41" s="306"/>
      <c r="J41" s="254"/>
      <c r="K41" s="246"/>
      <c r="L41" s="246"/>
      <c r="M41" s="247"/>
      <c r="N41" s="236"/>
      <c r="O41" s="237"/>
      <c r="P41" s="237"/>
      <c r="Q41" s="238"/>
      <c r="R41" s="236"/>
      <c r="S41" s="237"/>
      <c r="T41" s="237"/>
      <c r="U41" s="238"/>
      <c r="V41" s="236"/>
      <c r="W41" s="237"/>
      <c r="X41" s="237"/>
      <c r="Y41" s="238"/>
      <c r="Z41" s="567">
        <v>-45</v>
      </c>
      <c r="AA41" s="567">
        <f>-50+50.3</f>
        <v>0.29999999999999716</v>
      </c>
      <c r="AB41" s="567">
        <f>-95+95.4</f>
        <v>0.40000000000000568</v>
      </c>
      <c r="AC41" s="238">
        <f>-130+130.5</f>
        <v>0.5</v>
      </c>
      <c r="AD41" s="567">
        <v>0.1</v>
      </c>
      <c r="AE41" s="567">
        <v>0.3</v>
      </c>
      <c r="AF41" s="567">
        <f>100.5-100</f>
        <v>0.5</v>
      </c>
      <c r="AG41" s="238"/>
      <c r="AI41" s="236">
        <v>0.1</v>
      </c>
      <c r="AJ41" s="567">
        <v>0.3</v>
      </c>
      <c r="AK41" s="567">
        <v>0.5</v>
      </c>
      <c r="AL41" s="238"/>
    </row>
    <row r="42" spans="1:38" s="10" customFormat="1" ht="20.100000000000001" customHeight="1">
      <c r="A42" s="217" t="s">
        <v>87</v>
      </c>
      <c r="B42" s="251">
        <v>0</v>
      </c>
      <c r="C42" s="251">
        <v>0</v>
      </c>
      <c r="D42" s="251">
        <v>0</v>
      </c>
      <c r="E42" s="252">
        <v>0</v>
      </c>
      <c r="F42" s="253">
        <v>0</v>
      </c>
      <c r="G42" s="251">
        <v>0</v>
      </c>
      <c r="H42" s="251">
        <v>0</v>
      </c>
      <c r="I42" s="252">
        <v>0</v>
      </c>
      <c r="J42" s="254">
        <v>0</v>
      </c>
      <c r="K42" s="246">
        <v>-270</v>
      </c>
      <c r="L42" s="246">
        <v>-30</v>
      </c>
      <c r="M42" s="247">
        <v>0</v>
      </c>
      <c r="N42" s="236">
        <v>-42.7</v>
      </c>
      <c r="O42" s="237">
        <v>-42.7</v>
      </c>
      <c r="P42" s="237">
        <v>0</v>
      </c>
      <c r="Q42" s="238">
        <v>0</v>
      </c>
      <c r="R42" s="236">
        <v>-12.4</v>
      </c>
      <c r="S42" s="237">
        <v>0</v>
      </c>
      <c r="T42" s="237">
        <v>0</v>
      </c>
      <c r="U42" s="238">
        <v>0</v>
      </c>
      <c r="V42" s="236">
        <v>0</v>
      </c>
      <c r="W42" s="237">
        <v>0</v>
      </c>
      <c r="X42" s="237">
        <v>0</v>
      </c>
      <c r="Y42" s="238">
        <v>0</v>
      </c>
      <c r="Z42" s="567">
        <v>0</v>
      </c>
      <c r="AA42" s="567">
        <v>0</v>
      </c>
      <c r="AB42" s="567">
        <v>0</v>
      </c>
      <c r="AC42" s="238">
        <v>0</v>
      </c>
      <c r="AD42" s="567">
        <v>0</v>
      </c>
      <c r="AE42" s="567">
        <v>0</v>
      </c>
      <c r="AF42" s="567">
        <v>0</v>
      </c>
      <c r="AG42" s="238"/>
      <c r="AI42" s="236">
        <v>0</v>
      </c>
      <c r="AJ42" s="567">
        <v>0</v>
      </c>
      <c r="AK42" s="567">
        <v>0</v>
      </c>
      <c r="AL42" s="238"/>
    </row>
    <row r="43" spans="1:38" s="10" customFormat="1" ht="20.100000000000001" customHeight="1">
      <c r="A43" s="217" t="s">
        <v>45</v>
      </c>
      <c r="B43" s="237">
        <v>-1.1000000000000001</v>
      </c>
      <c r="C43" s="237">
        <v>-1.1000000000000001</v>
      </c>
      <c r="D43" s="237">
        <v>-1.1000000000000001</v>
      </c>
      <c r="E43" s="306">
        <v>-1.1000000000000001</v>
      </c>
      <c r="F43" s="253">
        <v>0</v>
      </c>
      <c r="G43" s="251">
        <v>0</v>
      </c>
      <c r="H43" s="251">
        <v>0</v>
      </c>
      <c r="I43" s="252">
        <v>0</v>
      </c>
      <c r="J43" s="254">
        <v>0</v>
      </c>
      <c r="K43" s="246">
        <v>-5.8</v>
      </c>
      <c r="L43" s="246">
        <v>-20.399999999999999</v>
      </c>
      <c r="M43" s="247">
        <v>-23.1</v>
      </c>
      <c r="N43" s="236">
        <v>-6</v>
      </c>
      <c r="O43" s="237">
        <v>-8.9</v>
      </c>
      <c r="P43" s="237">
        <v>-12.1</v>
      </c>
      <c r="Q43" s="238">
        <v>-16.100000000000001</v>
      </c>
      <c r="R43" s="236">
        <v>-6.8</v>
      </c>
      <c r="S43" s="237">
        <v>-9.5</v>
      </c>
      <c r="T43" s="237">
        <v>-10.5</v>
      </c>
      <c r="U43" s="238">
        <v>-11.6</v>
      </c>
      <c r="V43" s="236">
        <v>0</v>
      </c>
      <c r="W43" s="237">
        <v>0</v>
      </c>
      <c r="X43" s="237">
        <v>-28.6</v>
      </c>
      <c r="Y43" s="238">
        <v>-31.1</v>
      </c>
      <c r="Z43" s="567">
        <v>-11</v>
      </c>
      <c r="AA43" s="567">
        <v>-11</v>
      </c>
      <c r="AB43" s="567">
        <v>-11</v>
      </c>
      <c r="AC43" s="238">
        <v>-12.4</v>
      </c>
      <c r="AD43" s="567">
        <v>-12.9</v>
      </c>
      <c r="AE43" s="567">
        <v>-14.6</v>
      </c>
      <c r="AF43" s="567">
        <v>-15.3</v>
      </c>
      <c r="AG43" s="238"/>
      <c r="AI43" s="236">
        <v>-12.9</v>
      </c>
      <c r="AJ43" s="567">
        <v>-14.6</v>
      </c>
      <c r="AK43" s="567">
        <v>-15.3</v>
      </c>
      <c r="AL43" s="238"/>
    </row>
    <row r="44" spans="1:38" s="10" customFormat="1" ht="20.100000000000001" customHeight="1">
      <c r="A44" s="217" t="s">
        <v>47</v>
      </c>
      <c r="B44" s="237">
        <v>0</v>
      </c>
      <c r="C44" s="237">
        <v>1.1000000000000001</v>
      </c>
      <c r="D44" s="237">
        <v>1.1000000000000001</v>
      </c>
      <c r="E44" s="306">
        <v>1.1000000000000001</v>
      </c>
      <c r="F44" s="253">
        <v>0</v>
      </c>
      <c r="G44" s="251">
        <v>0</v>
      </c>
      <c r="H44" s="251">
        <v>0</v>
      </c>
      <c r="I44" s="252">
        <v>0</v>
      </c>
      <c r="J44" s="254">
        <v>0</v>
      </c>
      <c r="K44" s="246">
        <v>0</v>
      </c>
      <c r="L44" s="246">
        <v>0</v>
      </c>
      <c r="M44" s="247">
        <v>0</v>
      </c>
      <c r="N44" s="236">
        <v>0</v>
      </c>
      <c r="O44" s="237">
        <v>0</v>
      </c>
      <c r="P44" s="237">
        <v>0</v>
      </c>
      <c r="Q44" s="238">
        <v>0</v>
      </c>
      <c r="R44" s="236">
        <v>0</v>
      </c>
      <c r="S44" s="237">
        <v>0</v>
      </c>
      <c r="T44" s="237">
        <v>0</v>
      </c>
      <c r="U44" s="238">
        <v>0.1</v>
      </c>
      <c r="V44" s="236">
        <v>0</v>
      </c>
      <c r="W44" s="237">
        <v>0</v>
      </c>
      <c r="X44" s="237">
        <v>25</v>
      </c>
      <c r="Y44" s="238">
        <v>30.5</v>
      </c>
      <c r="Z44" s="567">
        <v>0</v>
      </c>
      <c r="AA44" s="567">
        <v>6.4</v>
      </c>
      <c r="AB44" s="567">
        <v>30</v>
      </c>
      <c r="AC44" s="238">
        <v>29.3</v>
      </c>
      <c r="AD44" s="567">
        <v>0</v>
      </c>
      <c r="AE44" s="567">
        <v>0</v>
      </c>
      <c r="AF44" s="567">
        <v>0</v>
      </c>
      <c r="AG44" s="238"/>
      <c r="AI44" s="236">
        <v>0</v>
      </c>
      <c r="AJ44" s="567">
        <v>0</v>
      </c>
      <c r="AK44" s="567">
        <v>0</v>
      </c>
      <c r="AL44" s="238"/>
    </row>
    <row r="45" spans="1:38" s="10" customFormat="1" ht="20.100000000000001" customHeight="1">
      <c r="A45" s="217" t="s">
        <v>218</v>
      </c>
      <c r="B45" s="251">
        <v>0</v>
      </c>
      <c r="C45" s="251">
        <v>0</v>
      </c>
      <c r="D45" s="251">
        <v>0</v>
      </c>
      <c r="E45" s="252">
        <v>0</v>
      </c>
      <c r="F45" s="253">
        <v>0</v>
      </c>
      <c r="G45" s="251">
        <v>0</v>
      </c>
      <c r="H45" s="251">
        <v>0</v>
      </c>
      <c r="I45" s="252">
        <v>0</v>
      </c>
      <c r="J45" s="254">
        <v>0</v>
      </c>
      <c r="K45" s="246">
        <v>5</v>
      </c>
      <c r="L45" s="246">
        <v>5.5</v>
      </c>
      <c r="M45" s="247">
        <v>6.6</v>
      </c>
      <c r="N45" s="236">
        <v>1.2</v>
      </c>
      <c r="O45" s="237">
        <v>-2.1</v>
      </c>
      <c r="P45" s="237">
        <v>3.2</v>
      </c>
      <c r="Q45" s="238">
        <v>3.9</v>
      </c>
      <c r="R45" s="236">
        <v>-5</v>
      </c>
      <c r="S45" s="237">
        <v>-4</v>
      </c>
      <c r="T45" s="237">
        <v>-3.5</v>
      </c>
      <c r="U45" s="238">
        <v>-1.6</v>
      </c>
      <c r="V45" s="236">
        <v>-1.1000000000000001</v>
      </c>
      <c r="W45" s="237">
        <v>0</v>
      </c>
      <c r="X45" s="315" t="s">
        <v>206</v>
      </c>
      <c r="Y45" s="380" t="s">
        <v>206</v>
      </c>
      <c r="Z45" s="567">
        <v>-1.5</v>
      </c>
      <c r="AA45" s="567">
        <v>0</v>
      </c>
      <c r="AB45" s="567">
        <v>0</v>
      </c>
      <c r="AC45" s="380">
        <v>0</v>
      </c>
      <c r="AD45" s="567">
        <v>0</v>
      </c>
      <c r="AE45" s="567">
        <v>0</v>
      </c>
      <c r="AF45" s="567">
        <v>0</v>
      </c>
      <c r="AG45" s="380"/>
      <c r="AI45" s="236">
        <v>0</v>
      </c>
      <c r="AJ45" s="567">
        <v>0</v>
      </c>
      <c r="AK45" s="567">
        <v>0</v>
      </c>
      <c r="AL45" s="380"/>
    </row>
    <row r="46" spans="1:38" s="10" customFormat="1" ht="20.100000000000001" customHeight="1">
      <c r="A46" s="217" t="s">
        <v>73</v>
      </c>
      <c r="B46" s="251">
        <v>0</v>
      </c>
      <c r="C46" s="237">
        <v>1.258</v>
      </c>
      <c r="D46" s="237">
        <v>1.258</v>
      </c>
      <c r="E46" s="306">
        <v>2.706</v>
      </c>
      <c r="F46" s="236">
        <v>0</v>
      </c>
      <c r="G46" s="237">
        <v>2.5150000000000001</v>
      </c>
      <c r="H46" s="237">
        <v>2.5150000000000001</v>
      </c>
      <c r="I46" s="306">
        <v>2.5150000000000001</v>
      </c>
      <c r="J46" s="246">
        <v>2.5300000000000002</v>
      </c>
      <c r="K46" s="246">
        <v>2.5</v>
      </c>
      <c r="L46" s="246">
        <v>2.5</v>
      </c>
      <c r="M46" s="247">
        <v>2.5</v>
      </c>
      <c r="N46" s="236">
        <v>0</v>
      </c>
      <c r="O46" s="237">
        <v>0</v>
      </c>
      <c r="P46" s="237">
        <v>0</v>
      </c>
      <c r="Q46" s="238">
        <v>0</v>
      </c>
      <c r="R46" s="236">
        <v>0</v>
      </c>
      <c r="S46" s="237">
        <v>0</v>
      </c>
      <c r="T46" s="237">
        <v>0</v>
      </c>
      <c r="U46" s="238">
        <v>0</v>
      </c>
      <c r="V46" s="236">
        <v>0</v>
      </c>
      <c r="W46" s="237">
        <v>0</v>
      </c>
      <c r="X46" s="237">
        <v>0</v>
      </c>
      <c r="Y46" s="238">
        <v>0</v>
      </c>
      <c r="Z46" s="567">
        <v>0</v>
      </c>
      <c r="AA46" s="567">
        <v>0</v>
      </c>
      <c r="AB46" s="567">
        <v>0</v>
      </c>
      <c r="AC46" s="238">
        <v>0</v>
      </c>
      <c r="AD46" s="567">
        <v>0</v>
      </c>
      <c r="AE46" s="567">
        <v>0</v>
      </c>
      <c r="AF46" s="567">
        <v>0</v>
      </c>
      <c r="AG46" s="238"/>
      <c r="AI46" s="236">
        <v>0</v>
      </c>
      <c r="AJ46" s="567">
        <v>0</v>
      </c>
      <c r="AK46" s="567">
        <v>0</v>
      </c>
      <c r="AL46" s="238"/>
    </row>
    <row r="47" spans="1:38" s="614" customFormat="1" ht="20.100000000000001" customHeight="1">
      <c r="A47" s="660" t="s">
        <v>266</v>
      </c>
      <c r="B47" s="669"/>
      <c r="C47" s="639"/>
      <c r="D47" s="639"/>
      <c r="E47" s="662"/>
      <c r="F47" s="663"/>
      <c r="G47" s="639"/>
      <c r="H47" s="639"/>
      <c r="I47" s="662"/>
      <c r="J47" s="665"/>
      <c r="K47" s="665"/>
      <c r="L47" s="665"/>
      <c r="M47" s="666"/>
      <c r="N47" s="663"/>
      <c r="O47" s="639"/>
      <c r="P47" s="639"/>
      <c r="Q47" s="667"/>
      <c r="R47" s="663"/>
      <c r="S47" s="639"/>
      <c r="T47" s="639"/>
      <c r="U47" s="667"/>
      <c r="V47" s="663"/>
      <c r="W47" s="639"/>
      <c r="X47" s="639"/>
      <c r="Y47" s="667"/>
      <c r="Z47" s="639"/>
      <c r="AA47" s="639"/>
      <c r="AB47" s="639"/>
      <c r="AC47" s="667"/>
      <c r="AD47" s="639"/>
      <c r="AE47" s="639">
        <v>8.6999999999999993</v>
      </c>
      <c r="AF47" s="639">
        <v>8.6999999999999993</v>
      </c>
      <c r="AG47" s="667"/>
      <c r="AI47" s="663"/>
      <c r="AJ47" s="639">
        <v>8.6999999999999993</v>
      </c>
      <c r="AK47" s="639">
        <v>8.6999999999999993</v>
      </c>
      <c r="AL47" s="667"/>
    </row>
    <row r="48" spans="1:38" s="10" customFormat="1" ht="20.100000000000001" customHeight="1" thickBot="1">
      <c r="A48" s="217" t="s">
        <v>209</v>
      </c>
      <c r="B48" s="251">
        <v>0</v>
      </c>
      <c r="C48" s="251">
        <v>0</v>
      </c>
      <c r="D48" s="251">
        <v>0</v>
      </c>
      <c r="E48" s="252">
        <v>0</v>
      </c>
      <c r="F48" s="253">
        <v>0</v>
      </c>
      <c r="G48" s="251">
        <v>0</v>
      </c>
      <c r="H48" s="251">
        <v>0</v>
      </c>
      <c r="I48" s="252">
        <v>0</v>
      </c>
      <c r="J48" s="254">
        <v>0</v>
      </c>
      <c r="K48" s="246">
        <v>0</v>
      </c>
      <c r="L48" s="246">
        <v>0</v>
      </c>
      <c r="M48" s="247">
        <v>0</v>
      </c>
      <c r="N48" s="236">
        <v>0</v>
      </c>
      <c r="O48" s="237">
        <v>0</v>
      </c>
      <c r="P48" s="237">
        <v>0</v>
      </c>
      <c r="Q48" s="238">
        <v>0</v>
      </c>
      <c r="R48" s="236">
        <v>0</v>
      </c>
      <c r="S48" s="237">
        <v>1</v>
      </c>
      <c r="T48" s="237">
        <v>1</v>
      </c>
      <c r="U48" s="238">
        <v>3.5</v>
      </c>
      <c r="V48" s="236">
        <v>1.2</v>
      </c>
      <c r="W48" s="256">
        <v>-0.5</v>
      </c>
      <c r="X48" s="237">
        <v>5.9</v>
      </c>
      <c r="Y48" s="238">
        <v>6.4</v>
      </c>
      <c r="Z48" s="567">
        <v>1.1000000000000001</v>
      </c>
      <c r="AA48" s="571">
        <v>-0.9</v>
      </c>
      <c r="AB48" s="571">
        <v>-5.9</v>
      </c>
      <c r="AC48" s="238">
        <v>1.2</v>
      </c>
      <c r="AD48" s="567">
        <v>3</v>
      </c>
      <c r="AE48" s="571">
        <v>0.5</v>
      </c>
      <c r="AF48" s="571">
        <v>2.4</v>
      </c>
      <c r="AG48" s="238"/>
      <c r="AI48" s="236">
        <v>3</v>
      </c>
      <c r="AJ48" s="571">
        <v>0.5</v>
      </c>
      <c r="AK48" s="571">
        <v>2.4</v>
      </c>
      <c r="AL48" s="238"/>
    </row>
    <row r="49" spans="1:38" s="10" customFormat="1" ht="24.95" customHeight="1" thickBot="1">
      <c r="A49" s="13" t="s">
        <v>64</v>
      </c>
      <c r="B49" s="240">
        <f t="shared" ref="B49:Y49" si="18">SUM(B32:B48)</f>
        <v>-24.143000000000004</v>
      </c>
      <c r="C49" s="240">
        <f t="shared" si="18"/>
        <v>-83.230000000000018</v>
      </c>
      <c r="D49" s="240">
        <f t="shared" si="18"/>
        <v>-107.08400000000002</v>
      </c>
      <c r="E49" s="229">
        <f t="shared" si="18"/>
        <v>-133.43099999999998</v>
      </c>
      <c r="F49" s="239">
        <f t="shared" si="18"/>
        <v>-34.882999999999996</v>
      </c>
      <c r="G49" s="240">
        <f t="shared" si="18"/>
        <v>-58.354000000000006</v>
      </c>
      <c r="H49" s="240">
        <f t="shared" si="18"/>
        <v>-110.15100000000002</v>
      </c>
      <c r="I49" s="229">
        <f t="shared" si="18"/>
        <v>-133.83700000000002</v>
      </c>
      <c r="J49" s="239">
        <f t="shared" si="18"/>
        <v>-36.552999999999997</v>
      </c>
      <c r="K49" s="240">
        <f t="shared" si="18"/>
        <v>1394.1000000000001</v>
      </c>
      <c r="L49" s="240">
        <f t="shared" si="18"/>
        <v>1042.3</v>
      </c>
      <c r="M49" s="248">
        <f t="shared" si="18"/>
        <v>972.80000000000007</v>
      </c>
      <c r="N49" s="239">
        <f t="shared" si="18"/>
        <v>-208.2</v>
      </c>
      <c r="O49" s="240">
        <f t="shared" si="18"/>
        <v>-347.59999999999997</v>
      </c>
      <c r="P49" s="240">
        <f t="shared" si="18"/>
        <v>-576.29999999999995</v>
      </c>
      <c r="Q49" s="241">
        <f t="shared" si="18"/>
        <v>-726.60000000000014</v>
      </c>
      <c r="R49" s="239">
        <f t="shared" si="18"/>
        <v>-24.899999999999988</v>
      </c>
      <c r="S49" s="240">
        <f t="shared" si="18"/>
        <v>-541.09999999999991</v>
      </c>
      <c r="T49" s="240">
        <f t="shared" si="18"/>
        <v>-815.19999999999993</v>
      </c>
      <c r="U49" s="241">
        <f t="shared" si="18"/>
        <v>-1003.4</v>
      </c>
      <c r="V49" s="239">
        <f t="shared" si="18"/>
        <v>-159.20000000000002</v>
      </c>
      <c r="W49" s="240">
        <f t="shared" si="18"/>
        <v>-367.5</v>
      </c>
      <c r="X49" s="240">
        <f t="shared" si="18"/>
        <v>-657.20000000000016</v>
      </c>
      <c r="Y49" s="229">
        <f t="shared" si="18"/>
        <v>-1573.2999999999997</v>
      </c>
      <c r="Z49" s="239">
        <f>SUM(Z32:Z48)</f>
        <v>-255.4</v>
      </c>
      <c r="AA49" s="568">
        <f>SUM(AA32:AA48)</f>
        <v>-637.70000000000005</v>
      </c>
      <c r="AB49" s="568">
        <f>SUM(AB32:AB48)</f>
        <v>-1197.3000000000002</v>
      </c>
      <c r="AC49" s="241">
        <f>SUM(AC32:AC48)</f>
        <v>-1835.5</v>
      </c>
      <c r="AD49" s="239">
        <f>SUM(AD32:AD48)</f>
        <v>-367.19999999999993</v>
      </c>
      <c r="AE49" s="568">
        <f t="shared" ref="AE49" si="19">SUM(AE32:AE48)</f>
        <v>-731.99999999999989</v>
      </c>
      <c r="AF49" s="568">
        <f t="shared" ref="AF49:AG49" si="20">SUM(AF32:AF48)</f>
        <v>-1181.4999999999998</v>
      </c>
      <c r="AG49" s="241">
        <f t="shared" si="20"/>
        <v>0</v>
      </c>
      <c r="AI49" s="239">
        <f>SUM(AI32:AI48)</f>
        <v>-367.19999999999993</v>
      </c>
      <c r="AJ49" s="568">
        <f t="shared" ref="AJ49" si="21">SUM(AJ32:AJ48)</f>
        <v>-731.99999999999989</v>
      </c>
      <c r="AK49" s="568">
        <f t="shared" ref="AK49:AL49" si="22">SUM(AK32:AK48)</f>
        <v>-1181.4999999999998</v>
      </c>
      <c r="AL49" s="241">
        <f t="shared" si="22"/>
        <v>0</v>
      </c>
    </row>
    <row r="50" spans="1:38" s="10" customFormat="1" ht="20.100000000000001" customHeight="1">
      <c r="A50" s="217" t="s">
        <v>42</v>
      </c>
      <c r="B50" s="237">
        <v>-26.754999999999999</v>
      </c>
      <c r="C50" s="237">
        <v>-155.76300000000001</v>
      </c>
      <c r="D50" s="237">
        <v>-397.57499999999999</v>
      </c>
      <c r="E50" s="306">
        <v>-453.32400000000001</v>
      </c>
      <c r="F50" s="236">
        <v>-49.813000000000002</v>
      </c>
      <c r="G50" s="237">
        <v>-192.59</v>
      </c>
      <c r="H50" s="237">
        <v>-366.16200000000003</v>
      </c>
      <c r="I50" s="306">
        <v>-431.11700000000002</v>
      </c>
      <c r="J50" s="246">
        <v>-37.393999999999998</v>
      </c>
      <c r="K50" s="246">
        <v>-547.1</v>
      </c>
      <c r="L50" s="246">
        <v>-747.1</v>
      </c>
      <c r="M50" s="247">
        <v>-1087.0999999999999</v>
      </c>
      <c r="N50" s="236">
        <v>-157</v>
      </c>
      <c r="O50" s="237">
        <v>-954.2</v>
      </c>
      <c r="P50" s="237">
        <v>-9222.2000000000007</v>
      </c>
      <c r="Q50" s="238">
        <v>-9222.2000000000007</v>
      </c>
      <c r="R50" s="236">
        <v>-916.1</v>
      </c>
      <c r="S50" s="237">
        <v>-1498.9</v>
      </c>
      <c r="T50" s="237">
        <v>-1706.9</v>
      </c>
      <c r="U50" s="238">
        <v>-1940.9</v>
      </c>
      <c r="V50" s="236">
        <v>-234</v>
      </c>
      <c r="W50" s="237">
        <v>-568</v>
      </c>
      <c r="X50" s="237">
        <v>-802</v>
      </c>
      <c r="Y50" s="238">
        <v>-1162.5</v>
      </c>
      <c r="Z50" s="237">
        <v>-550</v>
      </c>
      <c r="AA50" s="567">
        <v>-652</v>
      </c>
      <c r="AB50" s="567">
        <v>-1077.8</v>
      </c>
      <c r="AC50" s="238">
        <v>-1282.2</v>
      </c>
      <c r="AD50" s="567">
        <v>-584.4</v>
      </c>
      <c r="AE50" s="567">
        <v>-851.6</v>
      </c>
      <c r="AF50" s="567">
        <v>-1406</v>
      </c>
      <c r="AG50" s="238"/>
      <c r="AI50" s="236">
        <v>-584.4</v>
      </c>
      <c r="AJ50" s="567">
        <v>-851.6</v>
      </c>
      <c r="AK50" s="567">
        <v>-1406</v>
      </c>
      <c r="AL50" s="238"/>
    </row>
    <row r="51" spans="1:38" s="10" customFormat="1" ht="20.100000000000001" customHeight="1">
      <c r="A51" s="217" t="s">
        <v>94</v>
      </c>
      <c r="B51" s="251">
        <v>0</v>
      </c>
      <c r="C51" s="251">
        <v>0</v>
      </c>
      <c r="D51" s="251">
        <v>0</v>
      </c>
      <c r="E51" s="252">
        <v>0</v>
      </c>
      <c r="F51" s="253">
        <v>0</v>
      </c>
      <c r="G51" s="251">
        <v>0</v>
      </c>
      <c r="H51" s="251">
        <v>0</v>
      </c>
      <c r="I51" s="252">
        <v>0</v>
      </c>
      <c r="J51" s="254">
        <v>0</v>
      </c>
      <c r="K51" s="246">
        <v>2800</v>
      </c>
      <c r="L51" s="246">
        <v>2800</v>
      </c>
      <c r="M51" s="247">
        <v>2800</v>
      </c>
      <c r="N51" s="236">
        <v>50</v>
      </c>
      <c r="O51" s="237">
        <v>120</v>
      </c>
      <c r="P51" s="237">
        <v>6820</v>
      </c>
      <c r="Q51" s="238">
        <v>6820</v>
      </c>
      <c r="R51" s="236">
        <v>5500</v>
      </c>
      <c r="S51" s="237">
        <v>5500</v>
      </c>
      <c r="T51" s="237">
        <v>5500</v>
      </c>
      <c r="U51" s="238">
        <v>5500</v>
      </c>
      <c r="V51" s="236">
        <v>0</v>
      </c>
      <c r="W51" s="237">
        <v>600</v>
      </c>
      <c r="X51" s="237">
        <v>600</v>
      </c>
      <c r="Y51" s="238">
        <v>1200</v>
      </c>
      <c r="Z51" s="237">
        <v>0</v>
      </c>
      <c r="AA51" s="567">
        <v>18.100000000000001</v>
      </c>
      <c r="AB51" s="567">
        <v>635.29999999999995</v>
      </c>
      <c r="AC51" s="238">
        <v>635.29999999999995</v>
      </c>
      <c r="AD51" s="567">
        <v>0</v>
      </c>
      <c r="AE51" s="567">
        <v>0</v>
      </c>
      <c r="AF51" s="567">
        <v>780</v>
      </c>
      <c r="AG51" s="238"/>
      <c r="AI51" s="236">
        <v>0</v>
      </c>
      <c r="AJ51" s="567">
        <v>0</v>
      </c>
      <c r="AK51" s="567">
        <v>780</v>
      </c>
      <c r="AL51" s="238"/>
    </row>
    <row r="52" spans="1:38" s="614" customFormat="1" ht="20.100000000000001" customHeight="1">
      <c r="A52" s="660" t="s">
        <v>192</v>
      </c>
      <c r="B52" s="669">
        <v>0</v>
      </c>
      <c r="C52" s="669">
        <v>0</v>
      </c>
      <c r="D52" s="669">
        <v>0</v>
      </c>
      <c r="E52" s="670">
        <v>0</v>
      </c>
      <c r="F52" s="671">
        <v>0</v>
      </c>
      <c r="G52" s="669">
        <v>0</v>
      </c>
      <c r="H52" s="669">
        <v>0</v>
      </c>
      <c r="I52" s="670">
        <v>0</v>
      </c>
      <c r="J52" s="664">
        <v>0</v>
      </c>
      <c r="K52" s="665">
        <v>-2275.9</v>
      </c>
      <c r="L52" s="665">
        <v>-2275.9</v>
      </c>
      <c r="M52" s="666">
        <v>-2275.9</v>
      </c>
      <c r="N52" s="663">
        <v>0</v>
      </c>
      <c r="O52" s="639">
        <v>0</v>
      </c>
      <c r="P52" s="639">
        <v>1000</v>
      </c>
      <c r="Q52" s="667">
        <v>1000</v>
      </c>
      <c r="R52" s="663">
        <v>-4483.8</v>
      </c>
      <c r="S52" s="639">
        <v>-4483.8</v>
      </c>
      <c r="T52" s="639">
        <v>-4483.8</v>
      </c>
      <c r="U52" s="667">
        <v>-4484</v>
      </c>
      <c r="V52" s="663">
        <v>0</v>
      </c>
      <c r="W52" s="639">
        <v>-886.7</v>
      </c>
      <c r="X52" s="639">
        <v>-886.7</v>
      </c>
      <c r="Y52" s="667">
        <v>-886.7</v>
      </c>
      <c r="Z52" s="639">
        <v>0</v>
      </c>
      <c r="AA52" s="639">
        <v>0</v>
      </c>
      <c r="AB52" s="639">
        <v>0</v>
      </c>
      <c r="AC52" s="667">
        <v>0</v>
      </c>
      <c r="AD52" s="639">
        <v>0</v>
      </c>
      <c r="AE52" s="673" t="s">
        <v>272</v>
      </c>
      <c r="AF52" s="673" t="s">
        <v>272</v>
      </c>
      <c r="AG52" s="667"/>
      <c r="AI52" s="663">
        <v>0</v>
      </c>
      <c r="AJ52" s="673" t="s">
        <v>272</v>
      </c>
      <c r="AK52" s="673" t="s">
        <v>272</v>
      </c>
      <c r="AL52" s="667"/>
    </row>
    <row r="53" spans="1:38" s="10" customFormat="1" ht="20.100000000000001" customHeight="1">
      <c r="A53" s="217" t="s">
        <v>220</v>
      </c>
      <c r="B53" s="251"/>
      <c r="C53" s="251"/>
      <c r="D53" s="251"/>
      <c r="E53" s="252"/>
      <c r="F53" s="253"/>
      <c r="G53" s="251"/>
      <c r="H53" s="251"/>
      <c r="I53" s="252"/>
      <c r="J53" s="254"/>
      <c r="K53" s="246"/>
      <c r="L53" s="246"/>
      <c r="M53" s="247"/>
      <c r="N53" s="236"/>
      <c r="O53" s="237"/>
      <c r="P53" s="237"/>
      <c r="Q53" s="238"/>
      <c r="R53" s="236">
        <v>-262.10000000000002</v>
      </c>
      <c r="S53" s="237">
        <v>-262.10000000000002</v>
      </c>
      <c r="T53" s="237">
        <v>-262.10000000000002</v>
      </c>
      <c r="U53" s="238">
        <v>-262.10000000000002</v>
      </c>
      <c r="V53" s="236">
        <v>0</v>
      </c>
      <c r="W53" s="237">
        <v>-58.7</v>
      </c>
      <c r="X53" s="237">
        <v>-58.7</v>
      </c>
      <c r="Y53" s="238">
        <v>-58.7</v>
      </c>
      <c r="Z53" s="237">
        <v>0</v>
      </c>
      <c r="AA53" s="567">
        <v>0</v>
      </c>
      <c r="AB53" s="567">
        <v>0</v>
      </c>
      <c r="AC53" s="238">
        <v>0</v>
      </c>
      <c r="AD53" s="567">
        <v>0</v>
      </c>
      <c r="AE53" s="567">
        <v>0</v>
      </c>
      <c r="AF53" s="567">
        <v>0</v>
      </c>
      <c r="AG53" s="238"/>
      <c r="AI53" s="236">
        <v>0</v>
      </c>
      <c r="AJ53" s="567">
        <v>0</v>
      </c>
      <c r="AK53" s="567">
        <v>0</v>
      </c>
      <c r="AL53" s="238"/>
    </row>
    <row r="54" spans="1:38" s="10" customFormat="1" ht="20.100000000000001" customHeight="1">
      <c r="A54" s="217" t="s">
        <v>170</v>
      </c>
      <c r="B54" s="251"/>
      <c r="C54" s="251"/>
      <c r="D54" s="251"/>
      <c r="E54" s="252"/>
      <c r="F54" s="253"/>
      <c r="G54" s="251"/>
      <c r="H54" s="251"/>
      <c r="I54" s="252"/>
      <c r="J54" s="254"/>
      <c r="K54" s="246"/>
      <c r="L54" s="246"/>
      <c r="M54" s="247"/>
      <c r="N54" s="236"/>
      <c r="O54" s="237"/>
      <c r="P54" s="237"/>
      <c r="Q54" s="238"/>
      <c r="R54" s="236">
        <v>175.4</v>
      </c>
      <c r="S54" s="237">
        <v>175.4</v>
      </c>
      <c r="T54" s="237">
        <v>175.4</v>
      </c>
      <c r="U54" s="238">
        <v>175.4</v>
      </c>
      <c r="V54" s="236">
        <v>0</v>
      </c>
      <c r="W54" s="237">
        <v>0</v>
      </c>
      <c r="X54" s="237">
        <v>0</v>
      </c>
      <c r="Y54" s="238">
        <v>0</v>
      </c>
      <c r="Z54" s="237">
        <v>0</v>
      </c>
      <c r="AA54" s="567">
        <v>0</v>
      </c>
      <c r="AB54" s="567">
        <v>0</v>
      </c>
      <c r="AC54" s="238">
        <v>0</v>
      </c>
      <c r="AD54" s="567">
        <v>0</v>
      </c>
      <c r="AE54" s="567">
        <v>0</v>
      </c>
      <c r="AF54" s="567">
        <v>0</v>
      </c>
      <c r="AG54" s="238"/>
      <c r="AI54" s="236">
        <v>0</v>
      </c>
      <c r="AJ54" s="567">
        <v>0</v>
      </c>
      <c r="AK54" s="567">
        <v>0</v>
      </c>
      <c r="AL54" s="238"/>
    </row>
    <row r="55" spans="1:38" s="614" customFormat="1" ht="15">
      <c r="A55" s="672" t="s">
        <v>274</v>
      </c>
      <c r="B55" s="639">
        <v>-26.132999999999999</v>
      </c>
      <c r="C55" s="639">
        <f>(-103258-821)*0.001</f>
        <v>-104.07900000000001</v>
      </c>
      <c r="D55" s="639">
        <f>(-125824-2250)*0.001</f>
        <v>-128.07400000000001</v>
      </c>
      <c r="E55" s="662">
        <f>(-195934-3683)*0.001</f>
        <v>-199.61699999999999</v>
      </c>
      <c r="F55" s="663">
        <f>(-15811-1035)*0.001</f>
        <v>-16.846</v>
      </c>
      <c r="G55" s="639">
        <f>(-84439-1241)*0.001</f>
        <v>-85.68</v>
      </c>
      <c r="H55" s="639">
        <f>(-96215-1689)*0.001</f>
        <v>-97.903999999999996</v>
      </c>
      <c r="I55" s="662">
        <v>-165.017</v>
      </c>
      <c r="J55" s="665">
        <v>-9.0950000000000006</v>
      </c>
      <c r="K55" s="665">
        <v>-348.3</v>
      </c>
      <c r="L55" s="665">
        <v>-733.5</v>
      </c>
      <c r="M55" s="666">
        <v>-872.2</v>
      </c>
      <c r="N55" s="663">
        <v>-357.9</v>
      </c>
      <c r="O55" s="639">
        <v>-472.3</v>
      </c>
      <c r="P55" s="639">
        <v>-804.1</v>
      </c>
      <c r="Q55" s="667">
        <v>-978.9</v>
      </c>
      <c r="R55" s="663">
        <v>-383.2</v>
      </c>
      <c r="S55" s="639">
        <v>-507.9</v>
      </c>
      <c r="T55" s="639">
        <v>-631.70000000000005</v>
      </c>
      <c r="U55" s="667">
        <v>-729.6</v>
      </c>
      <c r="V55" s="663">
        <v>-112.5</v>
      </c>
      <c r="W55" s="639">
        <v>-206</v>
      </c>
      <c r="X55" s="639">
        <v>-319.60000000000002</v>
      </c>
      <c r="Y55" s="667">
        <v>-409.9</v>
      </c>
      <c r="Z55" s="639">
        <v>-138</v>
      </c>
      <c r="AA55" s="639">
        <v>-230.9</v>
      </c>
      <c r="AB55" s="639">
        <v>-342.8</v>
      </c>
      <c r="AC55" s="667">
        <v>-419</v>
      </c>
      <c r="AD55" s="639">
        <v>-107.1</v>
      </c>
      <c r="AE55" s="639">
        <v>-205.5</v>
      </c>
      <c r="AF55" s="639">
        <v>-362</v>
      </c>
      <c r="AG55" s="667"/>
      <c r="AI55" s="663">
        <v>-107.1</v>
      </c>
      <c r="AJ55" s="639">
        <v>-205.5</v>
      </c>
      <c r="AK55" s="639">
        <v>-362</v>
      </c>
      <c r="AL55" s="667"/>
    </row>
    <row r="56" spans="1:38" s="10" customFormat="1" ht="20.100000000000001" customHeight="1">
      <c r="A56" s="218" t="s">
        <v>260</v>
      </c>
      <c r="B56" s="567"/>
      <c r="C56" s="567"/>
      <c r="D56" s="567"/>
      <c r="E56" s="306"/>
      <c r="F56" s="236"/>
      <c r="G56" s="567"/>
      <c r="H56" s="567"/>
      <c r="I56" s="306"/>
      <c r="J56" s="246"/>
      <c r="K56" s="246"/>
      <c r="L56" s="246"/>
      <c r="M56" s="247"/>
      <c r="N56" s="236"/>
      <c r="O56" s="567"/>
      <c r="P56" s="567"/>
      <c r="Q56" s="238"/>
      <c r="R56" s="236"/>
      <c r="S56" s="567"/>
      <c r="T56" s="567"/>
      <c r="U56" s="238"/>
      <c r="V56" s="236"/>
      <c r="W56" s="567"/>
      <c r="X56" s="567"/>
      <c r="Y56" s="238"/>
      <c r="Z56" s="567"/>
      <c r="AA56" s="567"/>
      <c r="AB56" s="567"/>
      <c r="AC56" s="238"/>
      <c r="AD56" s="567">
        <v>-0.2</v>
      </c>
      <c r="AE56" s="567">
        <v>-0.4</v>
      </c>
      <c r="AF56" s="567">
        <v>-0.6</v>
      </c>
      <c r="AG56" s="238"/>
      <c r="AI56" s="236">
        <v>-7.8</v>
      </c>
      <c r="AJ56" s="567">
        <v>-18.8</v>
      </c>
      <c r="AK56" s="567">
        <v>-28.6</v>
      </c>
      <c r="AL56" s="238"/>
    </row>
    <row r="57" spans="1:38" s="10" customFormat="1" ht="20.100000000000001" customHeight="1">
      <c r="A57" s="218" t="s">
        <v>261</v>
      </c>
      <c r="B57" s="567"/>
      <c r="C57" s="567"/>
      <c r="D57" s="567"/>
      <c r="E57" s="306"/>
      <c r="F57" s="236"/>
      <c r="G57" s="567"/>
      <c r="H57" s="567"/>
      <c r="I57" s="306"/>
      <c r="J57" s="246"/>
      <c r="K57" s="246"/>
      <c r="L57" s="246"/>
      <c r="M57" s="247"/>
      <c r="N57" s="236"/>
      <c r="O57" s="567"/>
      <c r="P57" s="567"/>
      <c r="Q57" s="238"/>
      <c r="R57" s="236"/>
      <c r="S57" s="567"/>
      <c r="T57" s="567"/>
      <c r="U57" s="238"/>
      <c r="V57" s="236"/>
      <c r="W57" s="567"/>
      <c r="X57" s="567"/>
      <c r="Y57" s="238"/>
      <c r="Z57" s="567"/>
      <c r="AA57" s="567"/>
      <c r="AB57" s="567"/>
      <c r="AC57" s="238"/>
      <c r="AD57" s="567">
        <v>-3.1</v>
      </c>
      <c r="AE57" s="567">
        <v>-6.1</v>
      </c>
      <c r="AF57" s="567">
        <v>-8.9</v>
      </c>
      <c r="AG57" s="238"/>
      <c r="AI57" s="236">
        <v>-54.5</v>
      </c>
      <c r="AJ57" s="567">
        <v>-142.69999999999999</v>
      </c>
      <c r="AK57" s="567">
        <v>-234</v>
      </c>
      <c r="AL57" s="238"/>
    </row>
    <row r="58" spans="1:38" s="10" customFormat="1" ht="20.100000000000001" customHeight="1">
      <c r="A58" s="217" t="s">
        <v>207</v>
      </c>
      <c r="B58" s="251">
        <v>0</v>
      </c>
      <c r="C58" s="251">
        <v>0</v>
      </c>
      <c r="D58" s="251">
        <v>0</v>
      </c>
      <c r="E58" s="252">
        <v>0</v>
      </c>
      <c r="F58" s="253">
        <v>0</v>
      </c>
      <c r="G58" s="251">
        <v>0</v>
      </c>
      <c r="H58" s="251">
        <v>0</v>
      </c>
      <c r="I58" s="252">
        <v>0</v>
      </c>
      <c r="J58" s="254">
        <v>0</v>
      </c>
      <c r="K58" s="246">
        <v>-102.9</v>
      </c>
      <c r="L58" s="246">
        <v>-102.9</v>
      </c>
      <c r="M58" s="247">
        <v>-102.9</v>
      </c>
      <c r="N58" s="236">
        <v>0</v>
      </c>
      <c r="O58" s="237">
        <v>0</v>
      </c>
      <c r="P58" s="237">
        <v>0</v>
      </c>
      <c r="Q58" s="238">
        <v>0</v>
      </c>
      <c r="R58" s="236">
        <v>0</v>
      </c>
      <c r="S58" s="237">
        <v>0</v>
      </c>
      <c r="T58" s="237">
        <v>0</v>
      </c>
      <c r="U58" s="238">
        <v>0</v>
      </c>
      <c r="V58" s="236">
        <v>0</v>
      </c>
      <c r="W58" s="237">
        <v>0</v>
      </c>
      <c r="X58" s="237">
        <v>-204.7</v>
      </c>
      <c r="Y58" s="238">
        <v>-204.7</v>
      </c>
      <c r="Z58" s="237">
        <v>0</v>
      </c>
      <c r="AA58" s="567">
        <v>0</v>
      </c>
      <c r="AB58" s="567">
        <v>0</v>
      </c>
      <c r="AC58" s="238">
        <v>0</v>
      </c>
      <c r="AD58" s="567">
        <v>0</v>
      </c>
      <c r="AE58" s="567">
        <v>0</v>
      </c>
      <c r="AF58" s="567">
        <v>-287.8</v>
      </c>
      <c r="AG58" s="238"/>
      <c r="AI58" s="236">
        <v>0</v>
      </c>
      <c r="AJ58" s="567">
        <v>0</v>
      </c>
      <c r="AK58" s="567">
        <v>-287.8</v>
      </c>
      <c r="AL58" s="238"/>
    </row>
    <row r="59" spans="1:38" s="375" customFormat="1" ht="20.100000000000001" customHeight="1">
      <c r="A59" s="417" t="s">
        <v>217</v>
      </c>
      <c r="B59" s="421"/>
      <c r="C59" s="421"/>
      <c r="D59" s="421"/>
      <c r="E59" s="422"/>
      <c r="F59" s="423"/>
      <c r="G59" s="421"/>
      <c r="H59" s="421"/>
      <c r="I59" s="422"/>
      <c r="J59" s="426"/>
      <c r="K59" s="420"/>
      <c r="L59" s="420"/>
      <c r="M59" s="247"/>
      <c r="N59" s="419"/>
      <c r="O59" s="256"/>
      <c r="P59" s="256"/>
      <c r="Q59" s="238"/>
      <c r="R59" s="419"/>
      <c r="S59" s="256">
        <v>-323.60000000000002</v>
      </c>
      <c r="T59" s="256">
        <v>-323.60000000000002</v>
      </c>
      <c r="U59" s="238">
        <v>-323.60000000000002</v>
      </c>
      <c r="V59" s="419">
        <v>0</v>
      </c>
      <c r="W59" s="256">
        <v>0</v>
      </c>
      <c r="X59" s="256">
        <v>0</v>
      </c>
      <c r="Y59" s="238">
        <v>0</v>
      </c>
      <c r="Z59" s="256">
        <v>0</v>
      </c>
      <c r="AA59" s="571">
        <v>0</v>
      </c>
      <c r="AB59" s="571">
        <v>0</v>
      </c>
      <c r="AC59" s="238">
        <v>0</v>
      </c>
      <c r="AD59" s="567">
        <v>0</v>
      </c>
      <c r="AE59" s="571">
        <v>0</v>
      </c>
      <c r="AF59" s="571">
        <v>0</v>
      </c>
      <c r="AG59" s="238"/>
      <c r="AI59" s="419">
        <v>0</v>
      </c>
      <c r="AJ59" s="571">
        <v>0</v>
      </c>
      <c r="AK59" s="571">
        <v>0</v>
      </c>
      <c r="AL59" s="238"/>
    </row>
    <row r="60" spans="1:38" s="10" customFormat="1" ht="20.100000000000001" customHeight="1">
      <c r="A60" s="217" t="s">
        <v>203</v>
      </c>
      <c r="B60" s="237">
        <v>-8.4000000000000005E-2</v>
      </c>
      <c r="C60" s="237">
        <v>-0.23899999999999999</v>
      </c>
      <c r="D60" s="237">
        <v>-0.315</v>
      </c>
      <c r="E60" s="306">
        <v>-0.40600000000000003</v>
      </c>
      <c r="F60" s="236">
        <v>-7.8E-2</v>
      </c>
      <c r="G60" s="237">
        <v>-0.16800000000000001</v>
      </c>
      <c r="H60" s="237">
        <v>-0.25600000000000001</v>
      </c>
      <c r="I60" s="306">
        <v>-0.33</v>
      </c>
      <c r="J60" s="246">
        <v>-6.2E-2</v>
      </c>
      <c r="K60" s="246">
        <v>-0.3</v>
      </c>
      <c r="L60" s="246">
        <v>-0.7</v>
      </c>
      <c r="M60" s="247">
        <v>-0.9</v>
      </c>
      <c r="N60" s="236">
        <v>-2.5</v>
      </c>
      <c r="O60" s="237">
        <v>-3.5</v>
      </c>
      <c r="P60" s="237">
        <v>-4.5</v>
      </c>
      <c r="Q60" s="238">
        <v>-5.6</v>
      </c>
      <c r="R60" s="236">
        <v>-2.1</v>
      </c>
      <c r="S60" s="237">
        <v>-2.7</v>
      </c>
      <c r="T60" s="237">
        <v>-4.4000000000000004</v>
      </c>
      <c r="U60" s="238">
        <v>-6</v>
      </c>
      <c r="V60" s="236">
        <f>-0.3-1.4</f>
        <v>-1.7</v>
      </c>
      <c r="W60" s="237">
        <v>-2.9</v>
      </c>
      <c r="X60" s="237">
        <v>-4.3</v>
      </c>
      <c r="Y60" s="238">
        <v>-5.2</v>
      </c>
      <c r="Z60" s="237">
        <v>-1.6</v>
      </c>
      <c r="AA60" s="567">
        <v>-3.4</v>
      </c>
      <c r="AB60" s="567">
        <v>-4.8</v>
      </c>
      <c r="AC60" s="238">
        <v>-8.4</v>
      </c>
      <c r="AD60" s="567">
        <v>-0.6</v>
      </c>
      <c r="AE60" s="567">
        <v>-0.4</v>
      </c>
      <c r="AF60" s="567">
        <v>-0.6</v>
      </c>
      <c r="AG60" s="238"/>
      <c r="AI60" s="236">
        <v>-0.6</v>
      </c>
      <c r="AJ60" s="567">
        <v>-0.4</v>
      </c>
      <c r="AK60" s="567">
        <v>-0.6</v>
      </c>
      <c r="AL60" s="238"/>
    </row>
    <row r="61" spans="1:38" s="10" customFormat="1" ht="20.100000000000001" customHeight="1" thickBot="1">
      <c r="A61" s="217" t="s">
        <v>88</v>
      </c>
      <c r="B61" s="255">
        <v>0</v>
      </c>
      <c r="C61" s="255">
        <v>0</v>
      </c>
      <c r="D61" s="255">
        <v>0</v>
      </c>
      <c r="E61" s="252">
        <v>0</v>
      </c>
      <c r="F61" s="253">
        <v>0</v>
      </c>
      <c r="G61" s="251">
        <v>0</v>
      </c>
      <c r="H61" s="251">
        <v>0</v>
      </c>
      <c r="I61" s="252">
        <v>0</v>
      </c>
      <c r="J61" s="254">
        <v>0</v>
      </c>
      <c r="K61" s="246">
        <v>-3.8</v>
      </c>
      <c r="L61" s="246">
        <v>-3.9</v>
      </c>
      <c r="M61" s="247">
        <v>-3.9</v>
      </c>
      <c r="N61" s="236">
        <v>0</v>
      </c>
      <c r="O61" s="237">
        <v>0</v>
      </c>
      <c r="P61" s="237">
        <v>0</v>
      </c>
      <c r="Q61" s="238">
        <v>0</v>
      </c>
      <c r="R61" s="236">
        <v>0</v>
      </c>
      <c r="S61" s="237">
        <v>0</v>
      </c>
      <c r="T61" s="237">
        <v>0</v>
      </c>
      <c r="U61" s="238">
        <v>0</v>
      </c>
      <c r="V61" s="236">
        <v>0</v>
      </c>
      <c r="W61" s="237">
        <v>0</v>
      </c>
      <c r="X61" s="237">
        <v>0</v>
      </c>
      <c r="Y61" s="238">
        <v>0</v>
      </c>
      <c r="Z61" s="237">
        <v>0</v>
      </c>
      <c r="AA61" s="567"/>
      <c r="AB61" s="567">
        <v>0</v>
      </c>
      <c r="AC61" s="238">
        <v>0</v>
      </c>
      <c r="AD61" s="567">
        <v>0</v>
      </c>
      <c r="AE61" s="567">
        <v>0</v>
      </c>
      <c r="AF61" s="567">
        <v>0</v>
      </c>
      <c r="AG61" s="238"/>
      <c r="AI61" s="236">
        <v>0</v>
      </c>
      <c r="AJ61" s="567">
        <v>0</v>
      </c>
      <c r="AK61" s="567">
        <v>0</v>
      </c>
      <c r="AL61" s="238"/>
    </row>
    <row r="62" spans="1:38" s="10" customFormat="1" ht="20.100000000000001" customHeight="1" thickBot="1">
      <c r="A62" s="13" t="s">
        <v>65</v>
      </c>
      <c r="B62" s="240">
        <f t="shared" ref="B62:W62" si="23">SUM(B50:B61)</f>
        <v>-52.972000000000001</v>
      </c>
      <c r="C62" s="240">
        <f t="shared" si="23"/>
        <v>-260.08099999999996</v>
      </c>
      <c r="D62" s="240">
        <f t="shared" si="23"/>
        <v>-525.96400000000006</v>
      </c>
      <c r="E62" s="229">
        <f t="shared" si="23"/>
        <v>-653.34699999999998</v>
      </c>
      <c r="F62" s="239">
        <f t="shared" si="23"/>
        <v>-66.737000000000009</v>
      </c>
      <c r="G62" s="240">
        <f t="shared" si="23"/>
        <v>-278.43799999999999</v>
      </c>
      <c r="H62" s="240">
        <f t="shared" si="23"/>
        <v>-464.322</v>
      </c>
      <c r="I62" s="229">
        <f t="shared" si="23"/>
        <v>-596.46400000000006</v>
      </c>
      <c r="J62" s="239">
        <f t="shared" si="23"/>
        <v>-46.550999999999995</v>
      </c>
      <c r="K62" s="240">
        <f t="shared" si="23"/>
        <v>-478.30000000000007</v>
      </c>
      <c r="L62" s="240">
        <f t="shared" si="23"/>
        <v>-1064.0000000000002</v>
      </c>
      <c r="M62" s="248">
        <f t="shared" si="23"/>
        <v>-1542.9000000000003</v>
      </c>
      <c r="N62" s="239">
        <f t="shared" si="23"/>
        <v>-467.4</v>
      </c>
      <c r="O62" s="240">
        <f t="shared" si="23"/>
        <v>-1310</v>
      </c>
      <c r="P62" s="240">
        <f t="shared" si="23"/>
        <v>-2210.8000000000006</v>
      </c>
      <c r="Q62" s="241">
        <f t="shared" si="23"/>
        <v>-2386.7000000000007</v>
      </c>
      <c r="R62" s="239">
        <f t="shared" si="23"/>
        <v>-371.90000000000055</v>
      </c>
      <c r="S62" s="240">
        <f t="shared" si="23"/>
        <v>-1403.6000000000001</v>
      </c>
      <c r="T62" s="240">
        <f t="shared" si="23"/>
        <v>-1737.1000000000004</v>
      </c>
      <c r="U62" s="241">
        <f t="shared" si="23"/>
        <v>-2070.8000000000002</v>
      </c>
      <c r="V62" s="239">
        <f t="shared" si="23"/>
        <v>-348.2</v>
      </c>
      <c r="W62" s="240">
        <f t="shared" si="23"/>
        <v>-1122.3000000000002</v>
      </c>
      <c r="X62" s="240">
        <f>SUM(X50:X61)</f>
        <v>-1676</v>
      </c>
      <c r="Y62" s="229">
        <f>SUM(Y50:Y61)</f>
        <v>-1527.7000000000003</v>
      </c>
      <c r="Z62" s="240">
        <f t="shared" ref="Z62:AC62" si="24">SUM(Z50:Z61)</f>
        <v>-689.6</v>
      </c>
      <c r="AA62" s="568">
        <f t="shared" si="24"/>
        <v>-868.19999999999993</v>
      </c>
      <c r="AB62" s="568">
        <f t="shared" ref="AB62" si="25">SUM(AB50:AB61)</f>
        <v>-790.09999999999991</v>
      </c>
      <c r="AC62" s="241">
        <f t="shared" si="24"/>
        <v>-1074.3000000000002</v>
      </c>
      <c r="AD62" s="568">
        <f t="shared" ref="AD62:AG62" si="26">SUM(AD50:AD61)</f>
        <v>-695.40000000000009</v>
      </c>
      <c r="AE62" s="568">
        <f t="shared" si="26"/>
        <v>-1064</v>
      </c>
      <c r="AF62" s="568">
        <f>SUM(AF50:AF61)</f>
        <v>-1285.8999999999999</v>
      </c>
      <c r="AG62" s="241">
        <f t="shared" si="26"/>
        <v>0</v>
      </c>
      <c r="AI62" s="239">
        <f t="shared" ref="AI62:AJ62" si="27">SUM(AI50:AI61)</f>
        <v>-754.4</v>
      </c>
      <c r="AJ62" s="568">
        <f t="shared" si="27"/>
        <v>-1219</v>
      </c>
      <c r="AK62" s="568">
        <f>SUM(AK50:AK61)</f>
        <v>-1538.9999999999998</v>
      </c>
      <c r="AL62" s="241">
        <f t="shared" ref="AL62" si="28">SUM(AL50:AL61)</f>
        <v>0</v>
      </c>
    </row>
    <row r="63" spans="1:38" s="11" customFormat="1" ht="20.100000000000001" customHeight="1" thickBot="1">
      <c r="A63" s="13" t="s">
        <v>39</v>
      </c>
      <c r="B63" s="240">
        <f>B31+B49+B62</f>
        <v>146.86399999999998</v>
      </c>
      <c r="C63" s="240">
        <f t="shared" ref="C63:W63" si="29">C62+C49+C31</f>
        <v>33.256000000000029</v>
      </c>
      <c r="D63" s="240">
        <f t="shared" si="29"/>
        <v>-51.083999999999946</v>
      </c>
      <c r="E63" s="229">
        <f t="shared" si="29"/>
        <v>-5.4109999999999445</v>
      </c>
      <c r="F63" s="239">
        <f t="shared" si="29"/>
        <v>53.822999999999979</v>
      </c>
      <c r="G63" s="240">
        <f t="shared" si="29"/>
        <v>-5.0790000000000077</v>
      </c>
      <c r="H63" s="240">
        <f t="shared" si="29"/>
        <v>-55.118000000000166</v>
      </c>
      <c r="I63" s="229">
        <f t="shared" si="29"/>
        <v>72.357999999999834</v>
      </c>
      <c r="J63" s="240">
        <f t="shared" si="29"/>
        <v>85.956000000000017</v>
      </c>
      <c r="K63" s="240">
        <f t="shared" si="29"/>
        <v>1565.3999999999999</v>
      </c>
      <c r="L63" s="240">
        <f t="shared" si="29"/>
        <v>1300.0999999999999</v>
      </c>
      <c r="M63" s="248">
        <f t="shared" si="29"/>
        <v>1403.7999999999997</v>
      </c>
      <c r="N63" s="239">
        <f t="shared" si="29"/>
        <v>-257.89999999999981</v>
      </c>
      <c r="O63" s="240">
        <f t="shared" si="29"/>
        <v>-353.30000000000041</v>
      </c>
      <c r="P63" s="240">
        <f t="shared" si="29"/>
        <v>-677.30000000000109</v>
      </c>
      <c r="Q63" s="241">
        <f t="shared" si="29"/>
        <v>-225.60000000000127</v>
      </c>
      <c r="R63" s="239">
        <f t="shared" si="29"/>
        <v>49.999999999999602</v>
      </c>
      <c r="S63" s="240">
        <f t="shared" si="29"/>
        <v>-568.70000000000005</v>
      </c>
      <c r="T63" s="240">
        <f t="shared" si="29"/>
        <v>-411.39999999999918</v>
      </c>
      <c r="U63" s="241">
        <f t="shared" si="29"/>
        <v>-189.5</v>
      </c>
      <c r="V63" s="239">
        <f t="shared" si="29"/>
        <v>244.3000000000003</v>
      </c>
      <c r="W63" s="240">
        <f t="shared" si="29"/>
        <v>29.599999999999909</v>
      </c>
      <c r="X63" s="240">
        <f t="shared" ref="X63:Y63" si="30">X62+X49+X31</f>
        <v>-245.50000000000045</v>
      </c>
      <c r="Y63" s="229">
        <f t="shared" si="30"/>
        <v>-159.59999999999945</v>
      </c>
      <c r="Z63" s="240">
        <f>Z62+Z49+Z31</f>
        <v>-374.99999999999989</v>
      </c>
      <c r="AA63" s="568">
        <f>AA62+AA49+AA31</f>
        <v>-285.70000000000005</v>
      </c>
      <c r="AB63" s="568">
        <f>AB62+AB49+AB31</f>
        <v>-11.199999999999818</v>
      </c>
      <c r="AC63" s="241">
        <f>AC62+AC49+AC31</f>
        <v>5.2999999999997272</v>
      </c>
      <c r="AD63" s="568">
        <f t="shared" ref="AD63:AF63" si="31">AD62+AD49+AD31</f>
        <v>-420.69999999999993</v>
      </c>
      <c r="AE63" s="568">
        <f t="shared" si="31"/>
        <v>-392.89999999999986</v>
      </c>
      <c r="AF63" s="568">
        <f t="shared" si="31"/>
        <v>-294.79999999999927</v>
      </c>
      <c r="AG63" s="241">
        <v>0</v>
      </c>
      <c r="AI63" s="239">
        <f t="shared" ref="AI63:AK63" si="32">AI62+AI49+AI31</f>
        <v>-420.69999999999993</v>
      </c>
      <c r="AJ63" s="568">
        <f t="shared" si="32"/>
        <v>-392.89999999999986</v>
      </c>
      <c r="AK63" s="568">
        <f t="shared" si="32"/>
        <v>-294.79999999999882</v>
      </c>
      <c r="AL63" s="241">
        <v>0</v>
      </c>
    </row>
    <row r="64" spans="1:38" s="11" customFormat="1" ht="20.100000000000001" customHeight="1">
      <c r="A64" s="219" t="s">
        <v>40</v>
      </c>
      <c r="B64" s="243">
        <v>277.53399999999999</v>
      </c>
      <c r="C64" s="243">
        <v>277.53399999999999</v>
      </c>
      <c r="D64" s="243">
        <v>277.53399999999999</v>
      </c>
      <c r="E64" s="307">
        <v>277.53399999999999</v>
      </c>
      <c r="F64" s="242">
        <v>270.35399999999998</v>
      </c>
      <c r="G64" s="243">
        <v>270.35399999999998</v>
      </c>
      <c r="H64" s="243">
        <v>270.35399999999998</v>
      </c>
      <c r="I64" s="307">
        <v>270.35399999999998</v>
      </c>
      <c r="J64" s="243">
        <v>342.25100000000003</v>
      </c>
      <c r="K64" s="243">
        <v>342.2</v>
      </c>
      <c r="L64" s="243">
        <v>342.2</v>
      </c>
      <c r="M64" s="249">
        <v>342.2</v>
      </c>
      <c r="N64" s="242">
        <v>1747.9</v>
      </c>
      <c r="O64" s="243">
        <v>1747.9</v>
      </c>
      <c r="P64" s="243">
        <v>1747.9</v>
      </c>
      <c r="Q64" s="244">
        <v>1747.9</v>
      </c>
      <c r="R64" s="242">
        <f>$Q$66</f>
        <v>1523.6999999999989</v>
      </c>
      <c r="S64" s="243">
        <f t="shared" ref="S64:U64" si="33">$Q$66</f>
        <v>1523.6999999999989</v>
      </c>
      <c r="T64" s="243">
        <f t="shared" si="33"/>
        <v>1523.6999999999989</v>
      </c>
      <c r="U64" s="244">
        <f t="shared" si="33"/>
        <v>1523.6999999999989</v>
      </c>
      <c r="V64" s="242">
        <f>U66</f>
        <v>1336.6999999999989</v>
      </c>
      <c r="W64" s="243">
        <f>U66</f>
        <v>1336.6999999999989</v>
      </c>
      <c r="X64" s="243">
        <f>U66</f>
        <v>1336.6999999999989</v>
      </c>
      <c r="Y64" s="244">
        <f>X64</f>
        <v>1336.6999999999989</v>
      </c>
      <c r="Z64" s="243">
        <f>Y66</f>
        <v>1171.9999999999995</v>
      </c>
      <c r="AA64" s="569">
        <f>Y66</f>
        <v>1171.9999999999995</v>
      </c>
      <c r="AB64" s="569">
        <f>Y66</f>
        <v>1171.9999999999995</v>
      </c>
      <c r="AC64" s="244">
        <f>AB64</f>
        <v>1171.9999999999995</v>
      </c>
      <c r="AD64" s="569">
        <v>1178.7</v>
      </c>
      <c r="AE64" s="569">
        <f>AC66</f>
        <v>1178.6999999999994</v>
      </c>
      <c r="AF64" s="569">
        <f>AC66</f>
        <v>1178.6999999999994</v>
      </c>
      <c r="AG64" s="244"/>
      <c r="AI64" s="242">
        <v>1178.7</v>
      </c>
      <c r="AJ64" s="569">
        <f>AC66</f>
        <v>1178.6999999999994</v>
      </c>
      <c r="AK64" s="569">
        <f>AC66</f>
        <v>1178.6999999999994</v>
      </c>
      <c r="AL64" s="244"/>
    </row>
    <row r="65" spans="1:38" s="10" customFormat="1" ht="20.100000000000001" customHeight="1" thickBot="1">
      <c r="A65" s="217" t="s">
        <v>41</v>
      </c>
      <c r="B65" s="237">
        <v>-2.5009999999999999</v>
      </c>
      <c r="C65" s="237">
        <v>-1.2710000000000001</v>
      </c>
      <c r="D65" s="237">
        <v>-1.339</v>
      </c>
      <c r="E65" s="306">
        <v>-1.7690000000000001</v>
      </c>
      <c r="F65" s="236">
        <v>0.161</v>
      </c>
      <c r="G65" s="237">
        <v>0.52800000000000002</v>
      </c>
      <c r="H65" s="237">
        <v>0.16</v>
      </c>
      <c r="I65" s="306">
        <v>-0.46100000000000002</v>
      </c>
      <c r="J65" s="246">
        <v>-1.7000000000000001E-2</v>
      </c>
      <c r="K65" s="246">
        <v>-0.7</v>
      </c>
      <c r="L65" s="246">
        <v>0.9</v>
      </c>
      <c r="M65" s="250">
        <v>1.9</v>
      </c>
      <c r="N65" s="236">
        <v>1.6</v>
      </c>
      <c r="O65" s="237">
        <v>2</v>
      </c>
      <c r="P65" s="237">
        <v>1.4</v>
      </c>
      <c r="Q65" s="238">
        <v>1.4</v>
      </c>
      <c r="R65" s="236">
        <v>-3.7</v>
      </c>
      <c r="S65" s="237">
        <v>0.4</v>
      </c>
      <c r="T65" s="237">
        <v>-2.1</v>
      </c>
      <c r="U65" s="238">
        <v>2.5</v>
      </c>
      <c r="V65" s="236">
        <v>-3.7</v>
      </c>
      <c r="W65" s="237">
        <v>-3.7</v>
      </c>
      <c r="X65" s="237">
        <v>-2.8</v>
      </c>
      <c r="Y65" s="238">
        <v>-5.0999999999999996</v>
      </c>
      <c r="Z65" s="237">
        <v>0.5</v>
      </c>
      <c r="AA65" s="567">
        <v>1.5</v>
      </c>
      <c r="AB65" s="567">
        <v>2.2999999999999998</v>
      </c>
      <c r="AC65" s="238">
        <v>1.4</v>
      </c>
      <c r="AD65" s="567">
        <v>-1</v>
      </c>
      <c r="AE65" s="567">
        <v>-2</v>
      </c>
      <c r="AF65" s="567">
        <v>2.2999999999999998</v>
      </c>
      <c r="AG65" s="238"/>
      <c r="AI65" s="634">
        <v>-1</v>
      </c>
      <c r="AJ65" s="567">
        <v>-2</v>
      </c>
      <c r="AK65" s="567">
        <v>2.2999999999999998</v>
      </c>
      <c r="AL65" s="238"/>
    </row>
    <row r="66" spans="1:38" s="10" customFormat="1" ht="13.5" thickBot="1">
      <c r="A66" s="13" t="s">
        <v>93</v>
      </c>
      <c r="B66" s="240">
        <f>B63+B64+B65</f>
        <v>421.89699999999999</v>
      </c>
      <c r="C66" s="240">
        <f t="shared" ref="C66:Q66" si="34">C64+C63+C65</f>
        <v>309.51900000000001</v>
      </c>
      <c r="D66" s="240">
        <f t="shared" si="34"/>
        <v>225.11100000000005</v>
      </c>
      <c r="E66" s="229">
        <f t="shared" si="34"/>
        <v>270.35400000000004</v>
      </c>
      <c r="F66" s="239">
        <f t="shared" si="34"/>
        <v>324.33799999999997</v>
      </c>
      <c r="G66" s="240">
        <f t="shared" si="34"/>
        <v>265.803</v>
      </c>
      <c r="H66" s="240">
        <f t="shared" si="34"/>
        <v>215.39599999999982</v>
      </c>
      <c r="I66" s="229">
        <f t="shared" si="34"/>
        <v>342.25099999999981</v>
      </c>
      <c r="J66" s="240">
        <f t="shared" si="34"/>
        <v>428.19000000000005</v>
      </c>
      <c r="K66" s="240">
        <f t="shared" si="34"/>
        <v>1906.8999999999999</v>
      </c>
      <c r="L66" s="240">
        <f t="shared" si="34"/>
        <v>1643.2</v>
      </c>
      <c r="M66" s="248">
        <f t="shared" si="34"/>
        <v>1747.8999999999999</v>
      </c>
      <c r="N66" s="239">
        <f t="shared" si="34"/>
        <v>1491.6000000000001</v>
      </c>
      <c r="O66" s="240">
        <f t="shared" si="34"/>
        <v>1396.5999999999997</v>
      </c>
      <c r="P66" s="240">
        <f t="shared" si="34"/>
        <v>1071.9999999999991</v>
      </c>
      <c r="Q66" s="229">
        <f t="shared" si="34"/>
        <v>1523.6999999999989</v>
      </c>
      <c r="R66" s="239">
        <f t="shared" ref="R66:Y66" si="35">R64+R63+R65</f>
        <v>1569.9999999999984</v>
      </c>
      <c r="S66" s="240">
        <f t="shared" si="35"/>
        <v>955.39999999999884</v>
      </c>
      <c r="T66" s="240">
        <f t="shared" si="35"/>
        <v>1110.1999999999998</v>
      </c>
      <c r="U66" s="229">
        <f t="shared" si="35"/>
        <v>1336.6999999999989</v>
      </c>
      <c r="V66" s="239">
        <f t="shared" si="35"/>
        <v>1577.299999999999</v>
      </c>
      <c r="W66" s="240">
        <f t="shared" si="35"/>
        <v>1362.5999999999988</v>
      </c>
      <c r="X66" s="240">
        <f t="shared" si="35"/>
        <v>1088.3999999999985</v>
      </c>
      <c r="Y66" s="229">
        <f t="shared" si="35"/>
        <v>1171.9999999999995</v>
      </c>
      <c r="Z66" s="240">
        <f t="shared" ref="Z66:AC66" si="36">Z64+Z63+Z65</f>
        <v>797.49999999999966</v>
      </c>
      <c r="AA66" s="568">
        <f t="shared" si="36"/>
        <v>887.7999999999995</v>
      </c>
      <c r="AB66" s="568">
        <f t="shared" si="36"/>
        <v>1163.0999999999997</v>
      </c>
      <c r="AC66" s="241">
        <f t="shared" si="36"/>
        <v>1178.6999999999994</v>
      </c>
      <c r="AD66" s="568">
        <f t="shared" ref="AD66:AG66" si="37">AD64+AD63+AD65</f>
        <v>757.00000000000011</v>
      </c>
      <c r="AE66" s="568">
        <f>AE64+AE63+AE65</f>
        <v>783.7999999999995</v>
      </c>
      <c r="AF66" s="568">
        <f t="shared" si="37"/>
        <v>886.2</v>
      </c>
      <c r="AG66" s="241">
        <f t="shared" si="37"/>
        <v>0</v>
      </c>
      <c r="AI66" s="239">
        <f t="shared" ref="AI66" si="38">AI64+AI63+AI65</f>
        <v>757.00000000000011</v>
      </c>
      <c r="AJ66" s="568">
        <f>AJ64+AJ63+AJ65</f>
        <v>783.7999999999995</v>
      </c>
      <c r="AK66" s="568">
        <f t="shared" ref="AK66:AL66" si="39">AK64+AK63+AK65</f>
        <v>886.2000000000005</v>
      </c>
      <c r="AL66" s="241">
        <f t="shared" si="39"/>
        <v>0</v>
      </c>
    </row>
    <row r="67" spans="1:38" s="10" customFormat="1">
      <c r="M67" s="46"/>
    </row>
    <row r="68" spans="1:38" s="10" customFormat="1" ht="20.100000000000001" customHeight="1">
      <c r="A68" s="10" t="s">
        <v>228</v>
      </c>
      <c r="M68" s="46"/>
      <c r="AA68" s="443"/>
    </row>
    <row r="69" spans="1:38" s="10" customFormat="1" ht="20.100000000000001" customHeight="1">
      <c r="A69" s="10" t="s">
        <v>227</v>
      </c>
      <c r="M69" s="46"/>
      <c r="AA69" s="443"/>
    </row>
    <row r="70" spans="1:38" s="10" customFormat="1" ht="20.100000000000001" customHeight="1">
      <c r="A70" s="10" t="s">
        <v>226</v>
      </c>
      <c r="M70" s="46"/>
      <c r="AA70" s="237"/>
    </row>
    <row r="71" spans="1:38" s="10" customFormat="1" ht="20.100000000000001" customHeight="1">
      <c r="A71" s="10" t="s">
        <v>208</v>
      </c>
      <c r="M71" s="46"/>
      <c r="AA71" s="237"/>
    </row>
    <row r="72" spans="1:38" s="10" customFormat="1" ht="20.25" customHeight="1">
      <c r="A72" s="10" t="s">
        <v>263</v>
      </c>
      <c r="M72" s="46"/>
      <c r="AA72" s="237"/>
    </row>
    <row r="73" spans="1:38" s="10" customFormat="1" ht="20.25" customHeight="1">
      <c r="A73" s="10" t="s">
        <v>262</v>
      </c>
      <c r="M73" s="46"/>
      <c r="AA73" s="315"/>
    </row>
    <row r="74" spans="1:38" s="10" customFormat="1" ht="20.100000000000001" customHeight="1">
      <c r="A74" s="10" t="s">
        <v>273</v>
      </c>
      <c r="M74" s="46"/>
      <c r="AA74" s="315"/>
      <c r="AC74" s="10" t="s">
        <v>250</v>
      </c>
    </row>
    <row r="75" spans="1:38" s="10" customFormat="1">
      <c r="M75" s="46"/>
      <c r="AA75" s="237"/>
    </row>
    <row r="76" spans="1:38" s="10" customFormat="1">
      <c r="M76" s="46"/>
      <c r="AA76" s="237"/>
    </row>
    <row r="77" spans="1:38" s="10" customFormat="1">
      <c r="M77" s="46"/>
      <c r="AA77" s="237"/>
    </row>
    <row r="78" spans="1:38" s="10" customFormat="1">
      <c r="M78" s="46"/>
      <c r="AA78" s="237"/>
    </row>
    <row r="79" spans="1:38" s="10" customFormat="1">
      <c r="M79" s="46"/>
      <c r="AA79" s="237"/>
    </row>
    <row r="80" spans="1:38" s="10" customFormat="1">
      <c r="M80" s="46"/>
      <c r="AA80" s="237"/>
    </row>
    <row r="81" spans="13:27" s="10" customFormat="1">
      <c r="M81" s="46"/>
      <c r="AA81" s="237"/>
    </row>
    <row r="82" spans="13:27" s="10" customFormat="1" ht="15">
      <c r="M82" s="46"/>
      <c r="AA82" s="315"/>
    </row>
    <row r="83" spans="13:27" s="10" customFormat="1" ht="15">
      <c r="M83" s="46"/>
      <c r="AA83" s="425"/>
    </row>
    <row r="84" spans="13:27" s="10" customFormat="1">
      <c r="M84" s="46"/>
      <c r="AA84" s="237"/>
    </row>
    <row r="85" spans="13:27" s="10" customFormat="1">
      <c r="M85" s="46"/>
      <c r="AA85" s="237"/>
    </row>
    <row r="86" spans="13:27" s="10" customFormat="1">
      <c r="M86" s="46"/>
      <c r="AA86" s="237"/>
    </row>
    <row r="87" spans="13:27" s="10" customFormat="1">
      <c r="M87" s="46"/>
      <c r="AA87" s="237"/>
    </row>
    <row r="88" spans="13:27" s="10" customFormat="1">
      <c r="M88" s="46"/>
      <c r="AA88" s="237"/>
    </row>
    <row r="89" spans="13:27" s="10" customFormat="1">
      <c r="M89" s="46"/>
      <c r="AA89" s="237"/>
    </row>
    <row r="90" spans="13:27" s="10" customFormat="1">
      <c r="M90" s="46"/>
      <c r="AA90" s="237"/>
    </row>
    <row r="91" spans="13:27" s="10" customFormat="1">
      <c r="M91" s="46"/>
      <c r="AA91" s="571"/>
    </row>
    <row r="92" spans="13:27" s="10" customFormat="1">
      <c r="M92" s="46"/>
      <c r="AA92" s="573"/>
    </row>
    <row r="93" spans="13:27" s="10" customFormat="1">
      <c r="M93" s="46"/>
      <c r="AA93" s="571"/>
    </row>
    <row r="94" spans="13:27" s="10" customFormat="1">
      <c r="M94" s="46"/>
      <c r="AA94" s="571"/>
    </row>
    <row r="95" spans="13:27" s="10" customFormat="1">
      <c r="M95" s="46"/>
      <c r="AA95" s="573"/>
    </row>
    <row r="96" spans="13:27" s="10" customFormat="1">
      <c r="M96" s="46"/>
      <c r="AA96" s="571"/>
    </row>
    <row r="97" spans="13:27" s="10" customFormat="1">
      <c r="M97" s="46"/>
      <c r="AA97" s="571"/>
    </row>
    <row r="98" spans="13:27" s="10" customFormat="1">
      <c r="M98" s="46"/>
      <c r="AA98" s="571"/>
    </row>
    <row r="99" spans="13:27" s="10" customFormat="1">
      <c r="M99" s="46"/>
      <c r="AA99" s="571"/>
    </row>
    <row r="100" spans="13:27" s="10" customFormat="1">
      <c r="M100" s="46"/>
      <c r="AA100" s="571"/>
    </row>
    <row r="101" spans="13:27" s="10" customFormat="1">
      <c r="M101" s="46"/>
      <c r="AA101" s="571"/>
    </row>
    <row r="102" spans="13:27" s="10" customFormat="1">
      <c r="M102" s="46"/>
      <c r="AA102" s="571"/>
    </row>
    <row r="103" spans="13:27" s="10" customFormat="1">
      <c r="M103" s="46"/>
      <c r="AA103" s="571"/>
    </row>
    <row r="104" spans="13:27" s="10" customFormat="1">
      <c r="M104" s="46"/>
      <c r="AA104" s="571"/>
    </row>
    <row r="105" spans="13:27" s="10" customFormat="1">
      <c r="M105" s="46"/>
      <c r="AA105" s="571"/>
    </row>
    <row r="106" spans="13:27" s="10" customFormat="1">
      <c r="AA106" s="571"/>
    </row>
    <row r="107" spans="13:27" s="10" customFormat="1">
      <c r="AA107" s="571"/>
    </row>
    <row r="108" spans="13:27" s="10" customFormat="1" ht="15">
      <c r="AA108" s="572"/>
    </row>
    <row r="109" spans="13:27" s="10" customFormat="1">
      <c r="AA109" s="571"/>
    </row>
    <row r="110" spans="13:27" s="10" customFormat="1">
      <c r="AA110" s="571"/>
    </row>
    <row r="111" spans="13:27" s="10" customFormat="1">
      <c r="AA111" s="573"/>
    </row>
    <row r="112" spans="13:27" s="10" customFormat="1">
      <c r="AA112" s="571"/>
    </row>
    <row r="113" spans="27:27" s="10" customFormat="1">
      <c r="AA113" s="571"/>
    </row>
    <row r="114" spans="27:27" s="10" customFormat="1">
      <c r="AA114" s="571"/>
    </row>
    <row r="115" spans="27:27" s="10" customFormat="1">
      <c r="AA115" s="571"/>
    </row>
    <row r="116" spans="27:27" s="10" customFormat="1">
      <c r="AA116" s="571"/>
    </row>
    <row r="117" spans="27:27" s="10" customFormat="1">
      <c r="AA117" s="571"/>
    </row>
    <row r="118" spans="27:27" s="10" customFormat="1">
      <c r="AA118" s="571"/>
    </row>
    <row r="119" spans="27:27" s="10" customFormat="1">
      <c r="AA119" s="571"/>
    </row>
    <row r="120" spans="27:27" s="10" customFormat="1">
      <c r="AA120" s="571"/>
    </row>
    <row r="121" spans="27:27" s="10" customFormat="1">
      <c r="AA121" s="571"/>
    </row>
    <row r="122" spans="27:27" s="10" customFormat="1">
      <c r="AA122" s="573"/>
    </row>
    <row r="123" spans="27:27" s="10" customFormat="1">
      <c r="AA123" s="573"/>
    </row>
    <row r="124" spans="27:27" s="10" customFormat="1">
      <c r="AA124" s="573"/>
    </row>
    <row r="125" spans="27:27" s="10" customFormat="1">
      <c r="AA125" s="571"/>
    </row>
    <row r="126" spans="27:27" s="10" customFormat="1">
      <c r="AA126" s="573"/>
    </row>
    <row r="127" spans="27:27" s="10" customFormat="1">
      <c r="AA127" s="377"/>
    </row>
    <row r="128" spans="27:27" s="10" customFormat="1">
      <c r="AA128" s="377"/>
    </row>
    <row r="129" spans="27:27" s="10" customFormat="1">
      <c r="AA129" s="377"/>
    </row>
    <row r="130" spans="27:27" s="10" customFormat="1">
      <c r="AA130" s="377"/>
    </row>
    <row r="131" spans="27:27" s="10" customFormat="1">
      <c r="AA131" s="377"/>
    </row>
    <row r="132" spans="27:27" s="10" customFormat="1">
      <c r="AA132" s="377"/>
    </row>
    <row r="133" spans="27:27" s="10" customFormat="1">
      <c r="AA133" s="377"/>
    </row>
    <row r="134" spans="27:27" s="10" customFormat="1">
      <c r="AA134" s="377"/>
    </row>
    <row r="135" spans="27:27" s="10" customFormat="1">
      <c r="AA135" s="377"/>
    </row>
    <row r="136" spans="27:27" s="10" customFormat="1">
      <c r="AA136" s="377"/>
    </row>
    <row r="137" spans="27:27" s="10" customFormat="1">
      <c r="AA137" s="377"/>
    </row>
    <row r="138" spans="27:27" s="10" customFormat="1">
      <c r="AA138" s="377"/>
    </row>
    <row r="139" spans="27:27" s="10" customFormat="1">
      <c r="AA139" s="377"/>
    </row>
    <row r="140" spans="27:27" s="10" customFormat="1">
      <c r="AA140" s="377"/>
    </row>
    <row r="141" spans="27:27" s="10" customFormat="1">
      <c r="AA141" s="377"/>
    </row>
    <row r="142" spans="27:27" s="10" customFormat="1">
      <c r="AA142" s="377"/>
    </row>
    <row r="143" spans="27:27" s="10" customFormat="1">
      <c r="AA143" s="377"/>
    </row>
    <row r="144" spans="27:27" s="10" customFormat="1">
      <c r="AA144" s="377"/>
    </row>
    <row r="145" spans="1:29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377"/>
      <c r="AB145" s="10"/>
      <c r="AC145" s="10"/>
    </row>
    <row r="146" spans="1:29">
      <c r="AA146" s="377"/>
    </row>
    <row r="147" spans="1:29">
      <c r="AA147" s="377"/>
    </row>
    <row r="148" spans="1:29">
      <c r="AA148" s="377"/>
    </row>
    <row r="149" spans="1:29">
      <c r="AA149" s="377"/>
    </row>
    <row r="150" spans="1:29">
      <c r="AA150" s="377"/>
    </row>
    <row r="151" spans="1:29">
      <c r="AA151" s="377"/>
    </row>
    <row r="152" spans="1:29">
      <c r="AA152" s="377"/>
    </row>
    <row r="153" spans="1:29">
      <c r="AA153" s="377"/>
    </row>
  </sheetData>
  <mergeCells count="9">
    <mergeCell ref="AI2:AL2"/>
    <mergeCell ref="AD2:AG2"/>
    <mergeCell ref="Z2:AC2"/>
    <mergeCell ref="V2:Y2"/>
    <mergeCell ref="B2:E2"/>
    <mergeCell ref="F2:I2"/>
    <mergeCell ref="J2:M2"/>
    <mergeCell ref="N2:Q2"/>
    <mergeCell ref="R2:U2"/>
  </mergeCells>
  <pageMargins left="0.70866141732283505" right="0.70866141732283505" top="0.74803149606299202" bottom="0.74803149606299202" header="0.31496062992126" footer="0.31496062992126"/>
  <pageSetup paperSize="9" scale="33" orientation="landscape" horizontalDpi="1200" verticalDpi="1200" r:id="rId1"/>
  <ignoredErrors>
    <ignoredError sqref="AB3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56"/>
  <sheetViews>
    <sheetView showGridLines="0" zoomScale="115" zoomScaleNormal="115" zoomScaleSheetLayoutView="85" workbookViewId="0">
      <pane xSplit="1" ySplit="4" topLeftCell="AI16" activePane="bottomRight" state="frozen"/>
      <selection pane="topRight" activeCell="B1" sqref="B1"/>
      <selection pane="bottomLeft" activeCell="A5" sqref="A5"/>
      <selection pane="bottomRight" activeCell="AM33" sqref="AM33"/>
    </sheetView>
  </sheetViews>
  <sheetFormatPr defaultColWidth="9" defaultRowHeight="28.5" customHeight="1"/>
  <cols>
    <col min="1" max="1" width="40.625" style="1" customWidth="1"/>
    <col min="2" max="13" width="10.625" style="2" customWidth="1"/>
    <col min="14" max="14" width="9" style="2"/>
    <col min="15" max="16" width="10.625" style="2" customWidth="1"/>
    <col min="17" max="17" width="9" style="2"/>
    <col min="18" max="19" width="9" style="4"/>
    <col min="20" max="21" width="10.625" style="2" customWidth="1"/>
    <col min="22" max="24" width="9" style="2"/>
    <col min="25" max="26" width="10.625" style="2" customWidth="1"/>
    <col min="27" max="29" width="9" style="2"/>
    <col min="30" max="31" width="10.625" style="2" customWidth="1"/>
    <col min="32" max="34" width="9" style="2"/>
    <col min="35" max="36" width="10.625" style="2" customWidth="1"/>
    <col min="37" max="37" width="9" style="2"/>
    <col min="38" max="39" width="9" style="4"/>
    <col min="40" max="16384" width="9" style="2"/>
  </cols>
  <sheetData>
    <row r="1" spans="1:43" s="18" customFormat="1" ht="27" customHeight="1">
      <c r="A1" s="5" t="s">
        <v>168</v>
      </c>
      <c r="B1" s="5"/>
      <c r="AL1" s="592"/>
      <c r="AM1" s="592"/>
    </row>
    <row r="2" spans="1:43" s="203" customFormat="1" ht="77.25" customHeight="1" thickBot="1">
      <c r="A2" s="713" t="s">
        <v>318</v>
      </c>
      <c r="B2" s="713"/>
      <c r="C2" s="713"/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R2" s="204"/>
      <c r="S2" s="204"/>
      <c r="AJ2" s="463"/>
      <c r="AL2" s="4"/>
      <c r="AM2" s="4"/>
    </row>
    <row r="3" spans="1:43" ht="20.100000000000001" customHeight="1" thickBot="1">
      <c r="A3" s="714" t="s">
        <v>125</v>
      </c>
      <c r="B3" s="716">
        <v>2012</v>
      </c>
      <c r="C3" s="717"/>
      <c r="D3" s="717"/>
      <c r="E3" s="717"/>
      <c r="F3" s="718">
        <v>2012</v>
      </c>
      <c r="G3" s="716">
        <v>2013</v>
      </c>
      <c r="H3" s="717"/>
      <c r="I3" s="717"/>
      <c r="J3" s="717"/>
      <c r="K3" s="718">
        <v>2013</v>
      </c>
      <c r="L3" s="716">
        <v>2014</v>
      </c>
      <c r="M3" s="717"/>
      <c r="N3" s="717"/>
      <c r="O3" s="717"/>
      <c r="P3" s="718">
        <v>2014</v>
      </c>
      <c r="Q3" s="716">
        <v>2015</v>
      </c>
      <c r="R3" s="717"/>
      <c r="S3" s="717"/>
      <c r="T3" s="717"/>
      <c r="U3" s="718">
        <v>2015</v>
      </c>
      <c r="V3" s="716">
        <v>2016</v>
      </c>
      <c r="W3" s="717"/>
      <c r="X3" s="717"/>
      <c r="Y3" s="717"/>
      <c r="Z3" s="718">
        <v>2016</v>
      </c>
      <c r="AA3" s="716">
        <v>2017</v>
      </c>
      <c r="AB3" s="717"/>
      <c r="AC3" s="717"/>
      <c r="AD3" s="717"/>
      <c r="AE3" s="718">
        <v>2017</v>
      </c>
      <c r="AF3" s="716">
        <v>2018</v>
      </c>
      <c r="AG3" s="717"/>
      <c r="AH3" s="717"/>
      <c r="AI3" s="717"/>
      <c r="AJ3" s="718" t="s">
        <v>317</v>
      </c>
      <c r="AK3" s="716">
        <v>2019</v>
      </c>
      <c r="AL3" s="717"/>
      <c r="AM3" s="717"/>
      <c r="AN3" s="717"/>
      <c r="AO3" s="718">
        <v>2019</v>
      </c>
    </row>
    <row r="4" spans="1:43" ht="20.100000000000001" customHeight="1" thickBot="1">
      <c r="A4" s="715"/>
      <c r="B4" s="104" t="s">
        <v>126</v>
      </c>
      <c r="C4" s="105" t="s">
        <v>127</v>
      </c>
      <c r="D4" s="105" t="s">
        <v>128</v>
      </c>
      <c r="E4" s="105" t="s">
        <v>129</v>
      </c>
      <c r="F4" s="719"/>
      <c r="G4" s="104" t="s">
        <v>126</v>
      </c>
      <c r="H4" s="105" t="s">
        <v>127</v>
      </c>
      <c r="I4" s="105" t="s">
        <v>128</v>
      </c>
      <c r="J4" s="105" t="s">
        <v>129</v>
      </c>
      <c r="K4" s="719"/>
      <c r="L4" s="106" t="s">
        <v>126</v>
      </c>
      <c r="M4" s="105" t="s">
        <v>127</v>
      </c>
      <c r="N4" s="105" t="s">
        <v>128</v>
      </c>
      <c r="O4" s="107" t="s">
        <v>129</v>
      </c>
      <c r="P4" s="719"/>
      <c r="Q4" s="106" t="s">
        <v>126</v>
      </c>
      <c r="R4" s="105" t="s">
        <v>127</v>
      </c>
      <c r="S4" s="105" t="s">
        <v>128</v>
      </c>
      <c r="T4" s="107" t="s">
        <v>129</v>
      </c>
      <c r="U4" s="719"/>
      <c r="V4" s="106" t="s">
        <v>126</v>
      </c>
      <c r="W4" s="311" t="s">
        <v>127</v>
      </c>
      <c r="X4" s="311" t="s">
        <v>128</v>
      </c>
      <c r="Y4" s="107" t="s">
        <v>129</v>
      </c>
      <c r="Z4" s="719"/>
      <c r="AA4" s="106" t="s">
        <v>126</v>
      </c>
      <c r="AB4" s="311" t="s">
        <v>127</v>
      </c>
      <c r="AC4" s="311" t="s">
        <v>128</v>
      </c>
      <c r="AD4" s="107" t="s">
        <v>129</v>
      </c>
      <c r="AE4" s="719"/>
      <c r="AF4" s="106" t="s">
        <v>126</v>
      </c>
      <c r="AG4" s="311" t="s">
        <v>247</v>
      </c>
      <c r="AH4" s="311" t="s">
        <v>314</v>
      </c>
      <c r="AI4" s="107" t="s">
        <v>315</v>
      </c>
      <c r="AJ4" s="719"/>
      <c r="AK4" s="106" t="s">
        <v>316</v>
      </c>
      <c r="AL4" s="311" t="s">
        <v>247</v>
      </c>
      <c r="AM4" s="311" t="s">
        <v>314</v>
      </c>
      <c r="AN4" s="107" t="s">
        <v>129</v>
      </c>
      <c r="AO4" s="719"/>
    </row>
    <row r="5" spans="1:43" ht="20.100000000000001" customHeight="1" thickBot="1">
      <c r="A5" s="108" t="s">
        <v>130</v>
      </c>
      <c r="B5" s="109" t="s">
        <v>131</v>
      </c>
      <c r="C5" s="110" t="s">
        <v>131</v>
      </c>
      <c r="D5" s="110" t="s">
        <v>131</v>
      </c>
      <c r="E5" s="110" t="s">
        <v>131</v>
      </c>
      <c r="F5" s="111" t="s">
        <v>131</v>
      </c>
      <c r="G5" s="112">
        <f t="shared" ref="G5:AI5" si="0">G7+G24</f>
        <v>16348336</v>
      </c>
      <c r="H5" s="113">
        <f t="shared" si="0"/>
        <v>16434266</v>
      </c>
      <c r="I5" s="113">
        <f t="shared" si="0"/>
        <v>16627551</v>
      </c>
      <c r="J5" s="113">
        <f t="shared" si="0"/>
        <v>16447334</v>
      </c>
      <c r="K5" s="111">
        <f t="shared" si="0"/>
        <v>16447334</v>
      </c>
      <c r="L5" s="112">
        <f t="shared" si="0"/>
        <v>16333003</v>
      </c>
      <c r="M5" s="113">
        <f t="shared" si="0"/>
        <v>16250497</v>
      </c>
      <c r="N5" s="113">
        <f t="shared" si="0"/>
        <v>16449992</v>
      </c>
      <c r="O5" s="113">
        <f t="shared" si="0"/>
        <v>16482031</v>
      </c>
      <c r="P5" s="111">
        <f t="shared" si="0"/>
        <v>16482031</v>
      </c>
      <c r="Q5" s="112">
        <f t="shared" si="0"/>
        <v>16429469</v>
      </c>
      <c r="R5" s="113">
        <f t="shared" si="0"/>
        <v>16349090</v>
      </c>
      <c r="S5" s="113">
        <f t="shared" si="0"/>
        <v>16395514</v>
      </c>
      <c r="T5" s="113">
        <f t="shared" si="0"/>
        <v>16469696</v>
      </c>
      <c r="U5" s="317">
        <f t="shared" si="0"/>
        <v>16469696</v>
      </c>
      <c r="V5" s="112">
        <f t="shared" si="0"/>
        <v>16531833</v>
      </c>
      <c r="W5" s="113">
        <f t="shared" si="0"/>
        <v>16711541</v>
      </c>
      <c r="X5" s="113">
        <f t="shared" si="0"/>
        <v>16545653</v>
      </c>
      <c r="Y5" s="113">
        <f t="shared" si="0"/>
        <v>16524936</v>
      </c>
      <c r="Z5" s="317">
        <f t="shared" si="0"/>
        <v>16524936</v>
      </c>
      <c r="AA5" s="112">
        <f t="shared" si="0"/>
        <v>16216128</v>
      </c>
      <c r="AB5" s="113">
        <f t="shared" si="0"/>
        <v>16273840</v>
      </c>
      <c r="AC5" s="113">
        <f t="shared" si="0"/>
        <v>16410325</v>
      </c>
      <c r="AD5" s="113">
        <f t="shared" si="0"/>
        <v>16522597</v>
      </c>
      <c r="AE5" s="317">
        <f t="shared" si="0"/>
        <v>16522597</v>
      </c>
      <c r="AF5" s="113">
        <f>AF7+AF24</f>
        <v>16579337</v>
      </c>
      <c r="AG5" s="113">
        <f t="shared" si="0"/>
        <v>16698622</v>
      </c>
      <c r="AH5" s="545">
        <f>AH7+AH24</f>
        <v>16851153</v>
      </c>
      <c r="AI5" s="545">
        <f t="shared" si="0"/>
        <v>16906133</v>
      </c>
      <c r="AJ5" s="317">
        <f>AJ7+AJ24</f>
        <v>16906133</v>
      </c>
      <c r="AK5" s="545">
        <f t="shared" ref="AK5:AO5" si="1">AK7+AK24</f>
        <v>16973770</v>
      </c>
      <c r="AL5" s="545">
        <f t="shared" si="1"/>
        <v>17058921</v>
      </c>
      <c r="AM5" s="545">
        <f t="shared" si="1"/>
        <v>17266759</v>
      </c>
      <c r="AN5" s="545">
        <f t="shared" si="1"/>
        <v>0</v>
      </c>
      <c r="AO5" s="317">
        <f t="shared" si="1"/>
        <v>0</v>
      </c>
      <c r="AQ5" s="635"/>
    </row>
    <row r="6" spans="1:43" ht="20.100000000000001" customHeight="1">
      <c r="A6" s="114" t="s">
        <v>132</v>
      </c>
      <c r="B6" s="115"/>
      <c r="C6" s="116"/>
      <c r="D6" s="116"/>
      <c r="E6" s="116"/>
      <c r="F6" s="117"/>
      <c r="G6" s="118"/>
      <c r="H6" s="116"/>
      <c r="I6" s="116"/>
      <c r="J6" s="116"/>
      <c r="K6" s="117"/>
      <c r="L6" s="119"/>
      <c r="M6" s="116"/>
      <c r="N6" s="116"/>
      <c r="O6" s="116"/>
      <c r="P6" s="120"/>
      <c r="Q6" s="119"/>
      <c r="R6" s="116"/>
      <c r="S6" s="116"/>
      <c r="T6" s="116"/>
      <c r="U6" s="120"/>
      <c r="V6" s="119"/>
      <c r="W6" s="308"/>
      <c r="X6" s="308"/>
      <c r="Y6" s="116"/>
      <c r="Z6" s="120"/>
      <c r="AA6" s="119"/>
      <c r="AB6" s="308"/>
      <c r="AC6" s="308"/>
      <c r="AD6" s="116"/>
      <c r="AE6" s="120"/>
      <c r="AF6" s="308"/>
      <c r="AG6" s="308"/>
      <c r="AH6" s="550"/>
      <c r="AI6" s="550"/>
      <c r="AJ6" s="120"/>
      <c r="AK6" s="550"/>
      <c r="AL6" s="550"/>
      <c r="AM6" s="550"/>
      <c r="AN6" s="550"/>
      <c r="AO6" s="120"/>
      <c r="AQ6" s="635"/>
    </row>
    <row r="7" spans="1:43" ht="20.100000000000001" customHeight="1">
      <c r="A7" s="121" t="s">
        <v>133</v>
      </c>
      <c r="B7" s="122">
        <f>B8+B10+B11</f>
        <v>11532547</v>
      </c>
      <c r="C7" s="123">
        <f t="shared" ref="C7:M7" si="2">C8+C10+C11</f>
        <v>11516833</v>
      </c>
      <c r="D7" s="123">
        <f t="shared" si="2"/>
        <v>11605099</v>
      </c>
      <c r="E7" s="123">
        <f t="shared" si="2"/>
        <v>11735100</v>
      </c>
      <c r="F7" s="124">
        <f>SUM(F8,F10:F11)</f>
        <v>11735100</v>
      </c>
      <c r="G7" s="122">
        <f t="shared" si="2"/>
        <v>11799951</v>
      </c>
      <c r="H7" s="123">
        <f t="shared" si="2"/>
        <v>11868947</v>
      </c>
      <c r="I7" s="123">
        <f t="shared" si="2"/>
        <v>11908422</v>
      </c>
      <c r="J7" s="123">
        <f t="shared" si="2"/>
        <v>11978807</v>
      </c>
      <c r="K7" s="124">
        <f>SUM(K8,K10:K11)</f>
        <v>11978807</v>
      </c>
      <c r="L7" s="122">
        <f t="shared" si="2"/>
        <v>11982678</v>
      </c>
      <c r="M7" s="123">
        <f t="shared" si="2"/>
        <v>12023369</v>
      </c>
      <c r="N7" s="123">
        <f>N8+N10+N11</f>
        <v>12230798</v>
      </c>
      <c r="O7" s="123">
        <f>O8+O10+O11</f>
        <v>12347828</v>
      </c>
      <c r="P7" s="125">
        <f>P8+P10+P11</f>
        <v>12347828</v>
      </c>
      <c r="Q7" s="122">
        <f t="shared" ref="Q7:U7" si="3">Q8+Q10+Q11</f>
        <v>12394712</v>
      </c>
      <c r="R7" s="123">
        <f t="shared" si="3"/>
        <v>12377021</v>
      </c>
      <c r="S7" s="123">
        <f t="shared" si="3"/>
        <v>12418707</v>
      </c>
      <c r="T7" s="123">
        <f t="shared" si="3"/>
        <v>12614703</v>
      </c>
      <c r="U7" s="125">
        <f t="shared" si="3"/>
        <v>12614703</v>
      </c>
      <c r="V7" s="122">
        <f t="shared" ref="V7:AE7" si="4">V8+V10+V11</f>
        <v>12744166</v>
      </c>
      <c r="W7" s="123">
        <f t="shared" si="4"/>
        <v>12880725</v>
      </c>
      <c r="X7" s="123">
        <f t="shared" si="4"/>
        <v>13017749</v>
      </c>
      <c r="Y7" s="123">
        <f t="shared" si="4"/>
        <v>13254598</v>
      </c>
      <c r="Z7" s="125">
        <f t="shared" si="4"/>
        <v>13254598</v>
      </c>
      <c r="AA7" s="122">
        <f t="shared" si="4"/>
        <v>13337038</v>
      </c>
      <c r="AB7" s="123">
        <f t="shared" si="4"/>
        <v>13419539</v>
      </c>
      <c r="AC7" s="123">
        <f t="shared" si="4"/>
        <v>13530164</v>
      </c>
      <c r="AD7" s="123">
        <f t="shared" si="4"/>
        <v>13685044</v>
      </c>
      <c r="AE7" s="125">
        <f t="shared" si="4"/>
        <v>13685044</v>
      </c>
      <c r="AF7" s="123">
        <f t="shared" ref="AF7:AI7" si="5">AF8+AF10+AF11</f>
        <v>13796153</v>
      </c>
      <c r="AG7" s="468">
        <v>13929804</v>
      </c>
      <c r="AH7" s="468">
        <v>14057045</v>
      </c>
      <c r="AI7" s="468">
        <f t="shared" si="5"/>
        <v>14259264</v>
      </c>
      <c r="AJ7" s="125">
        <f>AJ8+AJ10+AJ11</f>
        <v>14259264</v>
      </c>
      <c r="AK7" s="123">
        <f>SUM(AK8,AK10:AK11)</f>
        <v>14330995</v>
      </c>
      <c r="AL7" s="468">
        <f t="shared" ref="AL7:AO7" si="6">SUM(AL8,AL10:AL11)</f>
        <v>14451610</v>
      </c>
      <c r="AM7" s="468">
        <f t="shared" si="6"/>
        <v>14587869</v>
      </c>
      <c r="AN7" s="468">
        <f t="shared" si="6"/>
        <v>0</v>
      </c>
      <c r="AO7" s="125">
        <f t="shared" si="6"/>
        <v>0</v>
      </c>
      <c r="AQ7" s="635"/>
    </row>
    <row r="8" spans="1:43" ht="20.100000000000001" customHeight="1">
      <c r="A8" s="126" t="s">
        <v>134</v>
      </c>
      <c r="B8" s="127">
        <v>3885022</v>
      </c>
      <c r="C8" s="128">
        <v>3868733</v>
      </c>
      <c r="D8" s="128">
        <v>3921673</v>
      </c>
      <c r="E8" s="128">
        <v>3994875</v>
      </c>
      <c r="F8" s="129">
        <f>E8</f>
        <v>3994875</v>
      </c>
      <c r="G8" s="127">
        <v>4047592</v>
      </c>
      <c r="H8" s="128">
        <v>4127560</v>
      </c>
      <c r="I8" s="128">
        <v>4160343</v>
      </c>
      <c r="J8" s="128">
        <v>4212323</v>
      </c>
      <c r="K8" s="129">
        <f>J8</f>
        <v>4212323</v>
      </c>
      <c r="L8" s="127">
        <v>4236986</v>
      </c>
      <c r="M8" s="128">
        <v>4255544</v>
      </c>
      <c r="N8" s="130">
        <v>4344773</v>
      </c>
      <c r="O8" s="128">
        <v>4391702</v>
      </c>
      <c r="P8" s="131">
        <v>4391702</v>
      </c>
      <c r="Q8" s="127">
        <v>4405464</v>
      </c>
      <c r="R8" s="128">
        <v>4374517</v>
      </c>
      <c r="S8" s="128">
        <v>4396361</v>
      </c>
      <c r="T8" s="128">
        <v>4503320</v>
      </c>
      <c r="U8" s="131">
        <f t="shared" ref="U8:U12" si="7">T8</f>
        <v>4503320</v>
      </c>
      <c r="V8" s="127">
        <v>4560267</v>
      </c>
      <c r="W8" s="128">
        <v>4632246</v>
      </c>
      <c r="X8" s="128">
        <v>4679114</v>
      </c>
      <c r="Y8" s="128">
        <v>4766429</v>
      </c>
      <c r="Z8" s="131">
        <f t="shared" ref="Z8:Z12" si="8">Y8</f>
        <v>4766429</v>
      </c>
      <c r="AA8" s="127">
        <v>4785947</v>
      </c>
      <c r="AB8" s="128">
        <v>4835534</v>
      </c>
      <c r="AC8" s="128">
        <v>4882505</v>
      </c>
      <c r="AD8" s="128">
        <v>4942640</v>
      </c>
      <c r="AE8" s="131">
        <f t="shared" ref="AE8:AE12" si="9">AD8</f>
        <v>4942640</v>
      </c>
      <c r="AF8" s="128">
        <v>4984391</v>
      </c>
      <c r="AG8" s="469">
        <v>5027520</v>
      </c>
      <c r="AH8" s="469">
        <v>5038210</v>
      </c>
      <c r="AI8" s="469">
        <v>5098917</v>
      </c>
      <c r="AJ8" s="131">
        <v>5098917</v>
      </c>
      <c r="AK8" s="123">
        <v>5077221</v>
      </c>
      <c r="AL8" s="468">
        <v>5058740</v>
      </c>
      <c r="AM8" s="468">
        <v>5033398</v>
      </c>
      <c r="AN8" s="468"/>
      <c r="AO8" s="125"/>
      <c r="AQ8" s="635"/>
    </row>
    <row r="9" spans="1:43" ht="20.100000000000001" customHeight="1">
      <c r="A9" s="132" t="s">
        <v>135</v>
      </c>
      <c r="B9" s="133">
        <v>394001</v>
      </c>
      <c r="C9" s="134">
        <v>416027</v>
      </c>
      <c r="D9" s="134">
        <v>470578</v>
      </c>
      <c r="E9" s="134">
        <v>510617</v>
      </c>
      <c r="F9" s="135">
        <f t="shared" ref="F9:F11" si="10">E9</f>
        <v>510617</v>
      </c>
      <c r="G9" s="133">
        <v>559997</v>
      </c>
      <c r="H9" s="134">
        <v>633475</v>
      </c>
      <c r="I9" s="134">
        <v>680316</v>
      </c>
      <c r="J9" s="134">
        <v>719935</v>
      </c>
      <c r="K9" s="135">
        <f>J9</f>
        <v>719935</v>
      </c>
      <c r="L9" s="133">
        <v>749319</v>
      </c>
      <c r="M9" s="134">
        <v>771481</v>
      </c>
      <c r="N9" s="136">
        <v>806064</v>
      </c>
      <c r="O9" s="134">
        <v>844809</v>
      </c>
      <c r="P9" s="137">
        <v>844809</v>
      </c>
      <c r="Q9" s="133">
        <v>872628</v>
      </c>
      <c r="R9" s="134">
        <v>886305</v>
      </c>
      <c r="S9" s="134">
        <v>901271</v>
      </c>
      <c r="T9" s="134">
        <v>936307</v>
      </c>
      <c r="U9" s="137">
        <f t="shared" si="7"/>
        <v>936307</v>
      </c>
      <c r="V9" s="133">
        <v>957952</v>
      </c>
      <c r="W9" s="134">
        <v>972771</v>
      </c>
      <c r="X9" s="134">
        <v>982068</v>
      </c>
      <c r="Y9" s="134">
        <v>1021720</v>
      </c>
      <c r="Z9" s="137">
        <f t="shared" si="8"/>
        <v>1021720</v>
      </c>
      <c r="AA9" s="133">
        <v>1031294</v>
      </c>
      <c r="AB9" s="134">
        <v>1058982</v>
      </c>
      <c r="AC9" s="134">
        <v>1072513</v>
      </c>
      <c r="AD9" s="134">
        <v>1099582</v>
      </c>
      <c r="AE9" s="137">
        <f t="shared" si="9"/>
        <v>1099582</v>
      </c>
      <c r="AF9" s="134">
        <v>1114833</v>
      </c>
      <c r="AG9" s="138">
        <v>1127285</v>
      </c>
      <c r="AH9" s="546">
        <v>1141820</v>
      </c>
      <c r="AI9" s="546">
        <v>1160353</v>
      </c>
      <c r="AJ9" s="137">
        <v>1160353</v>
      </c>
      <c r="AK9" s="134">
        <v>1167983</v>
      </c>
      <c r="AL9" s="546">
        <v>1173866</v>
      </c>
      <c r="AM9" s="546">
        <v>1180891</v>
      </c>
      <c r="AN9" s="546"/>
      <c r="AO9" s="137"/>
      <c r="AQ9" s="635"/>
    </row>
    <row r="10" spans="1:43" ht="20.100000000000001" customHeight="1">
      <c r="A10" s="126" t="s">
        <v>136</v>
      </c>
      <c r="B10" s="127">
        <v>6985015</v>
      </c>
      <c r="C10" s="128">
        <v>6978192</v>
      </c>
      <c r="D10" s="128">
        <v>6976594</v>
      </c>
      <c r="E10" s="128">
        <v>6979590</v>
      </c>
      <c r="F10" s="129">
        <f t="shared" si="10"/>
        <v>6979590</v>
      </c>
      <c r="G10" s="127">
        <v>6941638</v>
      </c>
      <c r="H10" s="128">
        <v>6891314</v>
      </c>
      <c r="I10" s="128">
        <v>6834719</v>
      </c>
      <c r="J10" s="128">
        <v>6778675</v>
      </c>
      <c r="K10" s="129">
        <f t="shared" ref="K10:K11" si="11">J10</f>
        <v>6778675</v>
      </c>
      <c r="L10" s="127">
        <v>6713629</v>
      </c>
      <c r="M10" s="128">
        <v>6644687</v>
      </c>
      <c r="N10" s="130">
        <v>6617382</v>
      </c>
      <c r="O10" s="128">
        <v>6587915</v>
      </c>
      <c r="P10" s="131">
        <v>6587915</v>
      </c>
      <c r="Q10" s="127">
        <v>6552365</v>
      </c>
      <c r="R10" s="128">
        <v>6519311</v>
      </c>
      <c r="S10" s="128">
        <v>6505016</v>
      </c>
      <c r="T10" s="128">
        <v>6516643</v>
      </c>
      <c r="U10" s="131">
        <f t="shared" si="7"/>
        <v>6516643</v>
      </c>
      <c r="V10" s="127">
        <v>6536366</v>
      </c>
      <c r="W10" s="128">
        <v>6559223</v>
      </c>
      <c r="X10" s="128">
        <v>6616579</v>
      </c>
      <c r="Y10" s="128">
        <v>6730427</v>
      </c>
      <c r="Z10" s="131">
        <f t="shared" si="8"/>
        <v>6730427</v>
      </c>
      <c r="AA10" s="127">
        <v>6785002</v>
      </c>
      <c r="AB10" s="128">
        <v>6810999</v>
      </c>
      <c r="AC10" s="128">
        <v>6864787</v>
      </c>
      <c r="AD10" s="128">
        <v>6932676</v>
      </c>
      <c r="AE10" s="131">
        <f t="shared" si="9"/>
        <v>6932676</v>
      </c>
      <c r="AF10" s="128">
        <v>6997850</v>
      </c>
      <c r="AG10" s="469">
        <v>7098239</v>
      </c>
      <c r="AH10" s="469">
        <v>7209240</v>
      </c>
      <c r="AI10" s="469">
        <v>7345213</v>
      </c>
      <c r="AJ10" s="131">
        <v>7345213</v>
      </c>
      <c r="AK10" s="128">
        <v>7452479</v>
      </c>
      <c r="AL10" s="469">
        <v>7597611</v>
      </c>
      <c r="AM10" s="469">
        <v>7752113</v>
      </c>
      <c r="AN10" s="469"/>
      <c r="AO10" s="131"/>
      <c r="AQ10" s="635"/>
    </row>
    <row r="11" spans="1:43" ht="20.100000000000001" customHeight="1">
      <c r="A11" s="126" t="s">
        <v>137</v>
      </c>
      <c r="B11" s="127">
        <v>662510</v>
      </c>
      <c r="C11" s="128">
        <v>669908</v>
      </c>
      <c r="D11" s="128">
        <v>706832</v>
      </c>
      <c r="E11" s="128">
        <v>760635</v>
      </c>
      <c r="F11" s="129">
        <f t="shared" si="10"/>
        <v>760635</v>
      </c>
      <c r="G11" s="127">
        <v>810721</v>
      </c>
      <c r="H11" s="128">
        <v>850073</v>
      </c>
      <c r="I11" s="128">
        <v>913360</v>
      </c>
      <c r="J11" s="128">
        <v>987809</v>
      </c>
      <c r="K11" s="129">
        <f t="shared" si="11"/>
        <v>987809</v>
      </c>
      <c r="L11" s="139">
        <v>1032063</v>
      </c>
      <c r="M11" s="140">
        <v>1123138</v>
      </c>
      <c r="N11" s="130">
        <v>1268643</v>
      </c>
      <c r="O11" s="2">
        <v>1368211</v>
      </c>
      <c r="P11" s="131">
        <v>1368211</v>
      </c>
      <c r="Q11" s="139">
        <v>1436883</v>
      </c>
      <c r="R11" s="140">
        <v>1483193</v>
      </c>
      <c r="S11" s="140">
        <v>1517330</v>
      </c>
      <c r="T11" s="128">
        <v>1594740</v>
      </c>
      <c r="U11" s="131">
        <f t="shared" si="7"/>
        <v>1594740</v>
      </c>
      <c r="V11" s="139">
        <v>1647533</v>
      </c>
      <c r="W11" s="140">
        <v>1689256</v>
      </c>
      <c r="X11" s="140">
        <v>1722056</v>
      </c>
      <c r="Y11" s="128">
        <v>1757742</v>
      </c>
      <c r="Z11" s="131">
        <f t="shared" si="8"/>
        <v>1757742</v>
      </c>
      <c r="AA11" s="139">
        <v>1766089</v>
      </c>
      <c r="AB11" s="140">
        <v>1773006</v>
      </c>
      <c r="AC11" s="140">
        <v>1782872</v>
      </c>
      <c r="AD11" s="140">
        <v>1809728</v>
      </c>
      <c r="AE11" s="131">
        <f t="shared" si="9"/>
        <v>1809728</v>
      </c>
      <c r="AF11" s="140">
        <v>1813912</v>
      </c>
      <c r="AG11" s="470">
        <v>1804045</v>
      </c>
      <c r="AH11" s="470">
        <v>1809595</v>
      </c>
      <c r="AI11" s="470">
        <v>1815134</v>
      </c>
      <c r="AJ11" s="131">
        <v>1815134</v>
      </c>
      <c r="AK11" s="140">
        <v>1801295</v>
      </c>
      <c r="AL11" s="470">
        <v>1795259</v>
      </c>
      <c r="AM11" s="470">
        <v>1802358</v>
      </c>
      <c r="AN11" s="470"/>
      <c r="AO11" s="131"/>
      <c r="AQ11" s="635"/>
    </row>
    <row r="12" spans="1:43" ht="20.100000000000001" customHeight="1" thickBot="1">
      <c r="A12" s="141" t="s">
        <v>138</v>
      </c>
      <c r="B12" s="142">
        <v>6282300</v>
      </c>
      <c r="C12" s="143">
        <v>6264412</v>
      </c>
      <c r="D12" s="143">
        <v>6281184</v>
      </c>
      <c r="E12" s="143">
        <v>6313423</v>
      </c>
      <c r="F12" s="144">
        <f>E12</f>
        <v>6313423</v>
      </c>
      <c r="G12" s="142">
        <v>6318321</v>
      </c>
      <c r="H12" s="143">
        <v>6306877</v>
      </c>
      <c r="I12" s="143">
        <v>6285607</v>
      </c>
      <c r="J12" s="143">
        <v>6287658</v>
      </c>
      <c r="K12" s="144">
        <f>J12</f>
        <v>6287658</v>
      </c>
      <c r="L12" s="142">
        <v>6260662</v>
      </c>
      <c r="M12" s="143">
        <v>6221111</v>
      </c>
      <c r="N12" s="145">
        <v>6184775</v>
      </c>
      <c r="O12" s="143">
        <v>6137531</v>
      </c>
      <c r="P12" s="146">
        <v>6137531</v>
      </c>
      <c r="Q12" s="142">
        <v>6068839</v>
      </c>
      <c r="R12" s="143">
        <v>5990051</v>
      </c>
      <c r="S12" s="143">
        <v>5937768</v>
      </c>
      <c r="T12" s="143">
        <v>5916103</v>
      </c>
      <c r="U12" s="146">
        <f t="shared" si="7"/>
        <v>5916103</v>
      </c>
      <c r="V12" s="142">
        <v>5893225</v>
      </c>
      <c r="W12" s="143">
        <v>5862310</v>
      </c>
      <c r="X12" s="143">
        <v>5860884</v>
      </c>
      <c r="Y12" s="143">
        <v>5882804</v>
      </c>
      <c r="Z12" s="146">
        <f t="shared" si="8"/>
        <v>5882804</v>
      </c>
      <c r="AA12" s="142">
        <v>5847401</v>
      </c>
      <c r="AB12" s="143">
        <v>5819386</v>
      </c>
      <c r="AC12" s="143">
        <v>5791841</v>
      </c>
      <c r="AD12" s="143">
        <v>5776598</v>
      </c>
      <c r="AE12" s="146">
        <f t="shared" si="9"/>
        <v>5776598</v>
      </c>
      <c r="AF12" s="143">
        <v>5743832</v>
      </c>
      <c r="AG12" s="480">
        <v>5724492</v>
      </c>
      <c r="AH12" s="480">
        <v>5712151</v>
      </c>
      <c r="AI12" s="480">
        <v>5706147</v>
      </c>
      <c r="AJ12" s="146">
        <v>5706147</v>
      </c>
      <c r="AK12" s="143">
        <v>5672790</v>
      </c>
      <c r="AL12" s="480">
        <v>5652912</v>
      </c>
      <c r="AM12" s="480">
        <v>5644291</v>
      </c>
      <c r="AN12" s="480"/>
      <c r="AO12" s="146"/>
      <c r="AQ12" s="635"/>
    </row>
    <row r="13" spans="1:43" s="458" customFormat="1" ht="20.100000000000001" customHeight="1">
      <c r="A13" s="459" t="s">
        <v>239</v>
      </c>
      <c r="B13" s="147"/>
      <c r="C13" s="148"/>
      <c r="D13" s="148"/>
      <c r="E13" s="148"/>
      <c r="F13" s="149"/>
      <c r="G13" s="147"/>
      <c r="H13" s="148"/>
      <c r="I13" s="148"/>
      <c r="J13" s="148"/>
      <c r="K13" s="149"/>
      <c r="L13" s="147"/>
      <c r="M13" s="148"/>
      <c r="N13" s="150"/>
      <c r="O13" s="148"/>
      <c r="P13" s="151"/>
      <c r="Q13" s="147"/>
      <c r="R13" s="148"/>
      <c r="S13" s="148"/>
      <c r="T13" s="148"/>
      <c r="U13" s="151"/>
      <c r="V13" s="147"/>
      <c r="W13" s="148"/>
      <c r="X13" s="148"/>
      <c r="Y13" s="148"/>
      <c r="Z13" s="151"/>
      <c r="AA13" s="147">
        <v>80.3</v>
      </c>
      <c r="AB13" s="148">
        <v>81.2</v>
      </c>
      <c r="AC13" s="148">
        <v>80.5</v>
      </c>
      <c r="AD13" s="148">
        <v>81.900000000000006</v>
      </c>
      <c r="AE13" s="151"/>
      <c r="AF13" s="148">
        <v>81.900000000000006</v>
      </c>
      <c r="AG13" s="473">
        <v>82.9</v>
      </c>
      <c r="AH13" s="551">
        <v>84</v>
      </c>
      <c r="AI13" s="551">
        <v>84</v>
      </c>
      <c r="AJ13" s="151">
        <v>83.2</v>
      </c>
      <c r="AK13" s="148">
        <v>82.9</v>
      </c>
      <c r="AL13" s="551">
        <v>83.4</v>
      </c>
      <c r="AM13" s="551">
        <v>84.8</v>
      </c>
      <c r="AN13" s="551"/>
      <c r="AO13" s="151"/>
      <c r="AQ13" s="635"/>
    </row>
    <row r="14" spans="1:43" s="457" customFormat="1" ht="20.100000000000001" customHeight="1">
      <c r="A14" s="460" t="s">
        <v>240</v>
      </c>
      <c r="B14" s="454">
        <v>92.5</v>
      </c>
      <c r="C14" s="455">
        <v>94.4</v>
      </c>
      <c r="D14" s="455">
        <v>93.8</v>
      </c>
      <c r="E14" s="455">
        <v>93.8</v>
      </c>
      <c r="F14" s="456">
        <v>93.6</v>
      </c>
      <c r="G14" s="454">
        <v>89.1</v>
      </c>
      <c r="H14" s="455">
        <v>90.3</v>
      </c>
      <c r="I14" s="455">
        <v>87.6</v>
      </c>
      <c r="J14" s="455">
        <v>87.1</v>
      </c>
      <c r="K14" s="456">
        <v>88.5</v>
      </c>
      <c r="L14" s="454">
        <v>84.8</v>
      </c>
      <c r="M14" s="455">
        <v>85.3</v>
      </c>
      <c r="N14" s="150">
        <v>86.5</v>
      </c>
      <c r="O14" s="455">
        <v>87.2</v>
      </c>
      <c r="P14" s="456">
        <v>85.9</v>
      </c>
      <c r="Q14" s="454">
        <v>85.8</v>
      </c>
      <c r="R14" s="455">
        <v>87</v>
      </c>
      <c r="S14" s="455">
        <v>88.1</v>
      </c>
      <c r="T14" s="455">
        <v>88.3</v>
      </c>
      <c r="U14" s="456">
        <v>87.3</v>
      </c>
      <c r="V14" s="454">
        <v>87</v>
      </c>
      <c r="W14" s="455">
        <v>88.4</v>
      </c>
      <c r="X14" s="455">
        <v>88.6</v>
      </c>
      <c r="Y14" s="455">
        <v>90.7</v>
      </c>
      <c r="Z14" s="456">
        <v>88.7</v>
      </c>
      <c r="AA14" s="454">
        <v>89.1</v>
      </c>
      <c r="AB14" s="462">
        <v>89.6</v>
      </c>
      <c r="AC14" s="455">
        <v>88.4</v>
      </c>
      <c r="AD14" s="455">
        <v>89</v>
      </c>
      <c r="AE14" s="456">
        <v>89</v>
      </c>
      <c r="AF14" s="454">
        <v>88.7</v>
      </c>
      <c r="AG14" s="462">
        <v>89.6</v>
      </c>
      <c r="AH14" s="552">
        <v>90.1</v>
      </c>
      <c r="AI14" s="552">
        <v>90.5</v>
      </c>
      <c r="AJ14" s="456">
        <v>89.7</v>
      </c>
      <c r="AK14" s="454"/>
      <c r="AL14" s="552"/>
      <c r="AM14" s="552"/>
      <c r="AN14" s="552"/>
      <c r="AO14" s="456"/>
      <c r="AQ14" s="635"/>
    </row>
    <row r="15" spans="1:43" ht="20.100000000000001" customHeight="1">
      <c r="A15" s="152" t="s">
        <v>139</v>
      </c>
      <c r="B15" s="153" t="s">
        <v>131</v>
      </c>
      <c r="C15" s="154" t="s">
        <v>131</v>
      </c>
      <c r="D15" s="154" t="s">
        <v>131</v>
      </c>
      <c r="E15" s="155">
        <v>8.4252884188563901E-2</v>
      </c>
      <c r="F15" s="156">
        <f>E15</f>
        <v>8.4252884188563901E-2</v>
      </c>
      <c r="G15" s="157">
        <v>8.6500864834109098E-2</v>
      </c>
      <c r="H15" s="155">
        <v>8.7995678097648605E-2</v>
      </c>
      <c r="I15" s="155">
        <v>8.95665783401738E-2</v>
      </c>
      <c r="J15" s="155">
        <v>9.1612274770678806E-2</v>
      </c>
      <c r="K15" s="156">
        <f>J15</f>
        <v>9.1612274770678806E-2</v>
      </c>
      <c r="L15" s="157">
        <v>9.0641340484564806E-2</v>
      </c>
      <c r="M15" s="155">
        <v>8.7627794752018207E-2</v>
      </c>
      <c r="N15" s="158">
        <f>8.8%</f>
        <v>8.8000000000000009E-2</v>
      </c>
      <c r="O15" s="155">
        <v>9.0976359886998898E-2</v>
      </c>
      <c r="P15" s="159">
        <v>9.0999999999999998E-2</v>
      </c>
      <c r="Q15" s="157">
        <v>9.5000000000000001E-2</v>
      </c>
      <c r="R15" s="155">
        <v>0.10100000000000001</v>
      </c>
      <c r="S15" s="155">
        <v>0.10199999999999999</v>
      </c>
      <c r="T15" s="155">
        <v>0.1</v>
      </c>
      <c r="U15" s="159">
        <v>0.1</v>
      </c>
      <c r="V15" s="157">
        <v>9.8000000000000004E-2</v>
      </c>
      <c r="W15" s="155">
        <v>0.09</v>
      </c>
      <c r="X15" s="155">
        <v>8.5000000000000006E-2</v>
      </c>
      <c r="Y15" s="155">
        <v>8.3000000000000004E-2</v>
      </c>
      <c r="Z15" s="159">
        <v>8.3000000000000004E-2</v>
      </c>
      <c r="AA15" s="157">
        <v>8.5000000000000006E-2</v>
      </c>
      <c r="AB15" s="155">
        <v>8.5999999999999993E-2</v>
      </c>
      <c r="AC15" s="155">
        <v>8.7999999999999995E-2</v>
      </c>
      <c r="AD15" s="155">
        <v>8.7999999999999995E-2</v>
      </c>
      <c r="AE15" s="159">
        <v>8.7999999999999995E-2</v>
      </c>
      <c r="AF15" s="155">
        <v>8.5000000000000006E-2</v>
      </c>
      <c r="AG15" s="471">
        <v>8.3000000000000004E-2</v>
      </c>
      <c r="AH15" s="471">
        <v>7.9000000000000001E-2</v>
      </c>
      <c r="AI15" s="471">
        <v>7.5999999999999998E-2</v>
      </c>
      <c r="AJ15" s="159">
        <v>7.5999999999999998E-2</v>
      </c>
      <c r="AK15" s="155">
        <v>7.1999999999999995E-2</v>
      </c>
      <c r="AL15" s="471">
        <v>7.0000000000000007E-2</v>
      </c>
      <c r="AM15" s="471">
        <v>6.8000000000000005E-2</v>
      </c>
      <c r="AN15" s="471"/>
      <c r="AO15" s="159"/>
      <c r="AQ15" s="635"/>
    </row>
    <row r="16" spans="1:43" ht="20.100000000000001" customHeight="1" thickBot="1">
      <c r="A16" s="152" t="s">
        <v>140</v>
      </c>
      <c r="B16" s="160">
        <f t="shared" ref="B16:M16" si="12">B7/B12</f>
        <v>1.8357205163713926</v>
      </c>
      <c r="C16" s="161">
        <f t="shared" si="12"/>
        <v>1.838453952262399</v>
      </c>
      <c r="D16" s="161">
        <f t="shared" si="12"/>
        <v>1.8475973638091163</v>
      </c>
      <c r="E16" s="161">
        <f t="shared" si="12"/>
        <v>1.858753959619053</v>
      </c>
      <c r="F16" s="162">
        <f t="shared" si="12"/>
        <v>1.858753959619053</v>
      </c>
      <c r="G16" s="160">
        <f t="shared" si="12"/>
        <v>1.8675770034475931</v>
      </c>
      <c r="H16" s="161">
        <f t="shared" si="12"/>
        <v>1.8819055770391591</v>
      </c>
      <c r="I16" s="161">
        <f t="shared" si="12"/>
        <v>1.8945540184106324</v>
      </c>
      <c r="J16" s="161">
        <f t="shared" si="12"/>
        <v>1.9051301772456453</v>
      </c>
      <c r="K16" s="162">
        <f t="shared" si="12"/>
        <v>1.9051301772456453</v>
      </c>
      <c r="L16" s="160">
        <f t="shared" si="12"/>
        <v>1.9139634115369908</v>
      </c>
      <c r="M16" s="161">
        <f t="shared" si="12"/>
        <v>1.9326723152825918</v>
      </c>
      <c r="N16" s="163">
        <v>1.98</v>
      </c>
      <c r="O16" s="161">
        <v>2.0099999999999998</v>
      </c>
      <c r="P16" s="162">
        <v>2.0099999999999998</v>
      </c>
      <c r="Q16" s="160">
        <f>Q7/Q12</f>
        <v>2.0423530760990696</v>
      </c>
      <c r="R16" s="161">
        <v>2.0699999999999998</v>
      </c>
      <c r="S16" s="161">
        <v>2.09</v>
      </c>
      <c r="T16" s="161">
        <v>2.13</v>
      </c>
      <c r="U16" s="162">
        <v>2.13</v>
      </c>
      <c r="V16" s="160">
        <v>2.16</v>
      </c>
      <c r="W16" s="161">
        <v>2.2000000000000002</v>
      </c>
      <c r="X16" s="161">
        <v>2.2200000000000002</v>
      </c>
      <c r="Y16" s="161">
        <v>2.25</v>
      </c>
      <c r="Z16" s="162">
        <f>Y16</f>
        <v>2.25</v>
      </c>
      <c r="AA16" s="160">
        <v>2.2799999999999998</v>
      </c>
      <c r="AB16" s="161">
        <v>2.31</v>
      </c>
      <c r="AC16" s="161">
        <v>2.34</v>
      </c>
      <c r="AD16" s="161">
        <v>2.37</v>
      </c>
      <c r="AE16" s="162">
        <v>2.37</v>
      </c>
      <c r="AF16" s="161">
        <v>2.4</v>
      </c>
      <c r="AG16" s="472">
        <v>2.4300000000000002</v>
      </c>
      <c r="AH16" s="472">
        <v>2.46</v>
      </c>
      <c r="AI16" s="472">
        <v>2.5</v>
      </c>
      <c r="AJ16" s="162">
        <v>2.5</v>
      </c>
      <c r="AK16" s="161">
        <v>2.5299999999999998</v>
      </c>
      <c r="AL16" s="472">
        <v>2.56</v>
      </c>
      <c r="AM16" s="472">
        <v>2.58</v>
      </c>
      <c r="AN16" s="472"/>
      <c r="AO16" s="162"/>
      <c r="AQ16" s="635"/>
    </row>
    <row r="17" spans="1:43" ht="20.100000000000001" customHeight="1">
      <c r="A17" s="164" t="s">
        <v>141</v>
      </c>
      <c r="B17" s="165">
        <f>B18+B20+B21</f>
        <v>11497022</v>
      </c>
      <c r="C17" s="166">
        <f t="shared" ref="C17:M17" si="13">C18+C20+C21</f>
        <v>11521707</v>
      </c>
      <c r="D17" s="166">
        <f t="shared" si="13"/>
        <v>11558288</v>
      </c>
      <c r="E17" s="166">
        <f t="shared" si="13"/>
        <v>11659474</v>
      </c>
      <c r="F17" s="124">
        <f t="shared" si="13"/>
        <v>11559122.75</v>
      </c>
      <c r="G17" s="165">
        <f t="shared" si="13"/>
        <v>11772318</v>
      </c>
      <c r="H17" s="166">
        <f t="shared" si="13"/>
        <v>11846507</v>
      </c>
      <c r="I17" s="166">
        <f t="shared" si="13"/>
        <v>11884574</v>
      </c>
      <c r="J17" s="166">
        <f t="shared" si="13"/>
        <v>11924710</v>
      </c>
      <c r="K17" s="124">
        <f t="shared" si="13"/>
        <v>11857027.25</v>
      </c>
      <c r="L17" s="165">
        <f t="shared" si="13"/>
        <v>11986199</v>
      </c>
      <c r="M17" s="166">
        <f t="shared" si="13"/>
        <v>11981389</v>
      </c>
      <c r="N17" s="166">
        <f>N18+N20+N21</f>
        <v>12125363</v>
      </c>
      <c r="O17" s="166">
        <f>O18+O20+O21</f>
        <v>12272311</v>
      </c>
      <c r="P17" s="125">
        <f>P18+P20+P21</f>
        <v>12091316</v>
      </c>
      <c r="Q17" s="165">
        <f t="shared" ref="Q17:U17" si="14">Q18+Q20+Q21</f>
        <v>12376603</v>
      </c>
      <c r="R17" s="166">
        <f t="shared" si="14"/>
        <v>12391326</v>
      </c>
      <c r="S17" s="166">
        <f t="shared" si="14"/>
        <v>12378586</v>
      </c>
      <c r="T17" s="166">
        <f t="shared" si="14"/>
        <v>12496080</v>
      </c>
      <c r="U17" s="125">
        <f t="shared" si="14"/>
        <v>12410649</v>
      </c>
      <c r="V17" s="165">
        <f t="shared" ref="V17:AE17" si="15">V18+V20+V21</f>
        <v>12675864</v>
      </c>
      <c r="W17" s="166">
        <f t="shared" si="15"/>
        <v>12809438</v>
      </c>
      <c r="X17" s="166">
        <f t="shared" si="15"/>
        <v>12940680</v>
      </c>
      <c r="Y17" s="166">
        <f t="shared" si="15"/>
        <v>13119033</v>
      </c>
      <c r="Z17" s="125">
        <f t="shared" si="15"/>
        <v>12886254</v>
      </c>
      <c r="AA17" s="165">
        <f t="shared" si="15"/>
        <v>13313971</v>
      </c>
      <c r="AB17" s="166">
        <f t="shared" si="15"/>
        <v>13379081</v>
      </c>
      <c r="AC17" s="166">
        <f t="shared" si="15"/>
        <v>13467835</v>
      </c>
      <c r="AD17" s="166">
        <f t="shared" si="15"/>
        <v>13596202</v>
      </c>
      <c r="AE17" s="125">
        <f t="shared" si="15"/>
        <v>13439272</v>
      </c>
      <c r="AF17" s="166">
        <f t="shared" ref="AF17:AI17" si="16">AF18+AF20+AF21</f>
        <v>13741811</v>
      </c>
      <c r="AG17" s="477">
        <f t="shared" si="16"/>
        <v>13858205</v>
      </c>
      <c r="AH17" s="477">
        <f t="shared" si="16"/>
        <v>13995952</v>
      </c>
      <c r="AI17" s="477">
        <f t="shared" si="16"/>
        <v>14159632</v>
      </c>
      <c r="AJ17" s="125">
        <f>AJ18+AJ20+AJ21</f>
        <v>13938900</v>
      </c>
      <c r="AK17" s="166">
        <f>AK18+AK20+AK21</f>
        <v>14283823</v>
      </c>
      <c r="AL17" s="166">
        <f t="shared" ref="AL17:AO17" si="17">AL18+AL20+AL21</f>
        <v>14381445</v>
      </c>
      <c r="AM17" s="166">
        <f t="shared" si="17"/>
        <v>14515058</v>
      </c>
      <c r="AN17" s="166">
        <f t="shared" si="17"/>
        <v>0</v>
      </c>
      <c r="AO17" s="125">
        <f t="shared" si="17"/>
        <v>0</v>
      </c>
      <c r="AQ17" s="635"/>
    </row>
    <row r="18" spans="1:43" ht="20.100000000000001" customHeight="1">
      <c r="A18" s="126" t="s">
        <v>134</v>
      </c>
      <c r="B18" s="127">
        <v>3858338</v>
      </c>
      <c r="C18" s="128">
        <v>3879834</v>
      </c>
      <c r="D18" s="128">
        <v>3894623</v>
      </c>
      <c r="E18" s="128">
        <v>3955082</v>
      </c>
      <c r="F18" s="129">
        <f>AVERAGE(B18:E18)</f>
        <v>3896969.25</v>
      </c>
      <c r="G18" s="127">
        <v>4018307</v>
      </c>
      <c r="H18" s="128">
        <v>4098051</v>
      </c>
      <c r="I18" s="128">
        <v>4144131</v>
      </c>
      <c r="J18" s="128">
        <v>4175145</v>
      </c>
      <c r="K18" s="129">
        <f>AVERAGE(G18:J18)</f>
        <v>4108908.5</v>
      </c>
      <c r="L18" s="127">
        <v>4227450</v>
      </c>
      <c r="M18" s="128">
        <v>4243880</v>
      </c>
      <c r="N18" s="130">
        <v>4301558</v>
      </c>
      <c r="O18" s="128">
        <v>4361890</v>
      </c>
      <c r="P18" s="131">
        <v>4283695</v>
      </c>
      <c r="Q18" s="127">
        <v>4403541</v>
      </c>
      <c r="R18" s="128">
        <v>4397999</v>
      </c>
      <c r="S18" s="128">
        <v>4376405</v>
      </c>
      <c r="T18" s="128">
        <v>4441918</v>
      </c>
      <c r="U18" s="131">
        <v>4404966</v>
      </c>
      <c r="V18" s="127">
        <v>4532806</v>
      </c>
      <c r="W18" s="128">
        <v>4595313</v>
      </c>
      <c r="X18" s="128">
        <v>4654591</v>
      </c>
      <c r="Y18" s="128">
        <v>4712813</v>
      </c>
      <c r="Z18" s="131">
        <v>4623881</v>
      </c>
      <c r="AA18" s="127">
        <v>4781680</v>
      </c>
      <c r="AB18" s="128">
        <v>4817543</v>
      </c>
      <c r="AC18" s="128">
        <v>4856979</v>
      </c>
      <c r="AD18" s="128">
        <v>4905839</v>
      </c>
      <c r="AE18" s="131">
        <v>4840510</v>
      </c>
      <c r="AF18" s="128">
        <v>4963830</v>
      </c>
      <c r="AG18" s="469">
        <v>5013604</v>
      </c>
      <c r="AH18" s="469">
        <v>5029344</v>
      </c>
      <c r="AI18" s="469">
        <v>5070219</v>
      </c>
      <c r="AJ18" s="131">
        <v>5019249</v>
      </c>
      <c r="AK18" s="128">
        <v>5090723</v>
      </c>
      <c r="AL18" s="469">
        <v>5066146</v>
      </c>
      <c r="AM18" s="469">
        <v>5036833</v>
      </c>
      <c r="AN18" s="469"/>
      <c r="AO18" s="131"/>
      <c r="AQ18" s="635"/>
    </row>
    <row r="19" spans="1:43" ht="20.100000000000001" customHeight="1">
      <c r="A19" s="132" t="s">
        <v>135</v>
      </c>
      <c r="B19" s="133">
        <v>358652</v>
      </c>
      <c r="C19" s="134">
        <v>406943</v>
      </c>
      <c r="D19" s="138">
        <v>443743.5</v>
      </c>
      <c r="E19" s="134">
        <v>494506</v>
      </c>
      <c r="F19" s="135">
        <f>AVERAGE(B19:E19)</f>
        <v>425961.125</v>
      </c>
      <c r="G19" s="133">
        <v>535271</v>
      </c>
      <c r="H19" s="134">
        <v>600411</v>
      </c>
      <c r="I19" s="134">
        <v>658475</v>
      </c>
      <c r="J19" s="134">
        <v>697978</v>
      </c>
      <c r="K19" s="135">
        <f t="shared" ref="K19:K21" si="18">AVERAGE(G19:J19)</f>
        <v>623033.75</v>
      </c>
      <c r="L19" s="167">
        <v>736315</v>
      </c>
      <c r="M19" s="134">
        <v>759922</v>
      </c>
      <c r="N19" s="136">
        <v>787736</v>
      </c>
      <c r="O19" s="134">
        <v>822568</v>
      </c>
      <c r="P19" s="137">
        <v>776635</v>
      </c>
      <c r="Q19" s="167">
        <v>860827</v>
      </c>
      <c r="R19" s="134">
        <v>881296</v>
      </c>
      <c r="S19" s="134">
        <v>893001</v>
      </c>
      <c r="T19" s="134">
        <v>915940</v>
      </c>
      <c r="U19" s="137">
        <v>887766</v>
      </c>
      <c r="V19" s="167">
        <v>948366</v>
      </c>
      <c r="W19" s="309">
        <v>964197</v>
      </c>
      <c r="X19" s="309">
        <v>977142</v>
      </c>
      <c r="Y19" s="134">
        <v>995820</v>
      </c>
      <c r="Z19" s="137">
        <v>971381</v>
      </c>
      <c r="AA19" s="167">
        <v>1029294</v>
      </c>
      <c r="AB19" s="128">
        <v>1051692</v>
      </c>
      <c r="AC19" s="309">
        <v>1064544</v>
      </c>
      <c r="AD19" s="309">
        <v>1082951</v>
      </c>
      <c r="AE19" s="137">
        <v>1057120</v>
      </c>
      <c r="AF19" s="309">
        <v>1108316</v>
      </c>
      <c r="AG19" s="474">
        <v>1121333</v>
      </c>
      <c r="AH19" s="474">
        <v>1134327</v>
      </c>
      <c r="AI19" s="474">
        <v>1149795</v>
      </c>
      <c r="AJ19" s="137">
        <v>1128443</v>
      </c>
      <c r="AK19" s="309">
        <v>1164591</v>
      </c>
      <c r="AL19" s="474">
        <v>1171425</v>
      </c>
      <c r="AM19" s="474">
        <v>1177222</v>
      </c>
      <c r="AN19" s="474"/>
      <c r="AO19" s="137"/>
      <c r="AQ19" s="635"/>
    </row>
    <row r="20" spans="1:43" ht="20.100000000000001" customHeight="1">
      <c r="A20" s="126" t="s">
        <v>136</v>
      </c>
      <c r="B20" s="127">
        <v>6986951</v>
      </c>
      <c r="C20" s="128">
        <v>6977393</v>
      </c>
      <c r="D20" s="128">
        <v>6978772</v>
      </c>
      <c r="E20" s="128">
        <v>6974525</v>
      </c>
      <c r="F20" s="129">
        <f t="shared" ref="F20:F21" si="19">AVERAGE(B20:E20)</f>
        <v>6979410.25</v>
      </c>
      <c r="G20" s="127">
        <v>6965606</v>
      </c>
      <c r="H20" s="128">
        <v>6917102</v>
      </c>
      <c r="I20" s="128">
        <v>6862047</v>
      </c>
      <c r="J20" s="128">
        <v>6801845</v>
      </c>
      <c r="K20" s="129">
        <f t="shared" si="18"/>
        <v>6886650</v>
      </c>
      <c r="L20" s="168">
        <v>6749396</v>
      </c>
      <c r="M20" s="128">
        <v>6670820</v>
      </c>
      <c r="N20" s="130">
        <v>6628199</v>
      </c>
      <c r="O20" s="128">
        <v>6597742</v>
      </c>
      <c r="P20" s="131">
        <v>6661539</v>
      </c>
      <c r="Q20" s="168">
        <v>6570344</v>
      </c>
      <c r="R20" s="128">
        <v>6532488</v>
      </c>
      <c r="S20" s="128">
        <v>6508391</v>
      </c>
      <c r="T20" s="128">
        <v>6502872</v>
      </c>
      <c r="U20" s="131">
        <v>6528524</v>
      </c>
      <c r="V20" s="168">
        <v>6523316</v>
      </c>
      <c r="W20" s="310">
        <v>6546774</v>
      </c>
      <c r="X20" s="310">
        <v>6579908</v>
      </c>
      <c r="Y20" s="128">
        <v>6667869</v>
      </c>
      <c r="Z20" s="131">
        <v>6579467</v>
      </c>
      <c r="AA20" s="168">
        <v>6769379</v>
      </c>
      <c r="AB20" s="128">
        <v>6790804</v>
      </c>
      <c r="AC20" s="310">
        <v>6836282</v>
      </c>
      <c r="AD20" s="310">
        <v>6894295</v>
      </c>
      <c r="AE20" s="131">
        <v>6822690</v>
      </c>
      <c r="AF20" s="310">
        <v>6963584</v>
      </c>
      <c r="AG20" s="475">
        <v>7036346</v>
      </c>
      <c r="AH20" s="475">
        <v>7161022</v>
      </c>
      <c r="AI20" s="475">
        <v>7276732</v>
      </c>
      <c r="AJ20" s="131">
        <v>7109421</v>
      </c>
      <c r="AK20" s="310">
        <v>7384746</v>
      </c>
      <c r="AL20" s="475">
        <v>7519107</v>
      </c>
      <c r="AM20" s="475">
        <v>7679532</v>
      </c>
      <c r="AN20" s="475"/>
      <c r="AO20" s="131"/>
      <c r="AQ20" s="635"/>
    </row>
    <row r="21" spans="1:43" ht="20.100000000000001" customHeight="1">
      <c r="A21" s="126" t="s">
        <v>137</v>
      </c>
      <c r="B21" s="127">
        <v>651733</v>
      </c>
      <c r="C21" s="128">
        <v>664480</v>
      </c>
      <c r="D21" s="128">
        <v>684893</v>
      </c>
      <c r="E21" s="128">
        <v>729867</v>
      </c>
      <c r="F21" s="129">
        <f t="shared" si="19"/>
        <v>682743.25</v>
      </c>
      <c r="G21" s="127">
        <v>788405</v>
      </c>
      <c r="H21" s="128">
        <v>831354</v>
      </c>
      <c r="I21" s="128">
        <v>878396</v>
      </c>
      <c r="J21" s="128">
        <v>947720</v>
      </c>
      <c r="K21" s="129">
        <f t="shared" si="18"/>
        <v>861468.75</v>
      </c>
      <c r="L21" s="168">
        <v>1009353</v>
      </c>
      <c r="M21" s="128">
        <v>1066689</v>
      </c>
      <c r="N21" s="130">
        <v>1195606</v>
      </c>
      <c r="O21" s="128">
        <v>1312679</v>
      </c>
      <c r="P21" s="131">
        <v>1146082</v>
      </c>
      <c r="Q21" s="168">
        <v>1402718</v>
      </c>
      <c r="R21" s="128">
        <v>1460839</v>
      </c>
      <c r="S21" s="128">
        <v>1493790</v>
      </c>
      <c r="T21" s="128">
        <v>1551290</v>
      </c>
      <c r="U21" s="131">
        <v>1477159</v>
      </c>
      <c r="V21" s="168">
        <v>1619742</v>
      </c>
      <c r="W21" s="310">
        <v>1667351</v>
      </c>
      <c r="X21" s="310">
        <v>1706181</v>
      </c>
      <c r="Y21" s="128">
        <v>1738351</v>
      </c>
      <c r="Z21" s="131">
        <v>1682906</v>
      </c>
      <c r="AA21" s="168">
        <v>1762912</v>
      </c>
      <c r="AB21" s="128">
        <v>1770734</v>
      </c>
      <c r="AC21" s="310">
        <v>1774574</v>
      </c>
      <c r="AD21" s="310">
        <v>1796068</v>
      </c>
      <c r="AE21" s="131">
        <v>1776072</v>
      </c>
      <c r="AF21" s="310">
        <v>1814397</v>
      </c>
      <c r="AG21" s="475">
        <v>1808255</v>
      </c>
      <c r="AH21" s="475">
        <v>1805586</v>
      </c>
      <c r="AI21" s="475">
        <v>1812681</v>
      </c>
      <c r="AJ21" s="131">
        <v>1810230</v>
      </c>
      <c r="AK21" s="310">
        <v>1808354</v>
      </c>
      <c r="AL21" s="475">
        <v>1796192</v>
      </c>
      <c r="AM21" s="475">
        <v>1798693</v>
      </c>
      <c r="AN21" s="475"/>
      <c r="AO21" s="131"/>
      <c r="AQ21" s="635"/>
    </row>
    <row r="22" spans="1:43" ht="20.100000000000001" customHeight="1" thickBot="1">
      <c r="A22" s="169" t="s">
        <v>142</v>
      </c>
      <c r="B22" s="170">
        <v>6288609</v>
      </c>
      <c r="C22" s="171">
        <v>6272029</v>
      </c>
      <c r="D22" s="171">
        <v>6271838</v>
      </c>
      <c r="E22" s="171">
        <v>6291791</v>
      </c>
      <c r="F22" s="172">
        <f>AVERAGE(B22:E22)</f>
        <v>6281066.75</v>
      </c>
      <c r="G22" s="173">
        <v>6316275</v>
      </c>
      <c r="H22" s="171">
        <v>6317333</v>
      </c>
      <c r="I22" s="171">
        <v>6293472</v>
      </c>
      <c r="J22" s="171">
        <v>6279979</v>
      </c>
      <c r="K22" s="172">
        <f>AVERAGE(G22:J22)</f>
        <v>6301764.75</v>
      </c>
      <c r="L22" s="173">
        <v>6274951</v>
      </c>
      <c r="M22" s="171">
        <v>6242450</v>
      </c>
      <c r="N22" s="145">
        <v>6201335</v>
      </c>
      <c r="O22" s="171">
        <v>6159902.666666667</v>
      </c>
      <c r="P22" s="174">
        <v>6219660</v>
      </c>
      <c r="Q22" s="173">
        <v>6105250</v>
      </c>
      <c r="R22" s="171">
        <v>6031638</v>
      </c>
      <c r="S22" s="171">
        <v>5960463</v>
      </c>
      <c r="T22" s="171">
        <v>5922397</v>
      </c>
      <c r="U22" s="174">
        <v>6004937</v>
      </c>
      <c r="V22" s="173">
        <v>5902526</v>
      </c>
      <c r="W22" s="171">
        <v>5876458</v>
      </c>
      <c r="X22" s="171">
        <v>5858477</v>
      </c>
      <c r="Y22" s="171">
        <v>5868541</v>
      </c>
      <c r="Z22" s="174">
        <v>5876500</v>
      </c>
      <c r="AA22" s="173">
        <v>5872517</v>
      </c>
      <c r="AB22" s="143">
        <v>5828405</v>
      </c>
      <c r="AC22" s="171">
        <v>5803517</v>
      </c>
      <c r="AD22" s="171">
        <v>5781207</v>
      </c>
      <c r="AE22" s="174">
        <v>5821411</v>
      </c>
      <c r="AF22" s="171">
        <v>5760338</v>
      </c>
      <c r="AG22" s="476">
        <v>5732091</v>
      </c>
      <c r="AH22" s="476">
        <v>5717882</v>
      </c>
      <c r="AI22" s="476">
        <v>5708353</v>
      </c>
      <c r="AJ22" s="174">
        <v>5729666</v>
      </c>
      <c r="AK22" s="171">
        <v>5688071</v>
      </c>
      <c r="AL22" s="476">
        <v>5662168</v>
      </c>
      <c r="AM22" s="476">
        <v>5649225</v>
      </c>
      <c r="AN22" s="476"/>
      <c r="AO22" s="174"/>
      <c r="AQ22" s="635"/>
    </row>
    <row r="23" spans="1:43" ht="20.100000000000001" customHeight="1">
      <c r="A23" s="175" t="s">
        <v>143</v>
      </c>
      <c r="B23" s="176"/>
      <c r="C23" s="177"/>
      <c r="D23" s="177"/>
      <c r="E23" s="177"/>
      <c r="F23" s="178"/>
      <c r="G23" s="179"/>
      <c r="H23" s="180"/>
      <c r="I23" s="180"/>
      <c r="J23" s="180"/>
      <c r="K23" s="178"/>
      <c r="L23" s="179"/>
      <c r="M23" s="181"/>
      <c r="N23" s="181"/>
      <c r="O23" s="180"/>
      <c r="P23" s="178"/>
      <c r="Q23" s="179"/>
      <c r="R23" s="181"/>
      <c r="S23" s="181"/>
      <c r="T23" s="180"/>
      <c r="U23" s="178"/>
      <c r="V23" s="179"/>
      <c r="W23" s="180"/>
      <c r="X23" s="180"/>
      <c r="Y23" s="180"/>
      <c r="Z23" s="178"/>
      <c r="AA23" s="179"/>
      <c r="AB23" s="180"/>
      <c r="AC23" s="180"/>
      <c r="AD23" s="180"/>
      <c r="AE23" s="178"/>
      <c r="AF23" s="180"/>
      <c r="AG23" s="180"/>
      <c r="AH23" s="547"/>
      <c r="AI23" s="180"/>
      <c r="AJ23" s="178"/>
      <c r="AK23" s="547"/>
      <c r="AL23" s="547"/>
      <c r="AM23" s="547"/>
      <c r="AN23" s="547"/>
      <c r="AO23" s="178"/>
      <c r="AQ23" s="635"/>
    </row>
    <row r="24" spans="1:43" ht="20.100000000000001" customHeight="1">
      <c r="A24" s="121" t="s">
        <v>133</v>
      </c>
      <c r="B24" s="182" t="s">
        <v>131</v>
      </c>
      <c r="C24" s="183" t="s">
        <v>131</v>
      </c>
      <c r="D24" s="183" t="s">
        <v>131</v>
      </c>
      <c r="E24" s="183" t="s">
        <v>131</v>
      </c>
      <c r="F24" s="125" t="s">
        <v>131</v>
      </c>
      <c r="G24" s="122">
        <f>SUM(G25:G27)</f>
        <v>4548385</v>
      </c>
      <c r="H24" s="123">
        <f t="shared" ref="H24:M24" si="20">SUM(H25:H27)</f>
        <v>4565319</v>
      </c>
      <c r="I24" s="123">
        <f t="shared" si="20"/>
        <v>4719129</v>
      </c>
      <c r="J24" s="123">
        <f t="shared" si="20"/>
        <v>4468527</v>
      </c>
      <c r="K24" s="124">
        <f t="shared" si="20"/>
        <v>4468527</v>
      </c>
      <c r="L24" s="122">
        <f t="shared" si="20"/>
        <v>4350325</v>
      </c>
      <c r="M24" s="123">
        <f t="shared" si="20"/>
        <v>4227128</v>
      </c>
      <c r="N24" s="123">
        <f>SUM(N25:N27)</f>
        <v>4219194</v>
      </c>
      <c r="O24" s="123">
        <f>SUM(O25:O27)</f>
        <v>4134203</v>
      </c>
      <c r="P24" s="125">
        <f>SUM(P25:P27)</f>
        <v>4134203</v>
      </c>
      <c r="Q24" s="122">
        <f t="shared" ref="Q24:U24" si="21">SUM(Q25:Q27)</f>
        <v>4034757</v>
      </c>
      <c r="R24" s="123">
        <f t="shared" si="21"/>
        <v>3972069</v>
      </c>
      <c r="S24" s="123">
        <f t="shared" si="21"/>
        <v>3976807</v>
      </c>
      <c r="T24" s="123">
        <f t="shared" si="21"/>
        <v>3854993</v>
      </c>
      <c r="U24" s="125">
        <f t="shared" si="21"/>
        <v>3854993</v>
      </c>
      <c r="V24" s="122">
        <f t="shared" ref="V24:AE24" si="22">SUM(V25:V27)</f>
        <v>3787667</v>
      </c>
      <c r="W24" s="123">
        <f t="shared" si="22"/>
        <v>3830816</v>
      </c>
      <c r="X24" s="123">
        <f t="shared" si="22"/>
        <v>3527904</v>
      </c>
      <c r="Y24" s="123">
        <f t="shared" si="22"/>
        <v>3270338</v>
      </c>
      <c r="Z24" s="125">
        <f t="shared" si="22"/>
        <v>3270338</v>
      </c>
      <c r="AA24" s="122">
        <f t="shared" si="22"/>
        <v>2879090</v>
      </c>
      <c r="AB24" s="123">
        <f t="shared" si="22"/>
        <v>2854301</v>
      </c>
      <c r="AC24" s="123">
        <f t="shared" si="22"/>
        <v>2880161</v>
      </c>
      <c r="AD24" s="123">
        <f t="shared" si="22"/>
        <v>2837553</v>
      </c>
      <c r="AE24" s="125">
        <f t="shared" si="22"/>
        <v>2837553</v>
      </c>
      <c r="AF24" s="123">
        <f t="shared" ref="AF24:AJ24" si="23">SUM(AF25:AF27)</f>
        <v>2783184</v>
      </c>
      <c r="AG24" s="468">
        <f t="shared" si="23"/>
        <v>2768818</v>
      </c>
      <c r="AH24" s="468">
        <f>SUM(AH25:AH27)</f>
        <v>2794108</v>
      </c>
      <c r="AI24" s="468">
        <f t="shared" si="23"/>
        <v>2646869</v>
      </c>
      <c r="AJ24" s="125">
        <f t="shared" si="23"/>
        <v>2646869</v>
      </c>
      <c r="AK24" s="123">
        <f>SUM(AK25:AK27)</f>
        <v>2642775</v>
      </c>
      <c r="AL24" s="123">
        <f t="shared" ref="AL24:AO24" si="24">SUM(AL25:AL27)</f>
        <v>2607311</v>
      </c>
      <c r="AM24" s="123">
        <f t="shared" si="24"/>
        <v>2678890</v>
      </c>
      <c r="AN24" s="123">
        <f t="shared" si="24"/>
        <v>0</v>
      </c>
      <c r="AO24" s="125">
        <f t="shared" si="24"/>
        <v>0</v>
      </c>
      <c r="AQ24" s="635"/>
    </row>
    <row r="25" spans="1:43" ht="20.100000000000001" customHeight="1">
      <c r="A25" s="126" t="s">
        <v>144</v>
      </c>
      <c r="B25" s="153" t="s">
        <v>131</v>
      </c>
      <c r="C25" s="154" t="s">
        <v>131</v>
      </c>
      <c r="D25" s="154" t="s">
        <v>131</v>
      </c>
      <c r="E25" s="154" t="s">
        <v>131</v>
      </c>
      <c r="F25" s="131" t="s">
        <v>131</v>
      </c>
      <c r="G25" s="127">
        <v>85574</v>
      </c>
      <c r="H25" s="128">
        <v>81441</v>
      </c>
      <c r="I25" s="128">
        <v>84538</v>
      </c>
      <c r="J25" s="128">
        <v>77771</v>
      </c>
      <c r="K25" s="131">
        <f>J25</f>
        <v>77771</v>
      </c>
      <c r="L25" s="127">
        <v>81619</v>
      </c>
      <c r="M25" s="128">
        <v>66578</v>
      </c>
      <c r="N25" s="130">
        <v>98136</v>
      </c>
      <c r="O25" s="128">
        <v>122787</v>
      </c>
      <c r="P25" s="131">
        <v>122787</v>
      </c>
      <c r="Q25" s="127">
        <v>66163</v>
      </c>
      <c r="R25" s="128">
        <v>41517</v>
      </c>
      <c r="S25" s="128">
        <v>60471</v>
      </c>
      <c r="T25" s="128">
        <v>31972</v>
      </c>
      <c r="U25" s="131">
        <f>T25</f>
        <v>31972</v>
      </c>
      <c r="V25" s="127">
        <v>35754</v>
      </c>
      <c r="W25" s="128">
        <v>73544</v>
      </c>
      <c r="X25" s="128">
        <v>44913</v>
      </c>
      <c r="Y25" s="128">
        <v>79306</v>
      </c>
      <c r="Z25" s="131">
        <f>Y25</f>
        <v>79306</v>
      </c>
      <c r="AA25" s="127">
        <v>48224</v>
      </c>
      <c r="AB25" s="128">
        <v>57183</v>
      </c>
      <c r="AC25" s="128">
        <v>63627</v>
      </c>
      <c r="AD25" s="128">
        <v>79561</v>
      </c>
      <c r="AE25" s="131">
        <f>AD25</f>
        <v>79561</v>
      </c>
      <c r="AF25" s="128">
        <v>75159</v>
      </c>
      <c r="AG25" s="469">
        <v>59722</v>
      </c>
      <c r="AH25" s="469">
        <v>91261</v>
      </c>
      <c r="AI25" s="469">
        <v>95685</v>
      </c>
      <c r="AJ25" s="131">
        <v>95685</v>
      </c>
      <c r="AK25" s="128">
        <v>144586</v>
      </c>
      <c r="AL25" s="469">
        <v>87176</v>
      </c>
      <c r="AM25" s="469">
        <v>142886</v>
      </c>
      <c r="AN25" s="469"/>
      <c r="AO25" s="131"/>
      <c r="AQ25" s="635"/>
    </row>
    <row r="26" spans="1:43" ht="20.100000000000001" customHeight="1">
      <c r="A26" s="126" t="s">
        <v>136</v>
      </c>
      <c r="B26" s="153" t="s">
        <v>131</v>
      </c>
      <c r="C26" s="154" t="s">
        <v>131</v>
      </c>
      <c r="D26" s="154" t="s">
        <v>131</v>
      </c>
      <c r="E26" s="154" t="s">
        <v>131</v>
      </c>
      <c r="F26" s="131" t="s">
        <v>131</v>
      </c>
      <c r="G26" s="127">
        <v>4385742</v>
      </c>
      <c r="H26" s="128">
        <v>4379630</v>
      </c>
      <c r="I26" s="128">
        <v>4475541</v>
      </c>
      <c r="J26" s="128">
        <v>4171810</v>
      </c>
      <c r="K26" s="131">
        <f>J26</f>
        <v>4171810</v>
      </c>
      <c r="L26" s="127">
        <v>4042605</v>
      </c>
      <c r="M26" s="128">
        <v>3923778</v>
      </c>
      <c r="N26" s="130">
        <v>3855669</v>
      </c>
      <c r="O26" s="128">
        <v>3792978</v>
      </c>
      <c r="P26" s="131">
        <v>3792978</v>
      </c>
      <c r="Q26" s="127">
        <v>3775976</v>
      </c>
      <c r="R26" s="128">
        <v>3737282</v>
      </c>
      <c r="S26" s="128">
        <v>3685092</v>
      </c>
      <c r="T26" s="128">
        <v>3591736</v>
      </c>
      <c r="U26" s="131">
        <f t="shared" ref="U26:U27" si="25">T26</f>
        <v>3591736</v>
      </c>
      <c r="V26" s="127">
        <v>3495733</v>
      </c>
      <c r="W26" s="128">
        <v>3473228</v>
      </c>
      <c r="X26" s="128">
        <v>3223224</v>
      </c>
      <c r="Y26" s="128">
        <v>2972443</v>
      </c>
      <c r="Z26" s="131">
        <f t="shared" ref="Z26:Z27" si="26">Y26</f>
        <v>2972443</v>
      </c>
      <c r="AA26" s="127">
        <v>2646477</v>
      </c>
      <c r="AB26" s="128">
        <v>2616592</v>
      </c>
      <c r="AC26" s="128">
        <v>2623950</v>
      </c>
      <c r="AD26" s="128">
        <v>2579613</v>
      </c>
      <c r="AE26" s="131">
        <f t="shared" ref="AE26:AE27" si="27">AD26</f>
        <v>2579613</v>
      </c>
      <c r="AF26" s="128">
        <v>2539402</v>
      </c>
      <c r="AG26" s="469">
        <v>2545749</v>
      </c>
      <c r="AH26" s="469">
        <v>2550355</v>
      </c>
      <c r="AI26" s="469">
        <v>2423774</v>
      </c>
      <c r="AJ26" s="131">
        <v>2423774</v>
      </c>
      <c r="AK26" s="128">
        <v>2387672</v>
      </c>
      <c r="AL26" s="469">
        <v>2418370</v>
      </c>
      <c r="AM26" s="469">
        <v>2443295</v>
      </c>
      <c r="AN26" s="469"/>
      <c r="AO26" s="131"/>
      <c r="AQ26" s="635"/>
    </row>
    <row r="27" spans="1:43" ht="20.100000000000001" customHeight="1" thickBot="1">
      <c r="A27" s="126" t="s">
        <v>145</v>
      </c>
      <c r="B27" s="184" t="s">
        <v>131</v>
      </c>
      <c r="C27" s="185" t="s">
        <v>131</v>
      </c>
      <c r="D27" s="185" t="s">
        <v>131</v>
      </c>
      <c r="E27" s="185" t="s">
        <v>131</v>
      </c>
      <c r="F27" s="131" t="s">
        <v>131</v>
      </c>
      <c r="G27" s="127">
        <v>77069</v>
      </c>
      <c r="H27" s="128">
        <v>104248</v>
      </c>
      <c r="I27" s="128">
        <v>159050</v>
      </c>
      <c r="J27" s="128">
        <v>218946</v>
      </c>
      <c r="K27" s="131">
        <f>J27</f>
        <v>218946</v>
      </c>
      <c r="L27" s="127">
        <v>226101</v>
      </c>
      <c r="M27" s="128">
        <v>236772</v>
      </c>
      <c r="N27" s="130">
        <v>265389</v>
      </c>
      <c r="O27" s="128">
        <v>218438</v>
      </c>
      <c r="P27" s="131">
        <v>218438</v>
      </c>
      <c r="Q27" s="127">
        <v>192618</v>
      </c>
      <c r="R27" s="128">
        <v>193270</v>
      </c>
      <c r="S27" s="128">
        <v>231244</v>
      </c>
      <c r="T27" s="128">
        <v>231285</v>
      </c>
      <c r="U27" s="131">
        <f t="shared" si="25"/>
        <v>231285</v>
      </c>
      <c r="V27" s="127">
        <v>256180</v>
      </c>
      <c r="W27" s="128">
        <v>284044</v>
      </c>
      <c r="X27" s="128">
        <v>259767</v>
      </c>
      <c r="Y27" s="128">
        <v>218589</v>
      </c>
      <c r="Z27" s="131">
        <f t="shared" si="26"/>
        <v>218589</v>
      </c>
      <c r="AA27" s="127">
        <v>184389</v>
      </c>
      <c r="AB27" s="128">
        <v>180526</v>
      </c>
      <c r="AC27" s="128">
        <v>192584</v>
      </c>
      <c r="AD27" s="128">
        <v>178379</v>
      </c>
      <c r="AE27" s="131">
        <f t="shared" si="27"/>
        <v>178379</v>
      </c>
      <c r="AF27" s="128">
        <v>168623</v>
      </c>
      <c r="AG27" s="469">
        <v>163347</v>
      </c>
      <c r="AH27" s="469">
        <v>152492</v>
      </c>
      <c r="AI27" s="469">
        <v>127410</v>
      </c>
      <c r="AJ27" s="131">
        <v>127410</v>
      </c>
      <c r="AK27" s="128">
        <v>110517</v>
      </c>
      <c r="AL27" s="469">
        <v>101765</v>
      </c>
      <c r="AM27" s="469">
        <v>92709</v>
      </c>
      <c r="AN27" s="469"/>
      <c r="AO27" s="131"/>
      <c r="AQ27" s="635"/>
    </row>
    <row r="28" spans="1:43" ht="20.100000000000001" customHeight="1" thickBot="1">
      <c r="A28" s="186" t="s">
        <v>146</v>
      </c>
      <c r="B28" s="187" t="s">
        <v>131</v>
      </c>
      <c r="C28" s="188" t="s">
        <v>131</v>
      </c>
      <c r="D28" s="188" t="s">
        <v>131</v>
      </c>
      <c r="E28" s="188" t="s">
        <v>131</v>
      </c>
      <c r="F28" s="189" t="s">
        <v>131</v>
      </c>
      <c r="G28" s="190">
        <v>18</v>
      </c>
      <c r="H28" s="191">
        <v>19.2</v>
      </c>
      <c r="I28" s="191">
        <v>18.2</v>
      </c>
      <c r="J28" s="191">
        <v>17.5</v>
      </c>
      <c r="K28" s="192">
        <v>18.2</v>
      </c>
      <c r="L28" s="190">
        <v>16.5</v>
      </c>
      <c r="M28" s="191">
        <v>17.899999999999999</v>
      </c>
      <c r="N28" s="193">
        <v>18.3</v>
      </c>
      <c r="O28" s="191">
        <v>18.2</v>
      </c>
      <c r="P28" s="192">
        <v>17.7</v>
      </c>
      <c r="Q28" s="190">
        <v>17.3</v>
      </c>
      <c r="R28" s="191">
        <v>18.3</v>
      </c>
      <c r="S28" s="191">
        <v>19</v>
      </c>
      <c r="T28" s="191">
        <v>18.5</v>
      </c>
      <c r="U28" s="192">
        <v>18.3</v>
      </c>
      <c r="V28" s="190">
        <v>17.7</v>
      </c>
      <c r="W28" s="191">
        <v>18.899999999999999</v>
      </c>
      <c r="X28" s="191">
        <v>18.7</v>
      </c>
      <c r="Y28" s="191">
        <v>19.2</v>
      </c>
      <c r="Z28" s="192">
        <v>18.600000000000001</v>
      </c>
      <c r="AA28" s="190">
        <v>18.7</v>
      </c>
      <c r="AB28" s="191">
        <v>20.5</v>
      </c>
      <c r="AC28" s="191">
        <v>20.2</v>
      </c>
      <c r="AD28" s="191">
        <v>20.100000000000001</v>
      </c>
      <c r="AE28" s="192">
        <v>19.899999999999999</v>
      </c>
      <c r="AF28" s="191">
        <v>20.100000000000001</v>
      </c>
      <c r="AG28" s="478">
        <v>20.399999999999999</v>
      </c>
      <c r="AH28" s="478">
        <v>20.8</v>
      </c>
      <c r="AI28" s="478">
        <v>20.3</v>
      </c>
      <c r="AJ28" s="192">
        <v>20.399999999999999</v>
      </c>
      <c r="AK28" s="191">
        <v>20.100000000000001</v>
      </c>
      <c r="AL28" s="478">
        <v>20.8</v>
      </c>
      <c r="AM28" s="478">
        <v>20.8</v>
      </c>
      <c r="AN28" s="478"/>
      <c r="AO28" s="192"/>
      <c r="AQ28" s="635"/>
    </row>
    <row r="29" spans="1:43" ht="20.100000000000001" customHeight="1">
      <c r="A29" s="194" t="s">
        <v>141</v>
      </c>
      <c r="B29" s="195" t="s">
        <v>131</v>
      </c>
      <c r="C29" s="196" t="s">
        <v>131</v>
      </c>
      <c r="D29" s="196" t="s">
        <v>131</v>
      </c>
      <c r="E29" s="196" t="s">
        <v>131</v>
      </c>
      <c r="F29" s="197" t="s">
        <v>131</v>
      </c>
      <c r="G29" s="165">
        <f>SUM(G30:G32)</f>
        <v>4549031</v>
      </c>
      <c r="H29" s="166">
        <f t="shared" ref="H29:M29" si="28">SUM(H30:H32)</f>
        <v>4532090</v>
      </c>
      <c r="I29" s="166">
        <f t="shared" si="28"/>
        <v>4635182</v>
      </c>
      <c r="J29" s="166">
        <f t="shared" si="28"/>
        <v>4599374</v>
      </c>
      <c r="K29" s="197">
        <f t="shared" si="28"/>
        <v>4578919.25</v>
      </c>
      <c r="L29" s="165">
        <f t="shared" si="28"/>
        <v>4398038</v>
      </c>
      <c r="M29" s="166">
        <f t="shared" si="28"/>
        <v>4285747</v>
      </c>
      <c r="N29" s="166">
        <f>SUM(N30:N32)</f>
        <v>4212274</v>
      </c>
      <c r="O29" s="166">
        <f>SUM(O30:O32)</f>
        <v>4172129</v>
      </c>
      <c r="P29" s="197">
        <f>SUM(P30:P32)</f>
        <v>4267047</v>
      </c>
      <c r="Q29" s="165">
        <f t="shared" ref="Q29:U29" si="29">SUM(Q30:Q32)</f>
        <v>4068646</v>
      </c>
      <c r="R29" s="166">
        <f t="shared" si="29"/>
        <v>4006108</v>
      </c>
      <c r="S29" s="166">
        <f t="shared" si="29"/>
        <v>3970091</v>
      </c>
      <c r="T29" s="166">
        <f t="shared" si="29"/>
        <v>3917979</v>
      </c>
      <c r="U29" s="197">
        <f t="shared" si="29"/>
        <v>3990706</v>
      </c>
      <c r="V29" s="165">
        <f t="shared" ref="V29:AE29" si="30">SUM(V30:V32)</f>
        <v>3801870</v>
      </c>
      <c r="W29" s="166">
        <f t="shared" si="30"/>
        <v>3794613</v>
      </c>
      <c r="X29" s="166">
        <f t="shared" si="30"/>
        <v>3713417</v>
      </c>
      <c r="Y29" s="166">
        <f t="shared" si="30"/>
        <v>3341220</v>
      </c>
      <c r="Z29" s="197">
        <f t="shared" si="30"/>
        <v>3662780</v>
      </c>
      <c r="AA29" s="165">
        <f t="shared" si="30"/>
        <v>3050604</v>
      </c>
      <c r="AB29" s="166">
        <f t="shared" si="30"/>
        <v>2882155</v>
      </c>
      <c r="AC29" s="166">
        <f t="shared" si="30"/>
        <v>2863783</v>
      </c>
      <c r="AD29" s="166">
        <f t="shared" si="30"/>
        <v>2851766</v>
      </c>
      <c r="AE29" s="197">
        <f t="shared" si="30"/>
        <v>2912076</v>
      </c>
      <c r="AF29" s="166">
        <f t="shared" ref="AF29:AJ29" si="31">SUM(AF30:AF32)</f>
        <v>2789695</v>
      </c>
      <c r="AG29" s="477">
        <f t="shared" si="31"/>
        <v>2771707.333333333</v>
      </c>
      <c r="AH29" s="477">
        <f t="shared" si="31"/>
        <v>2774199</v>
      </c>
      <c r="AI29" s="477">
        <f t="shared" si="31"/>
        <v>2745638</v>
      </c>
      <c r="AJ29" s="197">
        <f t="shared" si="31"/>
        <v>2770309</v>
      </c>
      <c r="AK29" s="166">
        <f t="shared" ref="AK29:AO29" si="32">SUM(AK30:AK32)</f>
        <v>2613613</v>
      </c>
      <c r="AL29" s="166">
        <f t="shared" si="32"/>
        <v>2616887</v>
      </c>
      <c r="AM29" s="166">
        <f t="shared" si="32"/>
        <v>2633673</v>
      </c>
      <c r="AN29" s="166">
        <f t="shared" si="32"/>
        <v>0</v>
      </c>
      <c r="AO29" s="197">
        <f t="shared" si="32"/>
        <v>0</v>
      </c>
      <c r="AQ29" s="635"/>
    </row>
    <row r="30" spans="1:43" ht="20.100000000000001" customHeight="1">
      <c r="A30" s="126" t="s">
        <v>144</v>
      </c>
      <c r="B30" s="153" t="s">
        <v>131</v>
      </c>
      <c r="C30" s="154" t="s">
        <v>131</v>
      </c>
      <c r="D30" s="154" t="s">
        <v>131</v>
      </c>
      <c r="E30" s="154" t="s">
        <v>131</v>
      </c>
      <c r="F30" s="131" t="s">
        <v>131</v>
      </c>
      <c r="G30" s="127">
        <v>78707</v>
      </c>
      <c r="H30" s="128">
        <v>73828</v>
      </c>
      <c r="I30" s="128">
        <v>68740</v>
      </c>
      <c r="J30" s="128">
        <v>77953</v>
      </c>
      <c r="K30" s="131">
        <f>AVERAGE(G30:J30)</f>
        <v>74807</v>
      </c>
      <c r="L30" s="127">
        <v>77779</v>
      </c>
      <c r="M30" s="128">
        <v>79253</v>
      </c>
      <c r="N30" s="130">
        <v>69522</v>
      </c>
      <c r="O30" s="128">
        <v>129021</v>
      </c>
      <c r="P30" s="131">
        <v>88894</v>
      </c>
      <c r="Q30" s="127">
        <v>67972</v>
      </c>
      <c r="R30" s="128">
        <v>61165</v>
      </c>
      <c r="S30" s="128">
        <v>41313</v>
      </c>
      <c r="T30" s="128">
        <v>56743</v>
      </c>
      <c r="U30" s="131">
        <v>56798</v>
      </c>
      <c r="V30" s="127">
        <v>36255</v>
      </c>
      <c r="W30" s="128">
        <v>52114</v>
      </c>
      <c r="X30" s="128">
        <v>42971</v>
      </c>
      <c r="Y30" s="128">
        <v>54083</v>
      </c>
      <c r="Z30" s="131">
        <v>46356</v>
      </c>
      <c r="AA30" s="127">
        <v>48659</v>
      </c>
      <c r="AB30" s="128">
        <v>69132</v>
      </c>
      <c r="AC30" s="128">
        <v>54950</v>
      </c>
      <c r="AD30" s="128">
        <v>65088</v>
      </c>
      <c r="AE30" s="131">
        <v>59457</v>
      </c>
      <c r="AF30" s="128">
        <v>58222</v>
      </c>
      <c r="AG30" s="469">
        <v>69503.166666666672</v>
      </c>
      <c r="AH30" s="469">
        <v>58358</v>
      </c>
      <c r="AI30" s="469">
        <v>95346</v>
      </c>
      <c r="AJ30" s="131">
        <v>70357</v>
      </c>
      <c r="AK30" s="128">
        <v>91940</v>
      </c>
      <c r="AL30" s="469">
        <v>113249</v>
      </c>
      <c r="AM30" s="469">
        <v>94727</v>
      </c>
      <c r="AN30" s="469"/>
      <c r="AO30" s="131"/>
      <c r="AQ30" s="635"/>
    </row>
    <row r="31" spans="1:43" ht="20.100000000000001" customHeight="1">
      <c r="A31" s="126" t="s">
        <v>136</v>
      </c>
      <c r="B31" s="153" t="s">
        <v>131</v>
      </c>
      <c r="C31" s="154" t="s">
        <v>131</v>
      </c>
      <c r="D31" s="154" t="s">
        <v>131</v>
      </c>
      <c r="E31" s="154" t="s">
        <v>131</v>
      </c>
      <c r="F31" s="131" t="s">
        <v>131</v>
      </c>
      <c r="G31" s="127">
        <v>4397976</v>
      </c>
      <c r="H31" s="128">
        <v>4370181</v>
      </c>
      <c r="I31" s="128">
        <v>4431149</v>
      </c>
      <c r="J31" s="128">
        <v>4338987</v>
      </c>
      <c r="K31" s="131">
        <f t="shared" ref="K31:K32" si="33">AVERAGE(G31:J31)</f>
        <v>4384573.25</v>
      </c>
      <c r="L31" s="127">
        <v>4091609</v>
      </c>
      <c r="M31" s="128">
        <v>3975410</v>
      </c>
      <c r="N31" s="130">
        <v>3893375</v>
      </c>
      <c r="O31" s="128">
        <v>3798701</v>
      </c>
      <c r="P31" s="131">
        <v>3939774</v>
      </c>
      <c r="Q31" s="127">
        <v>3797423</v>
      </c>
      <c r="R31" s="128">
        <v>3755130</v>
      </c>
      <c r="S31" s="128">
        <v>3713656</v>
      </c>
      <c r="T31" s="128">
        <v>3630863</v>
      </c>
      <c r="U31" s="131">
        <v>3724268</v>
      </c>
      <c r="V31" s="127">
        <v>3529840</v>
      </c>
      <c r="W31" s="128">
        <v>3473104</v>
      </c>
      <c r="X31" s="128">
        <v>3386794</v>
      </c>
      <c r="Y31" s="128">
        <v>3058691</v>
      </c>
      <c r="Z31" s="131">
        <v>3362107</v>
      </c>
      <c r="AA31" s="127">
        <v>2800366</v>
      </c>
      <c r="AB31" s="128">
        <v>2631773</v>
      </c>
      <c r="AC31" s="128">
        <v>2620575</v>
      </c>
      <c r="AD31" s="128">
        <v>2601552</v>
      </c>
      <c r="AE31" s="131">
        <v>2663566</v>
      </c>
      <c r="AF31" s="128">
        <v>2558174</v>
      </c>
      <c r="AG31" s="469">
        <v>2536844.1666666665</v>
      </c>
      <c r="AH31" s="469">
        <v>2555414</v>
      </c>
      <c r="AI31" s="469">
        <v>2511226</v>
      </c>
      <c r="AJ31" s="131">
        <v>2540414</v>
      </c>
      <c r="AK31" s="128">
        <v>2403135</v>
      </c>
      <c r="AL31" s="469">
        <v>2398016</v>
      </c>
      <c r="AM31" s="469">
        <v>2441160</v>
      </c>
      <c r="AN31" s="469"/>
      <c r="AO31" s="131"/>
      <c r="AQ31" s="635"/>
    </row>
    <row r="32" spans="1:43" ht="20.100000000000001" customHeight="1" thickBot="1">
      <c r="A32" s="198" t="s">
        <v>145</v>
      </c>
      <c r="B32" s="184" t="s">
        <v>131</v>
      </c>
      <c r="C32" s="185" t="s">
        <v>131</v>
      </c>
      <c r="D32" s="185" t="s">
        <v>131</v>
      </c>
      <c r="E32" s="185" t="s">
        <v>131</v>
      </c>
      <c r="F32" s="199" t="s">
        <v>131</v>
      </c>
      <c r="G32" s="200">
        <v>72348</v>
      </c>
      <c r="H32" s="201">
        <v>88081</v>
      </c>
      <c r="I32" s="201">
        <v>135293</v>
      </c>
      <c r="J32" s="201">
        <v>182434</v>
      </c>
      <c r="K32" s="199">
        <f t="shared" si="33"/>
        <v>119539</v>
      </c>
      <c r="L32" s="200">
        <v>228650</v>
      </c>
      <c r="M32" s="201">
        <v>231084</v>
      </c>
      <c r="N32" s="202">
        <v>249377</v>
      </c>
      <c r="O32" s="201">
        <v>244407</v>
      </c>
      <c r="P32" s="199">
        <v>238379</v>
      </c>
      <c r="Q32" s="200">
        <v>203251</v>
      </c>
      <c r="R32" s="201">
        <v>189813</v>
      </c>
      <c r="S32" s="201">
        <v>215122</v>
      </c>
      <c r="T32" s="201">
        <v>230373</v>
      </c>
      <c r="U32" s="199">
        <v>209640</v>
      </c>
      <c r="V32" s="200">
        <v>235775</v>
      </c>
      <c r="W32" s="201">
        <v>269395</v>
      </c>
      <c r="X32" s="201">
        <v>283652</v>
      </c>
      <c r="Y32" s="201">
        <v>228446</v>
      </c>
      <c r="Z32" s="199">
        <v>254317</v>
      </c>
      <c r="AA32" s="200">
        <v>201579</v>
      </c>
      <c r="AB32" s="201">
        <v>181250</v>
      </c>
      <c r="AC32" s="201">
        <v>188258</v>
      </c>
      <c r="AD32" s="201">
        <v>185126</v>
      </c>
      <c r="AE32" s="199">
        <v>189053</v>
      </c>
      <c r="AF32" s="201">
        <v>173299</v>
      </c>
      <c r="AG32" s="479">
        <v>165360</v>
      </c>
      <c r="AH32" s="479">
        <v>160427</v>
      </c>
      <c r="AI32" s="479">
        <v>139066</v>
      </c>
      <c r="AJ32" s="199">
        <v>159538</v>
      </c>
      <c r="AK32" s="201">
        <v>118538</v>
      </c>
      <c r="AL32" s="479">
        <v>105622</v>
      </c>
      <c r="AM32" s="479">
        <v>97786</v>
      </c>
      <c r="AN32" s="479"/>
      <c r="AO32" s="199"/>
      <c r="AQ32" s="635"/>
    </row>
    <row r="33" spans="1:39" s="203" customFormat="1" ht="20.100000000000001" customHeight="1">
      <c r="A33" s="204"/>
      <c r="R33" s="204"/>
      <c r="S33" s="204"/>
      <c r="AH33" s="548"/>
      <c r="AL33" s="4"/>
      <c r="AM33" s="4"/>
    </row>
    <row r="34" spans="1:39" s="203" customFormat="1" ht="20.100000000000001" customHeight="1">
      <c r="A34" s="205" t="s">
        <v>147</v>
      </c>
      <c r="B34" s="206"/>
      <c r="C34" s="206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5"/>
      <c r="S34" s="205"/>
      <c r="T34" s="206"/>
      <c r="U34" s="206"/>
      <c r="V34" s="206"/>
      <c r="W34" s="206"/>
      <c r="X34" s="206"/>
      <c r="Y34" s="206"/>
      <c r="Z34" s="206"/>
      <c r="AA34" s="206"/>
      <c r="AB34" s="206"/>
      <c r="AC34" s="206"/>
      <c r="AD34" s="206"/>
      <c r="AE34" s="206"/>
      <c r="AF34" s="206"/>
      <c r="AG34" s="206"/>
      <c r="AH34" s="549"/>
      <c r="AI34" s="206"/>
      <c r="AJ34" s="206"/>
      <c r="AL34" s="4"/>
      <c r="AM34" s="4"/>
    </row>
    <row r="35" spans="1:39" s="203" customFormat="1" ht="20.100000000000001" customHeight="1">
      <c r="A35" s="205" t="s">
        <v>148</v>
      </c>
      <c r="B35" s="206"/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/>
      <c r="P35" s="206"/>
      <c r="Q35" s="206"/>
      <c r="R35" s="205"/>
      <c r="S35" s="205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206"/>
      <c r="AH35" s="549"/>
      <c r="AI35" s="206"/>
      <c r="AJ35" s="206"/>
      <c r="AL35" s="4"/>
      <c r="AM35" s="4"/>
    </row>
    <row r="36" spans="1:39" s="203" customFormat="1" ht="20.100000000000001" customHeight="1">
      <c r="A36" s="721" t="s">
        <v>149</v>
      </c>
      <c r="B36" s="720"/>
      <c r="C36" s="720"/>
      <c r="D36" s="720"/>
      <c r="E36" s="720"/>
      <c r="F36" s="720"/>
      <c r="G36" s="720"/>
      <c r="H36" s="720"/>
      <c r="I36" s="720"/>
      <c r="J36" s="206"/>
      <c r="K36" s="206"/>
      <c r="L36" s="206"/>
      <c r="M36" s="206"/>
      <c r="N36" s="206"/>
      <c r="O36" s="206"/>
      <c r="P36" s="206"/>
      <c r="Q36" s="206"/>
      <c r="R36" s="205"/>
      <c r="S36" s="205"/>
      <c r="T36" s="206"/>
      <c r="U36" s="206"/>
      <c r="V36" s="206"/>
      <c r="W36" s="206"/>
      <c r="X36" s="206"/>
      <c r="Y36" s="206"/>
      <c r="Z36" s="206"/>
      <c r="AA36" s="206"/>
      <c r="AB36" s="206"/>
      <c r="AC36" s="206"/>
      <c r="AD36" s="206"/>
      <c r="AE36" s="206"/>
      <c r="AF36" s="206"/>
      <c r="AG36" s="206"/>
      <c r="AH36" s="206"/>
      <c r="AI36" s="206"/>
      <c r="AJ36" s="206"/>
      <c r="AL36" s="4"/>
      <c r="AM36" s="4"/>
    </row>
    <row r="37" spans="1:39" s="203" customFormat="1" ht="30" customHeight="1">
      <c r="A37" s="721" t="s">
        <v>150</v>
      </c>
      <c r="B37" s="721"/>
      <c r="C37" s="721"/>
      <c r="D37" s="721"/>
      <c r="E37" s="721"/>
      <c r="F37" s="721"/>
      <c r="G37" s="721"/>
      <c r="H37" s="721"/>
      <c r="I37" s="721"/>
      <c r="J37" s="721"/>
      <c r="K37" s="721"/>
      <c r="L37" s="721"/>
      <c r="M37" s="721"/>
      <c r="N37" s="721"/>
      <c r="O37" s="721"/>
      <c r="P37" s="721"/>
      <c r="Q37" s="721"/>
      <c r="R37" s="721"/>
      <c r="S37" s="721"/>
      <c r="T37" s="204"/>
      <c r="Y37" s="204"/>
      <c r="AD37" s="204"/>
      <c r="AI37" s="204"/>
      <c r="AL37" s="4"/>
      <c r="AM37" s="4"/>
    </row>
    <row r="38" spans="1:39" s="203" customFormat="1" ht="20.100000000000001" customHeight="1">
      <c r="A38" s="720" t="s">
        <v>151</v>
      </c>
      <c r="B38" s="720"/>
      <c r="C38" s="720"/>
      <c r="D38" s="720"/>
      <c r="E38" s="720"/>
      <c r="F38" s="720"/>
      <c r="G38" s="720"/>
      <c r="H38" s="720"/>
      <c r="I38" s="720"/>
      <c r="J38" s="720"/>
      <c r="K38" s="720"/>
      <c r="L38" s="720"/>
      <c r="M38" s="720"/>
      <c r="N38" s="206"/>
      <c r="O38" s="206"/>
      <c r="P38" s="206"/>
      <c r="Q38" s="206"/>
      <c r="R38" s="205"/>
      <c r="S38" s="205"/>
      <c r="T38" s="206"/>
      <c r="U38" s="206"/>
      <c r="V38" s="206"/>
      <c r="W38" s="206"/>
      <c r="X38" s="206"/>
      <c r="Y38" s="206"/>
      <c r="Z38" s="206"/>
      <c r="AA38" s="206"/>
      <c r="AB38" s="206"/>
      <c r="AC38" s="206"/>
      <c r="AD38" s="206"/>
      <c r="AE38" s="206"/>
      <c r="AF38" s="206"/>
      <c r="AG38" s="206"/>
      <c r="AH38" s="206"/>
      <c r="AI38" s="206"/>
      <c r="AJ38" s="206"/>
      <c r="AL38" s="4"/>
      <c r="AM38" s="4"/>
    </row>
    <row r="39" spans="1:39" s="203" customFormat="1" ht="20.100000000000001" customHeight="1">
      <c r="A39" s="204" t="s">
        <v>313</v>
      </c>
      <c r="R39" s="204"/>
      <c r="S39" s="204"/>
      <c r="AL39" s="4"/>
      <c r="AM39" s="4"/>
    </row>
    <row r="40" spans="1:39" ht="20.100000000000001" customHeight="1"/>
    <row r="41" spans="1:39" ht="20.100000000000001" customHeight="1"/>
    <row r="42" spans="1:39" ht="20.100000000000001" customHeight="1"/>
    <row r="43" spans="1:39" ht="20.100000000000001" customHeight="1"/>
    <row r="44" spans="1:39" ht="20.100000000000001" customHeight="1"/>
    <row r="45" spans="1:39" ht="20.100000000000001" customHeight="1"/>
    <row r="46" spans="1:39" ht="20.100000000000001" customHeight="1"/>
    <row r="47" spans="1:39" ht="20.100000000000001" customHeight="1"/>
    <row r="48" spans="1:39" ht="20.100000000000001" customHeight="1"/>
    <row r="49" spans="2:39" ht="20.100000000000001" customHeight="1"/>
    <row r="50" spans="2:39" ht="20.100000000000001" customHeight="1"/>
    <row r="51" spans="2:39" s="1" customFormat="1" ht="20.100000000000001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4"/>
      <c r="S51" s="4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L51" s="4"/>
      <c r="AM51" s="4"/>
    </row>
    <row r="52" spans="2:39" s="1" customFormat="1" ht="20.100000000000001" customHeight="1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4"/>
      <c r="S52" s="4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L52" s="4"/>
      <c r="AM52" s="4"/>
    </row>
    <row r="53" spans="2:39" s="1" customFormat="1" ht="20.100000000000001" customHeight="1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4"/>
      <c r="S53" s="4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L53" s="4"/>
      <c r="AM53" s="4"/>
    </row>
    <row r="54" spans="2:39" s="1" customFormat="1" ht="20.100000000000001" customHeight="1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4"/>
      <c r="S54" s="4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L54" s="4"/>
      <c r="AM54" s="4"/>
    </row>
    <row r="55" spans="2:39" s="1" customFormat="1" ht="20.100000000000001" customHeight="1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4"/>
      <c r="S55" s="4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L55" s="4"/>
      <c r="AM55" s="4"/>
    </row>
    <row r="56" spans="2:39" s="1" customFormat="1" ht="20.100000000000001" customHeight="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4"/>
      <c r="S56" s="4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L56" s="4"/>
      <c r="AM56" s="4"/>
    </row>
  </sheetData>
  <mergeCells count="21">
    <mergeCell ref="AK3:AN3"/>
    <mergeCell ref="AO3:AO4"/>
    <mergeCell ref="AF3:AI3"/>
    <mergeCell ref="AJ3:AJ4"/>
    <mergeCell ref="AA3:AD3"/>
    <mergeCell ref="AE3:AE4"/>
    <mergeCell ref="Z3:Z4"/>
    <mergeCell ref="V3:Y3"/>
    <mergeCell ref="A38:M38"/>
    <mergeCell ref="A37:S37"/>
    <mergeCell ref="U3:U4"/>
    <mergeCell ref="Q3:T3"/>
    <mergeCell ref="P3:P4"/>
    <mergeCell ref="A36:I36"/>
    <mergeCell ref="A2:N2"/>
    <mergeCell ref="A3:A4"/>
    <mergeCell ref="B3:E3"/>
    <mergeCell ref="F3:F4"/>
    <mergeCell ref="G3:J3"/>
    <mergeCell ref="K3:K4"/>
    <mergeCell ref="L3:O3"/>
  </mergeCells>
  <pageMargins left="0.7" right="0.7" top="0.75" bottom="0.75" header="0.3" footer="0.3"/>
  <pageSetup paperSize="9" scale="53" orientation="landscape" horizontalDpi="4294967294" r:id="rId1"/>
  <ignoredErrors>
    <ignoredError sqref="F7 K7" formula="1"/>
    <ignoredError sqref="L24:T24 G24:J24 V24:Y24 AA24:AD24 AF24:AM24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170"/>
  <sheetViews>
    <sheetView showGridLines="0" tabSelected="1" zoomScaleNormal="100" workbookViewId="0">
      <pane xSplit="2" ySplit="3" topLeftCell="C72" activePane="bottomRight" state="frozen"/>
      <selection pane="topRight" activeCell="C1" sqref="C1"/>
      <selection pane="bottomLeft" activeCell="A4" sqref="A4"/>
      <selection pane="bottomRight" activeCell="F99" sqref="F99"/>
    </sheetView>
  </sheetViews>
  <sheetFormatPr defaultRowHeight="14.25"/>
  <cols>
    <col min="1" max="1" width="1.625" style="16" customWidth="1"/>
    <col min="2" max="2" width="30.625" customWidth="1"/>
    <col min="3" max="5" width="12.625" customWidth="1"/>
    <col min="6" max="8" width="12.625" style="560" customWidth="1"/>
    <col min="9" max="9" width="9.5" style="16" customWidth="1"/>
    <col min="10" max="10" width="25" style="16" customWidth="1"/>
    <col min="11" max="11" width="18.25" customWidth="1"/>
    <col min="12" max="12" width="11.375" style="560" customWidth="1"/>
    <col min="13" max="13" width="9" style="560" customWidth="1"/>
    <col min="14" max="14" width="12.375" style="560" customWidth="1"/>
  </cols>
  <sheetData>
    <row r="1" spans="2:14" s="16" customFormat="1" ht="34.5" customHeight="1" thickBot="1">
      <c r="B1" s="3" t="s">
        <v>95</v>
      </c>
      <c r="F1" s="561"/>
      <c r="G1" s="561"/>
      <c r="H1" s="561"/>
      <c r="L1" s="561"/>
      <c r="M1" s="561"/>
      <c r="N1" s="561"/>
    </row>
    <row r="2" spans="2:14" ht="20.25" customHeight="1" thickBot="1">
      <c r="B2" s="730" t="s">
        <v>103</v>
      </c>
      <c r="C2" s="698" t="s">
        <v>284</v>
      </c>
      <c r="D2" s="699"/>
      <c r="E2" s="700"/>
      <c r="F2" s="698" t="s">
        <v>285</v>
      </c>
      <c r="G2" s="699"/>
      <c r="H2" s="700"/>
      <c r="I2"/>
      <c r="J2"/>
      <c r="L2"/>
      <c r="M2"/>
      <c r="N2"/>
    </row>
    <row r="3" spans="2:14" ht="20.25" customHeight="1" thickBot="1">
      <c r="B3" s="731"/>
      <c r="C3" s="220">
        <v>2019</v>
      </c>
      <c r="D3" s="221">
        <v>2018</v>
      </c>
      <c r="E3" s="222" t="s">
        <v>205</v>
      </c>
      <c r="F3" s="220">
        <v>2019</v>
      </c>
      <c r="G3" s="221">
        <v>2018</v>
      </c>
      <c r="H3" s="222" t="s">
        <v>205</v>
      </c>
      <c r="I3"/>
      <c r="J3"/>
      <c r="L3"/>
      <c r="M3"/>
      <c r="N3"/>
    </row>
    <row r="4" spans="2:14" ht="25.5" customHeight="1">
      <c r="B4" s="207" t="s">
        <v>152</v>
      </c>
      <c r="C4" s="208">
        <v>0.2482</v>
      </c>
      <c r="D4" s="555">
        <v>0.2505</v>
      </c>
      <c r="E4" s="405">
        <f>IFERROR((C4-D4)*100,"n/d")</f>
        <v>-0.22999999999999965</v>
      </c>
      <c r="F4" s="208">
        <v>0.2432</v>
      </c>
      <c r="G4" s="555">
        <v>0.24349999999999999</v>
      </c>
      <c r="H4" s="638">
        <f>IFERROR((F4-G4)*100,"n/d")</f>
        <v>-2.9999999999999472E-2</v>
      </c>
      <c r="I4"/>
      <c r="J4"/>
      <c r="L4"/>
      <c r="M4"/>
      <c r="N4"/>
    </row>
    <row r="5" spans="2:14" ht="25.5" customHeight="1">
      <c r="B5" s="209" t="s">
        <v>153</v>
      </c>
      <c r="C5" s="678">
        <v>0.1099</v>
      </c>
      <c r="D5" s="555">
        <v>0.1133</v>
      </c>
      <c r="E5" s="556">
        <f t="shared" ref="E5:E41" si="0">IFERROR((C5-D5)*100,"n/d")</f>
        <v>-0.34</v>
      </c>
      <c r="F5" s="678">
        <v>0.1119</v>
      </c>
      <c r="G5" s="555">
        <v>0.1147</v>
      </c>
      <c r="H5" s="556">
        <f t="shared" ref="H5:H41" si="1">IFERROR((F5-G5)*100,"n/d")</f>
        <v>-0.27999999999999969</v>
      </c>
      <c r="I5"/>
      <c r="J5" s="560"/>
      <c r="L5"/>
      <c r="M5"/>
      <c r="N5"/>
    </row>
    <row r="6" spans="2:14" ht="25.5" customHeight="1">
      <c r="B6" s="209" t="s">
        <v>312</v>
      </c>
      <c r="C6" s="678">
        <v>0.1384</v>
      </c>
      <c r="D6" s="555">
        <v>0.13730000000000001</v>
      </c>
      <c r="E6" s="556">
        <f t="shared" si="0"/>
        <v>0.10999999999999899</v>
      </c>
      <c r="F6" s="678">
        <v>0.1313</v>
      </c>
      <c r="G6" s="555">
        <v>0.1288</v>
      </c>
      <c r="H6" s="556">
        <f t="shared" si="1"/>
        <v>0.25000000000000022</v>
      </c>
      <c r="I6"/>
      <c r="J6"/>
      <c r="L6"/>
      <c r="M6"/>
      <c r="N6"/>
    </row>
    <row r="7" spans="2:14" ht="18" customHeight="1">
      <c r="B7" s="562" t="s">
        <v>171</v>
      </c>
      <c r="C7" s="408">
        <v>3.3000000000000002E-2</v>
      </c>
      <c r="D7" s="409">
        <v>3.6600000000000001E-2</v>
      </c>
      <c r="E7" s="565">
        <f t="shared" si="0"/>
        <v>-0.35999999999999988</v>
      </c>
      <c r="F7" s="408">
        <v>3.44E-2</v>
      </c>
      <c r="G7" s="409">
        <v>3.85E-2</v>
      </c>
      <c r="H7" s="565">
        <f t="shared" si="1"/>
        <v>-0.40999999999999992</v>
      </c>
      <c r="I7"/>
      <c r="J7"/>
      <c r="L7"/>
      <c r="M7"/>
      <c r="N7"/>
    </row>
    <row r="8" spans="2:14" ht="18" customHeight="1">
      <c r="B8" s="562" t="s">
        <v>172</v>
      </c>
      <c r="C8" s="408">
        <v>1.6799999999999999E-2</v>
      </c>
      <c r="D8" s="409">
        <v>1.5699999999999999E-2</v>
      </c>
      <c r="E8" s="565">
        <f t="shared" si="0"/>
        <v>0.11000000000000003</v>
      </c>
      <c r="F8" s="408">
        <v>1.6299999999999999E-2</v>
      </c>
      <c r="G8" s="409">
        <v>1.46E-2</v>
      </c>
      <c r="H8" s="565">
        <f t="shared" si="1"/>
        <v>0.16999999999999985</v>
      </c>
      <c r="I8"/>
      <c r="J8"/>
      <c r="L8"/>
      <c r="M8"/>
      <c r="N8"/>
    </row>
    <row r="9" spans="2:14" ht="18" customHeight="1">
      <c r="B9" s="562" t="s">
        <v>173</v>
      </c>
      <c r="C9" s="408">
        <v>1.44E-2</v>
      </c>
      <c r="D9" s="409">
        <v>1.5599999999999999E-2</v>
      </c>
      <c r="E9" s="565">
        <f t="shared" si="0"/>
        <v>-0.11999999999999997</v>
      </c>
      <c r="F9" s="408">
        <v>1.2800000000000001E-2</v>
      </c>
      <c r="G9" s="409">
        <v>1.4E-2</v>
      </c>
      <c r="H9" s="565">
        <f t="shared" si="1"/>
        <v>-0.11999999999999997</v>
      </c>
      <c r="I9"/>
      <c r="J9"/>
      <c r="L9"/>
      <c r="M9"/>
      <c r="N9"/>
    </row>
    <row r="10" spans="2:14" ht="18" customHeight="1">
      <c r="B10" s="681" t="s">
        <v>286</v>
      </c>
      <c r="C10" s="408">
        <v>1.1299999999999999E-2</v>
      </c>
      <c r="D10" s="409">
        <v>1.17E-2</v>
      </c>
      <c r="E10" s="565">
        <f t="shared" si="0"/>
        <v>-4.0000000000000105E-2</v>
      </c>
      <c r="F10" s="408">
        <v>1.06E-2</v>
      </c>
      <c r="G10" s="409">
        <v>1.03E-2</v>
      </c>
      <c r="H10" s="565">
        <f t="shared" si="1"/>
        <v>2.9999999999999992E-2</v>
      </c>
      <c r="I10"/>
      <c r="J10"/>
      <c r="L10"/>
      <c r="M10"/>
      <c r="N10"/>
    </row>
    <row r="11" spans="2:14" ht="18" customHeight="1">
      <c r="B11" s="562" t="s">
        <v>154</v>
      </c>
      <c r="C11" s="408">
        <v>8.0000000000000002E-3</v>
      </c>
      <c r="D11" s="409">
        <v>8.0999999999999996E-3</v>
      </c>
      <c r="E11" s="565">
        <f t="shared" si="0"/>
        <v>-9.9999999999999395E-3</v>
      </c>
      <c r="F11" s="408">
        <v>7.0000000000000001E-3</v>
      </c>
      <c r="G11" s="409">
        <v>7.1999999999999998E-3</v>
      </c>
      <c r="H11" s="565">
        <f t="shared" si="1"/>
        <v>-1.9999999999999966E-2</v>
      </c>
      <c r="I11"/>
      <c r="J11"/>
      <c r="L11"/>
      <c r="M11"/>
      <c r="N11"/>
    </row>
    <row r="12" spans="2:14" ht="18" customHeight="1">
      <c r="B12" s="562" t="s">
        <v>155</v>
      </c>
      <c r="C12" s="408">
        <v>6.4000000000000003E-3</v>
      </c>
      <c r="D12" s="409">
        <v>6.1999999999999998E-3</v>
      </c>
      <c r="E12" s="565">
        <f t="shared" si="0"/>
        <v>2.0000000000000052E-2</v>
      </c>
      <c r="F12" s="408">
        <v>3.8E-3</v>
      </c>
      <c r="G12" s="409">
        <v>3.5000000000000001E-3</v>
      </c>
      <c r="H12" s="565">
        <f t="shared" si="1"/>
        <v>2.9999999999999992E-2</v>
      </c>
      <c r="I12"/>
      <c r="J12"/>
      <c r="L12"/>
      <c r="M12"/>
      <c r="N12"/>
    </row>
    <row r="13" spans="2:14" ht="18" customHeight="1">
      <c r="B13" s="562" t="s">
        <v>157</v>
      </c>
      <c r="C13" s="408">
        <v>7.1000000000000004E-3</v>
      </c>
      <c r="D13" s="409">
        <v>5.4999999999999997E-3</v>
      </c>
      <c r="E13" s="565">
        <f t="shared" si="0"/>
        <v>0.16000000000000009</v>
      </c>
      <c r="F13" s="408">
        <v>6.8999999999999999E-3</v>
      </c>
      <c r="G13" s="409">
        <v>6.3E-3</v>
      </c>
      <c r="H13" s="565">
        <f t="shared" si="1"/>
        <v>5.9999999999999984E-2</v>
      </c>
      <c r="I13"/>
      <c r="J13"/>
      <c r="L13"/>
      <c r="M13"/>
      <c r="N13"/>
    </row>
    <row r="14" spans="2:14" ht="18" customHeight="1">
      <c r="B14" s="562" t="s">
        <v>159</v>
      </c>
      <c r="C14" s="408">
        <v>5.8999999999999999E-3</v>
      </c>
      <c r="D14" s="409">
        <v>4.7999999999999996E-3</v>
      </c>
      <c r="E14" s="565">
        <f t="shared" si="0"/>
        <v>0.11000000000000003</v>
      </c>
      <c r="F14" s="408">
        <v>5.7999999999999996E-3</v>
      </c>
      <c r="G14" s="409">
        <v>5.0000000000000001E-3</v>
      </c>
      <c r="H14" s="565">
        <f t="shared" si="1"/>
        <v>7.9999999999999946E-2</v>
      </c>
      <c r="I14"/>
      <c r="J14"/>
      <c r="L14"/>
      <c r="M14"/>
      <c r="N14"/>
    </row>
    <row r="15" spans="2:14" ht="18" customHeight="1">
      <c r="B15" s="562" t="s">
        <v>158</v>
      </c>
      <c r="C15" s="408">
        <v>4.4000000000000003E-3</v>
      </c>
      <c r="D15" s="409">
        <v>3.3999999999999998E-3</v>
      </c>
      <c r="E15" s="565">
        <f t="shared" si="0"/>
        <v>0.10000000000000005</v>
      </c>
      <c r="F15" s="408">
        <v>3.8E-3</v>
      </c>
      <c r="G15" s="409">
        <v>3.0999999999999999E-3</v>
      </c>
      <c r="H15" s="565">
        <f t="shared" si="1"/>
        <v>7.0000000000000007E-2</v>
      </c>
      <c r="I15"/>
      <c r="J15"/>
      <c r="L15"/>
      <c r="M15"/>
      <c r="N15"/>
    </row>
    <row r="16" spans="2:14" ht="18" customHeight="1">
      <c r="B16" s="562" t="s">
        <v>175</v>
      </c>
      <c r="C16" s="408">
        <v>1.8E-3</v>
      </c>
      <c r="D16" s="409">
        <v>2.3999999999999998E-3</v>
      </c>
      <c r="E16" s="565">
        <f t="shared" si="0"/>
        <v>-5.9999999999999984E-2</v>
      </c>
      <c r="F16" s="408">
        <v>1.9E-3</v>
      </c>
      <c r="G16" s="409">
        <v>2E-3</v>
      </c>
      <c r="H16" s="565">
        <f t="shared" si="1"/>
        <v>-1.0000000000000005E-2</v>
      </c>
      <c r="I16"/>
      <c r="J16"/>
      <c r="L16"/>
      <c r="M16"/>
      <c r="N16"/>
    </row>
    <row r="17" spans="1:14" ht="18" customHeight="1">
      <c r="B17" s="562" t="s">
        <v>163</v>
      </c>
      <c r="C17" s="408">
        <v>1.8E-3</v>
      </c>
      <c r="D17" s="409">
        <v>1.4E-3</v>
      </c>
      <c r="E17" s="565">
        <f t="shared" si="0"/>
        <v>3.9999999999999994E-2</v>
      </c>
      <c r="F17" s="408">
        <v>1.4E-3</v>
      </c>
      <c r="G17" s="409">
        <v>1.2999999999999999E-3</v>
      </c>
      <c r="H17" s="565">
        <f t="shared" si="1"/>
        <v>1.0000000000000005E-2</v>
      </c>
      <c r="I17"/>
      <c r="J17"/>
      <c r="L17"/>
      <c r="M17"/>
      <c r="N17"/>
    </row>
    <row r="18" spans="1:14" ht="18" customHeight="1">
      <c r="B18" s="562" t="s">
        <v>156</v>
      </c>
      <c r="C18" s="408">
        <v>1E-3</v>
      </c>
      <c r="D18" s="409">
        <v>6.9999999999999999E-4</v>
      </c>
      <c r="E18" s="565">
        <f t="shared" si="0"/>
        <v>3.0000000000000002E-2</v>
      </c>
      <c r="F18" s="408">
        <v>8.0000000000000004E-4</v>
      </c>
      <c r="G18" s="409">
        <v>6.9999999999999999E-4</v>
      </c>
      <c r="H18" s="565">
        <f t="shared" si="1"/>
        <v>1.0000000000000005E-2</v>
      </c>
      <c r="I18"/>
      <c r="J18"/>
      <c r="L18"/>
      <c r="M18"/>
      <c r="N18"/>
    </row>
    <row r="19" spans="1:14" ht="18" customHeight="1">
      <c r="B19" s="681" t="s">
        <v>297</v>
      </c>
      <c r="C19" s="408">
        <v>5.0000000000000001E-4</v>
      </c>
      <c r="D19" s="409">
        <v>5.9999999999999995E-4</v>
      </c>
      <c r="E19" s="565">
        <f t="shared" si="0"/>
        <v>-9.9999999999999933E-3</v>
      </c>
      <c r="F19" s="408">
        <v>4.0000000000000002E-4</v>
      </c>
      <c r="G19" s="409">
        <v>5.0000000000000001E-4</v>
      </c>
      <c r="H19" s="565">
        <f t="shared" si="1"/>
        <v>-9.9999999999999985E-3</v>
      </c>
      <c r="I19"/>
      <c r="J19"/>
      <c r="L19"/>
      <c r="M19"/>
      <c r="N19"/>
    </row>
    <row r="20" spans="1:14" ht="18" customHeight="1">
      <c r="B20" s="681" t="s">
        <v>298</v>
      </c>
      <c r="C20" s="408">
        <v>1.4E-3</v>
      </c>
      <c r="D20" s="409">
        <v>5.9999999999999995E-4</v>
      </c>
      <c r="E20" s="565">
        <f t="shared" si="0"/>
        <v>0.08</v>
      </c>
      <c r="F20" s="408">
        <v>1.1000000000000001E-3</v>
      </c>
      <c r="G20" s="409">
        <v>5.0000000000000001E-4</v>
      </c>
      <c r="H20" s="565">
        <f t="shared" si="1"/>
        <v>6.0000000000000005E-2</v>
      </c>
      <c r="I20"/>
      <c r="J20"/>
      <c r="L20"/>
      <c r="M20"/>
      <c r="N20"/>
    </row>
    <row r="21" spans="1:14" ht="18" customHeight="1">
      <c r="B21" s="599" t="s">
        <v>177</v>
      </c>
      <c r="C21" s="408">
        <v>4.0000000000000002E-4</v>
      </c>
      <c r="D21" s="409">
        <v>5.0000000000000001E-4</v>
      </c>
      <c r="E21" s="565">
        <f t="shared" si="0"/>
        <v>-9.9999999999999985E-3</v>
      </c>
      <c r="F21" s="408">
        <v>4.0000000000000002E-4</v>
      </c>
      <c r="G21" s="409">
        <v>5.0000000000000001E-4</v>
      </c>
      <c r="H21" s="565">
        <f t="shared" si="1"/>
        <v>-9.9999999999999985E-3</v>
      </c>
      <c r="I21"/>
      <c r="J21"/>
      <c r="L21"/>
      <c r="M21"/>
      <c r="N21"/>
    </row>
    <row r="22" spans="1:14" ht="18" customHeight="1">
      <c r="B22" s="681" t="s">
        <v>299</v>
      </c>
      <c r="C22" s="408">
        <v>5.0000000000000001E-4</v>
      </c>
      <c r="D22" s="409">
        <v>2.9999999999999997E-4</v>
      </c>
      <c r="E22" s="565">
        <f t="shared" si="0"/>
        <v>2.0000000000000004E-2</v>
      </c>
      <c r="F22" s="408">
        <v>4.0000000000000002E-4</v>
      </c>
      <c r="G22" s="409">
        <v>2.9999999999999997E-4</v>
      </c>
      <c r="H22" s="565">
        <f t="shared" si="1"/>
        <v>1.0000000000000005E-2</v>
      </c>
      <c r="I22"/>
      <c r="J22"/>
      <c r="L22"/>
      <c r="M22"/>
      <c r="N22"/>
    </row>
    <row r="23" spans="1:14" ht="18" customHeight="1">
      <c r="B23" s="562" t="s">
        <v>242</v>
      </c>
      <c r="C23" s="408">
        <v>4.0000000000000002E-4</v>
      </c>
      <c r="D23" s="409">
        <v>2.9999999999999997E-4</v>
      </c>
      <c r="E23" s="565">
        <f t="shared" si="0"/>
        <v>1.0000000000000005E-2</v>
      </c>
      <c r="F23" s="408">
        <v>4.0000000000000002E-4</v>
      </c>
      <c r="G23" s="409">
        <v>2.9999999999999997E-4</v>
      </c>
      <c r="H23" s="565">
        <f t="shared" si="1"/>
        <v>1.0000000000000005E-2</v>
      </c>
      <c r="I23"/>
      <c r="J23"/>
      <c r="L23"/>
      <c r="M23"/>
      <c r="N23"/>
    </row>
    <row r="24" spans="1:14" ht="18" customHeight="1">
      <c r="B24" s="681" t="s">
        <v>287</v>
      </c>
      <c r="C24" s="408" t="s">
        <v>131</v>
      </c>
      <c r="D24" s="409" t="s">
        <v>131</v>
      </c>
      <c r="E24" s="565" t="str">
        <f t="shared" si="0"/>
        <v>n/d</v>
      </c>
      <c r="F24" s="408" t="s">
        <v>131</v>
      </c>
      <c r="G24" s="409" t="s">
        <v>131</v>
      </c>
      <c r="H24" s="565" t="str">
        <f t="shared" si="1"/>
        <v>n/d</v>
      </c>
      <c r="I24"/>
      <c r="J24"/>
      <c r="L24"/>
      <c r="M24"/>
      <c r="N24"/>
    </row>
    <row r="25" spans="1:14" s="553" customFormat="1" ht="18" customHeight="1">
      <c r="A25" s="554"/>
      <c r="B25" s="681" t="s">
        <v>288</v>
      </c>
      <c r="C25" s="408" t="s">
        <v>131</v>
      </c>
      <c r="D25" s="409" t="s">
        <v>131</v>
      </c>
      <c r="E25" s="565" t="str">
        <f t="shared" si="0"/>
        <v>n/d</v>
      </c>
      <c r="F25" s="408" t="s">
        <v>131</v>
      </c>
      <c r="G25" s="409" t="s">
        <v>131</v>
      </c>
      <c r="H25" s="565" t="str">
        <f t="shared" si="1"/>
        <v>n/d</v>
      </c>
    </row>
    <row r="26" spans="1:14" s="553" customFormat="1" ht="18" customHeight="1">
      <c r="A26" s="554"/>
      <c r="B26" s="681" t="s">
        <v>289</v>
      </c>
      <c r="C26" s="408" t="s">
        <v>131</v>
      </c>
      <c r="D26" s="409" t="s">
        <v>131</v>
      </c>
      <c r="E26" s="565" t="str">
        <f t="shared" si="0"/>
        <v>n/d</v>
      </c>
      <c r="F26" s="408" t="s">
        <v>131</v>
      </c>
      <c r="G26" s="409" t="s">
        <v>131</v>
      </c>
      <c r="H26" s="565" t="str">
        <f t="shared" si="1"/>
        <v>n/d</v>
      </c>
    </row>
    <row r="27" spans="1:14" s="553" customFormat="1" ht="18" customHeight="1">
      <c r="A27" s="554"/>
      <c r="B27" s="681" t="s">
        <v>293</v>
      </c>
      <c r="C27" s="408">
        <v>5.0000000000000001E-4</v>
      </c>
      <c r="D27" s="409" t="s">
        <v>131</v>
      </c>
      <c r="E27" s="565" t="str">
        <f t="shared" si="0"/>
        <v>n/d</v>
      </c>
      <c r="F27" s="408">
        <v>4.0000000000000002E-4</v>
      </c>
      <c r="G27" s="409" t="s">
        <v>131</v>
      </c>
      <c r="H27" s="565" t="str">
        <f t="shared" si="1"/>
        <v>n/d</v>
      </c>
    </row>
    <row r="28" spans="1:14" s="553" customFormat="1" ht="18" customHeight="1">
      <c r="A28" s="554"/>
      <c r="B28" s="681" t="s">
        <v>294</v>
      </c>
      <c r="C28" s="408">
        <v>4.0000000000000002E-4</v>
      </c>
      <c r="D28" s="409" t="s">
        <v>131</v>
      </c>
      <c r="E28" s="565" t="str">
        <f t="shared" si="0"/>
        <v>n/d</v>
      </c>
      <c r="F28" s="408">
        <v>2.9999999999999997E-4</v>
      </c>
      <c r="G28" s="409" t="s">
        <v>131</v>
      </c>
      <c r="H28" s="565" t="str">
        <f t="shared" si="1"/>
        <v>n/d</v>
      </c>
    </row>
    <row r="29" spans="1:14" ht="18" customHeight="1">
      <c r="B29" s="562" t="s">
        <v>211</v>
      </c>
      <c r="C29" s="408">
        <v>1.04E-2</v>
      </c>
      <c r="D29" s="409">
        <v>1.0200000000000001E-2</v>
      </c>
      <c r="E29" s="565">
        <f t="shared" si="0"/>
        <v>1.9999999999999879E-2</v>
      </c>
      <c r="F29" s="408">
        <v>0.01</v>
      </c>
      <c r="G29" s="409">
        <v>9.1999999999999998E-3</v>
      </c>
      <c r="H29" s="565">
        <f t="shared" si="1"/>
        <v>8.0000000000000043E-2</v>
      </c>
      <c r="I29"/>
      <c r="J29"/>
      <c r="L29"/>
      <c r="M29"/>
      <c r="N29"/>
    </row>
    <row r="30" spans="1:14" ht="18" customHeight="1">
      <c r="B30" s="562" t="s">
        <v>212</v>
      </c>
      <c r="C30" s="408">
        <v>6.6E-3</v>
      </c>
      <c r="D30" s="409">
        <v>8.6E-3</v>
      </c>
      <c r="E30" s="565">
        <f t="shared" si="0"/>
        <v>-0.2</v>
      </c>
      <c r="F30" s="408">
        <v>6.7999999999999996E-3</v>
      </c>
      <c r="G30" s="409">
        <v>8.3000000000000001E-3</v>
      </c>
      <c r="H30" s="565">
        <f t="shared" si="1"/>
        <v>-0.15000000000000005</v>
      </c>
      <c r="I30"/>
      <c r="J30"/>
      <c r="L30"/>
      <c r="M30"/>
      <c r="N30"/>
    </row>
    <row r="31" spans="1:14" ht="18" customHeight="1">
      <c r="B31" s="562" t="s">
        <v>213</v>
      </c>
      <c r="C31" s="408">
        <v>5.9999999999999995E-4</v>
      </c>
      <c r="D31" s="409">
        <v>1.1000000000000001E-3</v>
      </c>
      <c r="E31" s="565">
        <f t="shared" si="0"/>
        <v>-5.000000000000001E-2</v>
      </c>
      <c r="F31" s="408">
        <v>8.9999999999999998E-4</v>
      </c>
      <c r="G31" s="409">
        <v>8.9999999999999998E-4</v>
      </c>
      <c r="H31" s="565">
        <f t="shared" si="1"/>
        <v>0</v>
      </c>
      <c r="I31"/>
      <c r="J31"/>
      <c r="L31"/>
      <c r="M31"/>
      <c r="N31"/>
    </row>
    <row r="32" spans="1:14" ht="18" customHeight="1">
      <c r="B32" s="562" t="s">
        <v>214</v>
      </c>
      <c r="C32" s="408">
        <v>5.9999999999999995E-4</v>
      </c>
      <c r="D32" s="409">
        <v>8.0000000000000004E-4</v>
      </c>
      <c r="E32" s="565">
        <f t="shared" si="0"/>
        <v>-2.0000000000000011E-2</v>
      </c>
      <c r="F32" s="408">
        <v>5.9999999999999995E-4</v>
      </c>
      <c r="G32" s="409">
        <v>8.9999999999999998E-4</v>
      </c>
      <c r="H32" s="565">
        <f t="shared" si="1"/>
        <v>-3.0000000000000002E-2</v>
      </c>
      <c r="I32"/>
      <c r="J32"/>
      <c r="L32"/>
      <c r="M32"/>
      <c r="N32"/>
    </row>
    <row r="33" spans="1:14" ht="18" customHeight="1">
      <c r="B33" s="562" t="s">
        <v>215</v>
      </c>
      <c r="C33" s="408">
        <v>4.0000000000000002E-4</v>
      </c>
      <c r="D33" s="409">
        <v>2.0000000000000001E-4</v>
      </c>
      <c r="E33" s="565">
        <f t="shared" si="0"/>
        <v>0.02</v>
      </c>
      <c r="F33" s="408">
        <v>5.0000000000000001E-4</v>
      </c>
      <c r="G33" s="409">
        <v>2.0000000000000001E-4</v>
      </c>
      <c r="H33" s="565">
        <f t="shared" si="1"/>
        <v>3.0000000000000002E-2</v>
      </c>
      <c r="I33"/>
      <c r="J33"/>
      <c r="L33"/>
      <c r="M33"/>
      <c r="N33"/>
    </row>
    <row r="34" spans="1:14" ht="18" customHeight="1">
      <c r="B34" s="413" t="s">
        <v>295</v>
      </c>
      <c r="C34" s="408"/>
      <c r="D34" s="409"/>
      <c r="E34" s="565"/>
      <c r="F34" s="408"/>
      <c r="G34" s="409"/>
      <c r="H34" s="565"/>
      <c r="I34"/>
      <c r="J34"/>
      <c r="L34"/>
      <c r="M34"/>
      <c r="N34"/>
    </row>
    <row r="35" spans="1:14" ht="18" customHeight="1">
      <c r="B35" s="562" t="s">
        <v>243</v>
      </c>
      <c r="C35" s="408">
        <v>4.0000000000000002E-4</v>
      </c>
      <c r="D35" s="409">
        <v>4.0000000000000002E-4</v>
      </c>
      <c r="E35" s="565">
        <f t="shared" si="0"/>
        <v>0</v>
      </c>
      <c r="F35" s="408">
        <v>6.9999999999999999E-4</v>
      </c>
      <c r="G35" s="409">
        <v>5.9999999999999995E-4</v>
      </c>
      <c r="H35" s="565">
        <f t="shared" si="1"/>
        <v>1.0000000000000005E-2</v>
      </c>
      <c r="I35"/>
      <c r="J35"/>
      <c r="L35"/>
      <c r="M35"/>
      <c r="N35"/>
    </row>
    <row r="36" spans="1:14" ht="18" customHeight="1">
      <c r="B36" s="562" t="s">
        <v>244</v>
      </c>
      <c r="C36" s="408">
        <v>2.5000000000000001E-3</v>
      </c>
      <c r="D36" s="409">
        <v>1.2999999999999999E-3</v>
      </c>
      <c r="E36" s="565">
        <f t="shared" si="0"/>
        <v>0.12000000000000001</v>
      </c>
      <c r="F36" s="408">
        <v>2.5000000000000001E-3</v>
      </c>
      <c r="G36" s="409">
        <v>1.2999999999999999E-3</v>
      </c>
      <c r="H36" s="565">
        <f t="shared" si="1"/>
        <v>0.12000000000000001</v>
      </c>
      <c r="I36"/>
      <c r="J36"/>
      <c r="L36"/>
      <c r="M36"/>
      <c r="N36"/>
    </row>
    <row r="37" spans="1:14" ht="18" customHeight="1">
      <c r="B37" s="562" t="s">
        <v>245</v>
      </c>
      <c r="C37" s="408">
        <v>5.9999999999999995E-4</v>
      </c>
      <c r="D37" s="409">
        <v>4.0000000000000002E-4</v>
      </c>
      <c r="E37" s="565">
        <f t="shared" si="0"/>
        <v>1.9999999999999993E-2</v>
      </c>
      <c r="F37" s="408">
        <v>5.0000000000000001E-4</v>
      </c>
      <c r="G37" s="409">
        <v>5.0000000000000001E-4</v>
      </c>
      <c r="H37" s="565">
        <f t="shared" si="1"/>
        <v>0</v>
      </c>
      <c r="I37"/>
      <c r="J37"/>
      <c r="L37"/>
      <c r="M37"/>
      <c r="N37"/>
    </row>
    <row r="38" spans="1:14" ht="18" customHeight="1">
      <c r="B38" s="681" t="s">
        <v>290</v>
      </c>
      <c r="C38" s="408" t="s">
        <v>131</v>
      </c>
      <c r="D38" s="409" t="s">
        <v>131</v>
      </c>
      <c r="E38" s="565" t="str">
        <f t="shared" si="0"/>
        <v>n/d</v>
      </c>
      <c r="F38" s="408" t="s">
        <v>131</v>
      </c>
      <c r="G38" s="409" t="s">
        <v>131</v>
      </c>
      <c r="H38" s="565" t="str">
        <f t="shared" si="1"/>
        <v>n/d</v>
      </c>
      <c r="I38"/>
      <c r="J38"/>
      <c r="L38"/>
      <c r="M38"/>
      <c r="N38"/>
    </row>
    <row r="39" spans="1:14" ht="18" customHeight="1">
      <c r="B39" s="681" t="s">
        <v>291</v>
      </c>
      <c r="C39" s="408" t="s">
        <v>131</v>
      </c>
      <c r="D39" s="409" t="s">
        <v>131</v>
      </c>
      <c r="E39" s="565" t="str">
        <f t="shared" si="0"/>
        <v>n/d</v>
      </c>
      <c r="F39" s="408" t="s">
        <v>131</v>
      </c>
      <c r="G39" s="409" t="s">
        <v>131</v>
      </c>
      <c r="H39" s="565" t="str">
        <f t="shared" si="1"/>
        <v>n/d</v>
      </c>
      <c r="I39"/>
      <c r="J39"/>
      <c r="L39"/>
      <c r="M39"/>
      <c r="N39"/>
    </row>
    <row r="40" spans="1:14" s="560" customFormat="1" ht="18" customHeight="1" thickBot="1">
      <c r="A40" s="561"/>
      <c r="B40" s="682" t="s">
        <v>292</v>
      </c>
      <c r="C40" s="408" t="s">
        <v>131</v>
      </c>
      <c r="D40" s="409" t="s">
        <v>131</v>
      </c>
      <c r="E40" s="565"/>
      <c r="F40" s="408" t="s">
        <v>131</v>
      </c>
      <c r="G40" s="409" t="s">
        <v>131</v>
      </c>
      <c r="H40" s="565" t="str">
        <f t="shared" si="1"/>
        <v>n/d</v>
      </c>
    </row>
    <row r="41" spans="1:14" s="407" customFormat="1" ht="30" customHeight="1" thickBot="1">
      <c r="B41" s="410" t="s">
        <v>296</v>
      </c>
      <c r="C41" s="737">
        <v>0.28100000000000003</v>
      </c>
      <c r="D41" s="738">
        <v>0.27600000000000002</v>
      </c>
      <c r="E41" s="739">
        <f>IFERROR((C41-D41)*100,"n/d")</f>
        <v>0.50000000000000044</v>
      </c>
      <c r="F41" s="737">
        <v>0.27700000000000002</v>
      </c>
      <c r="G41" s="738">
        <v>0.27100000000000002</v>
      </c>
      <c r="H41" s="739">
        <f t="shared" si="1"/>
        <v>0.60000000000000053</v>
      </c>
    </row>
    <row r="42" spans="1:14" s="407" customFormat="1" ht="9.9499999999999993" customHeight="1" thickBot="1">
      <c r="B42" s="444"/>
      <c r="C42" s="445"/>
      <c r="D42" s="445"/>
      <c r="E42" s="446"/>
      <c r="F42" s="445"/>
      <c r="G42" s="445"/>
      <c r="H42" s="446"/>
    </row>
    <row r="43" spans="1:14" s="407" customFormat="1" ht="18" customHeight="1" thickBot="1">
      <c r="B43" s="722" t="s">
        <v>234</v>
      </c>
      <c r="C43" s="723"/>
      <c r="D43" s="723"/>
      <c r="E43" s="723"/>
      <c r="F43" s="723"/>
      <c r="G43" s="723"/>
      <c r="H43" s="724"/>
    </row>
    <row r="44" spans="1:14" s="407" customFormat="1" ht="18" customHeight="1">
      <c r="B44" s="557" t="s">
        <v>235</v>
      </c>
      <c r="C44" s="408">
        <v>8.6E-3</v>
      </c>
      <c r="D44" s="409">
        <v>8.6999999999999994E-3</v>
      </c>
      <c r="E44" s="565">
        <f>IFERROR((C44-D44)*100,"n/d")</f>
        <v>-9.9999999999999395E-3</v>
      </c>
      <c r="F44" s="408">
        <v>8.5000000000000006E-3</v>
      </c>
      <c r="G44" s="409">
        <v>9.2999999999999992E-3</v>
      </c>
      <c r="H44" s="565">
        <f>IFERROR((F44-G44)*100,"n/d")</f>
        <v>-7.9999999999999863E-2</v>
      </c>
    </row>
    <row r="45" spans="1:14" s="407" customFormat="1" ht="18" customHeight="1">
      <c r="B45" s="557" t="s">
        <v>236</v>
      </c>
      <c r="C45" s="408">
        <v>2.2000000000000001E-3</v>
      </c>
      <c r="D45" s="409">
        <v>2.8E-3</v>
      </c>
      <c r="E45" s="565">
        <f t="shared" ref="E45:E50" si="2">IFERROR((C45-D45)*100,"n/d")</f>
        <v>-5.9999999999999984E-2</v>
      </c>
      <c r="F45" s="408">
        <v>2.7000000000000001E-3</v>
      </c>
      <c r="G45" s="409">
        <v>2.8999999999999998E-3</v>
      </c>
      <c r="H45" s="565">
        <f t="shared" ref="H45:H48" si="3">IFERROR((F45-G45)*100,"n/d")</f>
        <v>-1.9999999999999966E-2</v>
      </c>
    </row>
    <row r="46" spans="1:14" s="407" customFormat="1" ht="18" customHeight="1">
      <c r="B46" s="593" t="s">
        <v>249</v>
      </c>
      <c r="C46" s="408">
        <v>2.3E-3</v>
      </c>
      <c r="D46" s="409">
        <v>1.2999999999999999E-3</v>
      </c>
      <c r="E46" s="565">
        <f t="shared" si="2"/>
        <v>0.1</v>
      </c>
      <c r="F46" s="408">
        <v>1.6999999999999999E-3</v>
      </c>
      <c r="G46" s="409">
        <v>1.2999999999999999E-3</v>
      </c>
      <c r="H46" s="565">
        <f t="shared" si="3"/>
        <v>3.9999999999999994E-2</v>
      </c>
    </row>
    <row r="47" spans="1:14" s="407" customFormat="1" ht="18" customHeight="1">
      <c r="B47" s="562" t="s">
        <v>161</v>
      </c>
      <c r="C47" s="408">
        <v>2E-3</v>
      </c>
      <c r="D47" s="409">
        <v>1E-3</v>
      </c>
      <c r="E47" s="565">
        <f t="shared" si="2"/>
        <v>0.1</v>
      </c>
      <c r="F47" s="408">
        <v>1.8E-3</v>
      </c>
      <c r="G47" s="409">
        <v>1.5E-3</v>
      </c>
      <c r="H47" s="565">
        <f t="shared" si="3"/>
        <v>2.9999999999999992E-2</v>
      </c>
    </row>
    <row r="48" spans="1:14" s="407" customFormat="1" ht="18" customHeight="1">
      <c r="B48" s="557" t="s">
        <v>174</v>
      </c>
      <c r="C48" s="408">
        <v>1.9E-3</v>
      </c>
      <c r="D48" s="409">
        <v>1E-3</v>
      </c>
      <c r="E48" s="565">
        <f t="shared" si="2"/>
        <v>0.09</v>
      </c>
      <c r="F48" s="408">
        <v>1.8E-3</v>
      </c>
      <c r="G48" s="409">
        <v>1.1000000000000001E-3</v>
      </c>
      <c r="H48" s="565">
        <f t="shared" si="3"/>
        <v>6.9999999999999993E-2</v>
      </c>
    </row>
    <row r="49" spans="2:14" s="407" customFormat="1" ht="18" customHeight="1">
      <c r="B49" s="557" t="s">
        <v>176</v>
      </c>
      <c r="C49" s="408">
        <v>1.1000000000000001E-3</v>
      </c>
      <c r="D49" s="409">
        <v>8.9999999999999998E-4</v>
      </c>
      <c r="E49" s="565">
        <f>IFERROR((C49-D49)*100,"n/d")</f>
        <v>2.0000000000000011E-2</v>
      </c>
      <c r="F49" s="408">
        <v>1.1000000000000001E-3</v>
      </c>
      <c r="G49" s="409">
        <v>1E-3</v>
      </c>
      <c r="H49" s="565">
        <f>IFERROR((F49-G49)*100,"n/d")</f>
        <v>1.0000000000000005E-2</v>
      </c>
    </row>
    <row r="50" spans="2:14" s="407" customFormat="1" ht="18" customHeight="1" thickBot="1">
      <c r="B50" s="558" t="s">
        <v>162</v>
      </c>
      <c r="C50" s="679">
        <v>2.0000000000000001E-4</v>
      </c>
      <c r="D50" s="680">
        <v>2.0000000000000001E-4</v>
      </c>
      <c r="E50" s="448">
        <f t="shared" si="2"/>
        <v>0</v>
      </c>
      <c r="F50" s="679">
        <v>2.9999999999999997E-4</v>
      </c>
      <c r="G50" s="680">
        <v>2.9999999999999997E-4</v>
      </c>
      <c r="H50" s="448">
        <f t="shared" ref="H50" si="4">IFERROR((F50-G50)*100,"n/d")</f>
        <v>0</v>
      </c>
    </row>
    <row r="51" spans="2:14" s="16" customFormat="1">
      <c r="F51" s="561"/>
      <c r="G51" s="561"/>
      <c r="H51" s="561"/>
    </row>
    <row r="52" spans="2:14" s="16" customFormat="1" ht="108.75" customHeight="1">
      <c r="B52" s="729" t="s">
        <v>300</v>
      </c>
      <c r="C52" s="729"/>
      <c r="D52" s="729"/>
      <c r="E52" s="729"/>
    </row>
    <row r="53" spans="2:14" s="16" customFormat="1" ht="15" thickBot="1">
      <c r="F53" s="561"/>
      <c r="G53" s="561"/>
      <c r="H53" s="561"/>
    </row>
    <row r="54" spans="2:14" ht="20.25" customHeight="1" thickBot="1">
      <c r="B54" s="732" t="s">
        <v>164</v>
      </c>
      <c r="C54" s="698" t="s">
        <v>284</v>
      </c>
      <c r="D54" s="699"/>
      <c r="E54" s="700"/>
      <c r="F54" s="698" t="s">
        <v>285</v>
      </c>
      <c r="G54" s="699"/>
      <c r="H54" s="700"/>
      <c r="I54"/>
      <c r="J54"/>
      <c r="L54"/>
      <c r="M54"/>
      <c r="N54"/>
    </row>
    <row r="55" spans="2:14" ht="20.25" customHeight="1" thickBot="1">
      <c r="B55" s="733"/>
      <c r="C55" s="220">
        <v>2019</v>
      </c>
      <c r="D55" s="221">
        <v>2018</v>
      </c>
      <c r="E55" s="222" t="s">
        <v>205</v>
      </c>
      <c r="F55" s="220">
        <v>2019</v>
      </c>
      <c r="G55" s="221">
        <v>2018</v>
      </c>
      <c r="H55" s="222" t="s">
        <v>205</v>
      </c>
      <c r="I55"/>
      <c r="J55"/>
      <c r="L55"/>
      <c r="M55"/>
      <c r="N55"/>
    </row>
    <row r="56" spans="2:14" ht="18" customHeight="1">
      <c r="B56" s="412" t="s">
        <v>165</v>
      </c>
      <c r="C56" s="449">
        <v>0.999</v>
      </c>
      <c r="D56" s="450">
        <v>1</v>
      </c>
      <c r="E56" s="563">
        <f>IFERROR((C56-D56)*100,"n/d")</f>
        <v>-0.10000000000000009</v>
      </c>
      <c r="F56" s="449">
        <v>0.999</v>
      </c>
      <c r="G56" s="450">
        <v>1</v>
      </c>
      <c r="H56" s="563">
        <f>IFERROR((F56-G56)*100,"n/d")</f>
        <v>-0.10000000000000009</v>
      </c>
      <c r="I56"/>
      <c r="J56"/>
      <c r="L56"/>
      <c r="M56"/>
      <c r="N56"/>
    </row>
    <row r="57" spans="2:14" ht="18" customHeight="1">
      <c r="B57" s="412" t="s">
        <v>171</v>
      </c>
      <c r="C57" s="449">
        <v>0.999</v>
      </c>
      <c r="D57" s="450">
        <v>1</v>
      </c>
      <c r="E57" s="563">
        <f t="shared" ref="E57:E77" si="5">IFERROR((C57-D57)*100,"n/d")</f>
        <v>-0.10000000000000009</v>
      </c>
      <c r="F57" s="449">
        <v>0.999</v>
      </c>
      <c r="G57" s="450">
        <v>1</v>
      </c>
      <c r="H57" s="563">
        <f t="shared" ref="H57:H63" si="6">IFERROR((F57-G57)*100,"n/d")</f>
        <v>-0.10000000000000009</v>
      </c>
      <c r="I57"/>
      <c r="J57"/>
      <c r="L57"/>
      <c r="M57"/>
      <c r="N57"/>
    </row>
    <row r="58" spans="2:14" ht="18" customHeight="1">
      <c r="B58" s="412" t="s">
        <v>211</v>
      </c>
      <c r="C58" s="449">
        <v>0.98799999999999999</v>
      </c>
      <c r="D58" s="450">
        <v>0.98399999999999999</v>
      </c>
      <c r="E58" s="563">
        <f t="shared" si="5"/>
        <v>0.40000000000000036</v>
      </c>
      <c r="F58" s="449">
        <v>0.98799999999999999</v>
      </c>
      <c r="G58" s="450">
        <v>0.98199999999999998</v>
      </c>
      <c r="H58" s="563">
        <f t="shared" si="6"/>
        <v>0.60000000000000053</v>
      </c>
      <c r="I58"/>
      <c r="J58"/>
      <c r="L58"/>
      <c r="M58"/>
      <c r="N58"/>
    </row>
    <row r="59" spans="2:14" ht="18" customHeight="1">
      <c r="B59" s="412" t="s">
        <v>212</v>
      </c>
      <c r="C59" s="449">
        <v>0.98699999999999999</v>
      </c>
      <c r="D59" s="450">
        <v>0.98199999999999998</v>
      </c>
      <c r="E59" s="563">
        <f t="shared" si="5"/>
        <v>0.50000000000000044</v>
      </c>
      <c r="F59" s="449">
        <v>0.98599999999999999</v>
      </c>
      <c r="G59" s="450">
        <v>0.98099999999999998</v>
      </c>
      <c r="H59" s="563">
        <f t="shared" si="6"/>
        <v>0.50000000000000044</v>
      </c>
      <c r="I59"/>
      <c r="J59"/>
      <c r="L59"/>
      <c r="M59"/>
      <c r="N59"/>
    </row>
    <row r="60" spans="2:14" ht="18" customHeight="1">
      <c r="B60" s="412" t="s">
        <v>286</v>
      </c>
      <c r="C60" s="449">
        <v>0.97899999999999998</v>
      </c>
      <c r="D60" s="450">
        <v>0.97699999999999998</v>
      </c>
      <c r="E60" s="563">
        <f t="shared" si="5"/>
        <v>0.20000000000000018</v>
      </c>
      <c r="F60" s="449">
        <v>0.97799999999999998</v>
      </c>
      <c r="G60" s="450">
        <v>0.97399999999999998</v>
      </c>
      <c r="H60" s="563">
        <f t="shared" si="6"/>
        <v>0.40000000000000036</v>
      </c>
      <c r="I60"/>
      <c r="J60"/>
      <c r="L60"/>
      <c r="M60"/>
      <c r="N60"/>
    </row>
    <row r="61" spans="2:14" ht="18" customHeight="1">
      <c r="B61" s="412" t="s">
        <v>172</v>
      </c>
      <c r="C61" s="449">
        <v>0.95199999999999996</v>
      </c>
      <c r="D61" s="450">
        <v>0.96099999999999997</v>
      </c>
      <c r="E61" s="563">
        <f t="shared" si="5"/>
        <v>-0.9000000000000008</v>
      </c>
      <c r="F61" s="449">
        <v>0.95399999999999996</v>
      </c>
      <c r="G61" s="450">
        <v>0.96</v>
      </c>
      <c r="H61" s="563">
        <f t="shared" si="6"/>
        <v>-0.60000000000000053</v>
      </c>
      <c r="I61"/>
      <c r="J61"/>
      <c r="L61"/>
      <c r="M61"/>
      <c r="N61"/>
    </row>
    <row r="62" spans="2:14" ht="18" customHeight="1">
      <c r="B62" s="412" t="s">
        <v>173</v>
      </c>
      <c r="C62" s="449">
        <v>0.624</v>
      </c>
      <c r="D62" s="450">
        <v>0.61699999999999999</v>
      </c>
      <c r="E62" s="563">
        <f t="shared" si="5"/>
        <v>0.70000000000000062</v>
      </c>
      <c r="F62" s="449">
        <v>0.63600000000000001</v>
      </c>
      <c r="G62" s="450">
        <v>0.61899999999999999</v>
      </c>
      <c r="H62" s="563">
        <f t="shared" si="6"/>
        <v>1.7000000000000015</v>
      </c>
      <c r="I62"/>
      <c r="J62"/>
      <c r="L62"/>
      <c r="M62"/>
      <c r="N62"/>
    </row>
    <row r="63" spans="2:14" ht="18" customHeight="1">
      <c r="B63" s="412" t="s">
        <v>213</v>
      </c>
      <c r="C63" s="449">
        <v>0.624</v>
      </c>
      <c r="D63" s="450">
        <v>0.58799999999999997</v>
      </c>
      <c r="E63" s="563">
        <f t="shared" si="5"/>
        <v>3.6000000000000032</v>
      </c>
      <c r="F63" s="449">
        <v>0.626</v>
      </c>
      <c r="G63" s="450">
        <v>0.58699999999999997</v>
      </c>
      <c r="H63" s="563">
        <f t="shared" si="6"/>
        <v>3.9000000000000035</v>
      </c>
      <c r="I63"/>
      <c r="J63"/>
      <c r="L63"/>
      <c r="M63"/>
      <c r="N63"/>
    </row>
    <row r="64" spans="2:14" ht="18" customHeight="1">
      <c r="B64" s="412" t="s">
        <v>177</v>
      </c>
      <c r="C64" s="449">
        <v>0.56799999999999995</v>
      </c>
      <c r="D64" s="450">
        <v>0.57699999999999996</v>
      </c>
      <c r="E64" s="563">
        <f>IFERROR((C64-D64)*100,"n/d")</f>
        <v>-0.9000000000000008</v>
      </c>
      <c r="F64" s="449">
        <v>0.57999999999999996</v>
      </c>
      <c r="G64" s="450">
        <v>0.59099999999999997</v>
      </c>
      <c r="H64" s="563">
        <f>IFERROR((F64-G64)*100,"n/d")</f>
        <v>-1.100000000000001</v>
      </c>
      <c r="I64"/>
      <c r="J64"/>
      <c r="L64"/>
      <c r="M64"/>
      <c r="N64"/>
    </row>
    <row r="65" spans="2:14" ht="18" customHeight="1">
      <c r="B65" s="412" t="s">
        <v>243</v>
      </c>
      <c r="C65" s="449">
        <v>0.57199999999999995</v>
      </c>
      <c r="D65" s="450">
        <v>0.56599999999999995</v>
      </c>
      <c r="E65" s="563">
        <f>IFERROR((C65-D65)*100,"n/d")</f>
        <v>0.60000000000000053</v>
      </c>
      <c r="F65" s="449">
        <v>0.58199999999999996</v>
      </c>
      <c r="G65" s="450">
        <v>0.56699999999999995</v>
      </c>
      <c r="H65" s="563">
        <f>IFERROR((F65-G65)*100,"n/d")</f>
        <v>1.5000000000000013</v>
      </c>
      <c r="I65"/>
      <c r="J65"/>
      <c r="L65"/>
      <c r="M65"/>
      <c r="N65"/>
    </row>
    <row r="66" spans="2:14" ht="18" customHeight="1">
      <c r="B66" s="412" t="s">
        <v>214</v>
      </c>
      <c r="C66" s="449">
        <v>0.57199999999999995</v>
      </c>
      <c r="D66" s="450">
        <v>0.55200000000000005</v>
      </c>
      <c r="E66" s="563">
        <f t="shared" si="5"/>
        <v>1.9999999999999907</v>
      </c>
      <c r="F66" s="449">
        <v>0.57899999999999996</v>
      </c>
      <c r="G66" s="450">
        <v>0.53</v>
      </c>
      <c r="H66" s="563">
        <f t="shared" ref="H66:H69" si="7">IFERROR((F66-G66)*100,"n/d")</f>
        <v>4.8999999999999932</v>
      </c>
      <c r="I66"/>
      <c r="J66"/>
      <c r="L66"/>
      <c r="M66"/>
      <c r="N66"/>
    </row>
    <row r="67" spans="2:14" ht="18" customHeight="1">
      <c r="B67" s="412" t="s">
        <v>154</v>
      </c>
      <c r="C67" s="449">
        <v>0.58299999999999996</v>
      </c>
      <c r="D67" s="450">
        <v>0.55300000000000005</v>
      </c>
      <c r="E67" s="563">
        <f t="shared" si="5"/>
        <v>2.9999999999999916</v>
      </c>
      <c r="F67" s="449">
        <v>0.58099999999999996</v>
      </c>
      <c r="G67" s="450">
        <v>0.55600000000000005</v>
      </c>
      <c r="H67" s="563">
        <f t="shared" si="7"/>
        <v>2.4999999999999911</v>
      </c>
      <c r="I67"/>
      <c r="J67"/>
      <c r="L67"/>
      <c r="M67"/>
      <c r="N67"/>
    </row>
    <row r="68" spans="2:14" ht="18" customHeight="1">
      <c r="B68" s="412" t="s">
        <v>158</v>
      </c>
      <c r="C68" s="449">
        <v>0.56299999999999994</v>
      </c>
      <c r="D68" s="450">
        <v>0.54800000000000004</v>
      </c>
      <c r="E68" s="563">
        <f t="shared" si="5"/>
        <v>1.4999999999999902</v>
      </c>
      <c r="F68" s="449">
        <v>0.56799999999999995</v>
      </c>
      <c r="G68" s="450">
        <v>0.55000000000000004</v>
      </c>
      <c r="H68" s="563">
        <f t="shared" si="7"/>
        <v>1.7999999999999905</v>
      </c>
      <c r="I68"/>
      <c r="J68"/>
      <c r="L68"/>
      <c r="M68"/>
      <c r="N68"/>
    </row>
    <row r="69" spans="2:14" ht="18" customHeight="1">
      <c r="B69" s="412" t="s">
        <v>157</v>
      </c>
      <c r="C69" s="449">
        <v>0.54400000000000004</v>
      </c>
      <c r="D69" s="450">
        <v>0.53100000000000003</v>
      </c>
      <c r="E69" s="563">
        <f t="shared" si="5"/>
        <v>1.3000000000000012</v>
      </c>
      <c r="F69" s="449">
        <v>0.55500000000000005</v>
      </c>
      <c r="G69" s="450">
        <v>0.53900000000000003</v>
      </c>
      <c r="H69" s="563">
        <f t="shared" si="7"/>
        <v>1.6000000000000014</v>
      </c>
      <c r="I69"/>
      <c r="J69"/>
      <c r="L69"/>
      <c r="M69"/>
      <c r="N69"/>
    </row>
    <row r="70" spans="2:14" ht="18" customHeight="1">
      <c r="B70" s="412" t="s">
        <v>159</v>
      </c>
      <c r="C70" s="449">
        <v>0.52600000000000002</v>
      </c>
      <c r="D70" s="450">
        <v>0.51900000000000002</v>
      </c>
      <c r="E70" s="563">
        <f>IFERROR((C70-D70)*100,"n/d")</f>
        <v>0.70000000000000062</v>
      </c>
      <c r="F70" s="449">
        <v>0.53</v>
      </c>
      <c r="G70" s="450">
        <v>0.52700000000000002</v>
      </c>
      <c r="H70" s="563">
        <f>IFERROR((F70-G70)*100,"n/d")</f>
        <v>0.30000000000000027</v>
      </c>
      <c r="I70"/>
      <c r="J70"/>
      <c r="L70"/>
      <c r="M70"/>
      <c r="N70"/>
    </row>
    <row r="71" spans="2:14" ht="18" customHeight="1">
      <c r="B71" s="412" t="s">
        <v>175</v>
      </c>
      <c r="C71" s="449">
        <v>0.5</v>
      </c>
      <c r="D71" s="450">
        <v>0.49</v>
      </c>
      <c r="E71" s="563">
        <f>IFERROR((C71-D71)*100,"n/d")</f>
        <v>1.0000000000000009</v>
      </c>
      <c r="F71" s="449">
        <v>0.50600000000000001</v>
      </c>
      <c r="G71" s="450">
        <v>0.48899999999999999</v>
      </c>
      <c r="H71" s="563">
        <f>IFERROR((F71-G71)*100,"n/d")</f>
        <v>1.7000000000000015</v>
      </c>
      <c r="I71"/>
      <c r="J71"/>
      <c r="L71"/>
      <c r="M71"/>
      <c r="N71"/>
    </row>
    <row r="72" spans="2:14" ht="18" customHeight="1">
      <c r="B72" s="412" t="s">
        <v>163</v>
      </c>
      <c r="C72" s="449">
        <v>0.503</v>
      </c>
      <c r="D72" s="450">
        <v>0.49</v>
      </c>
      <c r="E72" s="563">
        <f t="shared" si="5"/>
        <v>1.3000000000000012</v>
      </c>
      <c r="F72" s="449">
        <v>0.498</v>
      </c>
      <c r="G72" s="450">
        <v>0.495</v>
      </c>
      <c r="H72" s="563">
        <f t="shared" ref="H72" si="8">IFERROR((F72-G72)*100,"n/d")</f>
        <v>0.30000000000000027</v>
      </c>
      <c r="I72"/>
      <c r="J72"/>
      <c r="L72"/>
      <c r="M72"/>
      <c r="N72"/>
    </row>
    <row r="73" spans="2:14" ht="18" customHeight="1">
      <c r="B73" s="412" t="s">
        <v>215</v>
      </c>
      <c r="C73" s="449">
        <v>0.48099999999999998</v>
      </c>
      <c r="D73" s="450">
        <v>0.45800000000000002</v>
      </c>
      <c r="E73" s="563">
        <f>IFERROR((C73-D73)*100,"n/d")</f>
        <v>2.2999999999999963</v>
      </c>
      <c r="F73" s="449">
        <v>0.48399999999999999</v>
      </c>
      <c r="G73" s="450">
        <v>0.436</v>
      </c>
      <c r="H73" s="563">
        <f>IFERROR((F73-G73)*100,"n/d")</f>
        <v>4.7999999999999989</v>
      </c>
      <c r="I73"/>
      <c r="J73"/>
      <c r="L73"/>
      <c r="M73"/>
      <c r="N73"/>
    </row>
    <row r="74" spans="2:14" ht="18" customHeight="1">
      <c r="B74" s="412" t="s">
        <v>297</v>
      </c>
      <c r="C74" s="449">
        <v>0.501</v>
      </c>
      <c r="D74" s="450">
        <v>0.46899999999999997</v>
      </c>
      <c r="E74" s="563">
        <f>IFERROR((C74-D74)*100,"n/d")</f>
        <v>3.2000000000000028</v>
      </c>
      <c r="F74" s="449">
        <v>0.49199999999999999</v>
      </c>
      <c r="G74" s="450">
        <v>0.47899999999999998</v>
      </c>
      <c r="H74" s="563">
        <f>IFERROR((F74-G74)*100,"n/d")</f>
        <v>1.3000000000000012</v>
      </c>
      <c r="I74"/>
      <c r="J74"/>
      <c r="L74"/>
      <c r="M74"/>
      <c r="N74"/>
    </row>
    <row r="75" spans="2:14" ht="18" customHeight="1">
      <c r="B75" s="412" t="s">
        <v>155</v>
      </c>
      <c r="C75" s="449">
        <v>0.46400000000000002</v>
      </c>
      <c r="D75" s="450">
        <v>0.45900000000000002</v>
      </c>
      <c r="E75" s="563">
        <f>IFERROR((C75-D75)*100,"n/d")</f>
        <v>0.50000000000000044</v>
      </c>
      <c r="F75" s="449">
        <v>0.47599999999999998</v>
      </c>
      <c r="G75" s="450">
        <v>0.46100000000000002</v>
      </c>
      <c r="H75" s="563">
        <f>IFERROR((F75-G75)*100,"n/d")</f>
        <v>1.4999999999999958</v>
      </c>
      <c r="I75"/>
      <c r="J75"/>
      <c r="L75"/>
      <c r="M75"/>
      <c r="N75"/>
    </row>
    <row r="76" spans="2:14" ht="18" customHeight="1">
      <c r="B76" s="412" t="s">
        <v>156</v>
      </c>
      <c r="C76" s="449">
        <v>0.37</v>
      </c>
      <c r="D76" s="450">
        <v>0.35799999999999998</v>
      </c>
      <c r="E76" s="563">
        <f t="shared" si="5"/>
        <v>1.2000000000000011</v>
      </c>
      <c r="F76" s="449">
        <v>0.378</v>
      </c>
      <c r="G76" s="450">
        <v>0.35899999999999999</v>
      </c>
      <c r="H76" s="563">
        <f t="shared" ref="H76:H77" si="9">IFERROR((F76-G76)*100,"n/d")</f>
        <v>1.9000000000000017</v>
      </c>
      <c r="I76"/>
      <c r="J76"/>
      <c r="L76"/>
      <c r="M76"/>
      <c r="N76"/>
    </row>
    <row r="77" spans="2:14" ht="18" customHeight="1">
      <c r="B77" s="412" t="s">
        <v>298</v>
      </c>
      <c r="C77" s="449">
        <v>0.36599999999999999</v>
      </c>
      <c r="D77" s="450">
        <v>0.30099999999999999</v>
      </c>
      <c r="E77" s="563">
        <f t="shared" si="5"/>
        <v>6.5</v>
      </c>
      <c r="F77" s="449">
        <v>0.36199999999999999</v>
      </c>
      <c r="G77" s="450">
        <v>0.28000000000000003</v>
      </c>
      <c r="H77" s="563">
        <f t="shared" si="9"/>
        <v>8.1999999999999957</v>
      </c>
      <c r="I77"/>
      <c r="J77"/>
      <c r="L77"/>
      <c r="M77"/>
      <c r="N77"/>
    </row>
    <row r="78" spans="2:14" ht="18" customHeight="1">
      <c r="B78" s="412" t="s">
        <v>299</v>
      </c>
      <c r="C78" s="449">
        <v>0.30199999999999999</v>
      </c>
      <c r="D78" s="450">
        <v>0.29099999999999998</v>
      </c>
      <c r="E78" s="563">
        <f>IFERROR((C78-D78)*100,"n/d")</f>
        <v>1.100000000000001</v>
      </c>
      <c r="F78" s="449">
        <v>0.31</v>
      </c>
      <c r="G78" s="450">
        <v>0.29599999999999999</v>
      </c>
      <c r="H78" s="563">
        <f>IFERROR((F78-G78)*100,"n/d")</f>
        <v>1.4000000000000012</v>
      </c>
      <c r="I78"/>
      <c r="J78"/>
      <c r="L78"/>
      <c r="M78"/>
      <c r="N78"/>
    </row>
    <row r="79" spans="2:14" ht="18" customHeight="1">
      <c r="B79" s="412" t="s">
        <v>301</v>
      </c>
      <c r="C79" s="449">
        <v>0.30599999999999999</v>
      </c>
      <c r="D79" s="450" t="s">
        <v>131</v>
      </c>
      <c r="E79" s="563" t="str">
        <f t="shared" ref="E79" si="10">IFERROR((C79-D79)*100,"n/d")</f>
        <v>n/d</v>
      </c>
      <c r="F79" s="449">
        <v>0.307</v>
      </c>
      <c r="G79" s="450" t="s">
        <v>131</v>
      </c>
      <c r="H79" s="563" t="str">
        <f t="shared" ref="H79" si="11">IFERROR((F79-G79)*100,"n/d")</f>
        <v>n/d</v>
      </c>
      <c r="I79"/>
      <c r="J79"/>
      <c r="L79"/>
      <c r="M79"/>
      <c r="N79"/>
    </row>
    <row r="80" spans="2:14" ht="18" customHeight="1">
      <c r="B80" s="412" t="s">
        <v>302</v>
      </c>
      <c r="C80" s="449">
        <v>0.28699999999999998</v>
      </c>
      <c r="D80" s="450" t="s">
        <v>131</v>
      </c>
      <c r="E80" s="563" t="str">
        <f>IFERROR((C80-D80)*100,"n/d")</f>
        <v>n/d</v>
      </c>
      <c r="F80" s="449">
        <v>0.27800000000000002</v>
      </c>
      <c r="G80" s="450" t="s">
        <v>131</v>
      </c>
      <c r="H80" s="563" t="str">
        <f>IFERROR((F80-G80)*100,"n/d")</f>
        <v>n/d</v>
      </c>
      <c r="I80"/>
      <c r="J80"/>
      <c r="L80"/>
      <c r="M80"/>
      <c r="N80"/>
    </row>
    <row r="81" spans="1:14" ht="18" customHeight="1">
      <c r="B81" s="412" t="s">
        <v>242</v>
      </c>
      <c r="C81" s="449">
        <v>0.20799999999999999</v>
      </c>
      <c r="D81" s="450">
        <v>0.182</v>
      </c>
      <c r="E81" s="563">
        <f t="shared" ref="E81:E85" si="12">IFERROR((C81-D81)*100,"n/d")</f>
        <v>2.5999999999999996</v>
      </c>
      <c r="F81" s="449">
        <v>0.20200000000000001</v>
      </c>
      <c r="G81" s="450">
        <v>0.18099999999999999</v>
      </c>
      <c r="H81" s="563">
        <f t="shared" ref="H81" si="13">IFERROR((F81-G81)*100,"n/d")</f>
        <v>2.1000000000000019</v>
      </c>
      <c r="I81"/>
      <c r="J81"/>
      <c r="L81"/>
      <c r="M81"/>
      <c r="N81"/>
    </row>
    <row r="82" spans="1:14" ht="18" customHeight="1">
      <c r="B82" s="412" t="s">
        <v>303</v>
      </c>
      <c r="C82" s="449">
        <v>0.15</v>
      </c>
      <c r="D82" s="450">
        <v>0.113</v>
      </c>
      <c r="E82" s="563">
        <f>IFERROR((C82-D82)*100,"n/d")</f>
        <v>3.6999999999999993</v>
      </c>
      <c r="F82" s="449">
        <v>0.14799999999999999</v>
      </c>
      <c r="G82" s="450">
        <v>0.13200000000000001</v>
      </c>
      <c r="H82" s="563">
        <f>IFERROR((F82-G82)*100,"n/d")</f>
        <v>1.5999999999999988</v>
      </c>
      <c r="I82"/>
      <c r="J82"/>
      <c r="L82"/>
      <c r="M82"/>
      <c r="N82"/>
    </row>
    <row r="83" spans="1:14" ht="18" customHeight="1">
      <c r="B83" s="412" t="s">
        <v>304</v>
      </c>
      <c r="C83" s="449">
        <v>0.15</v>
      </c>
      <c r="D83" s="450">
        <v>0.112</v>
      </c>
      <c r="E83" s="563">
        <f t="shared" si="12"/>
        <v>3.7999999999999994</v>
      </c>
      <c r="F83" s="449">
        <v>0.14699999999999999</v>
      </c>
      <c r="G83" s="450">
        <v>0.13</v>
      </c>
      <c r="H83" s="563">
        <f t="shared" ref="H83:H89" si="14">IFERROR((F83-G83)*100,"n/d")</f>
        <v>1.6999999999999988</v>
      </c>
      <c r="I83"/>
      <c r="J83"/>
      <c r="L83"/>
      <c r="M83"/>
      <c r="N83"/>
    </row>
    <row r="84" spans="1:14" ht="18" customHeight="1">
      <c r="B84" s="412" t="s">
        <v>305</v>
      </c>
      <c r="C84" s="449" t="s">
        <v>131</v>
      </c>
      <c r="D84" s="450" t="s">
        <v>131</v>
      </c>
      <c r="E84" s="563" t="str">
        <f t="shared" si="12"/>
        <v>n/d</v>
      </c>
      <c r="F84" s="449" t="s">
        <v>131</v>
      </c>
      <c r="G84" s="450" t="s">
        <v>131</v>
      </c>
      <c r="H84" s="563" t="str">
        <f t="shared" si="14"/>
        <v>n/d</v>
      </c>
      <c r="I84"/>
      <c r="J84"/>
      <c r="L84"/>
      <c r="M84"/>
      <c r="N84"/>
    </row>
    <row r="85" spans="1:14" s="560" customFormat="1" ht="18" customHeight="1">
      <c r="A85" s="561"/>
      <c r="B85" s="412" t="s">
        <v>306</v>
      </c>
      <c r="C85" s="449" t="s">
        <v>131</v>
      </c>
      <c r="D85" s="450" t="s">
        <v>131</v>
      </c>
      <c r="E85" s="563" t="str">
        <f t="shared" si="12"/>
        <v>n/d</v>
      </c>
      <c r="F85" s="449" t="s">
        <v>131</v>
      </c>
      <c r="G85" s="450" t="s">
        <v>131</v>
      </c>
      <c r="H85" s="563" t="str">
        <f t="shared" si="14"/>
        <v>n/d</v>
      </c>
    </row>
    <row r="86" spans="1:14" s="560" customFormat="1" ht="18" customHeight="1">
      <c r="A86" s="561"/>
      <c r="B86" s="412" t="s">
        <v>307</v>
      </c>
      <c r="C86" s="449" t="s">
        <v>131</v>
      </c>
      <c r="D86" s="450" t="s">
        <v>131</v>
      </c>
      <c r="E86" s="563" t="str">
        <f t="shared" ref="E86:E87" si="15">IFERROR((C86-D86)*100,"n/d")</f>
        <v>n/d</v>
      </c>
      <c r="F86" s="449" t="s">
        <v>131</v>
      </c>
      <c r="G86" s="450" t="s">
        <v>131</v>
      </c>
      <c r="H86" s="563" t="str">
        <f t="shared" si="14"/>
        <v>n/d</v>
      </c>
    </row>
    <row r="87" spans="1:14" s="560" customFormat="1" ht="18.75" customHeight="1">
      <c r="A87" s="561"/>
      <c r="B87" s="412" t="s">
        <v>308</v>
      </c>
      <c r="C87" s="449" t="s">
        <v>131</v>
      </c>
      <c r="D87" s="450" t="s">
        <v>131</v>
      </c>
      <c r="E87" s="563" t="str">
        <f t="shared" si="15"/>
        <v>n/d</v>
      </c>
      <c r="F87" s="449" t="s">
        <v>131</v>
      </c>
      <c r="G87" s="450" t="s">
        <v>131</v>
      </c>
      <c r="H87" s="563" t="str">
        <f t="shared" si="14"/>
        <v>n/d</v>
      </c>
    </row>
    <row r="88" spans="1:14" s="560" customFormat="1" ht="18" customHeight="1">
      <c r="A88" s="561"/>
      <c r="B88" s="412" t="s">
        <v>309</v>
      </c>
      <c r="C88" s="449" t="s">
        <v>131</v>
      </c>
      <c r="D88" s="450" t="s">
        <v>131</v>
      </c>
      <c r="E88" s="563" t="str">
        <f t="shared" ref="E88:E89" si="16">IFERROR((C88-D88)*100,"n/d")</f>
        <v>n/d</v>
      </c>
      <c r="F88" s="449" t="s">
        <v>131</v>
      </c>
      <c r="G88" s="450" t="s">
        <v>131</v>
      </c>
      <c r="H88" s="563" t="str">
        <f t="shared" ref="H88" si="17">IFERROR((F88-G88)*100,"n/d")</f>
        <v>n/d</v>
      </c>
    </row>
    <row r="89" spans="1:14" s="560" customFormat="1" ht="18" customHeight="1" thickBot="1">
      <c r="A89" s="561"/>
      <c r="B89" s="683" t="s">
        <v>310</v>
      </c>
      <c r="C89" s="451" t="s">
        <v>131</v>
      </c>
      <c r="D89" s="452" t="s">
        <v>131</v>
      </c>
      <c r="E89" s="564" t="str">
        <f t="shared" si="16"/>
        <v>n/d</v>
      </c>
      <c r="F89" s="451" t="s">
        <v>131</v>
      </c>
      <c r="G89" s="452" t="s">
        <v>131</v>
      </c>
      <c r="H89" s="564" t="str">
        <f t="shared" si="14"/>
        <v>n/d</v>
      </c>
    </row>
    <row r="90" spans="1:14">
      <c r="I90"/>
      <c r="J90"/>
      <c r="L90"/>
      <c r="M90"/>
      <c r="N90"/>
    </row>
    <row r="91" spans="1:14" s="16" customFormat="1" ht="10.5" customHeight="1" thickBot="1">
      <c r="F91" s="561"/>
      <c r="G91" s="561"/>
      <c r="H91" s="561"/>
    </row>
    <row r="92" spans="1:14" s="407" customFormat="1" ht="18" customHeight="1" thickBot="1">
      <c r="B92" s="725" t="s">
        <v>234</v>
      </c>
      <c r="C92" s="726"/>
      <c r="D92" s="726"/>
      <c r="E92" s="726"/>
      <c r="F92" s="726"/>
      <c r="G92" s="726"/>
      <c r="H92" s="727"/>
    </row>
    <row r="93" spans="1:14" s="407" customFormat="1" ht="18" customHeight="1">
      <c r="B93" s="412" t="s">
        <v>235</v>
      </c>
      <c r="C93" s="449">
        <v>0.98299999999999998</v>
      </c>
      <c r="D93" s="450">
        <v>0.97799999999999998</v>
      </c>
      <c r="E93" s="406">
        <f t="shared" ref="E93:E95" si="18">IFERROR((C93-D93)*100,"n/d")</f>
        <v>0.50000000000000044</v>
      </c>
      <c r="F93" s="449">
        <v>0.98199999999999998</v>
      </c>
      <c r="G93" s="450">
        <v>0.97599999999999998</v>
      </c>
      <c r="H93" s="563">
        <f t="shared" ref="H93:H95" si="19">IFERROR((F93-G93)*100,"n/d")</f>
        <v>0.60000000000000053</v>
      </c>
    </row>
    <row r="94" spans="1:14" s="407" customFormat="1" ht="18" customHeight="1">
      <c r="B94" s="412" t="s">
        <v>236</v>
      </c>
      <c r="C94" s="449">
        <v>0.84299999999999997</v>
      </c>
      <c r="D94" s="450">
        <v>0.80400000000000005</v>
      </c>
      <c r="E94" s="406">
        <f t="shared" si="18"/>
        <v>3.8999999999999924</v>
      </c>
      <c r="F94" s="449">
        <v>0.84099999999999997</v>
      </c>
      <c r="G94" s="450">
        <v>0.77800000000000002</v>
      </c>
      <c r="H94" s="563">
        <f t="shared" si="19"/>
        <v>6.2999999999999945</v>
      </c>
    </row>
    <row r="95" spans="1:14" s="407" customFormat="1" ht="18" customHeight="1">
      <c r="B95" s="412" t="s">
        <v>161</v>
      </c>
      <c r="C95" s="449">
        <v>0.52500000000000002</v>
      </c>
      <c r="D95" s="450">
        <v>0.49</v>
      </c>
      <c r="E95" s="406">
        <f t="shared" si="18"/>
        <v>3.5000000000000031</v>
      </c>
      <c r="F95" s="449">
        <v>0.51600000000000001</v>
      </c>
      <c r="G95" s="450">
        <v>0.49</v>
      </c>
      <c r="H95" s="563">
        <f t="shared" si="19"/>
        <v>2.6000000000000023</v>
      </c>
    </row>
    <row r="96" spans="1:14" s="407" customFormat="1" ht="18" customHeight="1">
      <c r="B96" s="412" t="s">
        <v>174</v>
      </c>
      <c r="C96" s="449">
        <v>0.45800000000000002</v>
      </c>
      <c r="D96" s="450">
        <v>0.44800000000000001</v>
      </c>
      <c r="E96" s="406">
        <f>IFERROR((C96-D96)*100,"n/d")</f>
        <v>1.0000000000000009</v>
      </c>
      <c r="F96" s="449">
        <v>0.46300000000000002</v>
      </c>
      <c r="G96" s="450">
        <v>0.44900000000000001</v>
      </c>
      <c r="H96" s="563">
        <f>IFERROR((F96-G96)*100,"n/d")</f>
        <v>1.4000000000000012</v>
      </c>
    </row>
    <row r="97" spans="2:14" s="407" customFormat="1" ht="18" customHeight="1">
      <c r="B97" s="412" t="s">
        <v>162</v>
      </c>
      <c r="C97" s="449">
        <v>0.44500000000000001</v>
      </c>
      <c r="D97" s="450">
        <v>0.436</v>
      </c>
      <c r="E97" s="406">
        <f>IFERROR((C97-D97)*100,"n/d")</f>
        <v>0.9000000000000008</v>
      </c>
      <c r="F97" s="449">
        <v>0.44900000000000001</v>
      </c>
      <c r="G97" s="450">
        <v>0.438</v>
      </c>
      <c r="H97" s="563">
        <f>IFERROR((F97-G97)*100,"n/d")</f>
        <v>1.100000000000001</v>
      </c>
    </row>
    <row r="98" spans="2:14" s="407" customFormat="1" ht="18" customHeight="1">
      <c r="B98" s="412" t="s">
        <v>176</v>
      </c>
      <c r="C98" s="449">
        <v>0.443</v>
      </c>
      <c r="D98" s="450">
        <v>0.436</v>
      </c>
      <c r="E98" s="406">
        <f>IFERROR((C98-D98)*100,"n/d")</f>
        <v>0.70000000000000062</v>
      </c>
      <c r="F98" s="449">
        <v>0.44600000000000001</v>
      </c>
      <c r="G98" s="450">
        <v>0.44</v>
      </c>
      <c r="H98" s="563">
        <f>IFERROR((F98-G98)*100,"n/d")</f>
        <v>0.60000000000000053</v>
      </c>
    </row>
    <row r="99" spans="2:14" s="407" customFormat="1" ht="18" customHeight="1" thickBot="1">
      <c r="B99" s="447" t="s">
        <v>160</v>
      </c>
      <c r="C99" s="451">
        <v>0.441</v>
      </c>
      <c r="D99" s="452">
        <v>0.40100000000000002</v>
      </c>
      <c r="E99" s="564">
        <f>IFERROR((C99-D99)*100,"n/d")</f>
        <v>3.9999999999999982</v>
      </c>
      <c r="F99" s="451">
        <v>0.437</v>
      </c>
      <c r="G99" s="452">
        <v>0.40200000000000002</v>
      </c>
      <c r="H99" s="564">
        <f>IFERROR((F99-G99)*100,"n/d")</f>
        <v>3.4999999999999973</v>
      </c>
    </row>
    <row r="100" spans="2:14" s="16" customFormat="1" ht="10.5" customHeight="1">
      <c r="F100" s="561"/>
      <c r="G100" s="561"/>
      <c r="H100" s="561"/>
    </row>
    <row r="101" spans="2:14" s="16" customFormat="1" ht="136.5" customHeight="1">
      <c r="B101" s="728" t="s">
        <v>311</v>
      </c>
      <c r="C101" s="728"/>
      <c r="D101" s="728"/>
      <c r="E101" s="728"/>
    </row>
    <row r="102" spans="2:14" s="16" customFormat="1">
      <c r="B102" s="735"/>
      <c r="C102" s="735"/>
      <c r="D102" s="735"/>
      <c r="E102" s="735"/>
      <c r="L102" s="561"/>
      <c r="M102" s="561"/>
      <c r="N102" s="561"/>
    </row>
    <row r="103" spans="2:14" s="210" customFormat="1" ht="27.75" customHeight="1">
      <c r="B103" s="736"/>
      <c r="C103" s="736"/>
      <c r="D103" s="736"/>
      <c r="E103" s="736"/>
      <c r="F103" s="16"/>
      <c r="G103" s="16"/>
      <c r="H103" s="16"/>
      <c r="I103" s="16"/>
      <c r="J103" s="16"/>
      <c r="K103" s="16"/>
      <c r="L103" s="561"/>
    </row>
    <row r="104" spans="2:14" s="16" customFormat="1">
      <c r="B104" s="735"/>
      <c r="C104" s="735"/>
      <c r="D104" s="735"/>
      <c r="E104" s="735"/>
      <c r="L104" s="561"/>
      <c r="M104" s="561"/>
      <c r="N104" s="561"/>
    </row>
    <row r="105" spans="2:14" s="16" customFormat="1" ht="14.25" customHeight="1">
      <c r="B105" s="736"/>
      <c r="C105" s="736"/>
      <c r="D105" s="736"/>
      <c r="E105" s="736"/>
      <c r="L105" s="561"/>
      <c r="M105" s="561"/>
      <c r="N105" s="561"/>
    </row>
    <row r="106" spans="2:14" s="16" customFormat="1" ht="14.25" customHeight="1">
      <c r="B106" s="736"/>
      <c r="C106" s="736"/>
      <c r="D106" s="736"/>
      <c r="E106" s="736"/>
      <c r="L106" s="561"/>
      <c r="M106" s="561"/>
      <c r="N106" s="561"/>
    </row>
    <row r="107" spans="2:14" s="16" customFormat="1">
      <c r="B107" s="429"/>
      <c r="C107" s="429"/>
      <c r="D107" s="429"/>
      <c r="E107" s="429"/>
      <c r="F107" s="636"/>
      <c r="G107" s="636"/>
      <c r="H107" s="636"/>
      <c r="L107" s="561"/>
      <c r="M107" s="561"/>
      <c r="N107" s="561"/>
    </row>
    <row r="108" spans="2:14" s="16" customFormat="1">
      <c r="B108" s="429"/>
      <c r="C108" s="211"/>
      <c r="D108" s="211"/>
      <c r="E108" s="211"/>
      <c r="F108" s="211"/>
      <c r="G108" s="211"/>
      <c r="H108" s="211"/>
      <c r="L108" s="561"/>
      <c r="M108" s="561"/>
      <c r="N108" s="561"/>
    </row>
    <row r="109" spans="2:14" s="16" customFormat="1">
      <c r="B109" s="734"/>
      <c r="C109" s="734"/>
      <c r="D109" s="734"/>
      <c r="H109" s="561"/>
      <c r="L109" s="561"/>
      <c r="M109" s="561"/>
      <c r="N109" s="561"/>
    </row>
    <row r="110" spans="2:14" s="16" customFormat="1" ht="18" customHeight="1">
      <c r="B110" s="734"/>
      <c r="C110" s="734"/>
      <c r="D110" s="734"/>
      <c r="H110" s="561"/>
      <c r="L110" s="561"/>
      <c r="M110" s="561"/>
      <c r="N110" s="561"/>
    </row>
    <row r="111" spans="2:14" s="16" customFormat="1">
      <c r="F111" s="561"/>
      <c r="G111" s="561"/>
      <c r="H111" s="561"/>
      <c r="L111" s="561"/>
      <c r="M111" s="561"/>
      <c r="N111" s="561"/>
    </row>
    <row r="112" spans="2:14" s="16" customFormat="1">
      <c r="F112" s="561"/>
      <c r="G112" s="561"/>
      <c r="H112" s="561"/>
      <c r="L112" s="561"/>
      <c r="M112" s="561"/>
      <c r="N112" s="561"/>
    </row>
    <row r="113" spans="6:14" s="16" customFormat="1">
      <c r="F113" s="561"/>
      <c r="G113" s="561"/>
      <c r="H113" s="561"/>
      <c r="L113" s="561"/>
      <c r="M113" s="561"/>
      <c r="N113" s="561"/>
    </row>
    <row r="114" spans="6:14" s="16" customFormat="1">
      <c r="F114" s="561"/>
      <c r="G114" s="561"/>
      <c r="H114" s="561"/>
      <c r="L114" s="561"/>
      <c r="M114" s="561"/>
      <c r="N114" s="561"/>
    </row>
    <row r="115" spans="6:14" s="16" customFormat="1">
      <c r="F115" s="561"/>
      <c r="G115" s="561"/>
      <c r="H115" s="561"/>
      <c r="L115" s="561"/>
      <c r="M115" s="561"/>
      <c r="N115" s="561"/>
    </row>
    <row r="116" spans="6:14" s="16" customFormat="1">
      <c r="F116" s="561"/>
      <c r="G116" s="561"/>
      <c r="H116" s="561"/>
      <c r="L116" s="561"/>
      <c r="M116" s="561"/>
      <c r="N116" s="561"/>
    </row>
    <row r="117" spans="6:14" s="16" customFormat="1">
      <c r="F117" s="561"/>
      <c r="G117" s="561"/>
      <c r="H117" s="561"/>
      <c r="L117" s="561"/>
      <c r="M117" s="561"/>
      <c r="N117" s="561"/>
    </row>
    <row r="118" spans="6:14" s="16" customFormat="1">
      <c r="F118" s="561"/>
      <c r="G118" s="561"/>
      <c r="H118" s="561"/>
      <c r="L118" s="561"/>
      <c r="M118" s="561"/>
      <c r="N118" s="561"/>
    </row>
    <row r="119" spans="6:14" s="16" customFormat="1">
      <c r="F119" s="561"/>
      <c r="G119" s="561"/>
      <c r="H119" s="561"/>
      <c r="L119" s="561"/>
      <c r="M119" s="561"/>
      <c r="N119" s="561"/>
    </row>
    <row r="120" spans="6:14" s="16" customFormat="1">
      <c r="F120" s="561"/>
      <c r="G120" s="561"/>
      <c r="H120" s="561"/>
      <c r="L120" s="561"/>
      <c r="M120" s="561"/>
      <c r="N120" s="561"/>
    </row>
    <row r="121" spans="6:14" s="16" customFormat="1">
      <c r="F121" s="561"/>
      <c r="G121" s="561"/>
      <c r="H121" s="561"/>
      <c r="L121" s="561"/>
      <c r="M121" s="561"/>
      <c r="N121" s="561"/>
    </row>
    <row r="122" spans="6:14" s="16" customFormat="1">
      <c r="F122" s="561"/>
      <c r="G122" s="561"/>
      <c r="H122" s="561"/>
      <c r="L122" s="561"/>
      <c r="M122" s="561"/>
      <c r="N122" s="561"/>
    </row>
    <row r="123" spans="6:14" s="16" customFormat="1">
      <c r="F123" s="561"/>
      <c r="G123" s="561"/>
      <c r="H123" s="561"/>
      <c r="L123" s="561"/>
      <c r="M123" s="561"/>
      <c r="N123" s="561"/>
    </row>
    <row r="124" spans="6:14" s="16" customFormat="1">
      <c r="F124" s="561"/>
      <c r="G124" s="561"/>
      <c r="H124" s="561"/>
      <c r="L124" s="561"/>
      <c r="M124" s="561"/>
      <c r="N124" s="561"/>
    </row>
    <row r="125" spans="6:14" s="16" customFormat="1">
      <c r="F125" s="561"/>
      <c r="G125" s="561"/>
      <c r="H125" s="561"/>
      <c r="L125" s="561"/>
      <c r="M125" s="561"/>
      <c r="N125" s="561"/>
    </row>
    <row r="126" spans="6:14" s="16" customFormat="1">
      <c r="F126" s="561"/>
      <c r="G126" s="561"/>
      <c r="H126" s="561"/>
      <c r="L126" s="561"/>
      <c r="M126" s="561"/>
      <c r="N126" s="561"/>
    </row>
    <row r="127" spans="6:14" s="16" customFormat="1">
      <c r="F127" s="561"/>
      <c r="G127" s="561"/>
      <c r="H127" s="561"/>
      <c r="L127" s="561"/>
      <c r="M127" s="561"/>
      <c r="N127" s="561"/>
    </row>
    <row r="128" spans="6:14" s="16" customFormat="1">
      <c r="F128" s="561"/>
      <c r="G128" s="561"/>
      <c r="H128" s="561"/>
      <c r="L128" s="561"/>
      <c r="M128" s="561"/>
      <c r="N128" s="561"/>
    </row>
    <row r="129" spans="6:14" s="16" customFormat="1">
      <c r="F129" s="561"/>
      <c r="G129" s="561"/>
      <c r="H129" s="561"/>
      <c r="L129" s="561"/>
      <c r="M129" s="561"/>
      <c r="N129" s="561"/>
    </row>
    <row r="130" spans="6:14" s="16" customFormat="1">
      <c r="F130" s="561"/>
      <c r="G130" s="561"/>
      <c r="H130" s="561"/>
      <c r="K130"/>
      <c r="L130" s="560"/>
      <c r="M130" s="561"/>
      <c r="N130" s="561"/>
    </row>
    <row r="131" spans="6:14" s="16" customFormat="1">
      <c r="F131" s="561"/>
      <c r="G131" s="561"/>
      <c r="H131" s="561"/>
      <c r="K131"/>
      <c r="L131" s="560"/>
      <c r="M131" s="561"/>
      <c r="N131" s="561"/>
    </row>
    <row r="132" spans="6:14" s="16" customFormat="1">
      <c r="F132" s="561"/>
      <c r="G132" s="561"/>
      <c r="H132" s="561"/>
      <c r="K132"/>
      <c r="L132" s="560"/>
      <c r="M132" s="561"/>
      <c r="N132" s="561"/>
    </row>
    <row r="133" spans="6:14" s="16" customFormat="1">
      <c r="F133" s="561"/>
      <c r="G133" s="561"/>
      <c r="H133" s="561"/>
      <c r="K133"/>
      <c r="L133" s="560"/>
      <c r="M133" s="561"/>
      <c r="N133" s="561"/>
    </row>
    <row r="134" spans="6:14" s="16" customFormat="1">
      <c r="F134" s="561"/>
      <c r="G134" s="561"/>
      <c r="H134" s="561"/>
      <c r="K134"/>
      <c r="L134" s="560"/>
      <c r="M134" s="561"/>
      <c r="N134" s="561"/>
    </row>
    <row r="135" spans="6:14" s="16" customFormat="1">
      <c r="F135" s="561"/>
      <c r="G135" s="561"/>
      <c r="H135" s="561"/>
      <c r="K135"/>
      <c r="L135" s="560"/>
      <c r="M135" s="561"/>
      <c r="N135" s="561"/>
    </row>
    <row r="136" spans="6:14" s="16" customFormat="1">
      <c r="F136" s="561"/>
      <c r="G136" s="561"/>
      <c r="H136" s="561"/>
      <c r="K136"/>
      <c r="L136" s="560"/>
      <c r="M136" s="561"/>
      <c r="N136" s="561"/>
    </row>
    <row r="137" spans="6:14" s="16" customFormat="1">
      <c r="F137" s="561"/>
      <c r="G137" s="561"/>
      <c r="H137" s="561"/>
      <c r="K137"/>
      <c r="L137" s="560"/>
      <c r="M137" s="561"/>
      <c r="N137" s="561"/>
    </row>
    <row r="169" spans="2:7">
      <c r="B169" s="559"/>
      <c r="C169" s="559"/>
      <c r="D169" s="559"/>
      <c r="F169" s="559"/>
      <c r="G169" s="559"/>
    </row>
    <row r="170" spans="2:7">
      <c r="B170" s="559"/>
      <c r="C170" s="559"/>
      <c r="D170" s="559"/>
      <c r="F170" s="559"/>
      <c r="G170" s="559"/>
    </row>
  </sheetData>
  <mergeCells count="17">
    <mergeCell ref="B110:D110"/>
    <mergeCell ref="B102:E102"/>
    <mergeCell ref="B103:E103"/>
    <mergeCell ref="B104:E104"/>
    <mergeCell ref="B105:E105"/>
    <mergeCell ref="B106:E106"/>
    <mergeCell ref="B109:D109"/>
    <mergeCell ref="F2:H2"/>
    <mergeCell ref="F54:H54"/>
    <mergeCell ref="B43:H43"/>
    <mergeCell ref="B92:H92"/>
    <mergeCell ref="B101:E101"/>
    <mergeCell ref="B52:E52"/>
    <mergeCell ref="B2:B3"/>
    <mergeCell ref="C2:E2"/>
    <mergeCell ref="B54:B55"/>
    <mergeCell ref="C54:E54"/>
  </mergeCells>
  <pageMargins left="0.7" right="0.7" top="0.75" bottom="0.75" header="0.3" footer="0.3"/>
  <pageSetup paperSize="9" scale="56" orientation="portrait" horizontalDpi="4294967294" r:id="rId1"/>
  <ignoredErrors>
    <ignoredError sqref="E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Skonsolidowany P&amp;L</vt:lpstr>
      <vt:lpstr>Segmenty</vt:lpstr>
      <vt:lpstr>Skonsolidowany bilans</vt:lpstr>
      <vt:lpstr>Skonsolidowany CF</vt:lpstr>
      <vt:lpstr>KPI_segment B2B&amp;B2C</vt:lpstr>
      <vt:lpstr>KPI - segment TV</vt:lpstr>
      <vt:lpstr>'KPI - segment TV'!_Toc377043859</vt:lpstr>
      <vt:lpstr>'KPI - segment TV'!_Toc377043860</vt:lpstr>
      <vt:lpstr>'KPI - segment TV'!Obszar_wydruku</vt:lpstr>
      <vt:lpstr>'KPI_segment B2B&amp;B2C'!Obszar_wydruku</vt:lpstr>
      <vt:lpstr>'Skonsolidowany bilans'!Obszar_wydruku</vt:lpstr>
      <vt:lpstr>'Skonsolidowany CF'!Obszar_wydruku</vt:lpstr>
      <vt:lpstr>'Skonsolidowany P&amp;L'!Obszar_wydruku</vt:lpstr>
      <vt:lpstr>'Skonsolidowany CF'!OLE_LINK3</vt:lpstr>
    </vt:vector>
  </TitlesOfParts>
  <Company>Your Company Name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Agata Wiktorow</cp:lastModifiedBy>
  <cp:lastPrinted>2015-11-10T12:34:56Z</cp:lastPrinted>
  <dcterms:created xsi:type="dcterms:W3CDTF">2008-08-25T12:12:22Z</dcterms:created>
  <dcterms:modified xsi:type="dcterms:W3CDTF">2019-11-06T09:33:44Z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