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400" windowHeight="12000"/>
  </bookViews>
  <sheets>
    <sheet name="Skonsolidowany P&amp;L" sheetId="16" r:id="rId1"/>
    <sheet name="Segmenty" sheetId="13" r:id="rId2"/>
    <sheet name="Skonsolidowant bilans" sheetId="4" r:id="rId3"/>
    <sheet name="Skonsolidowany CF" sheetId="6" r:id="rId4"/>
    <sheet name="KPI_segment B2B&amp;B2C" sheetId="14" r:id="rId5"/>
    <sheet name="KPI - segment TV" sheetId="15" r:id="rId6"/>
  </sheets>
  <definedNames>
    <definedName name="_Toc377043859" localSheetId="5">'KPI - segment TV'!$C$40</definedName>
    <definedName name="_Toc377043860" localSheetId="5">'KPI - segment TV'!$D$40</definedName>
    <definedName name="_Toc377043862" localSheetId="5">'KPI - segment TV'!#REF!</definedName>
    <definedName name="_Toc377043863" localSheetId="5">'KPI - segment TV'!#REF!</definedName>
    <definedName name="_xlnm.Print_Area" localSheetId="5">'KPI - segment TV'!$A$1:$E$71</definedName>
    <definedName name="_xlnm.Print_Area" localSheetId="4">'KPI_segment B2B&amp;B2C'!$A$1:$S$37</definedName>
    <definedName name="_xlnm.Print_Area" localSheetId="2">'Skonsolidowant bilans'!$A$1:$Q$69</definedName>
    <definedName name="_xlnm.Print_Area" localSheetId="3">'Skonsolidowany CF'!$A$1:$Q$60</definedName>
    <definedName name="_xlnm.Print_Area" localSheetId="0">'Skonsolidowany P&amp;L'!$A$3:$S$39</definedName>
    <definedName name="OLE_LINK3" localSheetId="3">'Skonsolidowany CF'!$A$18</definedName>
  </definedNames>
  <calcPr calcId="145621"/>
</workbook>
</file>

<file path=xl/calcChain.xml><?xml version="1.0" encoding="utf-8"?>
<calcChain xmlns="http://schemas.openxmlformats.org/spreadsheetml/2006/main">
  <c r="G4" i="15" l="1"/>
  <c r="F4" i="15"/>
  <c r="D4" i="15"/>
  <c r="C4" i="15"/>
  <c r="AC28" i="14"/>
  <c r="AC23" i="14"/>
  <c r="AC5" i="14" s="1"/>
  <c r="AC16" i="14"/>
  <c r="AC7" i="14"/>
  <c r="X53" i="6"/>
  <c r="X55" i="6"/>
  <c r="X51" i="6"/>
  <c r="X52" i="6"/>
  <c r="X41" i="6"/>
  <c r="X27" i="6"/>
  <c r="X24" i="6"/>
  <c r="X5" i="6"/>
  <c r="X62" i="4"/>
  <c r="X63" i="4" s="1"/>
  <c r="X64" i="4" s="1"/>
  <c r="X52" i="4"/>
  <c r="X43" i="4"/>
  <c r="X41" i="4"/>
  <c r="X30" i="4"/>
  <c r="X18" i="4"/>
  <c r="X31" i="4" s="1"/>
  <c r="AC30" i="16"/>
  <c r="AC31" i="16" s="1"/>
  <c r="AC28" i="16"/>
  <c r="AC25" i="16"/>
  <c r="AC23" i="16"/>
  <c r="AC4" i="16"/>
  <c r="AC9" i="16"/>
  <c r="AC19" i="16" l="1"/>
  <c r="H63" i="15" l="1"/>
  <c r="E63" i="15"/>
  <c r="W28" i="16" l="1"/>
  <c r="H64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E64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  <c r="AB28" i="14"/>
  <c r="AB23" i="14"/>
  <c r="AB16" i="14"/>
  <c r="AB7" i="14"/>
  <c r="W51" i="6"/>
  <c r="W41" i="6"/>
  <c r="W5" i="6"/>
  <c r="W62" i="4"/>
  <c r="W63" i="4"/>
  <c r="W52" i="4"/>
  <c r="W43" i="4"/>
  <c r="W41" i="4"/>
  <c r="W30" i="4"/>
  <c r="W18" i="4"/>
  <c r="W31" i="4" s="1"/>
  <c r="AB30" i="16"/>
  <c r="AB31" i="16"/>
  <c r="AB23" i="16"/>
  <c r="AB25" i="16" s="1"/>
  <c r="AB28" i="16" s="1"/>
  <c r="AB19" i="16"/>
  <c r="AB9" i="16"/>
  <c r="AB4" i="16"/>
  <c r="W64" i="4" l="1"/>
  <c r="W4" i="6"/>
  <c r="W24" i="6" s="1"/>
  <c r="W27" i="6" s="1"/>
  <c r="W52" i="6" s="1"/>
  <c r="AB5" i="14"/>
  <c r="V49" i="6" l="1"/>
  <c r="K19" i="16" l="1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AA9" i="16"/>
  <c r="Z10" i="16"/>
  <c r="AA28" i="14"/>
  <c r="AA23" i="14"/>
  <c r="AA16" i="14"/>
  <c r="AA7" i="14"/>
  <c r="V51" i="6"/>
  <c r="V41" i="6"/>
  <c r="V5" i="6"/>
  <c r="V62" i="4"/>
  <c r="V52" i="4"/>
  <c r="V41" i="4"/>
  <c r="V43" i="4" s="1"/>
  <c r="V30" i="4"/>
  <c r="V18" i="4"/>
  <c r="AA4" i="16"/>
  <c r="AA5" i="14" l="1"/>
  <c r="V63" i="4"/>
  <c r="V64" i="4" s="1"/>
  <c r="V31" i="4"/>
  <c r="AA19" i="16"/>
  <c r="AA23" i="16" s="1"/>
  <c r="AA25" i="16" s="1"/>
  <c r="O10" i="13"/>
  <c r="M10" i="13"/>
  <c r="H10" i="13"/>
  <c r="C10" i="13"/>
  <c r="AA28" i="16" l="1"/>
  <c r="V4" i="6"/>
  <c r="V24" i="6" s="1"/>
  <c r="V27" i="6" s="1"/>
  <c r="V52" i="6" s="1"/>
  <c r="AA30" i="16"/>
  <c r="AA31" i="16" s="1"/>
  <c r="Z15" i="14"/>
  <c r="S9" i="13" l="1"/>
  <c r="R9" i="13"/>
  <c r="Q9" i="13"/>
  <c r="L9" i="13"/>
  <c r="G9" i="13"/>
  <c r="J10" i="13"/>
  <c r="E10" i="13"/>
  <c r="Z27" i="16"/>
  <c r="Z26" i="16"/>
  <c r="Z24" i="16"/>
  <c r="P24" i="16"/>
  <c r="K24" i="16"/>
  <c r="F24" i="16"/>
  <c r="Z22" i="16"/>
  <c r="P22" i="16"/>
  <c r="K22" i="16"/>
  <c r="F22" i="16"/>
  <c r="Z21" i="16"/>
  <c r="P21" i="16"/>
  <c r="K21" i="16"/>
  <c r="F21" i="16"/>
  <c r="Z20" i="16"/>
  <c r="P20" i="16"/>
  <c r="K20" i="16"/>
  <c r="F20" i="16"/>
  <c r="Z18" i="16"/>
  <c r="P18" i="16"/>
  <c r="K18" i="16"/>
  <c r="F18" i="16"/>
  <c r="Z17" i="16"/>
  <c r="P17" i="16"/>
  <c r="K17" i="16"/>
  <c r="F17" i="16"/>
  <c r="Z16" i="16"/>
  <c r="P16" i="16"/>
  <c r="K16" i="16"/>
  <c r="F16" i="16"/>
  <c r="Z12" i="16"/>
  <c r="P12" i="16"/>
  <c r="K12" i="16"/>
  <c r="F12" i="16"/>
  <c r="Z15" i="16"/>
  <c r="P15" i="16"/>
  <c r="K15" i="16"/>
  <c r="F15" i="16"/>
  <c r="P10" i="16"/>
  <c r="K10" i="16"/>
  <c r="F10" i="16"/>
  <c r="Z11" i="16"/>
  <c r="P11" i="16"/>
  <c r="K11" i="16"/>
  <c r="F11" i="16"/>
  <c r="Z14" i="16"/>
  <c r="P14" i="16"/>
  <c r="K14" i="16"/>
  <c r="F14" i="16"/>
  <c r="Z13" i="16"/>
  <c r="P13" i="16"/>
  <c r="K13" i="16"/>
  <c r="F13" i="16"/>
  <c r="Z8" i="16"/>
  <c r="P8" i="16"/>
  <c r="K8" i="16"/>
  <c r="F8" i="16"/>
  <c r="Z7" i="16"/>
  <c r="P7" i="16"/>
  <c r="K7" i="16"/>
  <c r="F7" i="16"/>
  <c r="Z6" i="16"/>
  <c r="P6" i="16"/>
  <c r="K6" i="16"/>
  <c r="F6" i="16"/>
  <c r="Z5" i="16"/>
  <c r="Z4" i="16" s="1"/>
  <c r="P5" i="16"/>
  <c r="P4" i="16" s="1"/>
  <c r="K5" i="16"/>
  <c r="K4" i="16" s="1"/>
  <c r="F5" i="16"/>
  <c r="F4" i="16" s="1"/>
  <c r="Y4" i="16"/>
  <c r="X4" i="16"/>
  <c r="W4" i="16"/>
  <c r="V4" i="16"/>
  <c r="U4" i="16"/>
  <c r="T4" i="16"/>
  <c r="S4" i="16"/>
  <c r="R4" i="16"/>
  <c r="Q4" i="16"/>
  <c r="O4" i="16"/>
  <c r="N4" i="16"/>
  <c r="M4" i="16"/>
  <c r="L4" i="16"/>
  <c r="J4" i="16"/>
  <c r="I4" i="16"/>
  <c r="H4" i="16"/>
  <c r="G4" i="16"/>
  <c r="E4" i="16"/>
  <c r="D4" i="16"/>
  <c r="C4" i="16"/>
  <c r="B4" i="16"/>
  <c r="T9" i="13" l="1"/>
  <c r="B19" i="16"/>
  <c r="B23" i="16" s="1"/>
  <c r="B25" i="16" s="1"/>
  <c r="L19" i="16"/>
  <c r="L30" i="16" s="1"/>
  <c r="L31" i="16" s="1"/>
  <c r="T19" i="16"/>
  <c r="T23" i="16" s="1"/>
  <c r="T25" i="16" s="1"/>
  <c r="Y19" i="16"/>
  <c r="Y30" i="16" s="1"/>
  <c r="Y31" i="16" s="1"/>
  <c r="C19" i="16"/>
  <c r="C30" i="16" s="1"/>
  <c r="C31" i="16" s="1"/>
  <c r="D19" i="16"/>
  <c r="D30" i="16" s="1"/>
  <c r="D31" i="16" s="1"/>
  <c r="N19" i="16"/>
  <c r="N30" i="16" s="1"/>
  <c r="N31" i="16" s="1"/>
  <c r="E19" i="16"/>
  <c r="E23" i="16" s="1"/>
  <c r="E25" i="16" s="1"/>
  <c r="O19" i="16"/>
  <c r="O23" i="16" s="1"/>
  <c r="O25" i="16" s="1"/>
  <c r="M19" i="16"/>
  <c r="M30" i="16" s="1"/>
  <c r="M31" i="16" s="1"/>
  <c r="P19" i="16"/>
  <c r="P23" i="16" s="1"/>
  <c r="P25" i="16" s="1"/>
  <c r="G10" i="13"/>
  <c r="H19" i="16"/>
  <c r="H30" i="16" s="1"/>
  <c r="H31" i="16" s="1"/>
  <c r="Q19" i="16"/>
  <c r="Q23" i="16" s="1"/>
  <c r="Q25" i="16" s="1"/>
  <c r="U19" i="16"/>
  <c r="U23" i="16" s="1"/>
  <c r="U25" i="16" s="1"/>
  <c r="Q4" i="6" s="1"/>
  <c r="R19" i="16"/>
  <c r="R30" i="16" s="1"/>
  <c r="R31" i="16" s="1"/>
  <c r="V19" i="16"/>
  <c r="V30" i="16" s="1"/>
  <c r="V31" i="16" s="1"/>
  <c r="Z19" i="16"/>
  <c r="Z30" i="16" s="1"/>
  <c r="Z31" i="16" s="1"/>
  <c r="F19" i="16"/>
  <c r="F23" i="16" s="1"/>
  <c r="F25" i="16" s="1"/>
  <c r="J19" i="16"/>
  <c r="J23" i="16" s="1"/>
  <c r="J25" i="16" s="1"/>
  <c r="S19" i="16"/>
  <c r="S23" i="16" s="1"/>
  <c r="S25" i="16" s="1"/>
  <c r="W19" i="16"/>
  <c r="W30" i="16" s="1"/>
  <c r="W31" i="16" s="1"/>
  <c r="X19" i="16"/>
  <c r="X30" i="16" s="1"/>
  <c r="X31" i="16" s="1"/>
  <c r="B30" i="16"/>
  <c r="B31" i="16" s="1"/>
  <c r="M23" i="16"/>
  <c r="M25" i="16" s="1"/>
  <c r="U30" i="16"/>
  <c r="U31" i="16" s="1"/>
  <c r="Y23" i="16"/>
  <c r="Y25" i="16" s="1"/>
  <c r="Y28" i="16" s="1"/>
  <c r="I19" i="16"/>
  <c r="O30" i="16"/>
  <c r="O31" i="16" s="1"/>
  <c r="C23" i="16"/>
  <c r="C25" i="16" s="1"/>
  <c r="G19" i="16"/>
  <c r="D23" i="16" l="1"/>
  <c r="D25" i="16" s="1"/>
  <c r="P30" i="16"/>
  <c r="P31" i="16" s="1"/>
  <c r="L23" i="16"/>
  <c r="L25" i="16" s="1"/>
  <c r="L26" i="16" s="1"/>
  <c r="N23" i="16"/>
  <c r="N25" i="16" s="1"/>
  <c r="N26" i="16" s="1"/>
  <c r="T30" i="16"/>
  <c r="T31" i="16" s="1"/>
  <c r="E30" i="16"/>
  <c r="E31" i="16" s="1"/>
  <c r="S30" i="16"/>
  <c r="S31" i="16" s="1"/>
  <c r="K4" i="6"/>
  <c r="W23" i="16"/>
  <c r="W25" i="16" s="1"/>
  <c r="Q30" i="16"/>
  <c r="Q31" i="16" s="1"/>
  <c r="Z23" i="16"/>
  <c r="Z25" i="16" s="1"/>
  <c r="Z28" i="16" s="1"/>
  <c r="F30" i="16"/>
  <c r="F31" i="16" s="1"/>
  <c r="J30" i="16"/>
  <c r="J31" i="16" s="1"/>
  <c r="X23" i="16"/>
  <c r="X25" i="16" s="1"/>
  <c r="X28" i="16" s="1"/>
  <c r="H23" i="16"/>
  <c r="H25" i="16" s="1"/>
  <c r="H28" i="16" s="1"/>
  <c r="V23" i="16"/>
  <c r="V25" i="16" s="1"/>
  <c r="R23" i="16"/>
  <c r="R25" i="16" s="1"/>
  <c r="R28" i="16" s="1"/>
  <c r="Q26" i="16"/>
  <c r="Q28" i="16"/>
  <c r="S28" i="16"/>
  <c r="S26" i="16"/>
  <c r="F26" i="16"/>
  <c r="F28" i="16"/>
  <c r="K30" i="16"/>
  <c r="K31" i="16" s="1"/>
  <c r="K23" i="16"/>
  <c r="K25" i="16" s="1"/>
  <c r="T28" i="16"/>
  <c r="T26" i="16"/>
  <c r="L28" i="16"/>
  <c r="I30" i="16"/>
  <c r="I31" i="16" s="1"/>
  <c r="I23" i="16"/>
  <c r="I25" i="16" s="1"/>
  <c r="G30" i="16"/>
  <c r="G31" i="16" s="1"/>
  <c r="G23" i="16"/>
  <c r="G25" i="16" s="1"/>
  <c r="E26" i="16"/>
  <c r="E28" i="16"/>
  <c r="U26" i="16"/>
  <c r="U28" i="16"/>
  <c r="M26" i="16"/>
  <c r="M28" i="16"/>
  <c r="J26" i="16"/>
  <c r="J28" i="16"/>
  <c r="B26" i="16"/>
  <c r="B28" i="16"/>
  <c r="P28" i="16"/>
  <c r="P26" i="16"/>
  <c r="C28" i="16"/>
  <c r="C26" i="16"/>
  <c r="O28" i="16"/>
  <c r="O26" i="16"/>
  <c r="D28" i="16"/>
  <c r="D26" i="16"/>
  <c r="N28" i="16" l="1"/>
  <c r="U4" i="6"/>
  <c r="R26" i="16"/>
  <c r="V28" i="16"/>
  <c r="S4" i="6"/>
  <c r="T4" i="6" s="1"/>
  <c r="R4" i="6"/>
  <c r="H26" i="16"/>
  <c r="P4" i="6"/>
  <c r="G28" i="16"/>
  <c r="G26" i="16"/>
  <c r="I26" i="16"/>
  <c r="I28" i="16"/>
  <c r="K28" i="16"/>
  <c r="K26" i="16"/>
  <c r="Z28" i="14" l="1"/>
  <c r="Y28" i="14"/>
  <c r="Z26" i="14"/>
  <c r="Z25" i="14"/>
  <c r="Z24" i="14"/>
  <c r="Y23" i="14"/>
  <c r="Z16" i="14"/>
  <c r="Y16" i="14"/>
  <c r="Z12" i="14"/>
  <c r="Z11" i="14"/>
  <c r="Z10" i="14"/>
  <c r="Z9" i="14"/>
  <c r="Z8" i="14"/>
  <c r="Y7" i="14"/>
  <c r="U51" i="6"/>
  <c r="U41" i="6"/>
  <c r="U5" i="6"/>
  <c r="U62" i="4"/>
  <c r="U52" i="4"/>
  <c r="U41" i="4"/>
  <c r="U43" i="4" s="1"/>
  <c r="U30" i="4"/>
  <c r="U18" i="4"/>
  <c r="Z23" i="14" l="1"/>
  <c r="Z7" i="14"/>
  <c r="Z5" i="14" s="1"/>
  <c r="Y5" i="14"/>
  <c r="U24" i="6"/>
  <c r="U27" i="6" s="1"/>
  <c r="U52" i="6" s="1"/>
  <c r="U63" i="4"/>
  <c r="U64" i="4" s="1"/>
  <c r="U31" i="4"/>
  <c r="L12" i="13" l="1"/>
  <c r="C7" i="13"/>
  <c r="X28" i="14" l="1"/>
  <c r="X23" i="14"/>
  <c r="X16" i="14"/>
  <c r="X7" i="14"/>
  <c r="T51" i="6"/>
  <c r="T41" i="6"/>
  <c r="T5" i="6"/>
  <c r="T62" i="4"/>
  <c r="T52" i="4"/>
  <c r="T41" i="4"/>
  <c r="T43" i="4" s="1"/>
  <c r="T30" i="4"/>
  <c r="T18" i="4"/>
  <c r="X5" i="14" l="1"/>
  <c r="T63" i="4"/>
  <c r="T64" i="4"/>
  <c r="T31" i="4"/>
  <c r="T24" i="6"/>
  <c r="T27" i="6" s="1"/>
  <c r="T52" i="6" s="1"/>
  <c r="E7" i="13" l="1"/>
  <c r="W28" i="14" l="1"/>
  <c r="W23" i="14"/>
  <c r="W16" i="14"/>
  <c r="W7" i="14"/>
  <c r="S51" i="6"/>
  <c r="S41" i="6"/>
  <c r="S5" i="6"/>
  <c r="S62" i="4"/>
  <c r="S52" i="4"/>
  <c r="S41" i="4"/>
  <c r="S43" i="4" s="1"/>
  <c r="S30" i="4"/>
  <c r="S18" i="4"/>
  <c r="W5" i="14" l="1"/>
  <c r="S63" i="4"/>
  <c r="S64" i="4" s="1"/>
  <c r="S31" i="4"/>
  <c r="B5" i="4"/>
  <c r="G14" i="13" l="1"/>
  <c r="V28" i="14" l="1"/>
  <c r="V23" i="14"/>
  <c r="V16" i="14"/>
  <c r="V7" i="14"/>
  <c r="R51" i="6"/>
  <c r="R41" i="6"/>
  <c r="R5" i="6"/>
  <c r="R62" i="4"/>
  <c r="R52" i="4"/>
  <c r="R41" i="4"/>
  <c r="R43" i="4" s="1"/>
  <c r="R30" i="4"/>
  <c r="R18" i="4"/>
  <c r="Q12" i="13"/>
  <c r="O7" i="13"/>
  <c r="M7" i="13"/>
  <c r="J7" i="13"/>
  <c r="H7" i="13"/>
  <c r="S10" i="13" l="1"/>
  <c r="V5" i="14"/>
  <c r="R63" i="4"/>
  <c r="R64" i="4" s="1"/>
  <c r="R31" i="4"/>
  <c r="U25" i="14" l="1"/>
  <c r="U26" i="14"/>
  <c r="U24" i="14"/>
  <c r="U23" i="14" s="1"/>
  <c r="U12" i="14"/>
  <c r="U11" i="14"/>
  <c r="U10" i="14"/>
  <c r="U9" i="14"/>
  <c r="U8" i="14"/>
  <c r="T7" i="14"/>
  <c r="U28" i="14"/>
  <c r="T28" i="14"/>
  <c r="T23" i="14"/>
  <c r="U16" i="14"/>
  <c r="T16" i="14"/>
  <c r="Q51" i="6"/>
  <c r="Q41" i="6"/>
  <c r="Q5" i="6"/>
  <c r="Q62" i="4"/>
  <c r="Q52" i="4"/>
  <c r="Q41" i="4"/>
  <c r="Q43" i="4" s="1"/>
  <c r="Q30" i="4"/>
  <c r="Q18" i="4"/>
  <c r="U7" i="14" l="1"/>
  <c r="S24" i="6"/>
  <c r="S27" i="6" s="1"/>
  <c r="S52" i="6" s="1"/>
  <c r="R24" i="6"/>
  <c r="R27" i="6" s="1"/>
  <c r="R52" i="6" s="1"/>
  <c r="U5" i="14"/>
  <c r="T5" i="14"/>
  <c r="Q63" i="4"/>
  <c r="Q64" i="4" s="1"/>
  <c r="Q31" i="4"/>
  <c r="Q24" i="6" l="1"/>
  <c r="Q27" i="6" s="1"/>
  <c r="Q52" i="6" s="1"/>
  <c r="Q55" i="6" s="1"/>
  <c r="U53" i="6" l="1"/>
  <c r="U55" i="6" s="1"/>
  <c r="T53" i="6"/>
  <c r="T55" i="6" s="1"/>
  <c r="S53" i="6"/>
  <c r="S55" i="6" s="1"/>
  <c r="R53" i="6"/>
  <c r="R55" i="6" s="1"/>
  <c r="G23" i="6"/>
  <c r="H23" i="6"/>
  <c r="V53" i="6" l="1"/>
  <c r="V55" i="6" s="1"/>
  <c r="W53" i="6"/>
  <c r="W55" i="6" s="1"/>
  <c r="K31" i="14"/>
  <c r="K30" i="14"/>
  <c r="K29" i="14"/>
  <c r="S28" i="14"/>
  <c r="R28" i="14"/>
  <c r="Q28" i="14"/>
  <c r="P28" i="14"/>
  <c r="O28" i="14"/>
  <c r="N28" i="14"/>
  <c r="M28" i="14"/>
  <c r="L28" i="14"/>
  <c r="J28" i="14"/>
  <c r="I28" i="14"/>
  <c r="H28" i="14"/>
  <c r="G28" i="14"/>
  <c r="K26" i="14"/>
  <c r="K25" i="14"/>
  <c r="K24" i="14"/>
  <c r="S23" i="14"/>
  <c r="R23" i="14"/>
  <c r="Q23" i="14"/>
  <c r="P23" i="14"/>
  <c r="O23" i="14"/>
  <c r="N23" i="14"/>
  <c r="M23" i="14"/>
  <c r="L23" i="14"/>
  <c r="J23" i="14"/>
  <c r="I23" i="14"/>
  <c r="H23" i="14"/>
  <c r="G23" i="14"/>
  <c r="K21" i="14"/>
  <c r="F21" i="14"/>
  <c r="K20" i="14"/>
  <c r="F20" i="14"/>
  <c r="K19" i="14"/>
  <c r="F19" i="14"/>
  <c r="K18" i="14"/>
  <c r="F18" i="14"/>
  <c r="K17" i="14"/>
  <c r="K16" i="14" s="1"/>
  <c r="F17" i="14"/>
  <c r="S16" i="14"/>
  <c r="R16" i="14"/>
  <c r="Q16" i="14"/>
  <c r="P16" i="14"/>
  <c r="O16" i="14"/>
  <c r="N16" i="14"/>
  <c r="M16" i="14"/>
  <c r="L16" i="14"/>
  <c r="J16" i="14"/>
  <c r="I16" i="14"/>
  <c r="H16" i="14"/>
  <c r="G16" i="14"/>
  <c r="E16" i="14"/>
  <c r="D16" i="14"/>
  <c r="C16" i="14"/>
  <c r="B16" i="14"/>
  <c r="N14" i="14"/>
  <c r="K14" i="14"/>
  <c r="F14" i="14"/>
  <c r="K12" i="14"/>
  <c r="F12" i="14"/>
  <c r="K11" i="14"/>
  <c r="F11" i="14"/>
  <c r="K10" i="14"/>
  <c r="F10" i="14"/>
  <c r="K9" i="14"/>
  <c r="F9" i="14"/>
  <c r="K8" i="14"/>
  <c r="F8" i="14"/>
  <c r="S7" i="14"/>
  <c r="R7" i="14"/>
  <c r="R5" i="14" s="1"/>
  <c r="Q7" i="14"/>
  <c r="Q15" i="14" s="1"/>
  <c r="P7" i="14"/>
  <c r="P5" i="14" s="1"/>
  <c r="O7" i="14"/>
  <c r="N7" i="14"/>
  <c r="N5" i="14" s="1"/>
  <c r="M7" i="14"/>
  <c r="M15" i="14" s="1"/>
  <c r="L7" i="14"/>
  <c r="L15" i="14" s="1"/>
  <c r="J7" i="14"/>
  <c r="J15" i="14" s="1"/>
  <c r="I7" i="14"/>
  <c r="I15" i="14" s="1"/>
  <c r="H7" i="14"/>
  <c r="H15" i="14" s="1"/>
  <c r="G7" i="14"/>
  <c r="G5" i="14" s="1"/>
  <c r="F7" i="14"/>
  <c r="F15" i="14" s="1"/>
  <c r="E7" i="14"/>
  <c r="E15" i="14" s="1"/>
  <c r="D7" i="14"/>
  <c r="D15" i="14" s="1"/>
  <c r="C7" i="14"/>
  <c r="C15" i="14" s="1"/>
  <c r="B7" i="14"/>
  <c r="B15" i="14" s="1"/>
  <c r="L5" i="14"/>
  <c r="I5" i="14"/>
  <c r="K28" i="14" l="1"/>
  <c r="K7" i="14"/>
  <c r="K15" i="14" s="1"/>
  <c r="K23" i="14"/>
  <c r="H5" i="14"/>
  <c r="Q5" i="14"/>
  <c r="F16" i="14"/>
  <c r="K5" i="14"/>
  <c r="M5" i="14"/>
  <c r="G15" i="14"/>
  <c r="O5" i="14"/>
  <c r="S5" i="14"/>
  <c r="J5" i="14"/>
  <c r="B51" i="6" l="1"/>
  <c r="I51" i="6"/>
  <c r="J51" i="6"/>
  <c r="K51" i="6"/>
  <c r="L51" i="6"/>
  <c r="M51" i="6"/>
  <c r="N51" i="6"/>
  <c r="O51" i="6"/>
  <c r="P51" i="6"/>
  <c r="J61" i="4"/>
  <c r="I61" i="4"/>
  <c r="H61" i="4"/>
  <c r="G61" i="4"/>
  <c r="F61" i="4"/>
  <c r="E61" i="4"/>
  <c r="D61" i="4"/>
  <c r="C61" i="4"/>
  <c r="J60" i="4"/>
  <c r="I60" i="4"/>
  <c r="H60" i="4"/>
  <c r="G60" i="4"/>
  <c r="F60" i="4"/>
  <c r="E60" i="4"/>
  <c r="D60" i="4"/>
  <c r="C60" i="4"/>
  <c r="J59" i="4"/>
  <c r="I59" i="4"/>
  <c r="H59" i="4"/>
  <c r="G59" i="4"/>
  <c r="F59" i="4"/>
  <c r="E59" i="4"/>
  <c r="D59" i="4"/>
  <c r="C59" i="4"/>
  <c r="J57" i="4"/>
  <c r="I57" i="4"/>
  <c r="H57" i="4"/>
  <c r="G57" i="4"/>
  <c r="F57" i="4"/>
  <c r="E57" i="4"/>
  <c r="D57" i="4"/>
  <c r="C57" i="4"/>
  <c r="J55" i="4"/>
  <c r="I55" i="4"/>
  <c r="H55" i="4"/>
  <c r="G55" i="4"/>
  <c r="F55" i="4"/>
  <c r="E55" i="4"/>
  <c r="D55" i="4"/>
  <c r="C55" i="4"/>
  <c r="J54" i="4"/>
  <c r="I54" i="4"/>
  <c r="H54" i="4"/>
  <c r="G54" i="4"/>
  <c r="F54" i="4"/>
  <c r="E54" i="4"/>
  <c r="D54" i="4"/>
  <c r="C54" i="4"/>
  <c r="J53" i="4"/>
  <c r="I53" i="4"/>
  <c r="H53" i="4"/>
  <c r="G53" i="4"/>
  <c r="F53" i="4"/>
  <c r="E53" i="4"/>
  <c r="D53" i="4"/>
  <c r="C53" i="4"/>
  <c r="J50" i="4"/>
  <c r="I50" i="4"/>
  <c r="H50" i="4"/>
  <c r="G50" i="4"/>
  <c r="F50" i="4"/>
  <c r="E50" i="4"/>
  <c r="D50" i="4"/>
  <c r="C50" i="4"/>
  <c r="J49" i="4"/>
  <c r="I49" i="4"/>
  <c r="H49" i="4"/>
  <c r="G49" i="4"/>
  <c r="F49" i="4"/>
  <c r="E49" i="4"/>
  <c r="D49" i="4"/>
  <c r="C49" i="4"/>
  <c r="J48" i="4"/>
  <c r="I48" i="4"/>
  <c r="H48" i="4"/>
  <c r="G48" i="4"/>
  <c r="F48" i="4"/>
  <c r="E48" i="4"/>
  <c r="D48" i="4"/>
  <c r="C48" i="4"/>
  <c r="J46" i="4"/>
  <c r="I46" i="4"/>
  <c r="H46" i="4"/>
  <c r="G46" i="4"/>
  <c r="F46" i="4"/>
  <c r="E46" i="4"/>
  <c r="D46" i="4"/>
  <c r="C46" i="4"/>
  <c r="J45" i="4"/>
  <c r="I45" i="4"/>
  <c r="H45" i="4"/>
  <c r="G45" i="4"/>
  <c r="F45" i="4"/>
  <c r="E45" i="4"/>
  <c r="D45" i="4"/>
  <c r="C45" i="4"/>
  <c r="J44" i="4"/>
  <c r="I44" i="4"/>
  <c r="H44" i="4"/>
  <c r="G44" i="4"/>
  <c r="F44" i="4"/>
  <c r="E44" i="4"/>
  <c r="D44" i="4"/>
  <c r="C44" i="4"/>
  <c r="J40" i="4"/>
  <c r="I40" i="4"/>
  <c r="H40" i="4"/>
  <c r="G40" i="4"/>
  <c r="F40" i="4"/>
  <c r="E40" i="4"/>
  <c r="D40" i="4"/>
  <c r="C40" i="4"/>
  <c r="I39" i="4"/>
  <c r="H39" i="4"/>
  <c r="G39" i="4"/>
  <c r="F39" i="4"/>
  <c r="E39" i="4"/>
  <c r="D39" i="4"/>
  <c r="C39" i="4"/>
  <c r="J36" i="4"/>
  <c r="I36" i="4"/>
  <c r="H36" i="4"/>
  <c r="G36" i="4"/>
  <c r="F36" i="4"/>
  <c r="E36" i="4"/>
  <c r="D36" i="4"/>
  <c r="C36" i="4"/>
  <c r="J33" i="4"/>
  <c r="I33" i="4"/>
  <c r="H33" i="4"/>
  <c r="G33" i="4"/>
  <c r="F33" i="4"/>
  <c r="E33" i="4"/>
  <c r="D33" i="4"/>
  <c r="C33" i="4"/>
  <c r="J28" i="4"/>
  <c r="I28" i="4"/>
  <c r="H28" i="4"/>
  <c r="G28" i="4"/>
  <c r="F28" i="4"/>
  <c r="E28" i="4"/>
  <c r="D28" i="4"/>
  <c r="C28" i="4"/>
  <c r="J25" i="4"/>
  <c r="I25" i="4"/>
  <c r="H25" i="4"/>
  <c r="G25" i="4"/>
  <c r="F25" i="4"/>
  <c r="E25" i="4"/>
  <c r="D25" i="4"/>
  <c r="C25" i="4"/>
  <c r="J24" i="4"/>
  <c r="I24" i="4"/>
  <c r="H24" i="4"/>
  <c r="G24" i="4"/>
  <c r="F24" i="4"/>
  <c r="E24" i="4"/>
  <c r="D24" i="4"/>
  <c r="C24" i="4"/>
  <c r="J23" i="4"/>
  <c r="I23" i="4"/>
  <c r="H23" i="4"/>
  <c r="G23" i="4"/>
  <c r="F23" i="4"/>
  <c r="E23" i="4"/>
  <c r="D23" i="4"/>
  <c r="C23" i="4"/>
  <c r="J22" i="4"/>
  <c r="I22" i="4"/>
  <c r="H22" i="4"/>
  <c r="G22" i="4"/>
  <c r="F22" i="4"/>
  <c r="E22" i="4"/>
  <c r="D22" i="4"/>
  <c r="C22" i="4"/>
  <c r="J20" i="4"/>
  <c r="I20" i="4"/>
  <c r="H20" i="4"/>
  <c r="G20" i="4"/>
  <c r="F20" i="4"/>
  <c r="E20" i="4"/>
  <c r="D20" i="4"/>
  <c r="C20" i="4"/>
  <c r="J19" i="4"/>
  <c r="I19" i="4"/>
  <c r="H19" i="4"/>
  <c r="G19" i="4"/>
  <c r="F19" i="4"/>
  <c r="E19" i="4"/>
  <c r="D19" i="4"/>
  <c r="C19" i="4"/>
  <c r="J17" i="4"/>
  <c r="I17" i="4"/>
  <c r="H17" i="4"/>
  <c r="G17" i="4"/>
  <c r="F17" i="4"/>
  <c r="E17" i="4"/>
  <c r="D17" i="4"/>
  <c r="C17" i="4"/>
  <c r="J15" i="4"/>
  <c r="I15" i="4"/>
  <c r="H15" i="4"/>
  <c r="G15" i="4"/>
  <c r="F15" i="4"/>
  <c r="E15" i="4"/>
  <c r="D15" i="4"/>
  <c r="C15" i="4"/>
  <c r="J13" i="4"/>
  <c r="I13" i="4"/>
  <c r="H13" i="4"/>
  <c r="G13" i="4"/>
  <c r="F13" i="4"/>
  <c r="E13" i="4"/>
  <c r="D13" i="4"/>
  <c r="C13" i="4"/>
  <c r="J12" i="4"/>
  <c r="I12" i="4"/>
  <c r="H12" i="4"/>
  <c r="G12" i="4"/>
  <c r="F12" i="4"/>
  <c r="E12" i="4"/>
  <c r="D12" i="4"/>
  <c r="C12" i="4"/>
  <c r="J11" i="4"/>
  <c r="I11" i="4"/>
  <c r="H11" i="4"/>
  <c r="G11" i="4"/>
  <c r="F11" i="4"/>
  <c r="E11" i="4"/>
  <c r="D11" i="4"/>
  <c r="C11" i="4"/>
  <c r="J10" i="4"/>
  <c r="I10" i="4"/>
  <c r="H10" i="4"/>
  <c r="G10" i="4"/>
  <c r="F10" i="4"/>
  <c r="E10" i="4"/>
  <c r="D10" i="4"/>
  <c r="C10" i="4"/>
  <c r="J9" i="4"/>
  <c r="I9" i="4"/>
  <c r="H9" i="4"/>
  <c r="G9" i="4"/>
  <c r="F9" i="4"/>
  <c r="E9" i="4"/>
  <c r="D9" i="4"/>
  <c r="C9" i="4"/>
  <c r="J7" i="4"/>
  <c r="I7" i="4"/>
  <c r="H7" i="4"/>
  <c r="G7" i="4"/>
  <c r="F7" i="4"/>
  <c r="E7" i="4"/>
  <c r="D7" i="4"/>
  <c r="J6" i="4"/>
  <c r="I6" i="4"/>
  <c r="H6" i="4"/>
  <c r="G6" i="4"/>
  <c r="F6" i="4"/>
  <c r="E6" i="4"/>
  <c r="D6" i="4"/>
  <c r="J5" i="4"/>
  <c r="I5" i="4"/>
  <c r="H5" i="4"/>
  <c r="G5" i="4"/>
  <c r="F5" i="4"/>
  <c r="E5" i="4"/>
  <c r="D5" i="4"/>
  <c r="C7" i="4"/>
  <c r="C6" i="4"/>
  <c r="C5" i="4"/>
  <c r="D8" i="4"/>
  <c r="F8" i="4"/>
  <c r="G8" i="4"/>
  <c r="H8" i="4"/>
  <c r="I8" i="4"/>
  <c r="H29" i="4"/>
  <c r="H27" i="4"/>
  <c r="H26" i="4"/>
  <c r="H21" i="4"/>
  <c r="G51" i="4"/>
  <c r="G47" i="4"/>
  <c r="G21" i="4"/>
  <c r="F29" i="4"/>
  <c r="F27" i="4"/>
  <c r="F26" i="4"/>
  <c r="F21" i="4"/>
  <c r="E26" i="4"/>
  <c r="E21" i="4"/>
  <c r="D51" i="4"/>
  <c r="D47" i="4"/>
  <c r="D29" i="4"/>
  <c r="D21" i="4"/>
  <c r="C51" i="4"/>
  <c r="C47" i="4"/>
  <c r="C29" i="4"/>
  <c r="C27" i="4"/>
  <c r="C26" i="4"/>
  <c r="C21" i="4"/>
  <c r="B61" i="4"/>
  <c r="B60" i="4"/>
  <c r="B59" i="4"/>
  <c r="B57" i="4"/>
  <c r="B55" i="4"/>
  <c r="B54" i="4"/>
  <c r="B53" i="4"/>
  <c r="L51" i="4"/>
  <c r="K51" i="4"/>
  <c r="B51" i="4"/>
  <c r="B50" i="4"/>
  <c r="B48" i="4"/>
  <c r="B47" i="4"/>
  <c r="B46" i="4"/>
  <c r="B45" i="4"/>
  <c r="B44" i="4"/>
  <c r="B40" i="4"/>
  <c r="B38" i="4"/>
  <c r="B37" i="4"/>
  <c r="B35" i="4"/>
  <c r="B34" i="4"/>
  <c r="B33" i="4"/>
  <c r="B28" i="4"/>
  <c r="B25" i="4"/>
  <c r="B23" i="4"/>
  <c r="B22" i="4"/>
  <c r="B21" i="4"/>
  <c r="B20" i="4"/>
  <c r="B19" i="4"/>
  <c r="B17" i="4"/>
  <c r="B15" i="4"/>
  <c r="B12" i="4"/>
  <c r="B11" i="4"/>
  <c r="B10" i="4"/>
  <c r="B9" i="4"/>
  <c r="B8" i="4"/>
  <c r="B7" i="4"/>
  <c r="B6" i="4"/>
  <c r="O30" i="4"/>
  <c r="P30" i="4"/>
  <c r="L26" i="4"/>
  <c r="L30" i="4" s="1"/>
  <c r="K26" i="4"/>
  <c r="K30" i="4" s="1"/>
  <c r="S14" i="13"/>
  <c r="R14" i="13"/>
  <c r="Q14" i="13"/>
  <c r="L14" i="13"/>
  <c r="S13" i="13"/>
  <c r="R13" i="13"/>
  <c r="Q13" i="13"/>
  <c r="L13" i="13"/>
  <c r="G13" i="13"/>
  <c r="S11" i="13"/>
  <c r="R11" i="13"/>
  <c r="Q11" i="13"/>
  <c r="L11" i="13"/>
  <c r="G11" i="13"/>
  <c r="R10" i="13"/>
  <c r="L10" i="13"/>
  <c r="S8" i="13"/>
  <c r="R8" i="13"/>
  <c r="Q8" i="13"/>
  <c r="L8" i="13"/>
  <c r="G8" i="13"/>
  <c r="S7" i="13"/>
  <c r="R7" i="13"/>
  <c r="Q7" i="13"/>
  <c r="L7" i="13"/>
  <c r="G7" i="13"/>
  <c r="S6" i="13"/>
  <c r="R6" i="13"/>
  <c r="Q6" i="13"/>
  <c r="L6" i="13"/>
  <c r="G6" i="13"/>
  <c r="S5" i="13"/>
  <c r="R5" i="13"/>
  <c r="Q5" i="13"/>
  <c r="L5" i="13"/>
  <c r="G5" i="13"/>
  <c r="G30" i="4" l="1"/>
  <c r="B30" i="4"/>
  <c r="B52" i="4"/>
  <c r="T11" i="13"/>
  <c r="T8" i="13"/>
  <c r="T7" i="13"/>
  <c r="T6" i="13"/>
  <c r="T14" i="13"/>
  <c r="T10" i="13"/>
  <c r="T13" i="13"/>
  <c r="T5" i="13"/>
  <c r="J30" i="4"/>
  <c r="I30" i="4"/>
  <c r="H30" i="4"/>
  <c r="F30" i="4"/>
  <c r="E30" i="4"/>
  <c r="D30" i="4"/>
  <c r="C30" i="4"/>
  <c r="Q10" i="13"/>
  <c r="P41" i="6" l="1"/>
  <c r="P5" i="6"/>
  <c r="P62" i="4"/>
  <c r="P52" i="4"/>
  <c r="P41" i="4"/>
  <c r="P43" i="4" s="1"/>
  <c r="P18" i="4"/>
  <c r="P63" i="4" l="1"/>
  <c r="P64" i="4" s="1"/>
  <c r="P31" i="4"/>
  <c r="O41" i="6" l="1"/>
  <c r="O5" i="6"/>
  <c r="O24" i="6" s="1"/>
  <c r="O27" i="6" s="1"/>
  <c r="O52" i="4"/>
  <c r="O62" i="4"/>
  <c r="O41" i="4"/>
  <c r="O43" i="4" s="1"/>
  <c r="O18" i="4"/>
  <c r="N62" i="4"/>
  <c r="M62" i="4"/>
  <c r="N52" i="4"/>
  <c r="M52" i="4"/>
  <c r="N18" i="4"/>
  <c r="M18" i="4"/>
  <c r="N41" i="6"/>
  <c r="N5" i="6"/>
  <c r="N24" i="6" s="1"/>
  <c r="N27" i="6" s="1"/>
  <c r="N41" i="4"/>
  <c r="N43" i="4" s="1"/>
  <c r="O63" i="4" l="1"/>
  <c r="O52" i="6"/>
  <c r="O55" i="6" s="1"/>
  <c r="O31" i="4"/>
  <c r="N52" i="6"/>
  <c r="N55" i="6" s="1"/>
  <c r="N63" i="4"/>
  <c r="M41" i="6"/>
  <c r="M5" i="6"/>
  <c r="M41" i="4"/>
  <c r="M43" i="4" s="1"/>
  <c r="O64" i="4" l="1"/>
  <c r="P24" i="6"/>
  <c r="P27" i="6" s="1"/>
  <c r="P52" i="6" s="1"/>
  <c r="P55" i="6" s="1"/>
  <c r="N64" i="4"/>
  <c r="M63" i="4"/>
  <c r="L41" i="6"/>
  <c r="L5" i="6"/>
  <c r="L62" i="4"/>
  <c r="L52" i="4"/>
  <c r="L41" i="4"/>
  <c r="L43" i="4" s="1"/>
  <c r="L18" i="4"/>
  <c r="M64" i="4" l="1"/>
  <c r="L24" i="6"/>
  <c r="L27" i="6" s="1"/>
  <c r="L52" i="6" s="1"/>
  <c r="L55" i="6" s="1"/>
  <c r="L63" i="4"/>
  <c r="L31" i="4"/>
  <c r="L64" i="4" l="1"/>
  <c r="M24" i="6" l="1"/>
  <c r="D5" i="6"/>
  <c r="C5" i="6"/>
  <c r="B5" i="6"/>
  <c r="H47" i="6"/>
  <c r="H51" i="6" s="1"/>
  <c r="G47" i="6"/>
  <c r="G51" i="6" s="1"/>
  <c r="F47" i="6"/>
  <c r="F51" i="6" s="1"/>
  <c r="E47" i="6"/>
  <c r="E51" i="6" s="1"/>
  <c r="D47" i="6"/>
  <c r="D51" i="6" s="1"/>
  <c r="C47" i="6"/>
  <c r="C51" i="6" s="1"/>
  <c r="M27" i="6" l="1"/>
  <c r="I42" i="4"/>
  <c r="J42" i="4"/>
  <c r="H42" i="4"/>
  <c r="B41" i="6"/>
  <c r="C41" i="6"/>
  <c r="D41" i="6"/>
  <c r="E41" i="6"/>
  <c r="F41" i="6"/>
  <c r="G41" i="6"/>
  <c r="H41" i="6"/>
  <c r="I41" i="6"/>
  <c r="J41" i="6"/>
  <c r="K41" i="6"/>
  <c r="N21" i="4" l="1"/>
  <c r="N30" i="4" s="1"/>
  <c r="M21" i="4"/>
  <c r="M27" i="4"/>
  <c r="M52" i="6"/>
  <c r="K5" i="6"/>
  <c r="K62" i="4"/>
  <c r="K52" i="4"/>
  <c r="K41" i="4"/>
  <c r="K43" i="4" s="1"/>
  <c r="K18" i="4"/>
  <c r="M30" i="4" l="1"/>
  <c r="H41" i="4"/>
  <c r="H43" i="4" s="1"/>
  <c r="D62" i="4"/>
  <c r="C52" i="4"/>
  <c r="I62" i="4"/>
  <c r="G41" i="4"/>
  <c r="G43" i="4" s="1"/>
  <c r="H52" i="4"/>
  <c r="I41" i="4"/>
  <c r="I43" i="4" s="1"/>
  <c r="C62" i="4"/>
  <c r="E62" i="4"/>
  <c r="I52" i="4"/>
  <c r="F41" i="4"/>
  <c r="F43" i="4" s="1"/>
  <c r="D41" i="4"/>
  <c r="D43" i="4" s="1"/>
  <c r="J62" i="4"/>
  <c r="E52" i="4"/>
  <c r="B41" i="4"/>
  <c r="B43" i="4" s="1"/>
  <c r="D52" i="4"/>
  <c r="G62" i="4"/>
  <c r="F62" i="4"/>
  <c r="J52" i="4"/>
  <c r="G52" i="4"/>
  <c r="B62" i="4"/>
  <c r="E41" i="4"/>
  <c r="E43" i="4" s="1"/>
  <c r="J18" i="4"/>
  <c r="H62" i="4"/>
  <c r="F52" i="4"/>
  <c r="C41" i="4"/>
  <c r="C43" i="4" s="1"/>
  <c r="J41" i="4"/>
  <c r="J43" i="4" s="1"/>
  <c r="M55" i="6"/>
  <c r="F18" i="4"/>
  <c r="E18" i="4"/>
  <c r="G18" i="4"/>
  <c r="B18" i="4"/>
  <c r="H18" i="4"/>
  <c r="I18" i="4"/>
  <c r="D18" i="4"/>
  <c r="C18" i="4"/>
  <c r="K31" i="4"/>
  <c r="K63" i="4"/>
  <c r="D63" i="4" l="1"/>
  <c r="H63" i="4"/>
  <c r="H64" i="4" s="1"/>
  <c r="B63" i="4"/>
  <c r="B64" i="4" s="1"/>
  <c r="J63" i="4"/>
  <c r="J64" i="4" s="1"/>
  <c r="I63" i="4"/>
  <c r="I64" i="4" s="1"/>
  <c r="F31" i="4"/>
  <c r="E63" i="4"/>
  <c r="E64" i="4" s="1"/>
  <c r="C63" i="4"/>
  <c r="C64" i="4" s="1"/>
  <c r="D64" i="4"/>
  <c r="G63" i="4"/>
  <c r="G64" i="4" s="1"/>
  <c r="I31" i="4"/>
  <c r="N31" i="4"/>
  <c r="F63" i="4"/>
  <c r="F64" i="4" s="1"/>
  <c r="G31" i="4"/>
  <c r="M31" i="4"/>
  <c r="D31" i="4"/>
  <c r="C31" i="4"/>
  <c r="K64" i="4"/>
  <c r="B31" i="4"/>
  <c r="E31" i="4"/>
  <c r="J31" i="4"/>
  <c r="H31" i="4"/>
  <c r="K24" i="6" l="1"/>
  <c r="K27" i="6" s="1"/>
  <c r="K52" i="6" s="1"/>
  <c r="K55" i="6" s="1"/>
  <c r="C24" i="6" l="1"/>
  <c r="C27" i="6" s="1"/>
  <c r="C52" i="6" l="1"/>
  <c r="C55" i="6" s="1"/>
  <c r="E5" i="6" l="1"/>
  <c r="E24" i="6" s="1"/>
  <c r="E27" i="6" s="1"/>
  <c r="E52" i="6" s="1"/>
  <c r="E55" i="6" s="1"/>
  <c r="J5" i="6"/>
  <c r="J24" i="6" s="1"/>
  <c r="J27" i="6" s="1"/>
  <c r="J52" i="6" s="1"/>
  <c r="J55" i="6" s="1"/>
  <c r="B24" i="6"/>
  <c r="B27" i="6" s="1"/>
  <c r="B52" i="6" s="1"/>
  <c r="B55" i="6" s="1"/>
  <c r="F5" i="6"/>
  <c r="F24" i="6" s="1"/>
  <c r="F27" i="6" s="1"/>
  <c r="F52" i="6" s="1"/>
  <c r="F55" i="6" s="1"/>
  <c r="G5" i="6"/>
  <c r="G24" i="6" s="1"/>
  <c r="G27" i="6" s="1"/>
  <c r="G52" i="6" s="1"/>
  <c r="G55" i="6" s="1"/>
  <c r="D24" i="6"/>
  <c r="D27" i="6" s="1"/>
  <c r="D52" i="6" s="1"/>
  <c r="D55" i="6" s="1"/>
  <c r="I5" i="6"/>
  <c r="I24" i="6" s="1"/>
  <c r="I27" i="6" s="1"/>
  <c r="I52" i="6" s="1"/>
  <c r="I55" i="6" s="1"/>
  <c r="H5" i="6"/>
  <c r="H24" i="6" s="1"/>
  <c r="H27" i="6" s="1"/>
  <c r="H52" i="6" s="1"/>
  <c r="H55" i="6" s="1"/>
</calcChain>
</file>

<file path=xl/sharedStrings.xml><?xml version="1.0" encoding="utf-8"?>
<sst xmlns="http://schemas.openxmlformats.org/spreadsheetml/2006/main" count="484" uniqueCount="255">
  <si>
    <t>EBITDA</t>
  </si>
  <si>
    <t>Wynagrodzenia i świadczenia na rzecz pracowników</t>
  </si>
  <si>
    <t>Podatek dochodowy</t>
  </si>
  <si>
    <t>marża EBITDA</t>
  </si>
  <si>
    <t>AKTYWA</t>
  </si>
  <si>
    <t>Zestawy odbiorcze</t>
  </si>
  <si>
    <t>Inne rzeczowe aktywa trwałe</t>
  </si>
  <si>
    <t>Nieruchomości inwestycyjne</t>
  </si>
  <si>
    <t>Aktywa z tytułu odroczonego podatku dochodowego</t>
  </si>
  <si>
    <t>Wartość firmy</t>
  </si>
  <si>
    <t>Aktywa trwałe razem</t>
  </si>
  <si>
    <t>Zapasy</t>
  </si>
  <si>
    <t>Środki pieniężne i ich ekwiwalenty</t>
  </si>
  <si>
    <t>Aktywa obrotowe razem</t>
  </si>
  <si>
    <t>PASYWA</t>
  </si>
  <si>
    <t>Kapitał zakładowy</t>
  </si>
  <si>
    <t>Kapitał zapasowy</t>
  </si>
  <si>
    <t>Kapitał rezerwowy</t>
  </si>
  <si>
    <t>Kapitał własny razem</t>
  </si>
  <si>
    <t>Zobowiązania z tytułu kredytów i pożyczek</t>
  </si>
  <si>
    <t>Zobowiązania z tytułu leasingu finansowego</t>
  </si>
  <si>
    <t>Zobowiązania z tytułu odroczonego podatku dochodowego</t>
  </si>
  <si>
    <t>Inne długoterminowe zobowiązania i rezerwy</t>
  </si>
  <si>
    <t>Zobowiązania długoterminowe razem</t>
  </si>
  <si>
    <t>Zobowiązania z tytułu podatku dochodowego</t>
  </si>
  <si>
    <t xml:space="preserve">Zobowiązania z tytułu dostaw i usług oraz pozostałe zobowiązania </t>
  </si>
  <si>
    <t>Zobowiązania krótkoterminowe razem</t>
  </si>
  <si>
    <t>Zobowiązania razem</t>
  </si>
  <si>
    <t>PASYWA RAZEM</t>
  </si>
  <si>
    <t>Korekty:</t>
  </si>
  <si>
    <t xml:space="preserve">Odsetki </t>
  </si>
  <si>
    <t>Zmiana stanu zapasów</t>
  </si>
  <si>
    <t>Zmiana stanu należności i innych aktywów</t>
  </si>
  <si>
    <t xml:space="preserve">Podatek dochodowy </t>
  </si>
  <si>
    <t>Inne korekty</t>
  </si>
  <si>
    <t>Podatek dochodowy zapłacony</t>
  </si>
  <si>
    <t>Odsetki otrzymane dotyczące działalności operacyjnej</t>
  </si>
  <si>
    <t>Środki pieniężne z działalności operacyjnej</t>
  </si>
  <si>
    <t>Nabycie wartości niematerialnych</t>
  </si>
  <si>
    <t>Nabycie rzeczowych aktywów trwałych</t>
  </si>
  <si>
    <t>Zmiana netto środków pieniężnych i ich ekwiwalentów</t>
  </si>
  <si>
    <t>Środki pieniężne i ich ekwiwalenty na początek okresu</t>
  </si>
  <si>
    <t>Zmiana stanu środków pieniężnych z tytułu różnic kursowych</t>
  </si>
  <si>
    <t>Spłata otrzymanych kredytów i pożyczek</t>
  </si>
  <si>
    <t>Środki pieniężne o ograniczonej możliwości dysponowania</t>
  </si>
  <si>
    <t>Kaucje otrzymane za wydany sprzęt</t>
  </si>
  <si>
    <t>Udzielone pożyczki</t>
  </si>
  <si>
    <t>Wpływy ze zbycia niefinansowych aktywów trwałych</t>
  </si>
  <si>
    <t>Spłata udzielonych pożyczek</t>
  </si>
  <si>
    <t>Zysk z działalności operacyjnej</t>
  </si>
  <si>
    <t>Płatności za licencje filmowe i sportowe</t>
  </si>
  <si>
    <t>Amortyzacja licencji filmowych i sportowych</t>
  </si>
  <si>
    <t>Wartość sprzedanych aktywów programowych</t>
  </si>
  <si>
    <t>Zmiana stanu produkcji własnej oraz zaliczek na produkcję własną</t>
  </si>
  <si>
    <t>Wycena instrumentów zabezpieczających</t>
  </si>
  <si>
    <t>Marki</t>
  </si>
  <si>
    <t>Długoterminowe aktywa programowe</t>
  </si>
  <si>
    <t>Krótkoterminowe aktywa programowe</t>
  </si>
  <si>
    <t>Kapitał z aktualizacji wyceny instrumentów zabezpieczających</t>
  </si>
  <si>
    <t>Różnice kursowe z przeliczenia jednostek działających za granicą</t>
  </si>
  <si>
    <t xml:space="preserve">Inne wartości niematerialne </t>
  </si>
  <si>
    <t>(Zyski) / straty z tytułu różnic kursowych, netto</t>
  </si>
  <si>
    <t>Pożyczki udzielone jednostkom powiązanym</t>
  </si>
  <si>
    <t>2)</t>
  </si>
  <si>
    <t>Zmiana stanu zobowiązań, rezerw i przychodów przyszłych okresów</t>
  </si>
  <si>
    <t>Zwiększenie netto wartości zestawów odbiorczych w leasingu operacyjnym</t>
  </si>
  <si>
    <t>Środki pieniężne netto z działalności operacyjnej</t>
  </si>
  <si>
    <t>Środki pieniężne netto z działalności inwestycyjnej</t>
  </si>
  <si>
    <t>Środki pieniężne netto z działalności finansowej</t>
  </si>
  <si>
    <t>Nabycie udziałów w jednostkach zależnych pomniejszone o przejęte środki pieniężne</t>
  </si>
  <si>
    <t>Koszty operacyjne</t>
  </si>
  <si>
    <t>Przychody ze sprzedaży usług, produktów, towarów i materiałów</t>
  </si>
  <si>
    <t>Należności z tytułu podatku dochodowego</t>
  </si>
  <si>
    <t>Udziały niekontrolujące</t>
  </si>
  <si>
    <t>Kapitał przypadający na akcjonariuszy Jednostki Dominującej</t>
  </si>
  <si>
    <t>Amortyzacja, utrata wartości i likwidacja</t>
  </si>
  <si>
    <t>Otrzymane dywidendy</t>
  </si>
  <si>
    <t>Przychody detaliczne od klientów indywidualnych i biznesowych</t>
  </si>
  <si>
    <t>Przychody hurtowe</t>
  </si>
  <si>
    <t>Przychody ze sprzedaży sprzętu</t>
  </si>
  <si>
    <t>Pozostałe przychody ze sprzedaży</t>
  </si>
  <si>
    <t>Koszty kontentu</t>
  </si>
  <si>
    <t>Koszty dystrybucji, marketingu, obsługi i utrzymania klienta</t>
  </si>
  <si>
    <t>Koszty techniczne i rozliczeń międzyoperatorskich</t>
  </si>
  <si>
    <t>Koszt własny sprzedanego sprzętu</t>
  </si>
  <si>
    <t>Koszty windykacji, odpisów aktualizujących wartość należności i koszt spisanych należności</t>
  </si>
  <si>
    <t>Inne koszty</t>
  </si>
  <si>
    <t xml:space="preserve">Koszty finansowe </t>
  </si>
  <si>
    <t xml:space="preserve">Zobowiązania z tytułu obligacji </t>
  </si>
  <si>
    <t>Lokaty krótkoterminowe</t>
  </si>
  <si>
    <t>(Zysk)/strata ze sprzedaży rzeczowych aktywów trwałych i wartości niematerialnych</t>
  </si>
  <si>
    <t>Wpływy z tytułu realizacji instrumentaów pochodnych</t>
  </si>
  <si>
    <t xml:space="preserve">Lokaty krótkoterminowe </t>
  </si>
  <si>
    <t>Zapłata za usługi doradcze związane z emisją akcji</t>
  </si>
  <si>
    <t>Zysk/(strata) z działalności operacyjnej</t>
  </si>
  <si>
    <t>Płatności z tytułu koncesji</t>
  </si>
  <si>
    <t>Udział w zysku wspólnego przedsięwzięcia wycenianego metodą praw własności</t>
  </si>
  <si>
    <t>w tym aktywa z tytułu instrumentów pochodnych</t>
  </si>
  <si>
    <t>w tym zobowiązania z tytułu instrumentów pochodnych</t>
  </si>
  <si>
    <t>Środki pieniężne i ich ekwiwalenty na koniec okresu</t>
  </si>
  <si>
    <t>Zaciągnięcie kredytów</t>
  </si>
  <si>
    <t>GRUPA KAPITAŁOWA CYFROWY POLSAT S.A.</t>
  </si>
  <si>
    <t>SKONSOLIDOWANY RACHUNEK ZYSKÓW I STRAT</t>
  </si>
  <si>
    <t>(w mln PLN)</t>
  </si>
  <si>
    <t>Q1</t>
  </si>
  <si>
    <t>Q2</t>
  </si>
  <si>
    <t>Q3</t>
  </si>
  <si>
    <t>Q4</t>
  </si>
  <si>
    <t>SEGMENT USŁUG ŚWIADCZONYCH KLIENTOM INDYWIDUALNYM I BIZNESOWYM</t>
  </si>
  <si>
    <t>SEGMENT NADAWANIA I PRODUKCJI TELEWIZYJNEJ</t>
  </si>
  <si>
    <t>WYŁĄCZENIA I KOREKTY KONSOLIDACYJNE</t>
  </si>
  <si>
    <t>RAZEM</t>
  </si>
  <si>
    <t>Zmiana</t>
  </si>
  <si>
    <t>Sprzedaż do stron trzecich</t>
  </si>
  <si>
    <t>Sprzedaż pomiędzy segmentami</t>
  </si>
  <si>
    <t>Przychody ze sprzedaży</t>
  </si>
  <si>
    <t xml:space="preserve">Nabycie rzeczowych aktywów trwałych, zestawów odbiorczych i innych wartości niematerialnych </t>
  </si>
  <si>
    <t>Aktywa segmentu, w tym:</t>
  </si>
  <si>
    <t>Inwestycje we wspólne przedsięwzięcia</t>
  </si>
  <si>
    <t>SKONSOLIDOWANY BILANS</t>
  </si>
  <si>
    <t xml:space="preserve">31 marca </t>
  </si>
  <si>
    <t xml:space="preserve">30 czerwca </t>
  </si>
  <si>
    <t xml:space="preserve">30 września </t>
  </si>
  <si>
    <t xml:space="preserve">31 grudnia </t>
  </si>
  <si>
    <t>AKTYWA RAZEM</t>
  </si>
  <si>
    <t>3 miesiące 
do 31 marca</t>
  </si>
  <si>
    <t>6 miesięcy 
do 30 czerwca</t>
  </si>
  <si>
    <t xml:space="preserve">9 miesięcy 
do 30 września </t>
  </si>
  <si>
    <t xml:space="preserve">12 miesięcy 
do 31 grudnia </t>
  </si>
  <si>
    <t>Zysk  netto za okres</t>
  </si>
  <si>
    <t>SKONSOLIDOWANY RACHUNEK PRZEPŁYWÓW PIENIĘŻNYCH</t>
  </si>
  <si>
    <r>
      <t>SEGMENT USŁUG ŚWIADCZONYCH KLIENTOM                                                                                                               INDYWIDUALNYM I BIZNESOWYM</t>
    </r>
    <r>
      <rPr>
        <b/>
        <vertAlign val="superscript"/>
        <sz val="9"/>
        <color rgb="FF000000"/>
        <rFont val="Calibri"/>
        <family val="2"/>
        <charset val="238"/>
        <scheme val="minor"/>
      </rPr>
      <t>1)</t>
    </r>
  </si>
  <si>
    <t>1Q</t>
  </si>
  <si>
    <t>2Q</t>
  </si>
  <si>
    <t>3Q</t>
  </si>
  <si>
    <t>4Q</t>
  </si>
  <si>
    <r>
      <t>Łączna liczba RGU</t>
    </r>
    <r>
      <rPr>
        <b/>
        <vertAlign val="superscript"/>
        <sz val="9"/>
        <rFont val="Calibri"/>
        <family val="2"/>
        <charset val="238"/>
        <scheme val="minor"/>
      </rPr>
      <t>2)</t>
    </r>
    <r>
      <rPr>
        <b/>
        <sz val="9"/>
        <rFont val="Calibri"/>
        <family val="2"/>
        <charset val="238"/>
        <scheme val="minor"/>
      </rPr>
      <t xml:space="preserve"> (kontraktowe+przedpłacone)</t>
    </r>
  </si>
  <si>
    <t>n/d</t>
  </si>
  <si>
    <t>USŁUGI KONTRAKTOWE</t>
  </si>
  <si>
    <t>Łączna liczba RGU na koniec okresu, w tym:</t>
  </si>
  <si>
    <t>Płatna telewizja, w tym:</t>
  </si>
  <si>
    <t>Multiroom</t>
  </si>
  <si>
    <t>Telefonia komórkowa</t>
  </si>
  <si>
    <t>Internet</t>
  </si>
  <si>
    <t>Liczba klientów</t>
  </si>
  <si>
    <r>
      <t>ARPU na klienta</t>
    </r>
    <r>
      <rPr>
        <vertAlign val="superscript"/>
        <sz val="9"/>
        <color rgb="FF000000"/>
        <rFont val="Calibri"/>
        <family val="2"/>
        <charset val="238"/>
        <scheme val="minor"/>
      </rPr>
      <t>3)</t>
    </r>
    <r>
      <rPr>
        <sz val="9"/>
        <color rgb="FF000000"/>
        <rFont val="Calibri"/>
        <family val="2"/>
        <charset val="238"/>
        <scheme val="minor"/>
      </rPr>
      <t xml:space="preserve"> [PLN]</t>
    </r>
  </si>
  <si>
    <r>
      <t>Churn na klienta</t>
    </r>
    <r>
      <rPr>
        <vertAlign val="superscript"/>
        <sz val="9"/>
        <color rgb="FF000000"/>
        <rFont val="Calibri"/>
        <family val="2"/>
        <charset val="238"/>
        <scheme val="minor"/>
      </rPr>
      <t>4)</t>
    </r>
  </si>
  <si>
    <t xml:space="preserve">Wskaźnik nasycenia RGU na jednego klienta </t>
  </si>
  <si>
    <t>Średnia liczba RGU, w tym:</t>
  </si>
  <si>
    <t>Średnia liczba klientów</t>
  </si>
  <si>
    <t>USŁUGI PRZEDPŁACONE</t>
  </si>
  <si>
    <t xml:space="preserve">Płatna telewizja </t>
  </si>
  <si>
    <t xml:space="preserve">Internet </t>
  </si>
  <si>
    <r>
      <t>ARPU na RGU</t>
    </r>
    <r>
      <rPr>
        <vertAlign val="superscript"/>
        <sz val="9"/>
        <color rgb="FF000000"/>
        <rFont val="Calibri"/>
        <family val="2"/>
        <charset val="238"/>
        <scheme val="minor"/>
      </rPr>
      <t>5)</t>
    </r>
    <r>
      <rPr>
        <sz val="9"/>
        <color rgb="FF000000"/>
        <rFont val="Calibri"/>
        <family val="2"/>
        <charset val="238"/>
        <scheme val="minor"/>
      </rPr>
      <t xml:space="preserve"> [PLN]</t>
    </r>
  </si>
  <si>
    <t>1) Klient - osoba fizyczna, prawna lub jednostka organizacyjna nieposiadającą osobowości prawnej, posiadająca co najmniej jedną, aktywną usługę świadczoną w modelu kontraktowym.</t>
  </si>
  <si>
    <t>2) RGU (revenue generating unit) - pojedyncza, aktywna usługa płatnej telewizji, dostępu do Internetu lub telefonii komórkowej, świadczona w modelu kontraktowym lub przedpłaconym.</t>
  </si>
  <si>
    <t xml:space="preserve">3) ARPU na klienta - Średni miesięczny przychód od Klienta wygenerowany w danym okresie rozliczeniowy (uwzględnia przychody z interconnect)
</t>
  </si>
  <si>
    <t xml:space="preserve">4) Churn (współczynnik odejść lub odpływu) - rozwiązanie umowy z Klientem w drodze wypowiedzenia, windykacji lub innych działań, skutkujące tym, że po skutecznym rozwiązaniu umowy, Klient nie posiada żadnej aktywnej usługi świadczonej w modelu kontraktowym. Wskaźnik churn prezentuje stosunek liczby klientów, którym dezaktywowano ostatnią usługę (w drodze wypowiedzenia, jak i dezaktywacji w wyniku działań windykacyjnych lub z innych przyczyn) w okresie ostatnich 12 miesięcy do średniorocznej liczby klientów w tym 12 miesięcznym okresie. 
</t>
  </si>
  <si>
    <t>5) ARPU na RGU - średni miesięczny przychód od RGU pre-paid wygenerowany w danym okresie rozliczeniowym (uwzględnia przychody z interconnect)</t>
  </si>
  <si>
    <r>
      <t>Udział w oglądalności</t>
    </r>
    <r>
      <rPr>
        <b/>
        <vertAlign val="superscript"/>
        <sz val="11"/>
        <color theme="1"/>
        <rFont val="Calibri"/>
        <family val="2"/>
        <charset val="238"/>
        <scheme val="minor"/>
      </rPr>
      <t>(1) (2)</t>
    </r>
    <r>
      <rPr>
        <b/>
        <sz val="11"/>
        <color theme="1"/>
        <rFont val="Calibri"/>
        <family val="2"/>
        <charset val="238"/>
        <scheme val="minor"/>
      </rPr>
      <t>, w tym:</t>
    </r>
  </si>
  <si>
    <r>
      <t xml:space="preserve">    POLSAT</t>
    </r>
    <r>
      <rPr>
        <sz val="11"/>
        <color rgb="FF000000"/>
        <rFont val="Calibri"/>
        <family val="2"/>
        <charset val="238"/>
        <scheme val="minor"/>
      </rPr>
      <t xml:space="preserve"> (kanał główny)</t>
    </r>
  </si>
  <si>
    <t>Polsat News</t>
  </si>
  <si>
    <t>Polsat Sport</t>
  </si>
  <si>
    <t>Polsat Sport Extra</t>
  </si>
  <si>
    <t>Polsat Film</t>
  </si>
  <si>
    <t>Polsat Cafe</t>
  </si>
  <si>
    <t>Polsat Play</t>
  </si>
  <si>
    <t>CI Polsat</t>
  </si>
  <si>
    <t>Polsat Viasat History</t>
  </si>
  <si>
    <t>Polsat Viasat Nature</t>
  </si>
  <si>
    <t>Polsat Romans</t>
  </si>
  <si>
    <r>
      <t>Kanały Polsatu; zasięg techniczny</t>
    </r>
    <r>
      <rPr>
        <b/>
        <vertAlign val="superscript"/>
        <sz val="11"/>
        <rFont val="Calibri"/>
        <family val="2"/>
        <charset val="238"/>
        <scheme val="minor"/>
      </rPr>
      <t>(1)</t>
    </r>
  </si>
  <si>
    <t>Polsat</t>
  </si>
  <si>
    <t>Zysk netto przypadający na akcjonariuszy Jednostki Dominującej</t>
  </si>
  <si>
    <t>Podstawowy i rozwodniony zysk na jedną akcję w złotych</t>
  </si>
  <si>
    <t xml:space="preserve"> </t>
  </si>
  <si>
    <t xml:space="preserve">GRUPA KAPITAŁOWA CYFROWY POLSAT S.A. </t>
  </si>
  <si>
    <t>Opcja wcześniejszej spłaty obligacji</t>
  </si>
  <si>
    <t>Prowizja za wcześniejszy wykup obligacji Senior Notes</t>
  </si>
  <si>
    <t>Wpływy z tytułu realizacji instrumentów pochodnych - kapitał</t>
  </si>
  <si>
    <t xml:space="preserve">TV4 </t>
  </si>
  <si>
    <t xml:space="preserve">TV6 </t>
  </si>
  <si>
    <t>Polsat 2</t>
  </si>
  <si>
    <t xml:space="preserve">Polsat JimJam </t>
  </si>
  <si>
    <t>Disco Polo Music</t>
  </si>
  <si>
    <t>Polsat Viasat Explore</t>
  </si>
  <si>
    <t>Polsat News 2</t>
  </si>
  <si>
    <t>Udział w zysku jednostki współkontrolowanej wycenianej metodą praw własności</t>
  </si>
  <si>
    <t>EBITDA (niebadana)</t>
  </si>
  <si>
    <t>Relacje z klientami</t>
  </si>
  <si>
    <t>Długoterminowe prowizje dla dystrybutorów rozliczane w czasie</t>
  </si>
  <si>
    <t>Inne aktywa długoterminowe</t>
  </si>
  <si>
    <t>Należności z tytułu dostaw i usług oraz pozostałe należności</t>
  </si>
  <si>
    <t>Krótkoterminowe prowizje dla dystrybutorów rozliczane w czasie</t>
  </si>
  <si>
    <t>Pozostałe aktywa obrotowe</t>
  </si>
  <si>
    <t>Nadwyżka wartości emisyjnej akcji powyżej ich wartości nominalnej</t>
  </si>
  <si>
    <t>Pozostałe kapitały</t>
  </si>
  <si>
    <t>Zobowiązania z tytułu koncesji UMTS</t>
  </si>
  <si>
    <t>Przychody przyszłych okresów</t>
  </si>
  <si>
    <r>
      <rPr>
        <vertAlign val="superscript"/>
        <sz val="10"/>
        <color indexed="8"/>
        <rFont val="Calibri"/>
        <family val="2"/>
        <charset val="238"/>
      </rPr>
      <t>2)</t>
    </r>
    <r>
      <rPr>
        <sz val="10"/>
        <color indexed="8"/>
        <rFont val="Calibri"/>
        <family val="2"/>
        <charset val="238"/>
      </rPr>
      <t xml:space="preserve"> Od 30 czerwca 2015 roku pozycja "Kaucje otrzymane za wydane sprzęt" została ujęta w pozycji "Zobowiązania z tytułu dostaw i usług oraz pozostałe zobowiązania".</t>
    </r>
  </si>
  <si>
    <r>
      <t xml:space="preserve">31 grudnia przekształcony </t>
    </r>
    <r>
      <rPr>
        <b/>
        <vertAlign val="superscript"/>
        <sz val="10"/>
        <color indexed="8"/>
        <rFont val="Calibri"/>
        <family val="2"/>
        <charset val="238"/>
      </rPr>
      <t>1)</t>
    </r>
  </si>
  <si>
    <t>2) Pozycja została połączona z pozycją "Inne korekty"</t>
  </si>
  <si>
    <t>Wpływy ze zbycia udziałów</t>
  </si>
  <si>
    <t>Emisja obligacji/(Wykup obligacji)</t>
  </si>
  <si>
    <r>
      <t xml:space="preserve">Spłata odsetek od kredytów, pożyczek, obligacji, leasingu finansowego i zapłacone prowizje </t>
    </r>
    <r>
      <rPr>
        <vertAlign val="superscript"/>
        <sz val="10"/>
        <color indexed="8"/>
        <rFont val="Calibri"/>
        <family val="2"/>
        <charset val="238"/>
      </rPr>
      <t>1)</t>
    </r>
  </si>
  <si>
    <t>Nabycie obligacji</t>
  </si>
  <si>
    <r>
      <rPr>
        <vertAlign val="superscript"/>
        <sz val="10"/>
        <color indexed="8"/>
        <rFont val="Calibri"/>
        <family val="2"/>
        <charset val="238"/>
      </rPr>
      <t>1)</t>
    </r>
    <r>
      <rPr>
        <sz val="10"/>
        <color indexed="8"/>
        <rFont val="Calibri"/>
        <family val="2"/>
        <charset val="238"/>
      </rPr>
      <t xml:space="preserve"> Przekszatłcenie w wyniku finalizacji procesu alokacji ceny nabycia Metelem.</t>
    </r>
  </si>
  <si>
    <t>1) Pozycja ta obejmuje także nabycie zestawów odbiorczych w leasingu operacyjnym.</t>
  </si>
  <si>
    <t>2) Pozycja ta obejmuje także aktywa trwałe zlokalizowane poza granicami Polski.</t>
  </si>
  <si>
    <t>Zysk brutto za okres</t>
  </si>
  <si>
    <t>Zysk netto za okres</t>
  </si>
  <si>
    <r>
      <t xml:space="preserve">Q1 </t>
    </r>
    <r>
      <rPr>
        <b/>
        <vertAlign val="superscript"/>
        <sz val="10"/>
        <color indexed="8"/>
        <rFont val="Calibri"/>
        <family val="2"/>
        <charset val="238"/>
      </rPr>
      <t>1)</t>
    </r>
  </si>
  <si>
    <r>
      <t xml:space="preserve">2016 </t>
    </r>
    <r>
      <rPr>
        <b/>
        <vertAlign val="superscript"/>
        <sz val="10"/>
        <color indexed="8"/>
        <rFont val="Calibri"/>
        <family val="2"/>
        <charset val="238"/>
      </rPr>
      <t>1)</t>
    </r>
  </si>
  <si>
    <r>
      <t>Zyski i straty z działalności inwestycyjnej, netto</t>
    </r>
    <r>
      <rPr>
        <vertAlign val="superscript"/>
        <sz val="10"/>
        <color indexed="8"/>
        <rFont val="Calibri"/>
        <family val="2"/>
        <charset val="238"/>
      </rPr>
      <t xml:space="preserve"> </t>
    </r>
  </si>
  <si>
    <t>1) Wyniki Grupy Aero2 konsolidowane od 29 lutego 2016</t>
  </si>
  <si>
    <t>Pozostałe przychody / (koszty) operacyjne, netto</t>
  </si>
  <si>
    <t>Zysk/ (strata) netto przypadający na akcjonariuszy niekontrolujących</t>
  </si>
  <si>
    <t>(Zysk) / strata na instrumentach pochodnych, netto</t>
  </si>
  <si>
    <t>Jednorazowe spisanie przeszacowania wartości obligacji na moment nabycia do wartości godziwej oraz koszt premii za wcześniejszy wykup obligacji</t>
  </si>
  <si>
    <r>
      <t>Inne wydatki</t>
    </r>
    <r>
      <rPr>
        <vertAlign val="superscript"/>
        <sz val="10"/>
        <color indexed="8"/>
        <rFont val="Calibri"/>
        <family val="2"/>
        <charset val="238"/>
      </rPr>
      <t>3)</t>
    </r>
  </si>
  <si>
    <t>3) Pozycja obejmuje spłatę zobowiązań z tytułu leasingu finansowego</t>
  </si>
  <si>
    <r>
      <t>Super Polsat</t>
    </r>
    <r>
      <rPr>
        <vertAlign val="superscript"/>
        <sz val="11"/>
        <color theme="1"/>
        <rFont val="Calibri"/>
        <family val="2"/>
        <charset val="238"/>
        <scheme val="minor"/>
      </rPr>
      <t>(2)</t>
    </r>
  </si>
  <si>
    <t>Zyski zatrzymane</t>
  </si>
  <si>
    <t>1) Obejmuje wpływ instrumentów IRS/CIRS/forward, premie za wcześniejszą spłatę obligacji oraz zapłatę za koszty związane z pozyskaniem finansowania</t>
  </si>
  <si>
    <t xml:space="preserve">    Kanały tematyczne</t>
  </si>
  <si>
    <t>Zmiana / p.p.</t>
  </si>
  <si>
    <r>
      <t>Super Polsat</t>
    </r>
    <r>
      <rPr>
        <vertAlign val="superscript"/>
        <sz val="9"/>
        <color theme="1"/>
        <rFont val="Arial Narrow"/>
        <family val="2"/>
        <charset val="238"/>
      </rPr>
      <t>(3)</t>
    </r>
  </si>
  <si>
    <r>
      <t>Polsat Music HD</t>
    </r>
    <r>
      <rPr>
        <vertAlign val="superscript"/>
        <sz val="9"/>
        <color theme="1"/>
        <rFont val="Arial Narrow"/>
        <family val="2"/>
        <charset val="238"/>
      </rPr>
      <t xml:space="preserve"> (4)</t>
    </r>
  </si>
  <si>
    <r>
      <t>Polsat Sport News HD</t>
    </r>
    <r>
      <rPr>
        <vertAlign val="superscript"/>
        <sz val="9"/>
        <color theme="1"/>
        <rFont val="Arial Narrow"/>
        <family val="2"/>
        <charset val="238"/>
      </rPr>
      <t>(5)</t>
    </r>
  </si>
  <si>
    <r>
      <t>Polsat Doku</t>
    </r>
    <r>
      <rPr>
        <vertAlign val="superscript"/>
        <sz val="9"/>
        <color theme="1"/>
        <rFont val="Arial Narrow"/>
        <family val="2"/>
        <charset val="238"/>
      </rPr>
      <t>(6)</t>
    </r>
  </si>
  <si>
    <r>
      <t>Polsat Sport Fight</t>
    </r>
    <r>
      <rPr>
        <vertAlign val="superscript"/>
        <sz val="9"/>
        <color theme="1"/>
        <rFont val="Arial Narrow"/>
        <family val="2"/>
        <charset val="238"/>
      </rPr>
      <t>(7)</t>
    </r>
  </si>
  <si>
    <r>
      <t>Polsat Sport News</t>
    </r>
    <r>
      <rPr>
        <vertAlign val="superscript"/>
        <sz val="9"/>
        <color theme="1"/>
        <rFont val="Arial Narrow"/>
        <family val="2"/>
        <charset val="238"/>
      </rPr>
      <t>(5)</t>
    </r>
  </si>
  <si>
    <r>
      <t>Polsat Food Network</t>
    </r>
    <r>
      <rPr>
        <vertAlign val="superscript"/>
        <sz val="9"/>
        <color theme="1"/>
        <rFont val="Arial Narrow"/>
        <family val="2"/>
        <charset val="238"/>
      </rPr>
      <t>(8)</t>
    </r>
  </si>
  <si>
    <r>
      <t>Polsat 1</t>
    </r>
    <r>
      <rPr>
        <vertAlign val="superscript"/>
        <sz val="9"/>
        <color theme="1"/>
        <rFont val="Arial Narrow"/>
        <family val="2"/>
        <charset val="238"/>
      </rPr>
      <t>(9)</t>
    </r>
  </si>
  <si>
    <r>
      <t>Udział w rynku reklamy</t>
    </r>
    <r>
      <rPr>
        <b/>
        <vertAlign val="superscript"/>
        <sz val="11"/>
        <rFont val="Calibri"/>
        <family val="2"/>
        <charset val="238"/>
        <scheme val="minor"/>
      </rPr>
      <t>(10)</t>
    </r>
  </si>
  <si>
    <r>
      <t>Polsat Music HD</t>
    </r>
    <r>
      <rPr>
        <vertAlign val="superscript"/>
        <sz val="11"/>
        <color theme="1"/>
        <rFont val="Calibri"/>
        <family val="2"/>
        <charset val="238"/>
        <scheme val="minor"/>
      </rPr>
      <t>(3)</t>
    </r>
  </si>
  <si>
    <r>
      <t>Polsat Sport News HD</t>
    </r>
    <r>
      <rPr>
        <vertAlign val="superscript"/>
        <sz val="11"/>
        <color theme="1"/>
        <rFont val="Calibri"/>
        <family val="2"/>
        <charset val="238"/>
        <scheme val="minor"/>
      </rPr>
      <t>(4)</t>
    </r>
  </si>
  <si>
    <r>
      <t>Polsat Doku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</si>
  <si>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t>Polsat Sport Fight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</si>
  <si>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r>
      <t>Polsat Sport News</t>
    </r>
    <r>
      <rPr>
        <vertAlign val="superscript"/>
        <sz val="11"/>
        <color theme="1"/>
        <rFont val="Calibri"/>
        <family val="2"/>
        <charset val="238"/>
        <scheme val="minor"/>
      </rPr>
      <t>(4)</t>
    </r>
  </si>
  <si>
    <r>
      <t>Polsat Food Network</t>
    </r>
    <r>
      <rPr>
        <vertAlign val="superscript"/>
        <sz val="11"/>
        <color theme="1"/>
        <rFont val="Calibri"/>
        <family val="2"/>
        <charset val="238"/>
        <scheme val="minor"/>
      </rPr>
      <t>(7)</t>
    </r>
  </si>
  <si>
    <r>
      <t>Polsat 1</t>
    </r>
    <r>
      <rPr>
        <vertAlign val="superscript"/>
        <sz val="11"/>
        <color theme="1"/>
        <rFont val="Calibri"/>
        <family val="2"/>
        <charset val="238"/>
        <scheme val="minor"/>
      </rPr>
      <t>(8)</t>
    </r>
  </si>
  <si>
    <t>(1) Nielsen Audience Measurement, odsetek telewizyjnych gospodarstw domowych, które mają możliwość odbioru danego kanału; średnia arytmetyczna zasięgów miesięcznych.
(2) Kanał nadający w systemie DTT, uruchomiony 2 stycznia 2017 roku w miejscu Polsat Sport News.
(3) Kanał uruchomiony 26 maja 2017 roku, zastąpił MUZO.TV.
(4) Od 2 stycznia 2017 roku kanał dostępny wyłącznie w sieciach kablowych i satelitarnych pod nazwą Polsat Sport News HD.
(5) Kanał uruchomiony 10 lutego 2017 roku, dane za okres nadawania 
(6) Kanał uruchomiony 1 sierpnia 2016 roku, objęty badaniem telemetrycznym od 1 stycznia 2017 roku.
(7) Od stycznia 2017 roku jako Food Network w grupie kapitałowej TVN.
(8) Kanał nadawany poza granicami Polski, nie jest objęty badaniem telemetrycznym.</t>
  </si>
  <si>
    <t>za okres 9 miesięcy zakończony</t>
  </si>
  <si>
    <t>30 września 2017</t>
  </si>
  <si>
    <t>30 września 2016</t>
  </si>
  <si>
    <t>Na dzień 30 września (niebadany)</t>
  </si>
  <si>
    <t>4)</t>
  </si>
  <si>
    <t>Wypłata dywidendy</t>
  </si>
  <si>
    <t xml:space="preserve">ZASTRZEŻENIE
Prezentowane poniżej wskaźniki operacyjne (KPI) za okresy od 2Q 2016 obejmują wyniki operacyjne Grupy Polsat wraz z Grupą Aero2 (dawniej Grupa Midas), nabytej dnia 29 lutego 2016 roku. W związku z powyższym wyniki operacyjne za okresy począwszyod 2Q 2016 nie są w pełni porównywalne z wynikami operacyjnymi za wcześniejsze okresy, jednakże wpływ konsolidacji wyników operacyjnych Grupy Aero2 na raportowany poziom wyników operacyjnych Grupy Polsat jest niematerialny.
Przy ocenie naszej działalności operacyjnej w segmencie usług świadczonych dla klientów indywidualnych i biznesowych osobno analizujemy świadczone przez nas usługi kontraktowe i usługi przedpłacone. W przypadku tych pierwszych bierzemy pod uwagę liczbę pojedynczych, aktywnych usług świadczonych w modelu kontraktowym (RGU), liczbę klientów, wskaźnik odpływu klientów (churn) oraz średni miesięczny przychód na klienta. W przypadku usług przedpłaconych analizowana jest liczba unikalnych, aktywnych usług świadczonych w modelu przedpłaconym (RGU prepaid) oraz średni przychód przypadający na RGU prepaid. Liczba raportowanych RGU prepaid w ramach telefonii komórkowej oraz Internetu oznacza liczbę kart SIM, które w ciągu ostatnich 90 dni wykonały albo otrzymały połączenie, wysłały albo otrzymały SMS/MMS albo skorzystały z usług transmisji danych. W przypadku bezpłatnego dostępu do Internetu świadczonego przez Aero2 do RGU usług przedpłaconych w ramach dostępu do Internetu wliczone zostały wyłącznie te karty SIM, które w ciągu ostatnich 90 dni skorzystały z usług transmisji danych w ramach płatnych pakietów.
</t>
  </si>
  <si>
    <t>3 miesiące zakończone 30 września</t>
  </si>
  <si>
    <t>9 miesięcy zakończonych 30 września</t>
  </si>
  <si>
    <t>(1) Nielsen Audience Measurement, udział w oglądalności w grupie wszyscy 16-49 lat, cała doba, uwzględniono Live+2 (oglądalność z dnia emisji i z 2 kolejnych dni (tzw. Time Shift Viewing).
(2) Licząc sumaryczne udziały Grupy Polsat i kanałów tematycznych uwzględniamy moment włączenia kanałów do naszego portfolio.
(3) Kanał nadający w systemie DTT, uruchomiony 2 stycznia 2017 roku w miejscu Polsat Sport News 
(4) Kanał do 26 maja 2017 roku nadawał pod nazwą MUZO.TV.
(5) Od 2 stycznia 2017 roku kanał dostępny wyłącznie w sieciach kablowych i satelitarnych pod nazwą Polsat Sport News HD.
(6) Kanał uruchomiony 10 lutego 2017 roku, dane za okres nadawania.
(7) Kanał uruchomiony 1 sierpnia 2016 roku, objęty badaniem telemetrycznym od 1 stycznia 2017 roku.
(8) Od stycznia 2017 roku jako Food Network w grupie kapitałowej TVN.
(9) Kanał nieobecny w badaniu telemetrycznym.
(10) Szacunki własne na podstawie danych Starcom</t>
  </si>
  <si>
    <t>4) Pozycja została połączona z "Pozostałe wpływy/(wypływy)".</t>
  </si>
  <si>
    <t>Pozostałe wpływy/(wypływy)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</si>
</sst>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1" formatCode="_-* #,##0\ _z_ł_-;\-* #,##0\ _z_ł_-;_-* &quot;-&quot;\ _z_ł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0.000"/>
    <numFmt numFmtId="168" formatCode="0.0%"/>
    <numFmt numFmtId="169" formatCode="#,##0.0"/>
    <numFmt numFmtId="170" formatCode="#,##0.0;\-#,##0.0"/>
    <numFmt numFmtId="171" formatCode="#,##0.0\ ;\(#,##0\)"/>
    <numFmt numFmtId="172" formatCode="#,##0.0\ ;\(#,##0.0\)"/>
    <numFmt numFmtId="173" formatCode="\-"/>
    <numFmt numFmtId="174" formatCode="###0.0"/>
    <numFmt numFmtId="175" formatCode="###0.0;\(###0.0\)"/>
    <numFmt numFmtId="176" formatCode="#,##0.0;\(#,##0.0\)"/>
    <numFmt numFmtId="177" formatCode="#\.##0.0"/>
    <numFmt numFmtId="178" formatCode="_-* #,##0.00\ [$€-1]_-;\-* #,##0.00\ [$€-1]_-;_-* &quot;-&quot;??\ [$€-1]_-"/>
    <numFmt numFmtId="179" formatCode="#,##0.00;\(#,##0.00\)"/>
    <numFmt numFmtId="180" formatCode="##\.##0.0;\(##\.##0.0\)"/>
    <numFmt numFmtId="181" formatCode="#,##0.0\ ;\(#,##0.0\);\-"/>
    <numFmt numFmtId="182" formatCode="#,##0.0;\(#,##0.0\);\-"/>
    <numFmt numFmtId="183" formatCode="#,##0.000;\(#,##0.000\);\-"/>
    <numFmt numFmtId="184" formatCode="#,##0;\(#,##0\);\-"/>
    <numFmt numFmtId="185" formatCode="#,##0.0,;\(#,##0.0\)"/>
    <numFmt numFmtId="186" formatCode="#,##0.0,;\(#,##0.0\);\-"/>
    <numFmt numFmtId="187" formatCode="0.00;\(0.00\);\-"/>
    <numFmt numFmtId="188" formatCode="0.0;\(0.0\);\-"/>
    <numFmt numFmtId="189" formatCode="0.00%;\(0.00%\);&quot;n/d&quot;"/>
    <numFmt numFmtId="190" formatCode="0.00%;\(0.00\5\);&quot;n/d&quot;"/>
  </numFmts>
  <fonts count="6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9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name val="Calibri"/>
      <family val="2"/>
      <charset val="238"/>
    </font>
    <font>
      <sz val="8"/>
      <name val="Czcionka tekstu podstawowego"/>
      <family val="2"/>
      <charset val="238"/>
    </font>
    <font>
      <sz val="10"/>
      <color indexed="8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9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9"/>
      <color theme="9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vertAlign val="superscript"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b/>
      <vertAlign val="superscript"/>
      <sz val="9"/>
      <color rgb="FF000000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b/>
      <sz val="9"/>
      <color rgb="FFFD8A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vertAlign val="superscript"/>
      <sz val="9"/>
      <color rgb="FF000000"/>
      <name val="Calibri"/>
      <family val="2"/>
      <charset val="238"/>
      <scheme val="minor"/>
    </font>
    <font>
      <sz val="9"/>
      <color theme="9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vertAlign val="superscript"/>
      <sz val="9"/>
      <color theme="1"/>
      <name val="Arial Narrow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0"/>
      <color theme="9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9"/>
      <name val="Calibri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A833"/>
        <bgColor indexed="64"/>
      </patternFill>
    </fill>
    <fill>
      <patternFill patternType="mediumGray">
        <fgColor theme="0" tint="-4.9989318521683403E-2"/>
        <bgColor rgb="FFF7A833"/>
      </patternFill>
    </fill>
    <fill>
      <patternFill patternType="mediumGray">
        <fgColor rgb="FFF7A833"/>
      </patternFill>
    </fill>
    <fill>
      <patternFill patternType="mediumGray">
        <fgColor rgb="FFF7A833"/>
        <bgColor theme="0" tint="-4.9989318521683403E-2"/>
      </patternFill>
    </fill>
    <fill>
      <patternFill patternType="mediumGray">
        <fgColor theme="0" tint="-0.14996795556505021"/>
        <bgColor rgb="FFF7A833"/>
      </patternFill>
    </fill>
    <fill>
      <patternFill patternType="mediumGray">
        <fgColor theme="0" tint="-0.14996795556505021"/>
        <bgColor theme="0" tint="-4.9989318521683403E-2"/>
      </patternFill>
    </fill>
    <fill>
      <patternFill patternType="mediumGray">
        <fgColor theme="0" tint="-0.14996795556505021"/>
        <bgColor indexed="65"/>
      </patternFill>
    </fill>
    <fill>
      <patternFill patternType="mediumGray">
        <fgColor theme="0" tint="-4.9989318521683403E-2"/>
        <bgColor rgb="FFFFC000"/>
      </patternFill>
    </fill>
    <fill>
      <patternFill patternType="mediumGray">
        <fgColor rgb="FFF7A833"/>
        <bgColor theme="0"/>
      </patternFill>
    </fill>
    <fill>
      <patternFill patternType="lightGray">
        <fgColor theme="0" tint="-0.14996795556505021"/>
        <bgColor rgb="FFF7A833"/>
      </patternFill>
    </fill>
    <fill>
      <patternFill patternType="lightGray">
        <fgColor theme="0" tint="-0.14996795556505021"/>
        <bgColor theme="0"/>
      </patternFill>
    </fill>
    <fill>
      <patternFill patternType="lightGray">
        <fgColor theme="0" tint="-4.9989318521683403E-2"/>
        <bgColor rgb="FFF7A833"/>
      </patternFill>
    </fill>
    <fill>
      <patternFill patternType="mediumGray">
        <fgColor theme="0" tint="-0.24994659260841701"/>
        <bgColor rgb="FFFFC000"/>
      </patternFill>
    </fill>
    <fill>
      <patternFill patternType="solid">
        <fgColor theme="0"/>
        <bgColor theme="0"/>
      </patternFill>
    </fill>
    <fill>
      <patternFill patternType="mediumGray">
        <fgColor theme="0" tint="-0.24994659260841701"/>
        <bgColor theme="0"/>
      </patternFill>
    </fill>
    <fill>
      <patternFill patternType="mediumGray">
        <fgColor theme="0" tint="-0.24994659260841701"/>
        <bgColor theme="0" tint="-4.9989318521683403E-2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5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178" fontId="15" fillId="0" borderId="0"/>
    <xf numFmtId="178" fontId="15" fillId="0" borderId="0"/>
    <xf numFmtId="178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562">
    <xf numFmtId="0" fontId="0" fillId="0" borderId="0" xfId="0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7" fillId="3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2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24" fillId="3" borderId="4" xfId="0" applyFont="1" applyFill="1" applyBorder="1" applyAlignment="1">
      <alignment vertical="center" wrapText="1"/>
    </xf>
    <xf numFmtId="0" fontId="24" fillId="3" borderId="5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/>
    <xf numFmtId="0" fontId="26" fillId="6" borderId="6" xfId="0" applyFont="1" applyFill="1" applyBorder="1" applyAlignment="1">
      <alignment vertical="center" wrapText="1"/>
    </xf>
    <xf numFmtId="0" fontId="13" fillId="3" borderId="0" xfId="0" applyFont="1" applyFill="1" applyBorder="1"/>
    <xf numFmtId="0" fontId="25" fillId="3" borderId="0" xfId="0" applyFont="1" applyFill="1"/>
    <xf numFmtId="0" fontId="0" fillId="3" borderId="0" xfId="0" applyFill="1"/>
    <xf numFmtId="0" fontId="30" fillId="3" borderId="0" xfId="0" applyFont="1" applyFill="1" applyAlignment="1">
      <alignment vertical="center"/>
    </xf>
    <xf numFmtId="0" fontId="31" fillId="3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16" fillId="3" borderId="23" xfId="0" applyFont="1" applyFill="1" applyBorder="1" applyAlignment="1">
      <alignment vertical="center" wrapText="1"/>
    </xf>
    <xf numFmtId="177" fontId="16" fillId="2" borderId="0" xfId="0" applyNumberFormat="1" applyFont="1" applyFill="1" applyBorder="1" applyAlignment="1">
      <alignment horizontal="right" vertical="center"/>
    </xf>
    <xf numFmtId="169" fontId="16" fillId="3" borderId="0" xfId="0" applyNumberFormat="1" applyFont="1" applyFill="1" applyBorder="1" applyAlignment="1">
      <alignment horizontal="right" vertical="center"/>
    </xf>
    <xf numFmtId="174" fontId="16" fillId="3" borderId="0" xfId="0" applyNumberFormat="1" applyFont="1" applyFill="1" applyBorder="1" applyAlignment="1">
      <alignment horizontal="right" vertical="center"/>
    </xf>
    <xf numFmtId="0" fontId="16" fillId="3" borderId="0" xfId="0" applyFont="1" applyFill="1" applyAlignment="1">
      <alignment vertical="center"/>
    </xf>
    <xf numFmtId="3" fontId="16" fillId="3" borderId="0" xfId="0" applyNumberFormat="1" applyFont="1" applyFill="1" applyBorder="1" applyAlignment="1">
      <alignment horizontal="right" vertical="center" wrapText="1"/>
    </xf>
    <xf numFmtId="169" fontId="16" fillId="2" borderId="0" xfId="0" applyNumberFormat="1" applyFont="1" applyFill="1" applyBorder="1" applyAlignment="1">
      <alignment horizontal="right" vertical="center"/>
    </xf>
    <xf numFmtId="169" fontId="16" fillId="2" borderId="1" xfId="0" applyNumberFormat="1" applyFont="1" applyFill="1" applyBorder="1" applyAlignment="1">
      <alignment horizontal="right" vertical="center"/>
    </xf>
    <xf numFmtId="0" fontId="32" fillId="3" borderId="4" xfId="0" applyFont="1" applyFill="1" applyBorder="1" applyAlignment="1">
      <alignment vertical="center"/>
    </xf>
    <xf numFmtId="0" fontId="34" fillId="2" borderId="0" xfId="0" applyFont="1" applyFill="1" applyBorder="1" applyAlignment="1">
      <alignment vertical="center"/>
    </xf>
    <xf numFmtId="0" fontId="34" fillId="3" borderId="0" xfId="0" applyFont="1" applyFill="1" applyBorder="1" applyAlignment="1">
      <alignment vertical="center"/>
    </xf>
    <xf numFmtId="3" fontId="30" fillId="3" borderId="0" xfId="0" applyNumberFormat="1" applyFont="1" applyFill="1" applyAlignment="1">
      <alignment horizontal="right"/>
    </xf>
    <xf numFmtId="0" fontId="35" fillId="3" borderId="0" xfId="0" applyFont="1" applyFill="1" applyAlignment="1"/>
    <xf numFmtId="3" fontId="26" fillId="3" borderId="0" xfId="0" applyNumberFormat="1" applyFont="1" applyFill="1" applyBorder="1" applyAlignment="1">
      <alignment horizontal="right"/>
    </xf>
    <xf numFmtId="3" fontId="30" fillId="3" borderId="0" xfId="0" applyNumberFormat="1" applyFont="1" applyFill="1" applyBorder="1" applyAlignment="1">
      <alignment horizontal="right"/>
    </xf>
    <xf numFmtId="0" fontId="31" fillId="3" borderId="0" xfId="0" applyFont="1" applyFill="1"/>
    <xf numFmtId="0" fontId="31" fillId="0" borderId="0" xfId="0" applyFont="1"/>
    <xf numFmtId="0" fontId="25" fillId="4" borderId="27" xfId="0" applyFont="1" applyFill="1" applyBorder="1" applyAlignment="1">
      <alignment horizontal="right" vertical="center"/>
    </xf>
    <xf numFmtId="0" fontId="40" fillId="3" borderId="0" xfId="0" applyFont="1" applyFill="1"/>
    <xf numFmtId="0" fontId="13" fillId="0" borderId="0" xfId="0" applyFont="1" applyBorder="1"/>
    <xf numFmtId="172" fontId="13" fillId="3" borderId="11" xfId="0" applyNumberFormat="1" applyFont="1" applyFill="1" applyBorder="1" applyAlignment="1">
      <alignment vertical="center"/>
    </xf>
    <xf numFmtId="169" fontId="13" fillId="3" borderId="0" xfId="0" applyNumberFormat="1" applyFont="1" applyFill="1" applyBorder="1" applyAlignment="1">
      <alignment vertical="center"/>
    </xf>
    <xf numFmtId="172" fontId="13" fillId="3" borderId="0" xfId="0" applyNumberFormat="1" applyFont="1" applyFill="1" applyBorder="1" applyAlignment="1">
      <alignment vertical="center"/>
    </xf>
    <xf numFmtId="173" fontId="38" fillId="3" borderId="0" xfId="1" applyNumberFormat="1" applyFont="1" applyFill="1" applyBorder="1" applyAlignment="1">
      <alignment horizontal="right" vertical="center"/>
    </xf>
    <xf numFmtId="173" fontId="13" fillId="3" borderId="0" xfId="0" applyNumberFormat="1" applyFont="1" applyFill="1" applyBorder="1" applyAlignment="1">
      <alignment vertical="center"/>
    </xf>
    <xf numFmtId="172" fontId="38" fillId="3" borderId="0" xfId="1" applyNumberFormat="1" applyFont="1" applyFill="1" applyBorder="1" applyAlignment="1">
      <alignment horizontal="right" vertical="center"/>
    </xf>
    <xf numFmtId="171" fontId="13" fillId="3" borderId="0" xfId="0" applyNumberFormat="1" applyFont="1" applyFill="1" applyBorder="1" applyAlignment="1">
      <alignment vertical="center"/>
    </xf>
    <xf numFmtId="172" fontId="40" fillId="3" borderId="0" xfId="0" applyNumberFormat="1" applyFont="1" applyFill="1" applyBorder="1" applyAlignment="1">
      <alignment vertical="center"/>
    </xf>
    <xf numFmtId="173" fontId="40" fillId="3" borderId="0" xfId="0" applyNumberFormat="1" applyFont="1" applyFill="1" applyBorder="1" applyAlignment="1">
      <alignment vertical="center"/>
    </xf>
    <xf numFmtId="171" fontId="13" fillId="3" borderId="18" xfId="0" applyNumberFormat="1" applyFont="1" applyFill="1" applyBorder="1" applyAlignment="1">
      <alignment vertical="center"/>
    </xf>
    <xf numFmtId="172" fontId="13" fillId="3" borderId="18" xfId="0" applyNumberFormat="1" applyFont="1" applyFill="1" applyBorder="1" applyAlignment="1">
      <alignment vertical="center"/>
    </xf>
    <xf numFmtId="164" fontId="38" fillId="3" borderId="0" xfId="0" applyNumberFormat="1" applyFont="1" applyFill="1" applyBorder="1" applyAlignment="1">
      <alignment horizontal="right" vertical="center"/>
    </xf>
    <xf numFmtId="169" fontId="40" fillId="3" borderId="0" xfId="0" applyNumberFormat="1" applyFont="1" applyFill="1" applyBorder="1" applyAlignment="1">
      <alignment vertical="center"/>
    </xf>
    <xf numFmtId="169" fontId="38" fillId="3" borderId="0" xfId="0" applyNumberFormat="1" applyFont="1" applyFill="1" applyBorder="1" applyAlignment="1">
      <alignment horizontal="right" vertical="center"/>
    </xf>
    <xf numFmtId="169" fontId="13" fillId="3" borderId="0" xfId="0" applyNumberFormat="1" applyFont="1" applyFill="1" applyAlignment="1">
      <alignment vertical="center"/>
    </xf>
    <xf numFmtId="164" fontId="41" fillId="3" borderId="0" xfId="0" applyNumberFormat="1" applyFont="1" applyFill="1" applyBorder="1" applyAlignment="1">
      <alignment horizontal="right" vertical="center"/>
    </xf>
    <xf numFmtId="164" fontId="42" fillId="3" borderId="0" xfId="0" applyNumberFormat="1" applyFont="1" applyFill="1" applyBorder="1" applyAlignment="1">
      <alignment horizontal="right" vertical="center"/>
    </xf>
    <xf numFmtId="0" fontId="13" fillId="3" borderId="4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169" fontId="25" fillId="12" borderId="7" xfId="0" applyNumberFormat="1" applyFont="1" applyFill="1" applyBorder="1" applyAlignment="1">
      <alignment vertical="center"/>
    </xf>
    <xf numFmtId="172" fontId="25" fillId="12" borderId="7" xfId="0" applyNumberFormat="1" applyFont="1" applyFill="1" applyBorder="1" applyAlignment="1">
      <alignment vertical="center"/>
    </xf>
    <xf numFmtId="0" fontId="39" fillId="3" borderId="3" xfId="0" applyFont="1" applyFill="1" applyBorder="1" applyAlignment="1">
      <alignment horizontal="left" vertical="center" indent="2"/>
    </xf>
    <xf numFmtId="171" fontId="13" fillId="3" borderId="11" xfId="0" applyNumberFormat="1" applyFont="1" applyFill="1" applyBorder="1" applyAlignment="1">
      <alignment vertical="center"/>
    </xf>
    <xf numFmtId="0" fontId="25" fillId="4" borderId="26" xfId="0" applyFont="1" applyFill="1" applyBorder="1" applyAlignment="1">
      <alignment horizontal="left" vertical="center"/>
    </xf>
    <xf numFmtId="172" fontId="25" fillId="4" borderId="27" xfId="0" applyNumberFormat="1" applyFont="1" applyFill="1" applyBorder="1" applyAlignment="1">
      <alignment vertical="center"/>
    </xf>
    <xf numFmtId="167" fontId="13" fillId="3" borderId="0" xfId="0" applyNumberFormat="1" applyFont="1" applyFill="1" applyBorder="1" applyAlignment="1">
      <alignment horizontal="right" vertical="center"/>
    </xf>
    <xf numFmtId="169" fontId="13" fillId="3" borderId="0" xfId="0" applyNumberFormat="1" applyFont="1" applyFill="1" applyBorder="1" applyAlignment="1">
      <alignment horizontal="right" vertical="center"/>
    </xf>
    <xf numFmtId="172" fontId="13" fillId="3" borderId="0" xfId="0" applyNumberFormat="1" applyFont="1" applyFill="1" applyBorder="1" applyAlignment="1">
      <alignment horizontal="right" vertical="center"/>
    </xf>
    <xf numFmtId="174" fontId="13" fillId="3" borderId="0" xfId="0" applyNumberFormat="1" applyFont="1" applyFill="1" applyBorder="1" applyAlignment="1">
      <alignment vertical="center"/>
    </xf>
    <xf numFmtId="174" fontId="40" fillId="3" borderId="0" xfId="0" applyNumberFormat="1" applyFont="1" applyFill="1" applyBorder="1" applyAlignment="1">
      <alignment vertical="center"/>
    </xf>
    <xf numFmtId="0" fontId="26" fillId="3" borderId="7" xfId="0" applyFont="1" applyFill="1" applyBorder="1" applyAlignment="1">
      <alignment vertical="center"/>
    </xf>
    <xf numFmtId="0" fontId="13" fillId="3" borderId="7" xfId="0" applyFont="1" applyFill="1" applyBorder="1"/>
    <xf numFmtId="0" fontId="13" fillId="3" borderId="7" xfId="0" applyFont="1" applyFill="1" applyBorder="1" applyAlignment="1">
      <alignment horizontal="right"/>
    </xf>
    <xf numFmtId="169" fontId="13" fillId="3" borderId="11" xfId="0" applyNumberFormat="1" applyFont="1" applyFill="1" applyBorder="1" applyAlignment="1">
      <alignment vertical="center"/>
    </xf>
    <xf numFmtId="174" fontId="13" fillId="3" borderId="11" xfId="0" applyNumberFormat="1" applyFont="1" applyFill="1" applyBorder="1" applyAlignment="1">
      <alignment vertical="center"/>
    </xf>
    <xf numFmtId="0" fontId="25" fillId="3" borderId="3" xfId="0" applyFont="1" applyFill="1" applyBorder="1" applyAlignment="1">
      <alignment horizontal="left" vertical="center"/>
    </xf>
    <xf numFmtId="0" fontId="25" fillId="13" borderId="27" xfId="0" applyFont="1" applyFill="1" applyBorder="1" applyAlignment="1">
      <alignment horizontal="right" vertical="center"/>
    </xf>
    <xf numFmtId="0" fontId="13" fillId="14" borderId="7" xfId="0" applyFont="1" applyFill="1" applyBorder="1"/>
    <xf numFmtId="173" fontId="13" fillId="14" borderId="0" xfId="0" applyNumberFormat="1" applyFont="1" applyFill="1" applyBorder="1" applyAlignment="1">
      <alignment vertical="center"/>
    </xf>
    <xf numFmtId="173" fontId="40" fillId="14" borderId="0" xfId="0" applyNumberFormat="1" applyFont="1" applyFill="1" applyBorder="1" applyAlignment="1">
      <alignment vertical="center"/>
    </xf>
    <xf numFmtId="173" fontId="38" fillId="14" borderId="0" xfId="1" applyNumberFormat="1" applyFont="1" applyFill="1" applyBorder="1" applyAlignment="1">
      <alignment horizontal="right" vertical="center"/>
    </xf>
    <xf numFmtId="164" fontId="38" fillId="14" borderId="0" xfId="0" applyNumberFormat="1" applyFont="1" applyFill="1" applyBorder="1" applyAlignment="1">
      <alignment horizontal="right" vertical="center"/>
    </xf>
    <xf numFmtId="172" fontId="25" fillId="12" borderId="8" xfId="0" applyNumberFormat="1" applyFont="1" applyFill="1" applyBorder="1" applyAlignment="1">
      <alignment vertical="center"/>
    </xf>
    <xf numFmtId="0" fontId="25" fillId="13" borderId="28" xfId="0" applyFont="1" applyFill="1" applyBorder="1" applyAlignment="1">
      <alignment horizontal="right" vertical="center"/>
    </xf>
    <xf numFmtId="0" fontId="25" fillId="4" borderId="26" xfId="0" applyFont="1" applyFill="1" applyBorder="1" applyAlignment="1">
      <alignment horizontal="right" vertical="center"/>
    </xf>
    <xf numFmtId="0" fontId="25" fillId="13" borderId="28" xfId="0" applyFont="1" applyFill="1" applyBorder="1" applyAlignment="1">
      <alignment horizontal="right" vertical="center" wrapText="1"/>
    </xf>
    <xf numFmtId="0" fontId="13" fillId="3" borderId="6" xfId="0" applyFont="1" applyFill="1" applyBorder="1"/>
    <xf numFmtId="0" fontId="13" fillId="14" borderId="8" xfId="0" applyFont="1" applyFill="1" applyBorder="1"/>
    <xf numFmtId="172" fontId="13" fillId="14" borderId="10" xfId="0" applyNumberFormat="1" applyFont="1" applyFill="1" applyBorder="1" applyAlignment="1">
      <alignment vertical="center"/>
    </xf>
    <xf numFmtId="173" fontId="38" fillId="3" borderId="3" xfId="1" applyNumberFormat="1" applyFont="1" applyFill="1" applyBorder="1" applyAlignment="1">
      <alignment horizontal="right" vertical="center"/>
    </xf>
    <xf numFmtId="173" fontId="40" fillId="3" borderId="3" xfId="0" applyNumberFormat="1" applyFont="1" applyFill="1" applyBorder="1" applyAlignment="1">
      <alignment vertical="center"/>
    </xf>
    <xf numFmtId="172" fontId="40" fillId="14" borderId="10" xfId="0" applyNumberFormat="1" applyFont="1" applyFill="1" applyBorder="1" applyAlignment="1">
      <alignment vertical="center"/>
    </xf>
    <xf numFmtId="172" fontId="13" fillId="14" borderId="19" xfId="0" applyNumberFormat="1" applyFont="1" applyFill="1" applyBorder="1" applyAlignment="1">
      <alignment vertical="center"/>
    </xf>
    <xf numFmtId="172" fontId="13" fillId="14" borderId="12" xfId="0" applyNumberFormat="1" applyFont="1" applyFill="1" applyBorder="1" applyAlignment="1">
      <alignment vertical="center"/>
    </xf>
    <xf numFmtId="173" fontId="13" fillId="14" borderId="10" xfId="0" applyNumberFormat="1" applyFont="1" applyFill="1" applyBorder="1" applyAlignment="1">
      <alignment vertical="center"/>
    </xf>
    <xf numFmtId="172" fontId="25" fillId="13" borderId="28" xfId="0" applyNumberFormat="1" applyFont="1" applyFill="1" applyBorder="1" applyAlignment="1">
      <alignment vertical="center"/>
    </xf>
    <xf numFmtId="174" fontId="13" fillId="14" borderId="12" xfId="0" applyNumberFormat="1" applyFont="1" applyFill="1" applyBorder="1" applyAlignment="1">
      <alignment vertical="center"/>
    </xf>
    <xf numFmtId="164" fontId="38" fillId="3" borderId="3" xfId="0" applyNumberFormat="1" applyFont="1" applyFill="1" applyBorder="1" applyAlignment="1">
      <alignment horizontal="right" vertical="center"/>
    </xf>
    <xf numFmtId="164" fontId="38" fillId="14" borderId="10" xfId="0" applyNumberFormat="1" applyFont="1" applyFill="1" applyBorder="1" applyAlignment="1">
      <alignment horizontal="right" vertical="center"/>
    </xf>
    <xf numFmtId="169" fontId="13" fillId="14" borderId="10" xfId="0" applyNumberFormat="1" applyFont="1" applyFill="1" applyBorder="1" applyAlignment="1">
      <alignment vertical="center"/>
    </xf>
    <xf numFmtId="176" fontId="13" fillId="14" borderId="10" xfId="0" applyNumberFormat="1" applyFont="1" applyFill="1" applyBorder="1" applyAlignment="1">
      <alignment vertical="center"/>
    </xf>
    <xf numFmtId="174" fontId="13" fillId="14" borderId="10" xfId="0" applyNumberFormat="1" applyFont="1" applyFill="1" applyBorder="1" applyAlignment="1">
      <alignment vertical="center"/>
    </xf>
    <xf numFmtId="174" fontId="40" fillId="14" borderId="10" xfId="0" applyNumberFormat="1" applyFont="1" applyFill="1" applyBorder="1" applyAlignment="1">
      <alignment vertical="center"/>
    </xf>
    <xf numFmtId="173" fontId="13" fillId="3" borderId="3" xfId="0" applyNumberFormat="1" applyFont="1" applyFill="1" applyBorder="1" applyAlignment="1">
      <alignment vertical="center"/>
    </xf>
    <xf numFmtId="173" fontId="40" fillId="14" borderId="10" xfId="0" applyNumberFormat="1" applyFont="1" applyFill="1" applyBorder="1" applyAlignment="1">
      <alignment vertical="center"/>
    </xf>
    <xf numFmtId="173" fontId="38" fillId="14" borderId="10" xfId="1" applyNumberFormat="1" applyFont="1" applyFill="1" applyBorder="1" applyAlignment="1">
      <alignment horizontal="right" vertical="center"/>
    </xf>
    <xf numFmtId="0" fontId="25" fillId="4" borderId="27" xfId="0" applyFont="1" applyFill="1" applyBorder="1" applyAlignment="1">
      <alignment horizontal="center" vertical="center" wrapText="1"/>
    </xf>
    <xf numFmtId="0" fontId="25" fillId="4" borderId="26" xfId="0" applyFont="1" applyFill="1" applyBorder="1" applyAlignment="1">
      <alignment horizontal="center" vertical="center" wrapText="1"/>
    </xf>
    <xf numFmtId="0" fontId="25" fillId="4" borderId="28" xfId="0" applyFont="1" applyFill="1" applyBorder="1" applyAlignment="1">
      <alignment horizontal="center" vertical="center" wrapText="1"/>
    </xf>
    <xf numFmtId="0" fontId="25" fillId="15" borderId="27" xfId="0" applyFont="1" applyFill="1" applyBorder="1" applyAlignment="1">
      <alignment horizontal="center" vertical="center" wrapText="1"/>
    </xf>
    <xf numFmtId="0" fontId="44" fillId="11" borderId="13" xfId="0" applyFont="1" applyFill="1" applyBorder="1" applyAlignment="1">
      <alignment horizontal="center" vertical="center"/>
    </xf>
    <xf numFmtId="0" fontId="44" fillId="11" borderId="0" xfId="0" applyFont="1" applyFill="1" applyBorder="1" applyAlignment="1">
      <alignment horizontal="center" vertical="center"/>
    </xf>
    <xf numFmtId="0" fontId="44" fillId="11" borderId="14" xfId="0" applyFont="1" applyFill="1" applyBorder="1" applyAlignment="1">
      <alignment horizontal="center" vertical="center"/>
    </xf>
    <xf numFmtId="0" fontId="44" fillId="11" borderId="11" xfId="0" applyFont="1" applyFill="1" applyBorder="1" applyAlignment="1">
      <alignment horizontal="center" vertical="center"/>
    </xf>
    <xf numFmtId="0" fontId="45" fillId="3" borderId="9" xfId="0" applyFont="1" applyFill="1" applyBorder="1" applyAlignment="1">
      <alignment horizontal="left" vertical="center" wrapText="1"/>
    </xf>
    <xf numFmtId="3" fontId="45" fillId="17" borderId="6" xfId="0" applyNumberFormat="1" applyFont="1" applyFill="1" applyBorder="1" applyAlignment="1">
      <alignment horizontal="center" vertical="center" wrapText="1"/>
    </xf>
    <xf numFmtId="3" fontId="45" fillId="17" borderId="7" xfId="0" applyNumberFormat="1" applyFont="1" applyFill="1" applyBorder="1" applyAlignment="1">
      <alignment horizontal="center" vertical="center" wrapText="1"/>
    </xf>
    <xf numFmtId="3" fontId="45" fillId="18" borderId="8" xfId="0" applyNumberFormat="1" applyFont="1" applyFill="1" applyBorder="1" applyAlignment="1">
      <alignment horizontal="center" vertical="center" wrapText="1"/>
    </xf>
    <xf numFmtId="3" fontId="45" fillId="3" borderId="6" xfId="0" applyNumberFormat="1" applyFont="1" applyFill="1" applyBorder="1" applyAlignment="1">
      <alignment horizontal="right" vertical="center" wrapText="1"/>
    </xf>
    <xf numFmtId="3" fontId="45" fillId="3" borderId="7" xfId="0" applyNumberFormat="1" applyFont="1" applyFill="1" applyBorder="1" applyAlignment="1">
      <alignment horizontal="right" vertical="center" wrapText="1"/>
    </xf>
    <xf numFmtId="0" fontId="47" fillId="2" borderId="3" xfId="0" applyFont="1" applyFill="1" applyBorder="1" applyAlignment="1">
      <alignment horizontal="left" vertical="center" wrapText="1"/>
    </xf>
    <xf numFmtId="3" fontId="22" fillId="2" borderId="3" xfId="0" applyNumberFormat="1" applyFont="1" applyFill="1" applyBorder="1" applyAlignment="1">
      <alignment horizontal="right" vertical="center" wrapText="1"/>
    </xf>
    <xf numFmtId="3" fontId="22" fillId="2" borderId="0" xfId="0" applyNumberFormat="1" applyFont="1" applyFill="1" applyBorder="1" applyAlignment="1">
      <alignment horizontal="right" vertical="center" wrapText="1"/>
    </xf>
    <xf numFmtId="3" fontId="22" fillId="19" borderId="0" xfId="0" applyNumberFormat="1" applyFont="1" applyFill="1" applyBorder="1" applyAlignment="1">
      <alignment horizontal="right" vertical="center" wrapText="1"/>
    </xf>
    <xf numFmtId="3" fontId="22" fillId="2" borderId="4" xfId="0" applyNumberFormat="1" applyFont="1" applyFill="1" applyBorder="1" applyAlignment="1">
      <alignment horizontal="right" vertical="center" wrapText="1"/>
    </xf>
    <xf numFmtId="168" fontId="22" fillId="2" borderId="3" xfId="6" applyNumberFormat="1" applyFont="1" applyFill="1" applyBorder="1" applyAlignment="1">
      <alignment horizontal="right" vertical="center" wrapText="1"/>
    </xf>
    <xf numFmtId="3" fontId="22" fillId="19" borderId="10" xfId="0" applyNumberFormat="1" applyFont="1" applyFill="1" applyBorder="1" applyAlignment="1">
      <alignment horizontal="right" vertical="center" wrapText="1"/>
    </xf>
    <xf numFmtId="0" fontId="20" fillId="3" borderId="3" xfId="0" applyFont="1" applyFill="1" applyBorder="1" applyAlignment="1">
      <alignment horizontal="left" vertical="center" wrapText="1"/>
    </xf>
    <xf numFmtId="3" fontId="45" fillId="3" borderId="3" xfId="0" applyNumberFormat="1" applyFont="1" applyFill="1" applyBorder="1" applyAlignment="1">
      <alignment horizontal="right" vertical="center" wrapText="1"/>
    </xf>
    <xf numFmtId="3" fontId="45" fillId="3" borderId="0" xfId="0" applyNumberFormat="1" applyFont="1" applyFill="1" applyBorder="1" applyAlignment="1">
      <alignment horizontal="right" vertical="center" wrapText="1"/>
    </xf>
    <xf numFmtId="3" fontId="45" fillId="18" borderId="0" xfId="0" applyNumberFormat="1" applyFont="1" applyFill="1" applyBorder="1" applyAlignment="1">
      <alignment horizontal="right" vertical="center" wrapText="1"/>
    </xf>
    <xf numFmtId="3" fontId="45" fillId="18" borderId="10" xfId="0" applyNumberFormat="1" applyFont="1" applyFill="1" applyBorder="1" applyAlignment="1">
      <alignment horizontal="right" vertical="center" wrapText="1"/>
    </xf>
    <xf numFmtId="0" fontId="48" fillId="3" borderId="3" xfId="0" applyFont="1" applyFill="1" applyBorder="1" applyAlignment="1">
      <alignment horizontal="left" vertical="center" wrapText="1" indent="1"/>
    </xf>
    <xf numFmtId="3" fontId="22" fillId="3" borderId="3" xfId="0" applyNumberFormat="1" applyFont="1" applyFill="1" applyBorder="1" applyAlignment="1">
      <alignment horizontal="right" vertical="center" wrapText="1"/>
    </xf>
    <xf numFmtId="3" fontId="22" fillId="3" borderId="0" xfId="0" applyNumberFormat="1" applyFont="1" applyFill="1" applyBorder="1" applyAlignment="1">
      <alignment horizontal="right" vertical="center" wrapText="1"/>
    </xf>
    <xf numFmtId="3" fontId="22" fillId="18" borderId="0" xfId="0" applyNumberFormat="1" applyFont="1" applyFill="1" applyBorder="1" applyAlignment="1">
      <alignment horizontal="right" vertical="center" wrapText="1"/>
    </xf>
    <xf numFmtId="3" fontId="35" fillId="3" borderId="0" xfId="0" applyNumberFormat="1" applyFont="1" applyFill="1" applyBorder="1" applyAlignment="1">
      <alignment horizontal="right" vertical="center" wrapText="1"/>
    </xf>
    <xf numFmtId="3" fontId="22" fillId="18" borderId="10" xfId="0" applyNumberFormat="1" applyFont="1" applyFill="1" applyBorder="1" applyAlignment="1">
      <alignment horizontal="right" vertical="center" wrapText="1"/>
    </xf>
    <xf numFmtId="0" fontId="49" fillId="3" borderId="3" xfId="0" applyFont="1" applyFill="1" applyBorder="1" applyAlignment="1">
      <alignment horizontal="left" vertical="center" wrapText="1" indent="3"/>
    </xf>
    <xf numFmtId="3" fontId="50" fillId="3" borderId="3" xfId="0" applyNumberFormat="1" applyFont="1" applyFill="1" applyBorder="1" applyAlignment="1">
      <alignment horizontal="right" vertical="center" wrapText="1"/>
    </xf>
    <xf numFmtId="3" fontId="50" fillId="3" borderId="0" xfId="0" applyNumberFormat="1" applyFont="1" applyFill="1" applyBorder="1" applyAlignment="1">
      <alignment horizontal="right" vertical="center" wrapText="1"/>
    </xf>
    <xf numFmtId="3" fontId="50" fillId="18" borderId="0" xfId="0" applyNumberFormat="1" applyFont="1" applyFill="1" applyBorder="1" applyAlignment="1">
      <alignment horizontal="right" vertical="center" wrapText="1"/>
    </xf>
    <xf numFmtId="3" fontId="14" fillId="3" borderId="0" xfId="0" applyNumberFormat="1" applyFont="1" applyFill="1" applyBorder="1" applyAlignment="1">
      <alignment horizontal="right" vertical="center" wrapText="1"/>
    </xf>
    <xf numFmtId="3" fontId="50" fillId="18" borderId="10" xfId="0" applyNumberFormat="1" applyFont="1" applyFill="1" applyBorder="1" applyAlignment="1">
      <alignment horizontal="right" vertical="center" wrapText="1"/>
    </xf>
    <xf numFmtId="3" fontId="50" fillId="0" borderId="0" xfId="0" applyNumberFormat="1" applyFont="1" applyFill="1" applyBorder="1" applyAlignment="1">
      <alignment horizontal="right" vertical="center" wrapText="1"/>
    </xf>
    <xf numFmtId="3" fontId="22" fillId="3" borderId="29" xfId="0" applyNumberFormat="1" applyFont="1" applyFill="1" applyBorder="1" applyAlignment="1">
      <alignment horizontal="right" vertical="center" wrapText="1"/>
    </xf>
    <xf numFmtId="3" fontId="22" fillId="3" borderId="30" xfId="0" applyNumberFormat="1" applyFont="1" applyFill="1" applyBorder="1" applyAlignment="1">
      <alignment horizontal="right" vertical="center" wrapText="1"/>
    </xf>
    <xf numFmtId="0" fontId="20" fillId="3" borderId="31" xfId="0" applyFont="1" applyFill="1" applyBorder="1" applyAlignment="1">
      <alignment horizontal="left" vertical="center" wrapText="1"/>
    </xf>
    <xf numFmtId="3" fontId="45" fillId="3" borderId="32" xfId="0" applyNumberFormat="1" applyFont="1" applyFill="1" applyBorder="1" applyAlignment="1">
      <alignment horizontal="right" vertical="center" wrapText="1"/>
    </xf>
    <xf numFmtId="3" fontId="45" fillId="3" borderId="33" xfId="0" applyNumberFormat="1" applyFont="1" applyFill="1" applyBorder="1" applyAlignment="1">
      <alignment horizontal="right" vertical="center" wrapText="1"/>
    </xf>
    <xf numFmtId="3" fontId="45" fillId="18" borderId="33" xfId="0" applyNumberFormat="1" applyFont="1" applyFill="1" applyBorder="1" applyAlignment="1">
      <alignment horizontal="right" vertical="center" wrapText="1"/>
    </xf>
    <xf numFmtId="3" fontId="21" fillId="3" borderId="33" xfId="0" applyNumberFormat="1" applyFont="1" applyFill="1" applyBorder="1" applyAlignment="1">
      <alignment horizontal="right" vertical="center" wrapText="1"/>
    </xf>
    <xf numFmtId="3" fontId="45" fillId="18" borderId="34" xfId="0" applyNumberFormat="1" applyFont="1" applyFill="1" applyBorder="1" applyAlignment="1">
      <alignment horizontal="right" vertical="center" wrapText="1"/>
    </xf>
    <xf numFmtId="0" fontId="48" fillId="3" borderId="4" xfId="0" applyFont="1" applyFill="1" applyBorder="1" applyAlignment="1">
      <alignment horizontal="left" vertical="center"/>
    </xf>
    <xf numFmtId="166" fontId="22" fillId="3" borderId="4" xfId="0" applyNumberFormat="1" applyFont="1" applyFill="1" applyBorder="1" applyAlignment="1">
      <alignment horizontal="right" vertical="center" wrapText="1"/>
    </xf>
    <xf numFmtId="166" fontId="22" fillId="3" borderId="11" xfId="0" applyNumberFormat="1" applyFont="1" applyFill="1" applyBorder="1" applyAlignment="1">
      <alignment horizontal="right" vertical="center" wrapText="1"/>
    </xf>
    <xf numFmtId="166" fontId="22" fillId="18" borderId="11" xfId="0" applyNumberFormat="1" applyFont="1" applyFill="1" applyBorder="1" applyAlignment="1">
      <alignment horizontal="right" vertical="center" wrapText="1"/>
    </xf>
    <xf numFmtId="169" fontId="35" fillId="3" borderId="0" xfId="0" applyNumberFormat="1" applyFont="1" applyFill="1" applyBorder="1" applyAlignment="1">
      <alignment horizontal="right" vertical="center" wrapText="1"/>
    </xf>
    <xf numFmtId="166" fontId="22" fillId="18" borderId="12" xfId="0" applyNumberFormat="1" applyFont="1" applyFill="1" applyBorder="1" applyAlignment="1">
      <alignment horizontal="right" vertical="center" wrapText="1"/>
    </xf>
    <xf numFmtId="0" fontId="48" fillId="3" borderId="3" xfId="0" applyFont="1" applyFill="1" applyBorder="1" applyAlignment="1">
      <alignment horizontal="left" vertical="center" wrapText="1"/>
    </xf>
    <xf numFmtId="3" fontId="22" fillId="17" borderId="3" xfId="0" applyNumberFormat="1" applyFont="1" applyFill="1" applyBorder="1" applyAlignment="1">
      <alignment horizontal="right" vertical="center" wrapText="1"/>
    </xf>
    <xf numFmtId="3" fontId="22" fillId="17" borderId="0" xfId="0" applyNumberFormat="1" applyFont="1" applyFill="1" applyBorder="1" applyAlignment="1">
      <alignment horizontal="right" vertical="center" wrapText="1"/>
    </xf>
    <xf numFmtId="168" fontId="22" fillId="3" borderId="0" xfId="0" applyNumberFormat="1" applyFont="1" applyFill="1" applyBorder="1" applyAlignment="1">
      <alignment horizontal="right" vertical="center" wrapText="1"/>
    </xf>
    <xf numFmtId="168" fontId="22" fillId="18" borderId="0" xfId="0" applyNumberFormat="1" applyFont="1" applyFill="1" applyBorder="1" applyAlignment="1">
      <alignment horizontal="right" vertical="center" wrapText="1"/>
    </xf>
    <xf numFmtId="168" fontId="22" fillId="3" borderId="3" xfId="0" applyNumberFormat="1" applyFont="1" applyFill="1" applyBorder="1" applyAlignment="1">
      <alignment horizontal="right" vertical="center" wrapText="1"/>
    </xf>
    <xf numFmtId="168" fontId="35" fillId="3" borderId="0" xfId="0" applyNumberFormat="1" applyFont="1" applyFill="1" applyBorder="1" applyAlignment="1">
      <alignment horizontal="right" vertical="center" wrapText="1"/>
    </xf>
    <xf numFmtId="168" fontId="22" fillId="18" borderId="10" xfId="0" applyNumberFormat="1" applyFont="1" applyFill="1" applyBorder="1" applyAlignment="1">
      <alignment horizontal="right" vertical="center" wrapText="1"/>
    </xf>
    <xf numFmtId="2" fontId="22" fillId="3" borderId="5" xfId="0" applyNumberFormat="1" applyFont="1" applyFill="1" applyBorder="1" applyAlignment="1">
      <alignment horizontal="right" vertical="center" wrapText="1"/>
    </xf>
    <xf numFmtId="2" fontId="22" fillId="3" borderId="18" xfId="0" applyNumberFormat="1" applyFont="1" applyFill="1" applyBorder="1" applyAlignment="1">
      <alignment horizontal="right" vertical="center" wrapText="1"/>
    </xf>
    <xf numFmtId="2" fontId="22" fillId="18" borderId="19" xfId="0" applyNumberFormat="1" applyFont="1" applyFill="1" applyBorder="1" applyAlignment="1">
      <alignment horizontal="right" vertical="center" wrapText="1"/>
    </xf>
    <xf numFmtId="4" fontId="35" fillId="3" borderId="18" xfId="0" applyNumberFormat="1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left" vertical="center"/>
    </xf>
    <xf numFmtId="3" fontId="45" fillId="3" borderId="4" xfId="0" applyNumberFormat="1" applyFont="1" applyFill="1" applyBorder="1" applyAlignment="1">
      <alignment horizontal="right" vertical="center" wrapText="1"/>
    </xf>
    <xf numFmtId="3" fontId="45" fillId="3" borderId="11" xfId="0" applyNumberFormat="1" applyFont="1" applyFill="1" applyBorder="1" applyAlignment="1">
      <alignment horizontal="right" vertical="center" wrapText="1"/>
    </xf>
    <xf numFmtId="3" fontId="50" fillId="3" borderId="3" xfId="6" applyNumberFormat="1" applyFont="1" applyFill="1" applyBorder="1" applyAlignment="1">
      <alignment horizontal="right" vertical="center" wrapText="1"/>
    </xf>
    <xf numFmtId="3" fontId="22" fillId="3" borderId="3" xfId="6" applyNumberFormat="1" applyFont="1" applyFill="1" applyBorder="1" applyAlignment="1">
      <alignment horizontal="right" vertical="center" wrapText="1"/>
    </xf>
    <xf numFmtId="0" fontId="20" fillId="3" borderId="35" xfId="0" applyFont="1" applyFill="1" applyBorder="1" applyAlignment="1">
      <alignment horizontal="left" vertical="center" wrapText="1"/>
    </xf>
    <xf numFmtId="3" fontId="11" fillId="3" borderId="35" xfId="0" applyNumberFormat="1" applyFont="1" applyFill="1" applyBorder="1" applyAlignment="1">
      <alignment vertical="center"/>
    </xf>
    <xf numFmtId="3" fontId="11" fillId="3" borderId="33" xfId="0" applyNumberFormat="1" applyFont="1" applyFill="1" applyBorder="1" applyAlignment="1">
      <alignment vertical="center"/>
    </xf>
    <xf numFmtId="3" fontId="11" fillId="18" borderId="33" xfId="0" applyNumberFormat="1" applyFont="1" applyFill="1" applyBorder="1" applyAlignment="1">
      <alignment vertical="center"/>
    </xf>
    <xf numFmtId="3" fontId="11" fillId="3" borderId="32" xfId="0" applyNumberFormat="1" applyFont="1" applyFill="1" applyBorder="1" applyAlignment="1">
      <alignment vertical="center"/>
    </xf>
    <xf numFmtId="3" fontId="11" fillId="18" borderId="34" xfId="0" applyNumberFormat="1" applyFont="1" applyFill="1" applyBorder="1" applyAlignment="1">
      <alignment vertical="center"/>
    </xf>
    <xf numFmtId="0" fontId="19" fillId="2" borderId="4" xfId="0" applyFont="1" applyFill="1" applyBorder="1" applyAlignment="1">
      <alignment horizontal="left" vertical="center" wrapText="1"/>
    </xf>
    <xf numFmtId="3" fontId="19" fillId="20" borderId="4" xfId="0" applyNumberFormat="1" applyFont="1" applyFill="1" applyBorder="1" applyAlignment="1">
      <alignment horizontal="right" vertical="center" wrapText="1"/>
    </xf>
    <xf numFmtId="3" fontId="19" fillId="20" borderId="11" xfId="0" applyNumberFormat="1" applyFont="1" applyFill="1" applyBorder="1" applyAlignment="1">
      <alignment horizontal="right" vertical="center" wrapText="1"/>
    </xf>
    <xf numFmtId="3" fontId="19" fillId="19" borderId="12" xfId="0" applyNumberFormat="1" applyFont="1" applyFill="1" applyBorder="1" applyAlignment="1">
      <alignment horizontal="right" vertical="center" wrapText="1"/>
    </xf>
    <xf numFmtId="166" fontId="52" fillId="2" borderId="4" xfId="0" applyNumberFormat="1" applyFont="1" applyFill="1" applyBorder="1" applyAlignment="1">
      <alignment horizontal="right" vertical="center" wrapText="1"/>
    </xf>
    <xf numFmtId="166" fontId="52" fillId="2" borderId="11" xfId="0" applyNumberFormat="1" applyFont="1" applyFill="1" applyBorder="1" applyAlignment="1">
      <alignment horizontal="right" vertical="center" wrapText="1"/>
    </xf>
    <xf numFmtId="166" fontId="19" fillId="2" borderId="0" xfId="0" applyNumberFormat="1" applyFont="1" applyFill="1" applyBorder="1" applyAlignment="1">
      <alignment horizontal="right" vertical="center" wrapText="1"/>
    </xf>
    <xf numFmtId="3" fontId="45" fillId="17" borderId="3" xfId="0" applyNumberFormat="1" applyFont="1" applyFill="1" applyBorder="1" applyAlignment="1">
      <alignment horizontal="right" vertical="center" wrapText="1"/>
    </xf>
    <xf numFmtId="3" fontId="45" fillId="17" borderId="0" xfId="0" applyNumberFormat="1" applyFont="1" applyFill="1" applyBorder="1" applyAlignment="1">
      <alignment horizontal="right" vertical="center" wrapText="1"/>
    </xf>
    <xf numFmtId="3" fontId="22" fillId="17" borderId="5" xfId="0" applyNumberFormat="1" applyFont="1" applyFill="1" applyBorder="1" applyAlignment="1">
      <alignment horizontal="right" vertical="center" wrapText="1"/>
    </xf>
    <xf numFmtId="3" fontId="22" fillId="17" borderId="18" xfId="0" applyNumberFormat="1" applyFont="1" applyFill="1" applyBorder="1" applyAlignment="1">
      <alignment horizontal="right" vertical="center" wrapText="1"/>
    </xf>
    <xf numFmtId="0" fontId="48" fillId="3" borderId="6" xfId="0" applyFont="1" applyFill="1" applyBorder="1" applyAlignment="1">
      <alignment horizontal="left" vertical="center" wrapText="1"/>
    </xf>
    <xf numFmtId="3" fontId="22" fillId="17" borderId="6" xfId="0" applyNumberFormat="1" applyFont="1" applyFill="1" applyBorder="1" applyAlignment="1">
      <alignment horizontal="right" vertical="center" wrapText="1"/>
    </xf>
    <xf numFmtId="3" fontId="22" fillId="17" borderId="7" xfId="0" applyNumberFormat="1" applyFont="1" applyFill="1" applyBorder="1" applyAlignment="1">
      <alignment horizontal="right" vertical="center" wrapText="1"/>
    </xf>
    <xf numFmtId="3" fontId="22" fillId="18" borderId="8" xfId="0" applyNumberFormat="1" applyFont="1" applyFill="1" applyBorder="1" applyAlignment="1">
      <alignment horizontal="right" vertical="center" wrapText="1"/>
    </xf>
    <xf numFmtId="166" fontId="22" fillId="3" borderId="6" xfId="0" applyNumberFormat="1" applyFont="1" applyFill="1" applyBorder="1" applyAlignment="1">
      <alignment horizontal="right" vertical="center" wrapText="1"/>
    </xf>
    <xf numFmtId="166" fontId="22" fillId="3" borderId="7" xfId="0" applyNumberFormat="1" applyFont="1" applyFill="1" applyBorder="1" applyAlignment="1">
      <alignment horizontal="right" vertical="center" wrapText="1"/>
    </xf>
    <xf numFmtId="169" fontId="22" fillId="18" borderId="8" xfId="0" applyNumberFormat="1" applyFont="1" applyFill="1" applyBorder="1" applyAlignment="1">
      <alignment horizontal="right" vertical="center" wrapText="1"/>
    </xf>
    <xf numFmtId="0" fontId="22" fillId="3" borderId="7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left" vertical="center" wrapText="1"/>
    </xf>
    <xf numFmtId="3" fontId="45" fillId="17" borderId="4" xfId="0" applyNumberFormat="1" applyFont="1" applyFill="1" applyBorder="1" applyAlignment="1">
      <alignment horizontal="right" vertical="center" wrapText="1"/>
    </xf>
    <xf numFmtId="3" fontId="45" fillId="17" borderId="11" xfId="0" applyNumberFormat="1" applyFont="1" applyFill="1" applyBorder="1" applyAlignment="1">
      <alignment horizontal="right" vertical="center" wrapText="1"/>
    </xf>
    <xf numFmtId="3" fontId="45" fillId="18" borderId="12" xfId="0" applyNumberFormat="1" applyFont="1" applyFill="1" applyBorder="1" applyAlignment="1">
      <alignment horizontal="right" vertical="center" wrapText="1"/>
    </xf>
    <xf numFmtId="0" fontId="48" fillId="3" borderId="5" xfId="0" applyFont="1" applyFill="1" applyBorder="1" applyAlignment="1">
      <alignment horizontal="left" vertical="center" wrapText="1" indent="1"/>
    </xf>
    <xf numFmtId="3" fontId="22" fillId="18" borderId="19" xfId="0" applyNumberFormat="1" applyFont="1" applyFill="1" applyBorder="1" applyAlignment="1">
      <alignment horizontal="right" vertical="center" wrapText="1"/>
    </xf>
    <xf numFmtId="3" fontId="22" fillId="3" borderId="5" xfId="0" applyNumberFormat="1" applyFont="1" applyFill="1" applyBorder="1" applyAlignment="1">
      <alignment horizontal="right" vertical="center" wrapText="1"/>
    </xf>
    <xf numFmtId="3" fontId="22" fillId="3" borderId="18" xfId="0" applyNumberFormat="1" applyFont="1" applyFill="1" applyBorder="1" applyAlignment="1">
      <alignment horizontal="right" vertical="center" wrapText="1"/>
    </xf>
    <xf numFmtId="3" fontId="35" fillId="3" borderId="18" xfId="0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top"/>
    </xf>
    <xf numFmtId="0" fontId="9" fillId="3" borderId="0" xfId="0" applyFont="1" applyFill="1" applyAlignment="1">
      <alignment vertical="top"/>
    </xf>
    <xf numFmtId="0" fontId="0" fillId="3" borderId="0" xfId="0" applyFill="1" applyBorder="1"/>
    <xf numFmtId="0" fontId="16" fillId="3" borderId="22" xfId="0" applyFont="1" applyFill="1" applyBorder="1" applyAlignment="1">
      <alignment vertical="center" wrapText="1"/>
    </xf>
    <xf numFmtId="10" fontId="16" fillId="2" borderId="0" xfId="0" applyNumberFormat="1" applyFont="1" applyFill="1" applyAlignment="1">
      <alignment horizontal="right" vertical="center" wrapText="1" indent="1"/>
    </xf>
    <xf numFmtId="0" fontId="18" fillId="3" borderId="23" xfId="0" applyFont="1" applyFill="1" applyBorder="1" applyAlignment="1">
      <alignment vertical="center" wrapText="1"/>
    </xf>
    <xf numFmtId="10" fontId="16" fillId="2" borderId="36" xfId="0" applyNumberFormat="1" applyFont="1" applyFill="1" applyBorder="1" applyAlignment="1">
      <alignment horizontal="right" vertical="center" wrapText="1" indent="1"/>
    </xf>
    <xf numFmtId="10" fontId="16" fillId="3" borderId="37" xfId="0" applyNumberFormat="1" applyFont="1" applyFill="1" applyBorder="1" applyAlignment="1">
      <alignment horizontal="right" vertical="center" wrapText="1" indent="1"/>
    </xf>
    <xf numFmtId="10" fontId="7" fillId="2" borderId="0" xfId="0" applyNumberFormat="1" applyFont="1" applyFill="1" applyAlignment="1">
      <alignment horizontal="right" vertical="center" wrapText="1" indent="1"/>
    </xf>
    <xf numFmtId="10" fontId="7" fillId="3" borderId="0" xfId="0" applyNumberFormat="1" applyFont="1" applyFill="1" applyAlignment="1">
      <alignment horizontal="right" vertical="center" wrapText="1" indent="1"/>
    </xf>
    <xf numFmtId="0" fontId="36" fillId="3" borderId="0" xfId="0" applyFont="1" applyFill="1"/>
    <xf numFmtId="0" fontId="0" fillId="3" borderId="0" xfId="0" applyFill="1" applyAlignment="1">
      <alignment wrapText="1"/>
    </xf>
    <xf numFmtId="0" fontId="35" fillId="3" borderId="0" xfId="0" applyFont="1" applyFill="1" applyAlignment="1">
      <alignment horizontal="left" vertical="top"/>
    </xf>
    <xf numFmtId="0" fontId="0" fillId="3" borderId="0" xfId="0" applyFont="1" applyFill="1" applyAlignment="1">
      <alignment vertical="top"/>
    </xf>
    <xf numFmtId="0" fontId="28" fillId="5" borderId="5" xfId="0" applyFont="1" applyFill="1" applyBorder="1" applyAlignment="1">
      <alignment horizontal="right" vertical="center"/>
    </xf>
    <xf numFmtId="0" fontId="28" fillId="5" borderId="18" xfId="0" applyFont="1" applyFill="1" applyBorder="1" applyAlignment="1">
      <alignment horizontal="right" vertical="center"/>
    </xf>
    <xf numFmtId="0" fontId="24" fillId="4" borderId="18" xfId="0" applyFont="1" applyFill="1" applyBorder="1" applyAlignment="1">
      <alignment horizontal="left" vertical="center" wrapText="1"/>
    </xf>
    <xf numFmtId="0" fontId="24" fillId="4" borderId="18" xfId="0" applyFont="1" applyFill="1" applyBorder="1" applyAlignment="1">
      <alignment horizontal="right" vertical="center" wrapText="1"/>
    </xf>
    <xf numFmtId="0" fontId="29" fillId="4" borderId="19" xfId="0" applyFont="1" applyFill="1" applyBorder="1" applyAlignment="1">
      <alignment horizontal="right" vertical="center" wrapText="1"/>
    </xf>
    <xf numFmtId="0" fontId="29" fillId="4" borderId="8" xfId="0" applyFont="1" applyFill="1" applyBorder="1" applyAlignment="1">
      <alignment horizontal="right" vertical="center" wrapText="1"/>
    </xf>
    <xf numFmtId="166" fontId="26" fillId="6" borderId="11" xfId="0" applyNumberFormat="1" applyFont="1" applyFill="1" applyBorder="1" applyAlignment="1">
      <alignment vertical="center" wrapText="1"/>
    </xf>
    <xf numFmtId="0" fontId="24" fillId="3" borderId="6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 wrapText="1"/>
    </xf>
    <xf numFmtId="0" fontId="25" fillId="3" borderId="15" xfId="0" applyFont="1" applyFill="1" applyBorder="1" applyAlignment="1">
      <alignment vertical="center"/>
    </xf>
    <xf numFmtId="0" fontId="53" fillId="5" borderId="6" xfId="0" applyFont="1" applyFill="1" applyBorder="1" applyAlignment="1">
      <alignment horizontal="right" vertical="center"/>
    </xf>
    <xf numFmtId="0" fontId="18" fillId="4" borderId="7" xfId="0" applyFont="1" applyFill="1" applyBorder="1" applyAlignment="1">
      <alignment horizontal="right" vertical="center" wrapText="1"/>
    </xf>
    <xf numFmtId="0" fontId="54" fillId="4" borderId="8" xfId="0" applyFont="1" applyFill="1" applyBorder="1" applyAlignment="1">
      <alignment horizontal="right" vertical="center" wrapText="1"/>
    </xf>
    <xf numFmtId="0" fontId="25" fillId="15" borderId="28" xfId="0" applyFont="1" applyFill="1" applyBorder="1" applyAlignment="1">
      <alignment horizontal="center" vertical="center" wrapText="1"/>
    </xf>
    <xf numFmtId="168" fontId="7" fillId="3" borderId="0" xfId="0" applyNumberFormat="1" applyFont="1" applyFill="1" applyBorder="1" applyAlignment="1">
      <alignment horizontal="right" wrapText="1" indent="1"/>
    </xf>
    <xf numFmtId="181" fontId="13" fillId="14" borderId="10" xfId="0" applyNumberFormat="1" applyFont="1" applyFill="1" applyBorder="1" applyAlignment="1">
      <alignment vertical="center"/>
    </xf>
    <xf numFmtId="181" fontId="40" fillId="14" borderId="10" xfId="0" applyNumberFormat="1" applyFont="1" applyFill="1" applyBorder="1" applyAlignment="1">
      <alignment vertical="center"/>
    </xf>
    <xf numFmtId="181" fontId="25" fillId="12" borderId="8" xfId="0" applyNumberFormat="1" applyFont="1" applyFill="1" applyBorder="1" applyAlignment="1">
      <alignment vertical="center"/>
    </xf>
    <xf numFmtId="181" fontId="25" fillId="4" borderId="28" xfId="0" applyNumberFormat="1" applyFont="1" applyFill="1" applyBorder="1" applyAlignment="1">
      <alignment vertical="center"/>
    </xf>
    <xf numFmtId="181" fontId="13" fillId="14" borderId="12" xfId="0" applyNumberFormat="1" applyFont="1" applyFill="1" applyBorder="1" applyAlignment="1">
      <alignment vertical="center"/>
    </xf>
    <xf numFmtId="182" fontId="25" fillId="12" borderId="8" xfId="0" applyNumberFormat="1" applyFont="1" applyFill="1" applyBorder="1" applyAlignment="1">
      <alignment vertical="center"/>
    </xf>
    <xf numFmtId="182" fontId="13" fillId="14" borderId="10" xfId="0" applyNumberFormat="1" applyFont="1" applyFill="1" applyBorder="1" applyAlignment="1">
      <alignment vertical="center"/>
    </xf>
    <xf numFmtId="182" fontId="27" fillId="14" borderId="10" xfId="0" applyNumberFormat="1" applyFont="1" applyFill="1" applyBorder="1" applyAlignment="1">
      <alignment horizontal="right" vertical="center"/>
    </xf>
    <xf numFmtId="182" fontId="25" fillId="4" borderId="28" xfId="0" applyNumberFormat="1" applyFont="1" applyFill="1" applyBorder="1" applyAlignment="1">
      <alignment vertical="center"/>
    </xf>
    <xf numFmtId="182" fontId="25" fillId="3" borderId="6" xfId="0" applyNumberFormat="1" applyFont="1" applyFill="1" applyBorder="1" applyAlignment="1">
      <alignment vertical="center"/>
    </xf>
    <xf numFmtId="182" fontId="25" fillId="3" borderId="7" xfId="0" applyNumberFormat="1" applyFont="1" applyFill="1" applyBorder="1" applyAlignment="1">
      <alignment vertical="center"/>
    </xf>
    <xf numFmtId="182" fontId="25" fillId="2" borderId="8" xfId="0" applyNumberFormat="1" applyFont="1" applyFill="1" applyBorder="1" applyAlignment="1">
      <alignment vertical="center"/>
    </xf>
    <xf numFmtId="182" fontId="13" fillId="3" borderId="3" xfId="0" applyNumberFormat="1" applyFont="1" applyFill="1" applyBorder="1" applyAlignment="1">
      <alignment vertical="center"/>
    </xf>
    <xf numFmtId="182" fontId="13" fillId="3" borderId="0" xfId="0" applyNumberFormat="1" applyFont="1" applyFill="1" applyBorder="1" applyAlignment="1">
      <alignment vertical="center"/>
    </xf>
    <xf numFmtId="182" fontId="13" fillId="2" borderId="10" xfId="0" applyNumberFormat="1" applyFont="1" applyFill="1" applyBorder="1" applyAlignment="1">
      <alignment vertical="center"/>
    </xf>
    <xf numFmtId="182" fontId="25" fillId="12" borderId="6" xfId="0" applyNumberFormat="1" applyFont="1" applyFill="1" applyBorder="1" applyAlignment="1">
      <alignment vertical="center"/>
    </xf>
    <xf numFmtId="182" fontId="25" fillId="12" borderId="7" xfId="0" applyNumberFormat="1" applyFont="1" applyFill="1" applyBorder="1" applyAlignment="1">
      <alignment vertical="center"/>
    </xf>
    <xf numFmtId="182" fontId="25" fillId="7" borderId="8" xfId="0" applyNumberFormat="1" applyFont="1" applyFill="1" applyBorder="1" applyAlignment="1">
      <alignment vertical="center"/>
    </xf>
    <xf numFmtId="182" fontId="25" fillId="3" borderId="15" xfId="0" applyNumberFormat="1" applyFont="1" applyFill="1" applyBorder="1" applyAlignment="1">
      <alignment vertical="center"/>
    </xf>
    <xf numFmtId="182" fontId="25" fillId="3" borderId="2" xfId="0" applyNumberFormat="1" applyFont="1" applyFill="1" applyBorder="1" applyAlignment="1">
      <alignment vertical="center"/>
    </xf>
    <xf numFmtId="182" fontId="25" fillId="2" borderId="16" xfId="0" applyNumberFormat="1" applyFont="1" applyFill="1" applyBorder="1" applyAlignment="1">
      <alignment vertical="center"/>
    </xf>
    <xf numFmtId="182" fontId="25" fillId="2" borderId="7" xfId="0" applyNumberFormat="1" applyFont="1" applyFill="1" applyBorder="1" applyAlignment="1">
      <alignment vertical="center"/>
    </xf>
    <xf numFmtId="182" fontId="13" fillId="3" borderId="0" xfId="0" applyNumberFormat="1" applyFont="1" applyFill="1" applyAlignment="1">
      <alignment vertical="center"/>
    </xf>
    <xf numFmtId="182" fontId="13" fillId="2" borderId="0" xfId="0" applyNumberFormat="1" applyFont="1" applyFill="1" applyAlignment="1">
      <alignment vertical="center"/>
    </xf>
    <xf numFmtId="182" fontId="25" fillId="7" borderId="7" xfId="0" applyNumberFormat="1" applyFont="1" applyFill="1" applyBorder="1" applyAlignment="1">
      <alignment vertical="center"/>
    </xf>
    <xf numFmtId="182" fontId="25" fillId="2" borderId="2" xfId="0" applyNumberFormat="1" applyFont="1" applyFill="1" applyBorder="1" applyAlignment="1">
      <alignment vertical="center"/>
    </xf>
    <xf numFmtId="182" fontId="13" fillId="2" borderId="0" xfId="0" applyNumberFormat="1" applyFont="1" applyFill="1" applyBorder="1" applyAlignment="1">
      <alignment vertical="center"/>
    </xf>
    <xf numFmtId="183" fontId="13" fillId="3" borderId="0" xfId="0" applyNumberFormat="1" applyFont="1" applyFill="1" applyBorder="1" applyAlignment="1">
      <alignment vertical="center"/>
    </xf>
    <xf numFmtId="183" fontId="13" fillId="3" borderId="10" xfId="0" applyNumberFormat="1" applyFont="1" applyFill="1" applyBorder="1" applyAlignment="1">
      <alignment vertical="center"/>
    </xf>
    <xf numFmtId="183" fontId="13" fillId="3" borderId="3" xfId="0" applyNumberFormat="1" applyFont="1" applyFill="1" applyBorder="1" applyAlignment="1">
      <alignment vertical="center"/>
    </xf>
    <xf numFmtId="183" fontId="13" fillId="3" borderId="0" xfId="0" applyNumberFormat="1" applyFont="1" applyFill="1" applyAlignment="1">
      <alignment vertical="center"/>
    </xf>
    <xf numFmtId="183" fontId="13" fillId="3" borderId="18" xfId="0" applyNumberFormat="1" applyFont="1" applyFill="1" applyBorder="1" applyAlignment="1">
      <alignment vertical="center"/>
    </xf>
    <xf numFmtId="182" fontId="13" fillId="0" borderId="0" xfId="0" applyNumberFormat="1" applyFont="1" applyFill="1" applyBorder="1" applyAlignment="1">
      <alignment vertical="center"/>
    </xf>
    <xf numFmtId="182" fontId="32" fillId="3" borderId="12" xfId="0" applyNumberFormat="1" applyFont="1" applyFill="1" applyBorder="1" applyAlignment="1">
      <alignment horizontal="right" vertical="center"/>
    </xf>
    <xf numFmtId="182" fontId="32" fillId="3" borderId="10" xfId="0" applyNumberFormat="1" applyFont="1" applyFill="1" applyBorder="1" applyAlignment="1">
      <alignment horizontal="right" vertical="center"/>
    </xf>
    <xf numFmtId="182" fontId="16" fillId="2" borderId="3" xfId="0" applyNumberFormat="1" applyFont="1" applyFill="1" applyBorder="1" applyAlignment="1">
      <alignment horizontal="right" vertical="center"/>
    </xf>
    <xf numFmtId="182" fontId="16" fillId="2" borderId="0" xfId="0" applyNumberFormat="1" applyFont="1" applyFill="1" applyBorder="1" applyAlignment="1">
      <alignment horizontal="right" vertical="center"/>
    </xf>
    <xf numFmtId="182" fontId="16" fillId="3" borderId="0" xfId="0" applyNumberFormat="1" applyFont="1" applyFill="1" applyBorder="1" applyAlignment="1">
      <alignment horizontal="right" vertical="center"/>
    </xf>
    <xf numFmtId="182" fontId="33" fillId="3" borderId="10" xfId="0" applyNumberFormat="1" applyFont="1" applyFill="1" applyBorder="1" applyAlignment="1">
      <alignment horizontal="right" vertical="center"/>
    </xf>
    <xf numFmtId="182" fontId="16" fillId="2" borderId="1" xfId="0" applyNumberFormat="1" applyFont="1" applyFill="1" applyBorder="1" applyAlignment="1">
      <alignment horizontal="right" vertical="center"/>
    </xf>
    <xf numFmtId="182" fontId="16" fillId="3" borderId="1" xfId="0" applyNumberFormat="1" applyFont="1" applyFill="1" applyBorder="1" applyAlignment="1">
      <alignment horizontal="right" vertical="center"/>
    </xf>
    <xf numFmtId="182" fontId="32" fillId="3" borderId="28" xfId="0" applyNumberFormat="1" applyFont="1" applyFill="1" applyBorder="1" applyAlignment="1">
      <alignment horizontal="right" vertical="center"/>
    </xf>
    <xf numFmtId="184" fontId="34" fillId="2" borderId="27" xfId="0" applyNumberFormat="1" applyFont="1" applyFill="1" applyBorder="1" applyAlignment="1">
      <alignment horizontal="right" vertical="center"/>
    </xf>
    <xf numFmtId="184" fontId="34" fillId="3" borderId="27" xfId="0" applyNumberFormat="1" applyFont="1" applyFill="1" applyBorder="1" applyAlignment="1">
      <alignment horizontal="right" vertical="center"/>
    </xf>
    <xf numFmtId="182" fontId="32" fillId="3" borderId="19" xfId="0" applyNumberFormat="1" applyFont="1" applyFill="1" applyBorder="1" applyAlignment="1">
      <alignment vertical="center"/>
    </xf>
    <xf numFmtId="182" fontId="32" fillId="3" borderId="11" xfId="0" applyNumberFormat="1" applyFont="1" applyFill="1" applyBorder="1" applyAlignment="1">
      <alignment horizontal="right" vertical="center"/>
    </xf>
    <xf numFmtId="182" fontId="32" fillId="3" borderId="0" xfId="0" applyNumberFormat="1" applyFont="1" applyFill="1" applyBorder="1" applyAlignment="1">
      <alignment horizontal="right" vertical="center"/>
    </xf>
    <xf numFmtId="182" fontId="33" fillId="3" borderId="0" xfId="0" applyNumberFormat="1" applyFont="1" applyFill="1" applyBorder="1" applyAlignment="1">
      <alignment horizontal="right" vertical="center"/>
    </xf>
    <xf numFmtId="182" fontId="32" fillId="3" borderId="27" xfId="0" applyNumberFormat="1" applyFont="1" applyFill="1" applyBorder="1" applyAlignment="1">
      <alignment horizontal="right" vertical="center"/>
    </xf>
    <xf numFmtId="182" fontId="32" fillId="3" borderId="19" xfId="0" applyNumberFormat="1" applyFont="1" applyFill="1" applyBorder="1" applyAlignment="1">
      <alignment horizontal="right" vertical="center"/>
    </xf>
    <xf numFmtId="182" fontId="32" fillId="3" borderId="10" xfId="0" applyNumberFormat="1" applyFont="1" applyFill="1" applyBorder="1" applyAlignment="1">
      <alignment horizontal="right" vertical="center" wrapText="1"/>
    </xf>
    <xf numFmtId="182" fontId="33" fillId="3" borderId="10" xfId="0" applyNumberFormat="1" applyFont="1" applyFill="1" applyBorder="1" applyAlignment="1">
      <alignment horizontal="right" vertical="center" wrapText="1"/>
    </xf>
    <xf numFmtId="182" fontId="16" fillId="2" borderId="3" xfId="0" applyNumberFormat="1" applyFont="1" applyFill="1" applyBorder="1" applyAlignment="1">
      <alignment horizontal="right" vertical="center" wrapText="1"/>
    </xf>
    <xf numFmtId="182" fontId="16" fillId="2" borderId="0" xfId="0" applyNumberFormat="1" applyFont="1" applyFill="1" applyBorder="1" applyAlignment="1">
      <alignment horizontal="right" vertical="center" wrapText="1"/>
    </xf>
    <xf numFmtId="182" fontId="16" fillId="3" borderId="0" xfId="0" applyNumberFormat="1" applyFont="1" applyFill="1" applyBorder="1" applyAlignment="1">
      <alignment horizontal="right" vertical="center" wrapText="1"/>
    </xf>
    <xf numFmtId="182" fontId="32" fillId="3" borderId="16" xfId="0" applyNumberFormat="1" applyFont="1" applyFill="1" applyBorder="1" applyAlignment="1">
      <alignment horizontal="right" vertical="center" wrapText="1"/>
    </xf>
    <xf numFmtId="182" fontId="32" fillId="3" borderId="12" xfId="0" applyNumberFormat="1" applyFont="1" applyFill="1" applyBorder="1" applyAlignment="1">
      <alignment horizontal="right" vertical="center" wrapText="1"/>
    </xf>
    <xf numFmtId="182" fontId="34" fillId="2" borderId="0" xfId="0" applyNumberFormat="1" applyFont="1" applyFill="1" applyBorder="1" applyAlignment="1">
      <alignment vertical="center"/>
    </xf>
    <xf numFmtId="182" fontId="34" fillId="3" borderId="0" xfId="0" applyNumberFormat="1" applyFont="1" applyFill="1" applyBorder="1" applyAlignment="1">
      <alignment vertical="center"/>
    </xf>
    <xf numFmtId="182" fontId="32" fillId="3" borderId="19" xfId="0" applyNumberFormat="1" applyFont="1" applyFill="1" applyBorder="1" applyAlignment="1">
      <alignment horizontal="right" vertical="center" wrapText="1"/>
    </xf>
    <xf numFmtId="182" fontId="32" fillId="3" borderId="28" xfId="0" applyNumberFormat="1" applyFont="1" applyFill="1" applyBorder="1" applyAlignment="1">
      <alignment horizontal="right" vertical="center" wrapText="1"/>
    </xf>
    <xf numFmtId="181" fontId="13" fillId="3" borderId="0" xfId="0" applyNumberFormat="1" applyFont="1" applyFill="1" applyBorder="1" applyAlignment="1">
      <alignment vertical="center"/>
    </xf>
    <xf numFmtId="181" fontId="38" fillId="3" borderId="0" xfId="1" applyNumberFormat="1" applyFont="1" applyFill="1" applyBorder="1" applyAlignment="1">
      <alignment horizontal="right" vertical="center"/>
    </xf>
    <xf numFmtId="181" fontId="40" fillId="3" borderId="0" xfId="0" applyNumberFormat="1" applyFont="1" applyFill="1" applyBorder="1" applyAlignment="1">
      <alignment vertical="center"/>
    </xf>
    <xf numFmtId="181" fontId="13" fillId="3" borderId="18" xfId="0" applyNumberFormat="1" applyFont="1" applyFill="1" applyBorder="1" applyAlignment="1">
      <alignment vertical="center"/>
    </xf>
    <xf numFmtId="181" fontId="25" fillId="12" borderId="7" xfId="0" applyNumberFormat="1" applyFont="1" applyFill="1" applyBorder="1" applyAlignment="1">
      <alignment vertical="center"/>
    </xf>
    <xf numFmtId="181" fontId="13" fillId="3" borderId="11" xfId="0" applyNumberFormat="1" applyFont="1" applyFill="1" applyBorder="1" applyAlignment="1">
      <alignment vertical="center"/>
    </xf>
    <xf numFmtId="181" fontId="25" fillId="4" borderId="27" xfId="0" applyNumberFormat="1" applyFont="1" applyFill="1" applyBorder="1" applyAlignment="1">
      <alignment vertical="center"/>
    </xf>
    <xf numFmtId="181" fontId="13" fillId="3" borderId="7" xfId="0" applyNumberFormat="1" applyFont="1" applyFill="1" applyBorder="1"/>
    <xf numFmtId="181" fontId="38" fillId="3" borderId="0" xfId="0" applyNumberFormat="1" applyFont="1" applyFill="1" applyBorder="1" applyAlignment="1">
      <alignment horizontal="right" vertical="center"/>
    </xf>
    <xf numFmtId="181" fontId="13" fillId="3" borderId="0" xfId="0" applyNumberFormat="1" applyFont="1" applyFill="1" applyBorder="1" applyAlignment="1">
      <alignment horizontal="right" vertical="center"/>
    </xf>
    <xf numFmtId="181" fontId="41" fillId="3" borderId="0" xfId="0" applyNumberFormat="1" applyFont="1" applyFill="1" applyBorder="1" applyAlignment="1">
      <alignment horizontal="right" vertical="center"/>
    </xf>
    <xf numFmtId="181" fontId="27" fillId="3" borderId="0" xfId="0" applyNumberFormat="1" applyFont="1" applyFill="1" applyBorder="1" applyAlignment="1">
      <alignment horizontal="right" vertical="center"/>
    </xf>
    <xf numFmtId="0" fontId="6" fillId="3" borderId="22" xfId="0" applyFont="1" applyFill="1" applyBorder="1"/>
    <xf numFmtId="0" fontId="6" fillId="3" borderId="23" xfId="0" applyFont="1" applyFill="1" applyBorder="1"/>
    <xf numFmtId="168" fontId="7" fillId="2" borderId="3" xfId="0" applyNumberFormat="1" applyFont="1" applyFill="1" applyBorder="1" applyAlignment="1">
      <alignment horizontal="right" wrapText="1" indent="1"/>
    </xf>
    <xf numFmtId="0" fontId="60" fillId="3" borderId="0" xfId="0" applyFont="1" applyFill="1"/>
    <xf numFmtId="0" fontId="28" fillId="4" borderId="2" xfId="0" applyFont="1" applyFill="1" applyBorder="1" applyAlignment="1">
      <alignment horizontal="right" vertical="center"/>
    </xf>
    <xf numFmtId="170" fontId="28" fillId="6" borderId="7" xfId="0" applyNumberFormat="1" applyFont="1" applyFill="1" applyBorder="1" applyAlignment="1">
      <alignment vertical="center"/>
    </xf>
    <xf numFmtId="170" fontId="60" fillId="3" borderId="0" xfId="0" applyNumberFormat="1" applyFont="1" applyFill="1" applyBorder="1" applyAlignment="1">
      <alignment horizontal="right" vertical="center"/>
    </xf>
    <xf numFmtId="176" fontId="28" fillId="6" borderId="7" xfId="0" applyNumberFormat="1" applyFont="1" applyFill="1" applyBorder="1" applyAlignment="1">
      <alignment vertical="center"/>
    </xf>
    <xf numFmtId="176" fontId="60" fillId="3" borderId="0" xfId="0" applyNumberFormat="1" applyFont="1" applyFill="1" applyBorder="1" applyAlignment="1">
      <alignment horizontal="right" vertical="center"/>
    </xf>
    <xf numFmtId="179" fontId="28" fillId="3" borderId="0" xfId="0" applyNumberFormat="1" applyFont="1" applyFill="1" applyBorder="1" applyAlignment="1">
      <alignment vertical="center"/>
    </xf>
    <xf numFmtId="0" fontId="60" fillId="3" borderId="0" xfId="0" applyFont="1" applyFill="1" applyBorder="1" applyAlignment="1">
      <alignment horizontal="right" vertical="center"/>
    </xf>
    <xf numFmtId="0" fontId="60" fillId="3" borderId="0" xfId="0" applyFont="1" applyFill="1" applyAlignment="1">
      <alignment vertical="center"/>
    </xf>
    <xf numFmtId="0" fontId="60" fillId="0" borderId="0" xfId="0" applyFont="1" applyAlignment="1">
      <alignment vertical="center"/>
    </xf>
    <xf numFmtId="172" fontId="13" fillId="14" borderId="10" xfId="0" applyNumberFormat="1" applyFont="1" applyFill="1" applyBorder="1" applyAlignment="1">
      <alignment horizontal="right" vertical="center"/>
    </xf>
    <xf numFmtId="172" fontId="13" fillId="14" borderId="0" xfId="0" applyNumberFormat="1" applyFont="1" applyFill="1" applyBorder="1" applyAlignment="1">
      <alignment horizontal="right" vertical="center"/>
    </xf>
    <xf numFmtId="172" fontId="13" fillId="3" borderId="3" xfId="0" applyNumberFormat="1" applyFont="1" applyFill="1" applyBorder="1" applyAlignment="1">
      <alignment horizontal="right" vertical="center"/>
    </xf>
    <xf numFmtId="172" fontId="25" fillId="12" borderId="6" xfId="0" applyNumberFormat="1" applyFont="1" applyFill="1" applyBorder="1" applyAlignment="1">
      <alignment vertical="center"/>
    </xf>
    <xf numFmtId="172" fontId="25" fillId="13" borderId="27" xfId="0" applyNumberFormat="1" applyFont="1" applyFill="1" applyBorder="1" applyAlignment="1">
      <alignment vertical="center"/>
    </xf>
    <xf numFmtId="172" fontId="25" fillId="4" borderId="26" xfId="0" applyNumberFormat="1" applyFont="1" applyFill="1" applyBorder="1" applyAlignment="1">
      <alignment vertical="center"/>
    </xf>
    <xf numFmtId="166" fontId="13" fillId="3" borderId="0" xfId="0" applyNumberFormat="1" applyFont="1" applyFill="1" applyBorder="1" applyAlignment="1">
      <alignment horizontal="right" vertical="center"/>
    </xf>
    <xf numFmtId="166" fontId="13" fillId="14" borderId="10" xfId="0" applyNumberFormat="1" applyFont="1" applyFill="1" applyBorder="1" applyAlignment="1">
      <alignment horizontal="right" vertical="center"/>
    </xf>
    <xf numFmtId="166" fontId="13" fillId="14" borderId="0" xfId="0" applyNumberFormat="1" applyFont="1" applyFill="1" applyBorder="1" applyAlignment="1">
      <alignment horizontal="right" vertical="center"/>
    </xf>
    <xf numFmtId="166" fontId="13" fillId="3" borderId="3" xfId="0" applyNumberFormat="1" applyFont="1" applyFill="1" applyBorder="1" applyAlignment="1">
      <alignment horizontal="right" vertical="center"/>
    </xf>
    <xf numFmtId="166" fontId="13" fillId="3" borderId="11" xfId="0" applyNumberFormat="1" applyFont="1" applyFill="1" applyBorder="1" applyAlignment="1">
      <alignment horizontal="right" vertical="center"/>
    </xf>
    <xf numFmtId="166" fontId="13" fillId="14" borderId="12" xfId="0" applyNumberFormat="1" applyFont="1" applyFill="1" applyBorder="1" applyAlignment="1">
      <alignment horizontal="right" vertical="center"/>
    </xf>
    <xf numFmtId="166" fontId="13" fillId="14" borderId="11" xfId="0" applyNumberFormat="1" applyFont="1" applyFill="1" applyBorder="1" applyAlignment="1">
      <alignment horizontal="right" vertical="center"/>
    </xf>
    <xf numFmtId="166" fontId="13" fillId="3" borderId="4" xfId="0" applyNumberFormat="1" applyFont="1" applyFill="1" applyBorder="1" applyAlignment="1">
      <alignment horizontal="right" vertical="center"/>
    </xf>
    <xf numFmtId="185" fontId="13" fillId="3" borderId="0" xfId="0" applyNumberFormat="1" applyFont="1" applyFill="1" applyBorder="1" applyAlignment="1">
      <alignment horizontal="right" vertical="center"/>
    </xf>
    <xf numFmtId="166" fontId="13" fillId="3" borderId="0" xfId="0" applyNumberFormat="1" applyFont="1" applyFill="1" applyBorder="1" applyAlignment="1">
      <alignment vertical="center"/>
    </xf>
    <xf numFmtId="166" fontId="13" fillId="14" borderId="10" xfId="0" applyNumberFormat="1" applyFont="1" applyFill="1" applyBorder="1" applyAlignment="1">
      <alignment vertical="center"/>
    </xf>
    <xf numFmtId="167" fontId="25" fillId="3" borderId="0" xfId="0" applyNumberFormat="1" applyFont="1" applyFill="1" applyBorder="1" applyAlignment="1">
      <alignment vertical="center"/>
    </xf>
    <xf numFmtId="167" fontId="25" fillId="14" borderId="0" xfId="0" applyNumberFormat="1" applyFont="1" applyFill="1" applyBorder="1" applyAlignment="1">
      <alignment vertical="center"/>
    </xf>
    <xf numFmtId="167" fontId="25" fillId="3" borderId="3" xfId="0" applyNumberFormat="1" applyFont="1" applyFill="1" applyBorder="1" applyAlignment="1">
      <alignment vertical="center"/>
    </xf>
    <xf numFmtId="182" fontId="25" fillId="3" borderId="8" xfId="0" applyNumberFormat="1" applyFont="1" applyFill="1" applyBorder="1" applyAlignment="1">
      <alignment vertical="center"/>
    </xf>
    <xf numFmtId="182" fontId="25" fillId="3" borderId="7" xfId="0" applyNumberFormat="1" applyFont="1" applyFill="1" applyBorder="1" applyAlignment="1">
      <alignment horizontal="right" vertical="center"/>
    </xf>
    <xf numFmtId="182" fontId="13" fillId="3" borderId="10" xfId="0" applyNumberFormat="1" applyFont="1" applyFill="1" applyBorder="1" applyAlignment="1">
      <alignment vertical="center"/>
    </xf>
    <xf numFmtId="182" fontId="25" fillId="3" borderId="16" xfId="0" applyNumberFormat="1" applyFont="1" applyFill="1" applyBorder="1" applyAlignment="1">
      <alignment vertical="center"/>
    </xf>
    <xf numFmtId="168" fontId="22" fillId="2" borderId="0" xfId="6" applyNumberFormat="1" applyFont="1" applyFill="1" applyBorder="1" applyAlignment="1">
      <alignment horizontal="right" vertical="center" wrapText="1"/>
    </xf>
    <xf numFmtId="3" fontId="50" fillId="3" borderId="0" xfId="6" applyNumberFormat="1" applyFont="1" applyFill="1" applyBorder="1" applyAlignment="1">
      <alignment horizontal="right" vertical="center" wrapText="1"/>
    </xf>
    <xf numFmtId="3" fontId="22" fillId="3" borderId="0" xfId="6" applyNumberFormat="1" applyFont="1" applyFill="1" applyBorder="1" applyAlignment="1">
      <alignment horizontal="right" vertical="center" wrapText="1"/>
    </xf>
    <xf numFmtId="0" fontId="44" fillId="11" borderId="7" xfId="0" applyFont="1" applyFill="1" applyBorder="1" applyAlignment="1">
      <alignment horizontal="center" vertical="center"/>
    </xf>
    <xf numFmtId="182" fontId="13" fillId="3" borderId="0" xfId="0" applyNumberFormat="1" applyFont="1" applyFill="1" applyBorder="1" applyAlignment="1">
      <alignment horizontal="right" vertical="center"/>
    </xf>
    <xf numFmtId="186" fontId="13" fillId="14" borderId="10" xfId="0" applyNumberFormat="1" applyFont="1" applyFill="1" applyBorder="1" applyAlignment="1">
      <alignment horizontal="right" vertical="center"/>
    </xf>
    <xf numFmtId="182" fontId="27" fillId="3" borderId="3" xfId="0" applyNumberFormat="1" applyFont="1" applyFill="1" applyBorder="1" applyAlignment="1">
      <alignment horizontal="right" vertical="center"/>
    </xf>
    <xf numFmtId="182" fontId="27" fillId="3" borderId="0" xfId="0" applyNumberFormat="1" applyFont="1" applyFill="1" applyBorder="1" applyAlignment="1">
      <alignment horizontal="right" vertical="center"/>
    </xf>
    <xf numFmtId="182" fontId="60" fillId="3" borderId="0" xfId="0" applyNumberFormat="1" applyFont="1" applyFill="1" applyBorder="1" applyAlignment="1">
      <alignment horizontal="right" vertical="center"/>
    </xf>
    <xf numFmtId="10" fontId="5" fillId="3" borderId="0" xfId="0" applyNumberFormat="1" applyFont="1" applyFill="1" applyAlignment="1">
      <alignment horizontal="right" vertical="center" wrapText="1" indent="1"/>
    </xf>
    <xf numFmtId="168" fontId="5" fillId="2" borderId="5" xfId="0" applyNumberFormat="1" applyFont="1" applyFill="1" applyBorder="1" applyAlignment="1">
      <alignment horizontal="right" wrapText="1" indent="1"/>
    </xf>
    <xf numFmtId="168" fontId="5" fillId="3" borderId="0" xfId="0" applyNumberFormat="1" applyFont="1" applyFill="1" applyBorder="1" applyAlignment="1">
      <alignment horizontal="right" wrapText="1" indent="1"/>
    </xf>
    <xf numFmtId="168" fontId="5" fillId="3" borderId="18" xfId="0" applyNumberFormat="1" applyFont="1" applyFill="1" applyBorder="1" applyAlignment="1">
      <alignment horizontal="right" wrapText="1" indent="1"/>
    </xf>
    <xf numFmtId="3" fontId="45" fillId="18" borderId="8" xfId="0" applyNumberFormat="1" applyFont="1" applyFill="1" applyBorder="1" applyAlignment="1">
      <alignment horizontal="right" vertical="center" wrapText="1"/>
    </xf>
    <xf numFmtId="0" fontId="61" fillId="3" borderId="0" xfId="0" applyFont="1" applyFill="1" applyAlignment="1">
      <alignment vertical="center"/>
    </xf>
    <xf numFmtId="0" fontId="13" fillId="3" borderId="0" xfId="0" applyFont="1" applyFill="1" applyBorder="1" applyAlignment="1">
      <alignment horizontal="right" vertical="center"/>
    </xf>
    <xf numFmtId="0" fontId="62" fillId="3" borderId="0" xfId="0" applyFont="1" applyFill="1"/>
    <xf numFmtId="0" fontId="4" fillId="3" borderId="0" xfId="0" applyFont="1" applyFill="1"/>
    <xf numFmtId="0" fontId="63" fillId="3" borderId="4" xfId="0" applyFont="1" applyFill="1" applyBorder="1" applyAlignment="1">
      <alignment vertical="center" wrapText="1"/>
    </xf>
    <xf numFmtId="0" fontId="63" fillId="3" borderId="5" xfId="0" applyFont="1" applyFill="1" applyBorder="1" applyAlignment="1">
      <alignment vertical="center" wrapText="1"/>
    </xf>
    <xf numFmtId="0" fontId="25" fillId="4" borderId="2" xfId="0" applyFont="1" applyFill="1" applyBorder="1" applyAlignment="1">
      <alignment horizontal="right" vertical="center"/>
    </xf>
    <xf numFmtId="0" fontId="25" fillId="8" borderId="2" xfId="0" applyFont="1" applyFill="1" applyBorder="1" applyAlignment="1">
      <alignment horizontal="right" vertical="center"/>
    </xf>
    <xf numFmtId="0" fontId="25" fillId="4" borderId="15" xfId="0" applyFont="1" applyFill="1" applyBorder="1" applyAlignment="1">
      <alignment horizontal="right" vertical="center"/>
    </xf>
    <xf numFmtId="0" fontId="25" fillId="8" borderId="16" xfId="0" applyFont="1" applyFill="1" applyBorder="1" applyAlignment="1">
      <alignment horizontal="right" vertical="center"/>
    </xf>
    <xf numFmtId="0" fontId="65" fillId="6" borderId="6" xfId="0" applyFont="1" applyFill="1" applyBorder="1" applyAlignment="1">
      <alignment vertical="center" wrapText="1"/>
    </xf>
    <xf numFmtId="170" fontId="25" fillId="6" borderId="7" xfId="0" applyNumberFormat="1" applyFont="1" applyFill="1" applyBorder="1" applyAlignment="1">
      <alignment vertical="center"/>
    </xf>
    <xf numFmtId="170" fontId="25" fillId="9" borderId="7" xfId="0" applyNumberFormat="1" applyFont="1" applyFill="1" applyBorder="1" applyAlignment="1">
      <alignment horizontal="right" vertical="center"/>
    </xf>
    <xf numFmtId="170" fontId="25" fillId="6" borderId="6" xfId="0" applyNumberFormat="1" applyFont="1" applyFill="1" applyBorder="1" applyAlignment="1">
      <alignment vertical="center"/>
    </xf>
    <xf numFmtId="170" fontId="25" fillId="9" borderId="8" xfId="0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left" vertical="center" wrapText="1"/>
    </xf>
    <xf numFmtId="170" fontId="13" fillId="0" borderId="0" xfId="0" applyNumberFormat="1" applyFont="1" applyFill="1" applyBorder="1" applyAlignment="1">
      <alignment horizontal="right" vertical="center"/>
    </xf>
    <xf numFmtId="170" fontId="13" fillId="9" borderId="0" xfId="0" applyNumberFormat="1" applyFont="1" applyFill="1" applyBorder="1" applyAlignment="1">
      <alignment horizontal="right" vertical="center"/>
    </xf>
    <xf numFmtId="170" fontId="13" fillId="0" borderId="3" xfId="0" applyNumberFormat="1" applyFont="1" applyFill="1" applyBorder="1" applyAlignment="1">
      <alignment horizontal="right" vertical="center"/>
    </xf>
    <xf numFmtId="170" fontId="13" fillId="9" borderId="10" xfId="0" applyNumberFormat="1" applyFont="1" applyFill="1" applyBorder="1" applyAlignment="1">
      <alignment horizontal="right" vertical="center"/>
    </xf>
    <xf numFmtId="180" fontId="66" fillId="0" borderId="0" xfId="0" applyNumberFormat="1" applyFont="1" applyFill="1" applyAlignment="1">
      <alignment horizontal="right" vertical="center"/>
    </xf>
    <xf numFmtId="170" fontId="13" fillId="3" borderId="0" xfId="0" applyNumberFormat="1" applyFont="1" applyFill="1" applyBorder="1" applyAlignment="1">
      <alignment horizontal="right" vertical="center"/>
    </xf>
    <xf numFmtId="175" fontId="66" fillId="0" borderId="0" xfId="0" applyNumberFormat="1" applyFont="1" applyFill="1" applyAlignment="1">
      <alignment horizontal="right" vertical="center"/>
    </xf>
    <xf numFmtId="176" fontId="25" fillId="6" borderId="7" xfId="0" applyNumberFormat="1" applyFont="1" applyFill="1" applyBorder="1" applyAlignment="1">
      <alignment vertical="center"/>
    </xf>
    <xf numFmtId="176" fontId="25" fillId="7" borderId="7" xfId="0" applyNumberFormat="1" applyFont="1" applyFill="1" applyBorder="1" applyAlignment="1">
      <alignment vertical="center"/>
    </xf>
    <xf numFmtId="176" fontId="25" fillId="6" borderId="6" xfId="0" applyNumberFormat="1" applyFont="1" applyFill="1" applyBorder="1" applyAlignment="1">
      <alignment vertical="center"/>
    </xf>
    <xf numFmtId="176" fontId="25" fillId="7" borderId="8" xfId="0" applyNumberFormat="1" applyFont="1" applyFill="1" applyBorder="1" applyAlignment="1">
      <alignment vertical="center"/>
    </xf>
    <xf numFmtId="0" fontId="25" fillId="0" borderId="0" xfId="0" applyFont="1"/>
    <xf numFmtId="176" fontId="13" fillId="0" borderId="0" xfId="0" applyNumberFormat="1" applyFont="1" applyFill="1" applyBorder="1" applyAlignment="1">
      <alignment horizontal="right" vertical="center"/>
    </xf>
    <xf numFmtId="176" fontId="13" fillId="9" borderId="0" xfId="0" applyNumberFormat="1" applyFont="1" applyFill="1" applyBorder="1" applyAlignment="1">
      <alignment horizontal="right" vertical="center"/>
    </xf>
    <xf numFmtId="176" fontId="13" fillId="0" borderId="3" xfId="0" applyNumberFormat="1" applyFont="1" applyFill="1" applyBorder="1" applyAlignment="1">
      <alignment horizontal="right" vertical="center"/>
    </xf>
    <xf numFmtId="176" fontId="13" fillId="9" borderId="10" xfId="0" applyNumberFormat="1" applyFont="1" applyFill="1" applyBorder="1" applyAlignment="1">
      <alignment horizontal="right" vertical="center"/>
    </xf>
    <xf numFmtId="176" fontId="13" fillId="3" borderId="0" xfId="0" applyNumberFormat="1" applyFont="1" applyFill="1" applyBorder="1" applyAlignment="1">
      <alignment horizontal="right" vertical="center"/>
    </xf>
    <xf numFmtId="0" fontId="25" fillId="0" borderId="0" xfId="0" applyFont="1" applyFill="1"/>
    <xf numFmtId="170" fontId="25" fillId="7" borderId="7" xfId="0" applyNumberFormat="1" applyFont="1" applyFill="1" applyBorder="1" applyAlignment="1">
      <alignment horizontal="right" vertical="center"/>
    </xf>
    <xf numFmtId="170" fontId="25" fillId="7" borderId="8" xfId="0" applyNumberFormat="1" applyFont="1" applyFill="1" applyBorder="1" applyAlignment="1">
      <alignment horizontal="right" vertical="center"/>
    </xf>
    <xf numFmtId="182" fontId="13" fillId="9" borderId="10" xfId="0" applyNumberFormat="1" applyFont="1" applyFill="1" applyBorder="1" applyAlignment="1">
      <alignment horizontal="right" vertical="center"/>
    </xf>
    <xf numFmtId="175" fontId="38" fillId="0" borderId="0" xfId="0" applyNumberFormat="1" applyFont="1" applyFill="1" applyAlignment="1">
      <alignment horizontal="right" vertical="center"/>
    </xf>
    <xf numFmtId="0" fontId="65" fillId="0" borderId="3" xfId="0" applyFont="1" applyBorder="1" applyAlignment="1">
      <alignment vertical="center"/>
    </xf>
    <xf numFmtId="179" fontId="25" fillId="0" borderId="0" xfId="0" applyNumberFormat="1" applyFont="1" applyFill="1" applyBorder="1" applyAlignment="1">
      <alignment horizontal="right" vertical="center"/>
    </xf>
    <xf numFmtId="179" fontId="25" fillId="9" borderId="0" xfId="0" applyNumberFormat="1" applyFont="1" applyFill="1" applyBorder="1" applyAlignment="1">
      <alignment horizontal="right" vertical="center"/>
    </xf>
    <xf numFmtId="179" fontId="13" fillId="0" borderId="3" xfId="0" applyNumberFormat="1" applyFont="1" applyFill="1" applyBorder="1" applyAlignment="1">
      <alignment horizontal="right" vertical="center"/>
    </xf>
    <xf numFmtId="179" fontId="25" fillId="0" borderId="3" xfId="0" applyNumberFormat="1" applyFont="1" applyFill="1" applyBorder="1" applyAlignment="1">
      <alignment horizontal="right" vertical="center"/>
    </xf>
    <xf numFmtId="179" fontId="25" fillId="9" borderId="10" xfId="0" applyNumberFormat="1" applyFont="1" applyFill="1" applyBorder="1" applyAlignment="1">
      <alignment horizontal="right" vertical="center"/>
    </xf>
    <xf numFmtId="179" fontId="41" fillId="0" borderId="0" xfId="0" applyNumberFormat="1" applyFont="1" applyFill="1" applyAlignment="1">
      <alignment horizontal="right" vertical="center"/>
    </xf>
    <xf numFmtId="179" fontId="25" fillId="3" borderId="0" xfId="0" applyNumberFormat="1" applyFont="1" applyFill="1" applyBorder="1" applyAlignment="1">
      <alignment horizontal="right" vertical="center"/>
    </xf>
    <xf numFmtId="0" fontId="13" fillId="3" borderId="5" xfId="0" applyFont="1" applyFill="1" applyBorder="1" applyAlignment="1">
      <alignment vertical="center"/>
    </xf>
    <xf numFmtId="176" fontId="13" fillId="9" borderId="19" xfId="0" applyNumberFormat="1" applyFont="1" applyFill="1" applyBorder="1" applyAlignment="1">
      <alignment horizontal="right" vertical="center"/>
    </xf>
    <xf numFmtId="0" fontId="65" fillId="6" borderId="4" xfId="0" applyFont="1" applyFill="1" applyBorder="1" applyAlignment="1">
      <alignment vertical="center" wrapText="1"/>
    </xf>
    <xf numFmtId="0" fontId="65" fillId="6" borderId="11" xfId="0" applyFont="1" applyFill="1" applyBorder="1" applyAlignment="1">
      <alignment vertical="center" wrapText="1"/>
    </xf>
    <xf numFmtId="169" fontId="65" fillId="10" borderId="11" xfId="0" applyNumberFormat="1" applyFont="1" applyFill="1" applyBorder="1" applyAlignment="1">
      <alignment vertical="center" wrapText="1"/>
    </xf>
    <xf numFmtId="169" fontId="65" fillId="10" borderId="12" xfId="0" applyNumberFormat="1" applyFont="1" applyFill="1" applyBorder="1" applyAlignment="1">
      <alignment vertical="center" wrapText="1"/>
    </xf>
    <xf numFmtId="166" fontId="65" fillId="6" borderId="11" xfId="0" applyNumberFormat="1" applyFont="1" applyFill="1" applyBorder="1" applyAlignment="1">
      <alignment vertical="center" wrapText="1"/>
    </xf>
    <xf numFmtId="0" fontId="65" fillId="6" borderId="5" xfId="0" applyFont="1" applyFill="1" applyBorder="1" applyAlignment="1">
      <alignment vertical="center" wrapText="1"/>
    </xf>
    <xf numFmtId="168" fontId="65" fillId="6" borderId="5" xfId="2" applyNumberFormat="1" applyFont="1" applyFill="1" applyBorder="1" applyAlignment="1">
      <alignment vertical="center" wrapText="1"/>
    </xf>
    <xf numFmtId="168" fontId="65" fillId="6" borderId="18" xfId="2" applyNumberFormat="1" applyFont="1" applyFill="1" applyBorder="1" applyAlignment="1">
      <alignment vertical="center" wrapText="1"/>
    </xf>
    <xf numFmtId="168" fontId="65" fillId="10" borderId="19" xfId="2" applyNumberFormat="1" applyFont="1" applyFill="1" applyBorder="1" applyAlignment="1">
      <alignment vertical="center" wrapText="1"/>
    </xf>
    <xf numFmtId="168" fontId="65" fillId="10" borderId="18" xfId="2" applyNumberFormat="1" applyFont="1" applyFill="1" applyBorder="1" applyAlignment="1">
      <alignment vertical="center" wrapText="1"/>
    </xf>
    <xf numFmtId="168" fontId="26" fillId="6" borderId="18" xfId="2" applyNumberFormat="1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182" fontId="27" fillId="2" borderId="10" xfId="0" applyNumberFormat="1" applyFont="1" applyFill="1" applyBorder="1" applyAlignment="1">
      <alignment horizontal="right" vertical="center"/>
    </xf>
    <xf numFmtId="10" fontId="4" fillId="2" borderId="0" xfId="0" applyNumberFormat="1" applyFont="1" applyFill="1" applyAlignment="1">
      <alignment horizontal="right" vertical="center" wrapText="1" indent="1"/>
    </xf>
    <xf numFmtId="10" fontId="4" fillId="3" borderId="0" xfId="0" applyNumberFormat="1" applyFont="1" applyFill="1" applyAlignment="1">
      <alignment horizontal="right" vertical="center" wrapText="1" indent="1"/>
    </xf>
    <xf numFmtId="176" fontId="25" fillId="7" borderId="7" xfId="0" applyNumberFormat="1" applyFont="1" applyFill="1" applyBorder="1" applyAlignment="1">
      <alignment horizontal="right" vertical="center"/>
    </xf>
    <xf numFmtId="176" fontId="25" fillId="7" borderId="8" xfId="0" applyNumberFormat="1" applyFont="1" applyFill="1" applyBorder="1" applyAlignment="1">
      <alignment horizontal="right" vertical="center"/>
    </xf>
    <xf numFmtId="176" fontId="25" fillId="12" borderId="7" xfId="0" applyNumberFormat="1" applyFont="1" applyFill="1" applyBorder="1" applyAlignment="1">
      <alignment vertical="center"/>
    </xf>
    <xf numFmtId="182" fontId="28" fillId="12" borderId="7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vertical="center" wrapText="1"/>
    </xf>
    <xf numFmtId="182" fontId="40" fillId="14" borderId="10" xfId="0" applyNumberFormat="1" applyFont="1" applyFill="1" applyBorder="1" applyAlignment="1">
      <alignment vertical="center"/>
    </xf>
    <xf numFmtId="0" fontId="35" fillId="3" borderId="0" xfId="0" applyFont="1" applyFill="1" applyAlignment="1">
      <alignment horizontal="left"/>
    </xf>
    <xf numFmtId="0" fontId="35" fillId="3" borderId="0" xfId="0" applyFont="1" applyFill="1" applyAlignment="1">
      <alignment horizontal="left" vertical="top"/>
    </xf>
    <xf numFmtId="0" fontId="3" fillId="3" borderId="0" xfId="0" applyFont="1" applyFill="1"/>
    <xf numFmtId="0" fontId="3" fillId="0" borderId="0" xfId="0" applyFont="1"/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" fillId="3" borderId="22" xfId="0" applyFont="1" applyFill="1" applyBorder="1" applyAlignment="1">
      <alignment vertical="center" wrapText="1"/>
    </xf>
    <xf numFmtId="182" fontId="3" fillId="2" borderId="3" xfId="0" applyNumberFormat="1" applyFont="1" applyFill="1" applyBorder="1" applyAlignment="1">
      <alignment horizontal="right" vertical="center"/>
    </xf>
    <xf numFmtId="182" fontId="3" fillId="2" borderId="11" xfId="0" applyNumberFormat="1" applyFont="1" applyFill="1" applyBorder="1" applyAlignment="1">
      <alignment horizontal="right" vertical="center"/>
    </xf>
    <xf numFmtId="182" fontId="3" fillId="3" borderId="11" xfId="0" applyNumberFormat="1" applyFont="1" applyFill="1" applyBorder="1" applyAlignment="1">
      <alignment horizontal="right" vertical="center"/>
    </xf>
    <xf numFmtId="169" fontId="3" fillId="2" borderId="11" xfId="0" applyNumberFormat="1" applyFont="1" applyFill="1" applyBorder="1" applyAlignment="1">
      <alignment horizontal="right" vertical="center"/>
    </xf>
    <xf numFmtId="169" fontId="3" fillId="3" borderId="11" xfId="0" applyNumberFormat="1" applyFont="1" applyFill="1" applyBorder="1" applyAlignment="1">
      <alignment horizontal="right" vertical="center"/>
    </xf>
    <xf numFmtId="182" fontId="3" fillId="2" borderId="3" xfId="0" applyNumberFormat="1" applyFont="1" applyFill="1" applyBorder="1" applyAlignment="1">
      <alignment horizontal="right" vertical="center" wrapText="1"/>
    </xf>
    <xf numFmtId="182" fontId="3" fillId="2" borderId="0" xfId="0" applyNumberFormat="1" applyFont="1" applyFill="1" applyBorder="1" applyAlignment="1">
      <alignment horizontal="right" vertical="center" wrapText="1"/>
    </xf>
    <xf numFmtId="182" fontId="3" fillId="3" borderId="0" xfId="0" applyNumberFormat="1" applyFont="1" applyFill="1" applyBorder="1" applyAlignment="1">
      <alignment horizontal="right" vertical="center" wrapText="1"/>
    </xf>
    <xf numFmtId="182" fontId="3" fillId="2" borderId="11" xfId="0" applyNumberFormat="1" applyFont="1" applyFill="1" applyBorder="1" applyAlignment="1">
      <alignment horizontal="right" vertical="center" wrapText="1"/>
    </xf>
    <xf numFmtId="182" fontId="3" fillId="3" borderId="11" xfId="0" applyNumberFormat="1" applyFont="1" applyFill="1" applyBorder="1" applyAlignment="1">
      <alignment horizontal="right" vertical="center" wrapText="1"/>
    </xf>
    <xf numFmtId="3" fontId="3" fillId="3" borderId="0" xfId="0" applyNumberFormat="1" applyFont="1" applyFill="1" applyBorder="1" applyAlignment="1">
      <alignment horizontal="right" vertical="center" wrapText="1"/>
    </xf>
    <xf numFmtId="0" fontId="3" fillId="3" borderId="23" xfId="0" applyFont="1" applyFill="1" applyBorder="1" applyAlignment="1">
      <alignment vertical="center" wrapText="1"/>
    </xf>
    <xf numFmtId="182" fontId="3" fillId="2" borderId="0" xfId="0" applyNumberFormat="1" applyFont="1" applyFill="1" applyBorder="1" applyAlignment="1">
      <alignment horizontal="right" vertical="center"/>
    </xf>
    <xf numFmtId="182" fontId="3" fillId="3" borderId="0" xfId="0" applyNumberFormat="1" applyFont="1" applyFill="1" applyBorder="1" applyAlignment="1">
      <alignment horizontal="right" vertical="center"/>
    </xf>
    <xf numFmtId="169" fontId="3" fillId="2" borderId="0" xfId="0" applyNumberFormat="1" applyFont="1" applyFill="1" applyBorder="1" applyAlignment="1">
      <alignment horizontal="right" vertical="center"/>
    </xf>
    <xf numFmtId="169" fontId="3" fillId="3" borderId="0" xfId="0" applyNumberFormat="1" applyFont="1" applyFill="1" applyBorder="1" applyAlignment="1">
      <alignment horizontal="right" vertical="center"/>
    </xf>
    <xf numFmtId="41" fontId="3" fillId="3" borderId="0" xfId="0" applyNumberFormat="1" applyFont="1" applyFill="1" applyBorder="1" applyAlignment="1">
      <alignment horizontal="right" vertical="center" wrapText="1"/>
    </xf>
    <xf numFmtId="0" fontId="16" fillId="3" borderId="0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3" fillId="3" borderId="25" xfId="0" applyFont="1" applyFill="1" applyBorder="1" applyAlignment="1">
      <alignment vertical="center" wrapText="1"/>
    </xf>
    <xf numFmtId="182" fontId="3" fillId="2" borderId="26" xfId="0" applyNumberFormat="1" applyFont="1" applyFill="1" applyBorder="1" applyAlignment="1">
      <alignment horizontal="right" vertical="center"/>
    </xf>
    <xf numFmtId="182" fontId="3" fillId="3" borderId="27" xfId="0" applyNumberFormat="1" applyFont="1" applyFill="1" applyBorder="1" applyAlignment="1">
      <alignment horizontal="right" vertical="center"/>
    </xf>
    <xf numFmtId="169" fontId="3" fillId="2" borderId="27" xfId="0" applyNumberFormat="1" applyFont="1" applyFill="1" applyBorder="1" applyAlignment="1">
      <alignment horizontal="right" vertical="center"/>
    </xf>
    <xf numFmtId="169" fontId="3" fillId="3" borderId="27" xfId="0" applyNumberFormat="1" applyFont="1" applyFill="1" applyBorder="1" applyAlignment="1">
      <alignment horizontal="right" vertical="center"/>
    </xf>
    <xf numFmtId="182" fontId="3" fillId="2" borderId="26" xfId="0" applyNumberFormat="1" applyFont="1" applyFill="1" applyBorder="1" applyAlignment="1">
      <alignment horizontal="right" vertical="center" wrapText="1"/>
    </xf>
    <xf numFmtId="182" fontId="3" fillId="2" borderId="27" xfId="0" applyNumberFormat="1" applyFont="1" applyFill="1" applyBorder="1" applyAlignment="1">
      <alignment horizontal="right" vertical="center" wrapText="1"/>
    </xf>
    <xf numFmtId="182" fontId="3" fillId="3" borderId="27" xfId="0" applyNumberFormat="1" applyFont="1" applyFill="1" applyBorder="1" applyAlignment="1">
      <alignment horizontal="right" vertical="center" wrapText="1"/>
    </xf>
    <xf numFmtId="182" fontId="3" fillId="3" borderId="2" xfId="0" applyNumberFormat="1" applyFont="1" applyFill="1" applyBorder="1" applyAlignment="1">
      <alignment horizontal="right" vertical="center" wrapText="1"/>
    </xf>
    <xf numFmtId="182" fontId="3" fillId="2" borderId="4" xfId="0" applyNumberFormat="1" applyFont="1" applyFill="1" applyBorder="1" applyAlignment="1">
      <alignment vertical="center"/>
    </xf>
    <xf numFmtId="182" fontId="3" fillId="2" borderId="11" xfId="0" applyNumberFormat="1" applyFont="1" applyFill="1" applyBorder="1" applyAlignment="1">
      <alignment vertical="center"/>
    </xf>
    <xf numFmtId="182" fontId="3" fillId="3" borderId="11" xfId="0" applyNumberFormat="1" applyFont="1" applyFill="1" applyBorder="1" applyAlignment="1">
      <alignment vertical="center"/>
    </xf>
    <xf numFmtId="182" fontId="32" fillId="3" borderId="12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182" fontId="32" fillId="3" borderId="11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182" fontId="3" fillId="2" borderId="0" xfId="0" applyNumberFormat="1" applyFont="1" applyFill="1" applyBorder="1" applyAlignment="1">
      <alignment vertical="center"/>
    </xf>
    <xf numFmtId="182" fontId="3" fillId="0" borderId="0" xfId="0" applyNumberFormat="1" applyFont="1" applyAlignment="1">
      <alignment vertical="center"/>
    </xf>
    <xf numFmtId="182" fontId="3" fillId="2" borderId="3" xfId="0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182" fontId="3" fillId="2" borderId="5" xfId="0" applyNumberFormat="1" applyFont="1" applyFill="1" applyBorder="1" applyAlignment="1">
      <alignment vertical="center"/>
    </xf>
    <xf numFmtId="182" fontId="3" fillId="2" borderId="18" xfId="0" applyNumberFormat="1" applyFont="1" applyFill="1" applyBorder="1" applyAlignment="1">
      <alignment vertical="center"/>
    </xf>
    <xf numFmtId="182" fontId="3" fillId="3" borderId="18" xfId="0" applyNumberFormat="1" applyFont="1" applyFill="1" applyBorder="1" applyAlignment="1">
      <alignment vertical="center"/>
    </xf>
    <xf numFmtId="182" fontId="3" fillId="2" borderId="5" xfId="0" applyNumberFormat="1" applyFont="1" applyFill="1" applyBorder="1" applyAlignment="1">
      <alignment horizontal="right" vertical="center"/>
    </xf>
    <xf numFmtId="0" fontId="3" fillId="2" borderId="18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182" fontId="3" fillId="2" borderId="5" xfId="0" applyNumberFormat="1" applyFont="1" applyFill="1" applyBorder="1" applyAlignment="1">
      <alignment horizontal="right" vertical="center" wrapText="1"/>
    </xf>
    <xf numFmtId="182" fontId="3" fillId="2" borderId="18" xfId="0" applyNumberFormat="1" applyFont="1" applyFill="1" applyBorder="1" applyAlignment="1">
      <alignment horizontal="right" vertical="center" wrapText="1"/>
    </xf>
    <xf numFmtId="182" fontId="3" fillId="3" borderId="18" xfId="0" applyNumberFormat="1" applyFont="1" applyFill="1" applyBorder="1" applyAlignment="1">
      <alignment horizontal="right" vertical="center" wrapText="1"/>
    </xf>
    <xf numFmtId="0" fontId="6" fillId="3" borderId="23" xfId="0" applyFont="1" applyFill="1" applyBorder="1" applyAlignment="1">
      <alignment horizontal="left" indent="3"/>
    </xf>
    <xf numFmtId="187" fontId="33" fillId="21" borderId="12" xfId="7" applyNumberFormat="1" applyFont="1" applyFill="1" applyBorder="1" applyAlignment="1">
      <alignment horizontal="right" vertical="center" wrapText="1" indent="1"/>
    </xf>
    <xf numFmtId="187" fontId="33" fillId="21" borderId="38" xfId="0" applyNumberFormat="1" applyFont="1" applyFill="1" applyBorder="1" applyAlignment="1">
      <alignment horizontal="right" vertical="center" wrapText="1" indent="1"/>
    </xf>
    <xf numFmtId="187" fontId="32" fillId="21" borderId="10" xfId="0" applyNumberFormat="1" applyFont="1" applyFill="1" applyBorder="1" applyAlignment="1">
      <alignment horizontal="right" vertical="center" wrapText="1" indent="1"/>
    </xf>
    <xf numFmtId="0" fontId="3" fillId="3" borderId="23" xfId="0" applyFont="1" applyFill="1" applyBorder="1"/>
    <xf numFmtId="188" fontId="32" fillId="21" borderId="10" xfId="0" applyNumberFormat="1" applyFont="1" applyFill="1" applyBorder="1" applyAlignment="1">
      <alignment horizontal="right" vertical="center" wrapText="1" indent="1"/>
    </xf>
    <xf numFmtId="188" fontId="32" fillId="21" borderId="19" xfId="0" applyNumberFormat="1" applyFont="1" applyFill="1" applyBorder="1" applyAlignment="1">
      <alignment horizontal="right" vertical="center" wrapText="1" indent="1"/>
    </xf>
    <xf numFmtId="0" fontId="0" fillId="0" borderId="0" xfId="0" applyFill="1"/>
    <xf numFmtId="0" fontId="0" fillId="0" borderId="0" xfId="0" applyFill="1" applyBorder="1"/>
    <xf numFmtId="0" fontId="2" fillId="3" borderId="23" xfId="0" applyFont="1" applyFill="1" applyBorder="1"/>
    <xf numFmtId="0" fontId="2" fillId="3" borderId="24" xfId="0" applyFont="1" applyFill="1" applyBorder="1"/>
    <xf numFmtId="10" fontId="1" fillId="2" borderId="0" xfId="0" applyNumberFormat="1" applyFont="1" applyFill="1" applyAlignment="1">
      <alignment horizontal="right" vertical="center" wrapText="1" indent="1"/>
    </xf>
    <xf numFmtId="10" fontId="1" fillId="3" borderId="0" xfId="0" applyNumberFormat="1" applyFont="1" applyFill="1" applyAlignment="1">
      <alignment horizontal="right" vertical="center" wrapText="1" indent="1"/>
    </xf>
    <xf numFmtId="189" fontId="7" fillId="3" borderId="0" xfId="0" applyNumberFormat="1" applyFont="1" applyFill="1" applyAlignment="1">
      <alignment horizontal="right" vertical="center" wrapText="1" indent="1"/>
    </xf>
    <xf numFmtId="190" fontId="7" fillId="2" borderId="0" xfId="0" applyNumberFormat="1" applyFont="1" applyFill="1" applyAlignment="1">
      <alignment horizontal="right" vertical="center" wrapText="1" indent="1"/>
    </xf>
    <xf numFmtId="0" fontId="56" fillId="0" borderId="6" xfId="0" applyFont="1" applyFill="1" applyBorder="1" applyAlignment="1">
      <alignment vertical="center" wrapText="1"/>
    </xf>
    <xf numFmtId="168" fontId="16" fillId="0" borderId="6" xfId="0" applyNumberFormat="1" applyFont="1" applyFill="1" applyBorder="1" applyAlignment="1">
      <alignment horizontal="right" vertical="center" wrapText="1" indent="1"/>
    </xf>
    <xf numFmtId="168" fontId="16" fillId="0" borderId="7" xfId="0" applyNumberFormat="1" applyFont="1" applyFill="1" applyBorder="1" applyAlignment="1">
      <alignment horizontal="right" vertical="center" wrapText="1" indent="1"/>
    </xf>
    <xf numFmtId="2" fontId="33" fillId="0" borderId="8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horizontal="left" vertical="center" wrapText="1"/>
    </xf>
    <xf numFmtId="0" fontId="64" fillId="4" borderId="11" xfId="0" applyFont="1" applyFill="1" applyBorder="1" applyAlignment="1">
      <alignment horizontal="center" vertical="center" wrapText="1"/>
    </xf>
    <xf numFmtId="0" fontId="64" fillId="4" borderId="12" xfId="0" applyFont="1" applyFill="1" applyBorder="1" applyAlignment="1">
      <alignment horizontal="center" vertical="center" wrapText="1"/>
    </xf>
    <xf numFmtId="0" fontId="64" fillId="4" borderId="4" xfId="0" applyFont="1" applyFill="1" applyBorder="1" applyAlignment="1">
      <alignment horizontal="center" vertical="center" wrapText="1"/>
    </xf>
    <xf numFmtId="0" fontId="64" fillId="4" borderId="17" xfId="0" applyFont="1" applyFill="1" applyBorder="1" applyAlignment="1">
      <alignment horizontal="center" vertical="center" wrapText="1"/>
    </xf>
    <xf numFmtId="0" fontId="64" fillId="4" borderId="20" xfId="0" applyFont="1" applyFill="1" applyBorder="1" applyAlignment="1">
      <alignment horizontal="center" vertical="center" wrapText="1"/>
    </xf>
    <xf numFmtId="0" fontId="64" fillId="4" borderId="21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left"/>
    </xf>
    <xf numFmtId="0" fontId="18" fillId="3" borderId="22" xfId="0" applyFont="1" applyFill="1" applyBorder="1" applyAlignment="1">
      <alignment horizontal="left" vertical="center" wrapText="1"/>
    </xf>
    <xf numFmtId="0" fontId="18" fillId="3" borderId="23" xfId="0" applyFont="1" applyFill="1" applyBorder="1" applyAlignment="1">
      <alignment horizontal="left" vertical="center" wrapText="1"/>
    </xf>
    <xf numFmtId="0" fontId="18" fillId="3" borderId="24" xfId="0" applyFont="1" applyFill="1" applyBorder="1" applyAlignment="1">
      <alignment horizontal="left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26" fillId="4" borderId="2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top" wrapText="1"/>
    </xf>
    <xf numFmtId="0" fontId="20" fillId="3" borderId="22" xfId="0" applyFont="1" applyFill="1" applyBorder="1" applyAlignment="1">
      <alignment horizontal="left" vertical="center" wrapText="1"/>
    </xf>
    <xf numFmtId="0" fontId="20" fillId="3" borderId="24" xfId="0" applyFont="1" applyFill="1" applyBorder="1" applyAlignment="1">
      <alignment horizontal="left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16" borderId="12" xfId="0" applyFont="1" applyFill="1" applyBorder="1" applyAlignment="1">
      <alignment horizontal="center" vertical="center" wrapText="1"/>
    </xf>
    <xf numFmtId="0" fontId="21" fillId="16" borderId="19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 wrapText="1"/>
    </xf>
    <xf numFmtId="0" fontId="35" fillId="3" borderId="0" xfId="0" applyFont="1" applyFill="1" applyAlignment="1">
      <alignment horizontal="left" vertical="top" wrapText="1"/>
    </xf>
    <xf numFmtId="0" fontId="36" fillId="3" borderId="0" xfId="0" applyFont="1" applyFill="1" applyAlignment="1">
      <alignment horizontal="left" wrapText="1"/>
    </xf>
    <xf numFmtId="0" fontId="35" fillId="3" borderId="0" xfId="0" applyFont="1" applyFill="1" applyAlignment="1">
      <alignment horizontal="left" vertical="top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56" fillId="3" borderId="22" xfId="0" applyFont="1" applyFill="1" applyBorder="1" applyAlignment="1">
      <alignment horizontal="left" vertical="center" wrapText="1"/>
    </xf>
    <xf numFmtId="0" fontId="56" fillId="3" borderId="24" xfId="0" applyFont="1" applyFill="1" applyBorder="1" applyAlignment="1">
      <alignment horizontal="left" vertical="center" wrapText="1"/>
    </xf>
    <xf numFmtId="0" fontId="35" fillId="3" borderId="0" xfId="0" applyFont="1" applyFill="1" applyAlignment="1">
      <alignment horizontal="left" vertical="center" wrapText="1"/>
    </xf>
  </cellXfs>
  <cellStyles count="8">
    <cellStyle name="Dziesiętny" xfId="1" builtinId="3"/>
    <cellStyle name="Normalny" xfId="0" builtinId="0"/>
    <cellStyle name="Normalny 2" xfId="3"/>
    <cellStyle name="Normalny 2 2 3" xfId="4"/>
    <cellStyle name="Normalny 66" xfId="5"/>
    <cellStyle name="Procentowy" xfId="7" builtinId="5"/>
    <cellStyle name="Procentowy 2" xfId="2"/>
    <cellStyle name="Procentowy 3" xfId="6"/>
  </cellStyles>
  <dxfs count="0"/>
  <tableStyles count="0" defaultTableStyle="TableStyleMedium9" defaultPivotStyle="PivotStyleLight16"/>
  <colors>
    <mruColors>
      <color rgb="FFF7A8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E49"/>
  <sheetViews>
    <sheetView showGridLines="0" tabSelected="1" zoomScale="85" zoomScaleNormal="85" zoomScaleSheetLayoutView="85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AF14" sqref="AF14"/>
    </sheetView>
  </sheetViews>
  <sheetFormatPr defaultRowHeight="28.5" customHeight="1"/>
  <cols>
    <col min="1" max="1" width="41.625" style="7" customWidth="1"/>
    <col min="2" max="7" width="9" style="6"/>
    <col min="8" max="8" width="9" style="432"/>
    <col min="9" max="9" width="9" style="433"/>
    <col min="10" max="11" width="10.125" style="6" bestFit="1" customWidth="1"/>
    <col min="12" max="12" width="10.125" style="6" customWidth="1"/>
    <col min="13" max="15" width="9.25" style="6" customWidth="1"/>
    <col min="16" max="16" width="10.125" style="6" bestFit="1" customWidth="1"/>
    <col min="17" max="20" width="10.125" style="6" customWidth="1"/>
    <col min="21" max="21" width="10.125" style="6" bestFit="1" customWidth="1"/>
    <col min="22" max="23" width="10.125" style="6" customWidth="1"/>
    <col min="24" max="24" width="10.125" style="329" customWidth="1"/>
    <col min="25" max="25" width="10.125" style="6" customWidth="1"/>
    <col min="26" max="26" width="10.125" style="6" bestFit="1" customWidth="1"/>
    <col min="27" max="28" width="10.125" style="6" customWidth="1"/>
    <col min="29" max="29" width="10.125" style="329" customWidth="1"/>
    <col min="30" max="30" width="10.125" style="6" customWidth="1"/>
    <col min="31" max="31" width="10.125" style="6" bestFit="1" customWidth="1"/>
    <col min="32" max="16384" width="9" style="7"/>
  </cols>
  <sheetData>
    <row r="1" spans="1:31" s="12" customFormat="1" ht="28.5" customHeight="1" thickBot="1">
      <c r="A1" s="368" t="s">
        <v>101</v>
      </c>
      <c r="B1" s="10"/>
      <c r="C1" s="10"/>
      <c r="D1" s="10"/>
      <c r="E1" s="10"/>
      <c r="F1" s="10"/>
      <c r="G1" s="10"/>
      <c r="H1" s="369"/>
      <c r="I1" s="11"/>
      <c r="J1" s="10"/>
      <c r="K1" s="10"/>
      <c r="L1" s="10"/>
      <c r="M1" s="10"/>
      <c r="N1" s="10"/>
      <c r="O1" s="10"/>
      <c r="P1" s="10"/>
      <c r="Q1" s="10"/>
      <c r="R1" s="10"/>
      <c r="S1" s="10"/>
      <c r="T1" s="370"/>
      <c r="U1" s="370"/>
      <c r="V1" s="370"/>
      <c r="W1" s="370"/>
      <c r="X1" s="371"/>
      <c r="Y1" s="370"/>
      <c r="Z1" s="370"/>
      <c r="AA1" s="370"/>
      <c r="AB1" s="370"/>
      <c r="AC1" s="371"/>
      <c r="AD1" s="370"/>
      <c r="AE1" s="370"/>
    </row>
    <row r="2" spans="1:31" ht="28.5" customHeight="1">
      <c r="A2" s="372" t="s">
        <v>102</v>
      </c>
      <c r="B2" s="522">
        <v>2012</v>
      </c>
      <c r="C2" s="522"/>
      <c r="D2" s="522"/>
      <c r="E2" s="522"/>
      <c r="F2" s="523"/>
      <c r="G2" s="522">
        <v>2013</v>
      </c>
      <c r="H2" s="522"/>
      <c r="I2" s="522"/>
      <c r="J2" s="522"/>
      <c r="K2" s="523"/>
      <c r="L2" s="524">
        <v>2014</v>
      </c>
      <c r="M2" s="522"/>
      <c r="N2" s="522"/>
      <c r="O2" s="522"/>
      <c r="P2" s="523"/>
      <c r="Q2" s="525">
        <v>2015</v>
      </c>
      <c r="R2" s="526"/>
      <c r="S2" s="526"/>
      <c r="T2" s="526"/>
      <c r="U2" s="527"/>
      <c r="V2" s="525">
        <v>2016</v>
      </c>
      <c r="W2" s="526"/>
      <c r="X2" s="526"/>
      <c r="Y2" s="526"/>
      <c r="Z2" s="527"/>
      <c r="AA2" s="525">
        <v>2017</v>
      </c>
      <c r="AB2" s="526"/>
      <c r="AC2" s="526"/>
      <c r="AD2" s="526"/>
      <c r="AE2" s="527"/>
    </row>
    <row r="3" spans="1:31" ht="16.5" customHeight="1" thickBot="1">
      <c r="A3" s="373" t="s">
        <v>103</v>
      </c>
      <c r="B3" s="374" t="s">
        <v>104</v>
      </c>
      <c r="C3" s="374" t="s">
        <v>105</v>
      </c>
      <c r="D3" s="374" t="s">
        <v>106</v>
      </c>
      <c r="E3" s="374" t="s">
        <v>107</v>
      </c>
      <c r="F3" s="375">
        <v>2012</v>
      </c>
      <c r="G3" s="376" t="s">
        <v>104</v>
      </c>
      <c r="H3" s="374" t="s">
        <v>105</v>
      </c>
      <c r="I3" s="374" t="s">
        <v>106</v>
      </c>
      <c r="J3" s="374" t="s">
        <v>107</v>
      </c>
      <c r="K3" s="375">
        <v>2013</v>
      </c>
      <c r="L3" s="376" t="s">
        <v>104</v>
      </c>
      <c r="M3" s="374" t="s">
        <v>105</v>
      </c>
      <c r="N3" s="374" t="s">
        <v>106</v>
      </c>
      <c r="O3" s="374" t="s">
        <v>107</v>
      </c>
      <c r="P3" s="377">
        <v>2014</v>
      </c>
      <c r="Q3" s="374" t="s">
        <v>104</v>
      </c>
      <c r="R3" s="374" t="s">
        <v>105</v>
      </c>
      <c r="S3" s="374" t="s">
        <v>106</v>
      </c>
      <c r="T3" s="374" t="s">
        <v>107</v>
      </c>
      <c r="U3" s="377">
        <v>2015</v>
      </c>
      <c r="V3" s="374" t="s">
        <v>211</v>
      </c>
      <c r="W3" s="374" t="s">
        <v>105</v>
      </c>
      <c r="X3" s="321" t="s">
        <v>106</v>
      </c>
      <c r="Y3" s="374" t="s">
        <v>107</v>
      </c>
      <c r="Z3" s="377" t="s">
        <v>212</v>
      </c>
      <c r="AA3" s="374" t="s">
        <v>104</v>
      </c>
      <c r="AB3" s="374" t="s">
        <v>105</v>
      </c>
      <c r="AC3" s="321" t="s">
        <v>106</v>
      </c>
      <c r="AD3" s="374" t="s">
        <v>107</v>
      </c>
      <c r="AE3" s="377">
        <v>2017</v>
      </c>
    </row>
    <row r="4" spans="1:31" ht="34.5" customHeight="1" thickBot="1">
      <c r="A4" s="378" t="s">
        <v>71</v>
      </c>
      <c r="B4" s="379">
        <f>SUM(B5:B8)</f>
        <v>669.2</v>
      </c>
      <c r="C4" s="379">
        <f t="shared" ref="C4:O4" si="0">SUM(C5:C8)</f>
        <v>713.8</v>
      </c>
      <c r="D4" s="379">
        <f t="shared" si="0"/>
        <v>644.5</v>
      </c>
      <c r="E4" s="379">
        <f t="shared" si="0"/>
        <v>750.60000000000014</v>
      </c>
      <c r="F4" s="380">
        <f>SUM(F5:F8)</f>
        <v>2778.0999999999995</v>
      </c>
      <c r="G4" s="381">
        <f t="shared" si="0"/>
        <v>697.1</v>
      </c>
      <c r="H4" s="379">
        <f t="shared" si="0"/>
        <v>735.9</v>
      </c>
      <c r="I4" s="379">
        <f t="shared" si="0"/>
        <v>677.3</v>
      </c>
      <c r="J4" s="379">
        <f t="shared" si="0"/>
        <v>800.5</v>
      </c>
      <c r="K4" s="380">
        <f>SUM(K5:K8)</f>
        <v>2910.8</v>
      </c>
      <c r="L4" s="381">
        <f t="shared" si="0"/>
        <v>723.29999999999984</v>
      </c>
      <c r="M4" s="379">
        <f t="shared" si="0"/>
        <v>1745.9</v>
      </c>
      <c r="N4" s="379">
        <f t="shared" si="0"/>
        <v>2419.6</v>
      </c>
      <c r="O4" s="379">
        <f t="shared" si="0"/>
        <v>2521.1000000000004</v>
      </c>
      <c r="P4" s="382">
        <f>SUM(P5:P8)</f>
        <v>7409.9</v>
      </c>
      <c r="Q4" s="379">
        <f t="shared" ref="Q4:T4" si="1">SUM(Q5:Q8)</f>
        <v>2329</v>
      </c>
      <c r="R4" s="379">
        <f t="shared" si="1"/>
        <v>2469.1999999999998</v>
      </c>
      <c r="S4" s="379">
        <f t="shared" si="1"/>
        <v>2414.8999999999996</v>
      </c>
      <c r="T4" s="379">
        <f t="shared" si="1"/>
        <v>2609.9</v>
      </c>
      <c r="U4" s="382">
        <f>SUM(U5:U8)</f>
        <v>9823</v>
      </c>
      <c r="V4" s="379">
        <f t="shared" ref="V4:Y4" si="2">SUM(V5:V8)</f>
        <v>2364</v>
      </c>
      <c r="W4" s="379">
        <f t="shared" si="2"/>
        <v>2442.9</v>
      </c>
      <c r="X4" s="322">
        <f t="shared" si="2"/>
        <v>2387.8000000000002</v>
      </c>
      <c r="Y4" s="322">
        <f t="shared" si="2"/>
        <v>2535.1</v>
      </c>
      <c r="Z4" s="382">
        <f>SUM(Z5:Z8)</f>
        <v>9729.7999999999993</v>
      </c>
      <c r="AA4" s="379">
        <f t="shared" ref="AA4:AC4" si="3">SUM(AA5:AA8)</f>
        <v>2388.6</v>
      </c>
      <c r="AB4" s="379">
        <f t="shared" si="3"/>
        <v>2469.9</v>
      </c>
      <c r="AC4" s="379">
        <f t="shared" si="3"/>
        <v>2390.9</v>
      </c>
      <c r="AD4" s="322"/>
      <c r="AE4" s="382"/>
    </row>
    <row r="5" spans="1:31" ht="24.75" customHeight="1">
      <c r="A5" s="383" t="s">
        <v>77</v>
      </c>
      <c r="B5" s="384">
        <v>424</v>
      </c>
      <c r="C5" s="384">
        <v>427.1</v>
      </c>
      <c r="D5" s="384">
        <v>434.4</v>
      </c>
      <c r="E5" s="384">
        <v>446.6</v>
      </c>
      <c r="F5" s="385">
        <f>SUM(B5:E5)</f>
        <v>1732.1</v>
      </c>
      <c r="G5" s="386">
        <v>451.7</v>
      </c>
      <c r="H5" s="384">
        <v>452</v>
      </c>
      <c r="I5" s="384">
        <v>460.3</v>
      </c>
      <c r="J5" s="384">
        <v>466.1</v>
      </c>
      <c r="K5" s="385">
        <f>SUM(G5:J5)</f>
        <v>1830.1</v>
      </c>
      <c r="L5" s="386">
        <v>467.79999999999995</v>
      </c>
      <c r="M5" s="384">
        <v>1204.5</v>
      </c>
      <c r="N5" s="384">
        <v>1710.7</v>
      </c>
      <c r="O5" s="384">
        <v>1701.7</v>
      </c>
      <c r="P5" s="387">
        <f>SUM(L5:O5)</f>
        <v>5084.7</v>
      </c>
      <c r="Q5" s="384">
        <v>1637.2</v>
      </c>
      <c r="R5" s="384">
        <v>1652</v>
      </c>
      <c r="S5" s="384">
        <v>1643.3</v>
      </c>
      <c r="T5" s="388">
        <v>1620.6</v>
      </c>
      <c r="U5" s="387">
        <v>6553.1</v>
      </c>
      <c r="V5" s="389">
        <v>1565.7</v>
      </c>
      <c r="W5" s="389">
        <v>1586.9</v>
      </c>
      <c r="X5" s="323">
        <v>1583.7</v>
      </c>
      <c r="Y5" s="388">
        <v>1589</v>
      </c>
      <c r="Z5" s="387">
        <f>SUM(V5:Y5)</f>
        <v>6325.3</v>
      </c>
      <c r="AA5" s="389">
        <v>1542.7</v>
      </c>
      <c r="AB5" s="389">
        <v>1533.3</v>
      </c>
      <c r="AC5" s="323">
        <v>1494</v>
      </c>
      <c r="AD5" s="388"/>
      <c r="AE5" s="387"/>
    </row>
    <row r="6" spans="1:31" ht="20.100000000000001" customHeight="1">
      <c r="A6" s="383" t="s">
        <v>78</v>
      </c>
      <c r="B6" s="384">
        <v>234.6</v>
      </c>
      <c r="C6" s="384">
        <v>272.7</v>
      </c>
      <c r="D6" s="384">
        <v>198</v>
      </c>
      <c r="E6" s="384">
        <v>286.3</v>
      </c>
      <c r="F6" s="385">
        <f t="shared" ref="F6:F8" si="4">SUM(B6:E6)</f>
        <v>991.59999999999991</v>
      </c>
      <c r="G6" s="386">
        <v>223.8</v>
      </c>
      <c r="H6" s="384">
        <v>265.2</v>
      </c>
      <c r="I6" s="384">
        <v>204</v>
      </c>
      <c r="J6" s="384">
        <v>317.2</v>
      </c>
      <c r="K6" s="385">
        <f t="shared" ref="K6:K8" si="5">SUM(G6:J6)</f>
        <v>1010.2</v>
      </c>
      <c r="L6" s="386">
        <v>242.19999999999993</v>
      </c>
      <c r="M6" s="384">
        <v>479.1</v>
      </c>
      <c r="N6" s="384">
        <v>591.6</v>
      </c>
      <c r="O6" s="384">
        <v>641.1</v>
      </c>
      <c r="P6" s="387">
        <f t="shared" ref="P6:P8" si="6">SUM(L6:O6)</f>
        <v>1954</v>
      </c>
      <c r="Q6" s="384">
        <v>553.29999999999995</v>
      </c>
      <c r="R6" s="384">
        <v>688.7</v>
      </c>
      <c r="S6" s="384">
        <v>616.9</v>
      </c>
      <c r="T6" s="390">
        <v>738</v>
      </c>
      <c r="U6" s="387">
        <v>2596.9</v>
      </c>
      <c r="V6" s="389">
        <v>599.79999999999995</v>
      </c>
      <c r="W6" s="389">
        <v>645</v>
      </c>
      <c r="X6" s="323">
        <v>562.9</v>
      </c>
      <c r="Y6" s="390">
        <v>658.4</v>
      </c>
      <c r="Z6" s="387">
        <f t="shared" ref="Z6:Z27" si="7">SUM(V6:Y6)</f>
        <v>2466.1</v>
      </c>
      <c r="AA6" s="389">
        <v>562.1</v>
      </c>
      <c r="AB6" s="389">
        <v>652.29999999999995</v>
      </c>
      <c r="AC6" s="323">
        <v>588.4</v>
      </c>
      <c r="AD6" s="390"/>
      <c r="AE6" s="387"/>
    </row>
    <row r="7" spans="1:31" ht="20.100000000000001" customHeight="1">
      <c r="A7" s="383" t="s">
        <v>79</v>
      </c>
      <c r="B7" s="384">
        <v>2.7</v>
      </c>
      <c r="C7" s="384">
        <v>6.2</v>
      </c>
      <c r="D7" s="384">
        <v>2.6</v>
      </c>
      <c r="E7" s="384">
        <v>7.2</v>
      </c>
      <c r="F7" s="385">
        <f t="shared" si="4"/>
        <v>18.7</v>
      </c>
      <c r="G7" s="386">
        <v>13.1</v>
      </c>
      <c r="H7" s="384">
        <v>11.8</v>
      </c>
      <c r="I7" s="384">
        <v>7.1</v>
      </c>
      <c r="J7" s="384">
        <v>9.6999999999999993</v>
      </c>
      <c r="K7" s="385">
        <f t="shared" si="5"/>
        <v>41.7</v>
      </c>
      <c r="L7" s="386">
        <v>7.8999999999999986</v>
      </c>
      <c r="M7" s="384">
        <v>55.4</v>
      </c>
      <c r="N7" s="384">
        <v>104.1</v>
      </c>
      <c r="O7" s="384">
        <v>159.9</v>
      </c>
      <c r="P7" s="387">
        <f t="shared" si="6"/>
        <v>327.29999999999995</v>
      </c>
      <c r="Q7" s="384">
        <v>118.4</v>
      </c>
      <c r="R7" s="384">
        <v>106.9</v>
      </c>
      <c r="S7" s="384">
        <v>131.19999999999999</v>
      </c>
      <c r="T7" s="390">
        <v>226.89999999999998</v>
      </c>
      <c r="U7" s="387">
        <v>583.4</v>
      </c>
      <c r="V7" s="389">
        <v>172.8</v>
      </c>
      <c r="W7" s="389">
        <v>191.1</v>
      </c>
      <c r="X7" s="323">
        <v>221.3</v>
      </c>
      <c r="Y7" s="390">
        <v>265.60000000000002</v>
      </c>
      <c r="Z7" s="387">
        <f t="shared" si="7"/>
        <v>850.80000000000007</v>
      </c>
      <c r="AA7" s="389">
        <v>248.6</v>
      </c>
      <c r="AB7" s="389">
        <v>243.3</v>
      </c>
      <c r="AC7" s="323">
        <v>264.5</v>
      </c>
      <c r="AD7" s="390"/>
      <c r="AE7" s="387"/>
    </row>
    <row r="8" spans="1:31" ht="20.100000000000001" customHeight="1" thickBot="1">
      <c r="A8" s="383" t="s">
        <v>80</v>
      </c>
      <c r="B8" s="384">
        <v>7.9</v>
      </c>
      <c r="C8" s="384">
        <v>7.8</v>
      </c>
      <c r="D8" s="384">
        <v>9.5</v>
      </c>
      <c r="E8" s="384">
        <v>10.5</v>
      </c>
      <c r="F8" s="385">
        <f t="shared" si="4"/>
        <v>35.700000000000003</v>
      </c>
      <c r="G8" s="386">
        <v>8.5</v>
      </c>
      <c r="H8" s="384">
        <v>6.9</v>
      </c>
      <c r="I8" s="384">
        <v>5.9</v>
      </c>
      <c r="J8" s="384">
        <v>7.5</v>
      </c>
      <c r="K8" s="385">
        <f t="shared" si="5"/>
        <v>28.8</v>
      </c>
      <c r="L8" s="386">
        <v>5.4</v>
      </c>
      <c r="M8" s="384">
        <v>6.9</v>
      </c>
      <c r="N8" s="384">
        <v>13.2</v>
      </c>
      <c r="O8" s="384">
        <v>18.399999999999999</v>
      </c>
      <c r="P8" s="387">
        <f t="shared" si="6"/>
        <v>43.9</v>
      </c>
      <c r="Q8" s="384">
        <v>20.100000000000001</v>
      </c>
      <c r="R8" s="384">
        <v>21.6</v>
      </c>
      <c r="S8" s="384">
        <v>23.5</v>
      </c>
      <c r="T8" s="390">
        <v>24.399999999999991</v>
      </c>
      <c r="U8" s="387">
        <v>89.6</v>
      </c>
      <c r="V8" s="389">
        <v>25.7</v>
      </c>
      <c r="W8" s="389">
        <v>19.899999999999999</v>
      </c>
      <c r="X8" s="323">
        <v>19.899999999999999</v>
      </c>
      <c r="Y8" s="390">
        <v>22.1</v>
      </c>
      <c r="Z8" s="387">
        <f t="shared" si="7"/>
        <v>87.6</v>
      </c>
      <c r="AA8" s="389">
        <v>35.200000000000003</v>
      </c>
      <c r="AB8" s="389">
        <v>41</v>
      </c>
      <c r="AC8" s="323">
        <v>44</v>
      </c>
      <c r="AD8" s="390"/>
      <c r="AE8" s="387"/>
    </row>
    <row r="9" spans="1:31" s="395" customFormat="1" ht="20.100000000000001" customHeight="1" thickBot="1">
      <c r="A9" s="378" t="s">
        <v>70</v>
      </c>
      <c r="B9" s="391">
        <f t="shared" ref="B9:Z9" si="8">SUM(B10:B17)</f>
        <v>-464.5</v>
      </c>
      <c r="C9" s="391">
        <f t="shared" si="8"/>
        <v>-499.7</v>
      </c>
      <c r="D9" s="391">
        <f t="shared" si="8"/>
        <v>-444.9</v>
      </c>
      <c r="E9" s="391">
        <f t="shared" si="8"/>
        <v>-562.4</v>
      </c>
      <c r="F9" s="392">
        <f t="shared" si="8"/>
        <v>-1971.5000000000002</v>
      </c>
      <c r="G9" s="393">
        <f t="shared" si="8"/>
        <v>-512.92000000000007</v>
      </c>
      <c r="H9" s="391">
        <f t="shared" si="8"/>
        <v>-542.4</v>
      </c>
      <c r="I9" s="391">
        <f t="shared" si="8"/>
        <v>-510.7</v>
      </c>
      <c r="J9" s="391">
        <f t="shared" si="8"/>
        <v>-591.70000000000005</v>
      </c>
      <c r="K9" s="392">
        <f t="shared" si="8"/>
        <v>-2157.7199999999998</v>
      </c>
      <c r="L9" s="393">
        <f t="shared" si="8"/>
        <v>-507.40000000000003</v>
      </c>
      <c r="M9" s="391">
        <f t="shared" si="8"/>
        <v>-1351.8000000000002</v>
      </c>
      <c r="N9" s="391">
        <f t="shared" si="8"/>
        <v>-1992.5000000000002</v>
      </c>
      <c r="O9" s="391">
        <f t="shared" si="8"/>
        <v>-2125.3999999999996</v>
      </c>
      <c r="P9" s="394">
        <f t="shared" si="8"/>
        <v>-5977.1</v>
      </c>
      <c r="Q9" s="391">
        <f t="shared" si="8"/>
        <v>-1909</v>
      </c>
      <c r="R9" s="391">
        <f t="shared" si="8"/>
        <v>-1899.4999999999998</v>
      </c>
      <c r="S9" s="391">
        <f t="shared" si="8"/>
        <v>-1900.1</v>
      </c>
      <c r="T9" s="391">
        <f t="shared" si="8"/>
        <v>-2159.2999999999997</v>
      </c>
      <c r="U9" s="394">
        <f t="shared" si="8"/>
        <v>-7867.9000000000005</v>
      </c>
      <c r="V9" s="391">
        <f t="shared" si="8"/>
        <v>-1948</v>
      </c>
      <c r="W9" s="391">
        <f t="shared" si="8"/>
        <v>-2042</v>
      </c>
      <c r="X9" s="324">
        <f t="shared" si="8"/>
        <v>-1938.6999999999998</v>
      </c>
      <c r="Y9" s="324">
        <f t="shared" si="8"/>
        <v>-2140.6</v>
      </c>
      <c r="Z9" s="394">
        <f t="shared" si="8"/>
        <v>-8069.2999999999993</v>
      </c>
      <c r="AA9" s="391">
        <f>SUM(AA10:AA17)</f>
        <v>-1938.1999999999996</v>
      </c>
      <c r="AB9" s="391">
        <f>SUM(AB10:AB17)</f>
        <v>-1962.8000000000002</v>
      </c>
      <c r="AC9" s="391">
        <f>SUM(AC10:AC17)</f>
        <v>-1975.7</v>
      </c>
      <c r="AD9" s="324"/>
      <c r="AE9" s="394"/>
    </row>
    <row r="10" spans="1:31" ht="20.100000000000001" customHeight="1">
      <c r="A10" s="383" t="s">
        <v>83</v>
      </c>
      <c r="B10" s="396">
        <v>-49.7</v>
      </c>
      <c r="C10" s="396">
        <v>-55.1</v>
      </c>
      <c r="D10" s="396">
        <v>-58.6</v>
      </c>
      <c r="E10" s="396">
        <v>-59.3</v>
      </c>
      <c r="F10" s="397">
        <f>SUM(B10:E10)</f>
        <v>-222.7</v>
      </c>
      <c r="G10" s="398">
        <v>-60.7</v>
      </c>
      <c r="H10" s="396">
        <v>-62</v>
      </c>
      <c r="I10" s="396">
        <v>-62.2</v>
      </c>
      <c r="J10" s="396">
        <v>-71.400000000000006</v>
      </c>
      <c r="K10" s="397">
        <f>SUM(G10:J10)</f>
        <v>-256.3</v>
      </c>
      <c r="L10" s="398">
        <v>-71.300000000000011</v>
      </c>
      <c r="M10" s="396">
        <v>-288</v>
      </c>
      <c r="N10" s="396">
        <v>-495.9</v>
      </c>
      <c r="O10" s="396">
        <v>-557.20000000000005</v>
      </c>
      <c r="P10" s="399">
        <f>SUM(L10:O10)</f>
        <v>-1412.4</v>
      </c>
      <c r="Q10" s="396">
        <v>-482.3</v>
      </c>
      <c r="R10" s="396">
        <v>-522.4</v>
      </c>
      <c r="S10" s="396">
        <v>-551.20000000000005</v>
      </c>
      <c r="T10" s="390">
        <v>-585.09999999999991</v>
      </c>
      <c r="U10" s="399">
        <v>-2141</v>
      </c>
      <c r="V10" s="400">
        <v>-550.29999999999995</v>
      </c>
      <c r="W10" s="400">
        <v>-456.6</v>
      </c>
      <c r="X10" s="325">
        <v>-459.2</v>
      </c>
      <c r="Y10" s="390">
        <v>-472.6</v>
      </c>
      <c r="Z10" s="399">
        <f>SUM(V10:Y10)</f>
        <v>-1938.6999999999998</v>
      </c>
      <c r="AA10" s="400">
        <v>-468.2</v>
      </c>
      <c r="AB10" s="400">
        <v>-483.5</v>
      </c>
      <c r="AC10" s="325">
        <v>-528.5</v>
      </c>
      <c r="AD10" s="390"/>
      <c r="AE10" s="399"/>
    </row>
    <row r="11" spans="1:31" ht="18.75" customHeight="1">
      <c r="A11" s="383" t="s">
        <v>75</v>
      </c>
      <c r="B11" s="396">
        <v>-54.4</v>
      </c>
      <c r="C11" s="396">
        <v>-56.7</v>
      </c>
      <c r="D11" s="396">
        <v>-60.2</v>
      </c>
      <c r="E11" s="396">
        <v>-71.7</v>
      </c>
      <c r="F11" s="397">
        <f>SUM(B11:E11)</f>
        <v>-243</v>
      </c>
      <c r="G11" s="398">
        <v>-60.7</v>
      </c>
      <c r="H11" s="396">
        <v>-62.3</v>
      </c>
      <c r="I11" s="396">
        <v>-64.8</v>
      </c>
      <c r="J11" s="396">
        <v>-68.599999999999994</v>
      </c>
      <c r="K11" s="397">
        <f>SUM(G11:J11)</f>
        <v>-256.39999999999998</v>
      </c>
      <c r="L11" s="398">
        <v>-62.5</v>
      </c>
      <c r="M11" s="396">
        <v>-311.3</v>
      </c>
      <c r="N11" s="396">
        <v>-478.3</v>
      </c>
      <c r="O11" s="396">
        <v>-443.8</v>
      </c>
      <c r="P11" s="399">
        <f>SUM(L11:O11)</f>
        <v>-1295.9000000000001</v>
      </c>
      <c r="Q11" s="396">
        <v>-467.9</v>
      </c>
      <c r="R11" s="396">
        <v>-393.5</v>
      </c>
      <c r="S11" s="396">
        <v>-401.2</v>
      </c>
      <c r="T11" s="390">
        <v>-436.70000000000005</v>
      </c>
      <c r="U11" s="399">
        <v>-1699.3</v>
      </c>
      <c r="V11" s="400">
        <v>-423.7</v>
      </c>
      <c r="W11" s="400">
        <v>-527.5</v>
      </c>
      <c r="X11" s="325">
        <v>-507.9</v>
      </c>
      <c r="Y11" s="390">
        <v>-512.4</v>
      </c>
      <c r="Z11" s="399">
        <f>SUM(V11:Y11)</f>
        <v>-1971.5</v>
      </c>
      <c r="AA11" s="400">
        <v>-472.3</v>
      </c>
      <c r="AB11" s="400">
        <v>-446.7</v>
      </c>
      <c r="AC11" s="325">
        <v>-429.2</v>
      </c>
      <c r="AD11" s="390"/>
      <c r="AE11" s="399"/>
    </row>
    <row r="12" spans="1:31" ht="18.75" customHeight="1">
      <c r="A12" s="383" t="s">
        <v>84</v>
      </c>
      <c r="B12" s="396">
        <v>-5.5</v>
      </c>
      <c r="C12" s="396">
        <v>-7.6</v>
      </c>
      <c r="D12" s="396">
        <v>-7</v>
      </c>
      <c r="E12" s="396">
        <v>-16.100000000000001</v>
      </c>
      <c r="F12" s="397">
        <f>SUM(B12:E12)</f>
        <v>-36.200000000000003</v>
      </c>
      <c r="G12" s="398">
        <v>-25.8</v>
      </c>
      <c r="H12" s="396">
        <v>-16.8</v>
      </c>
      <c r="I12" s="396">
        <v>-10.7</v>
      </c>
      <c r="J12" s="396">
        <v>-10.6</v>
      </c>
      <c r="K12" s="397">
        <f>SUM(G12:J12)</f>
        <v>-63.9</v>
      </c>
      <c r="L12" s="398">
        <v>-10.300000000000011</v>
      </c>
      <c r="M12" s="396">
        <v>-189.7</v>
      </c>
      <c r="N12" s="396">
        <v>-348.6</v>
      </c>
      <c r="O12" s="396">
        <v>-376.6</v>
      </c>
      <c r="P12" s="399">
        <f>SUM(L12:O12)</f>
        <v>-925.2</v>
      </c>
      <c r="Q12" s="396">
        <v>-332.5</v>
      </c>
      <c r="R12" s="396">
        <v>-291.7</v>
      </c>
      <c r="S12" s="396">
        <v>-314.89999999999998</v>
      </c>
      <c r="T12" s="390">
        <v>-393.59999999999991</v>
      </c>
      <c r="U12" s="399">
        <v>-1332.8</v>
      </c>
      <c r="V12" s="400">
        <v>-326.8</v>
      </c>
      <c r="W12" s="400">
        <v>-317.3</v>
      </c>
      <c r="X12" s="325">
        <v>-330.5</v>
      </c>
      <c r="Y12" s="390">
        <v>-380.1</v>
      </c>
      <c r="Z12" s="399">
        <f>SUM(V12:Y12)</f>
        <v>-1354.7</v>
      </c>
      <c r="AA12" s="400">
        <v>-323.60000000000002</v>
      </c>
      <c r="AB12" s="400">
        <v>-318.8</v>
      </c>
      <c r="AC12" s="325">
        <v>-323.3</v>
      </c>
      <c r="AD12" s="390"/>
      <c r="AE12" s="399"/>
    </row>
    <row r="13" spans="1:31" ht="20.100000000000001" customHeight="1">
      <c r="A13" s="383" t="s">
        <v>81</v>
      </c>
      <c r="B13" s="396">
        <v>-206.8</v>
      </c>
      <c r="C13" s="396">
        <v>-226.6</v>
      </c>
      <c r="D13" s="396">
        <v>-171.5</v>
      </c>
      <c r="E13" s="396">
        <v>-219</v>
      </c>
      <c r="F13" s="397">
        <f>SUM(B13:E13)</f>
        <v>-823.9</v>
      </c>
      <c r="G13" s="398">
        <v>-207.5</v>
      </c>
      <c r="H13" s="396">
        <v>-239.5</v>
      </c>
      <c r="I13" s="396">
        <v>-219.3</v>
      </c>
      <c r="J13" s="396">
        <v>-260.7</v>
      </c>
      <c r="K13" s="397">
        <f>SUM(G13:J13)</f>
        <v>-927</v>
      </c>
      <c r="L13" s="398">
        <v>-210.60000000000002</v>
      </c>
      <c r="M13" s="396">
        <v>-260.89999999999998</v>
      </c>
      <c r="N13" s="396">
        <v>-262.39999999999998</v>
      </c>
      <c r="O13" s="396">
        <v>-295.60000000000002</v>
      </c>
      <c r="P13" s="399">
        <f>SUM(L13:O13)</f>
        <v>-1029.5</v>
      </c>
      <c r="Q13" s="396">
        <v>-235.5</v>
      </c>
      <c r="R13" s="396">
        <v>-274</v>
      </c>
      <c r="S13" s="396">
        <v>-257.3</v>
      </c>
      <c r="T13" s="390">
        <v>-299.10000000000014</v>
      </c>
      <c r="U13" s="399">
        <v>-1065.9000000000001</v>
      </c>
      <c r="V13" s="400">
        <v>-248.5</v>
      </c>
      <c r="W13" s="400">
        <v>-316.3</v>
      </c>
      <c r="X13" s="325">
        <v>-252.1</v>
      </c>
      <c r="Y13" s="390">
        <v>-297.3</v>
      </c>
      <c r="Z13" s="399">
        <f>SUM(V13:Y13)</f>
        <v>-1114.2</v>
      </c>
      <c r="AA13" s="400">
        <v>-264.3</v>
      </c>
      <c r="AB13" s="400">
        <v>-298.39999999999998</v>
      </c>
      <c r="AC13" s="325">
        <v>-269.7</v>
      </c>
      <c r="AD13" s="390"/>
      <c r="AE13" s="399"/>
    </row>
    <row r="14" spans="1:31" ht="18.75" customHeight="1">
      <c r="A14" s="383" t="s">
        <v>82</v>
      </c>
      <c r="B14" s="396">
        <v>-71.5</v>
      </c>
      <c r="C14" s="396">
        <v>-71.8</v>
      </c>
      <c r="D14" s="396">
        <v>-73.7</v>
      </c>
      <c r="E14" s="396">
        <v>-95.7</v>
      </c>
      <c r="F14" s="397">
        <f>SUM(B14:E14)</f>
        <v>-312.7</v>
      </c>
      <c r="G14" s="398">
        <v>-79</v>
      </c>
      <c r="H14" s="396">
        <v>-81.3</v>
      </c>
      <c r="I14" s="396">
        <v>-79.3</v>
      </c>
      <c r="J14" s="396">
        <v>-92.4</v>
      </c>
      <c r="K14" s="397">
        <f>SUM(G14:J14)</f>
        <v>-332</v>
      </c>
      <c r="L14" s="398">
        <v>-75.400000000000006</v>
      </c>
      <c r="M14" s="396">
        <v>-132.19999999999999</v>
      </c>
      <c r="N14" s="396">
        <v>-186.8</v>
      </c>
      <c r="O14" s="396">
        <v>-218.3</v>
      </c>
      <c r="P14" s="399">
        <f>SUM(L14:O14)</f>
        <v>-612.70000000000005</v>
      </c>
      <c r="Q14" s="396">
        <v>-189.2</v>
      </c>
      <c r="R14" s="396">
        <v>-193.2</v>
      </c>
      <c r="S14" s="396">
        <v>-200.1</v>
      </c>
      <c r="T14" s="390">
        <v>-220.1</v>
      </c>
      <c r="U14" s="399">
        <v>-802.6</v>
      </c>
      <c r="V14" s="400">
        <v>-200.5</v>
      </c>
      <c r="W14" s="400">
        <v>-202.2</v>
      </c>
      <c r="X14" s="325">
        <v>-202.6</v>
      </c>
      <c r="Y14" s="390">
        <v>-222.5</v>
      </c>
      <c r="Z14" s="399">
        <f>SUM(V14:Y14)</f>
        <v>-827.8</v>
      </c>
      <c r="AA14" s="400">
        <v>-211.1</v>
      </c>
      <c r="AB14" s="400">
        <v>-215.9</v>
      </c>
      <c r="AC14" s="325">
        <v>-224</v>
      </c>
      <c r="AD14" s="390"/>
      <c r="AE14" s="399"/>
    </row>
    <row r="15" spans="1:31" ht="20.100000000000001" customHeight="1">
      <c r="A15" s="383" t="s">
        <v>1</v>
      </c>
      <c r="B15" s="396">
        <v>-40.6</v>
      </c>
      <c r="C15" s="396">
        <v>-40.299999999999997</v>
      </c>
      <c r="D15" s="396">
        <v>-38.9</v>
      </c>
      <c r="E15" s="396">
        <v>-58.6</v>
      </c>
      <c r="F15" s="397">
        <f t="shared" ref="F15:F18" si="9">SUM(B15:E15)</f>
        <v>-178.4</v>
      </c>
      <c r="G15" s="398">
        <v>-43.1</v>
      </c>
      <c r="H15" s="396">
        <v>-41.9</v>
      </c>
      <c r="I15" s="396">
        <v>-40.4</v>
      </c>
      <c r="J15" s="396">
        <v>-53.2</v>
      </c>
      <c r="K15" s="397">
        <f t="shared" ref="K15:K18" si="10">SUM(G15:J15)</f>
        <v>-178.60000000000002</v>
      </c>
      <c r="L15" s="398">
        <v>-44.600000000000009</v>
      </c>
      <c r="M15" s="396">
        <v>-108.2</v>
      </c>
      <c r="N15" s="396">
        <v>-118</v>
      </c>
      <c r="O15" s="396">
        <v>-150.9</v>
      </c>
      <c r="P15" s="399">
        <f t="shared" ref="P15:P18" si="11">SUM(L15:O15)</f>
        <v>-421.70000000000005</v>
      </c>
      <c r="Q15" s="396">
        <v>-129.1</v>
      </c>
      <c r="R15" s="396">
        <v>-140.80000000000001</v>
      </c>
      <c r="S15" s="396">
        <v>-122.3</v>
      </c>
      <c r="T15" s="390">
        <v>-158.00000000000006</v>
      </c>
      <c r="U15" s="399">
        <v>-550.20000000000005</v>
      </c>
      <c r="V15" s="400">
        <v>-137.9</v>
      </c>
      <c r="W15" s="400">
        <v>-138.19999999999999</v>
      </c>
      <c r="X15" s="325">
        <v>-130.5</v>
      </c>
      <c r="Y15" s="390">
        <v>-163.9</v>
      </c>
      <c r="Z15" s="399">
        <f t="shared" si="7"/>
        <v>-570.5</v>
      </c>
      <c r="AA15" s="400">
        <v>-127.8</v>
      </c>
      <c r="AB15" s="400">
        <v>-133.69999999999999</v>
      </c>
      <c r="AC15" s="325">
        <v>-127.4</v>
      </c>
      <c r="AD15" s="390"/>
      <c r="AE15" s="399"/>
    </row>
    <row r="16" spans="1:31" ht="24.75" customHeight="1">
      <c r="A16" s="383" t="s">
        <v>85</v>
      </c>
      <c r="B16" s="396">
        <v>-5.9</v>
      </c>
      <c r="C16" s="396">
        <v>-8.4</v>
      </c>
      <c r="D16" s="396">
        <v>-5.3</v>
      </c>
      <c r="E16" s="396">
        <v>-7.8</v>
      </c>
      <c r="F16" s="397">
        <f t="shared" si="9"/>
        <v>-27.400000000000002</v>
      </c>
      <c r="G16" s="398">
        <v>-6.42</v>
      </c>
      <c r="H16" s="396">
        <v>-9.3000000000000007</v>
      </c>
      <c r="I16" s="396">
        <v>-5.3</v>
      </c>
      <c r="J16" s="396">
        <v>-7.2</v>
      </c>
      <c r="K16" s="397">
        <f t="shared" si="10"/>
        <v>-28.22</v>
      </c>
      <c r="L16" s="398">
        <v>-6.6999999999999993</v>
      </c>
      <c r="M16" s="396">
        <v>-18.100000000000001</v>
      </c>
      <c r="N16" s="396">
        <v>-15.3</v>
      </c>
      <c r="O16" s="396">
        <v>-27.5</v>
      </c>
      <c r="P16" s="399">
        <f t="shared" si="11"/>
        <v>-67.599999999999994</v>
      </c>
      <c r="Q16" s="396">
        <v>-18.7</v>
      </c>
      <c r="R16" s="396">
        <v>-27.8</v>
      </c>
      <c r="S16" s="396">
        <v>-8.5</v>
      </c>
      <c r="T16" s="390">
        <v>-7.6000000000000014</v>
      </c>
      <c r="U16" s="399">
        <v>-62.6</v>
      </c>
      <c r="V16" s="400">
        <v>-9.6</v>
      </c>
      <c r="W16" s="400">
        <v>-16.3</v>
      </c>
      <c r="X16" s="325">
        <v>-5.7</v>
      </c>
      <c r="Y16" s="390">
        <v>-15.3</v>
      </c>
      <c r="Z16" s="399">
        <f t="shared" si="7"/>
        <v>-46.9</v>
      </c>
      <c r="AA16" s="400">
        <v>-19.3</v>
      </c>
      <c r="AB16" s="400">
        <v>-16.3</v>
      </c>
      <c r="AC16" s="325">
        <v>-21.3</v>
      </c>
      <c r="AD16" s="390"/>
      <c r="AE16" s="399"/>
    </row>
    <row r="17" spans="1:31" ht="18.75" customHeight="1" thickBot="1">
      <c r="A17" s="383" t="s">
        <v>86</v>
      </c>
      <c r="B17" s="396">
        <v>-30.1</v>
      </c>
      <c r="C17" s="396">
        <v>-33.200000000000003</v>
      </c>
      <c r="D17" s="396">
        <v>-29.7</v>
      </c>
      <c r="E17" s="396">
        <v>-34.200000000000003</v>
      </c>
      <c r="F17" s="397">
        <f t="shared" si="9"/>
        <v>-127.2</v>
      </c>
      <c r="G17" s="398">
        <v>-29.7</v>
      </c>
      <c r="H17" s="396">
        <v>-29.3</v>
      </c>
      <c r="I17" s="396">
        <v>-28.7</v>
      </c>
      <c r="J17" s="396">
        <v>-27.6</v>
      </c>
      <c r="K17" s="397">
        <f t="shared" si="10"/>
        <v>-115.30000000000001</v>
      </c>
      <c r="L17" s="398">
        <v>-26.000000000000007</v>
      </c>
      <c r="M17" s="396">
        <v>-43.4</v>
      </c>
      <c r="N17" s="396">
        <v>-87.2</v>
      </c>
      <c r="O17" s="396">
        <v>-55.5</v>
      </c>
      <c r="P17" s="399">
        <f t="shared" si="11"/>
        <v>-212.10000000000002</v>
      </c>
      <c r="Q17" s="396">
        <v>-53.8</v>
      </c>
      <c r="R17" s="396">
        <v>-56.1</v>
      </c>
      <c r="S17" s="396">
        <v>-44.6</v>
      </c>
      <c r="T17" s="390">
        <v>-59.099999999999994</v>
      </c>
      <c r="U17" s="399">
        <v>-213.5</v>
      </c>
      <c r="V17" s="400">
        <v>-50.7</v>
      </c>
      <c r="W17" s="400">
        <v>-67.599999999999994</v>
      </c>
      <c r="X17" s="325">
        <v>-50.2</v>
      </c>
      <c r="Y17" s="390">
        <v>-76.5</v>
      </c>
      <c r="Z17" s="399">
        <f t="shared" si="7"/>
        <v>-245</v>
      </c>
      <c r="AA17" s="400">
        <v>-51.6</v>
      </c>
      <c r="AB17" s="400">
        <v>-49.5</v>
      </c>
      <c r="AC17" s="325">
        <v>-52.3</v>
      </c>
      <c r="AD17" s="390"/>
      <c r="AE17" s="399"/>
    </row>
    <row r="18" spans="1:31" s="401" customFormat="1" ht="20.100000000000001" customHeight="1" thickBot="1">
      <c r="A18" s="378" t="s">
        <v>215</v>
      </c>
      <c r="B18" s="391">
        <v>-1.7</v>
      </c>
      <c r="C18" s="391">
        <v>-1.1000000000000001</v>
      </c>
      <c r="D18" s="391">
        <v>-2</v>
      </c>
      <c r="E18" s="391">
        <v>-12.7</v>
      </c>
      <c r="F18" s="437">
        <f t="shared" si="9"/>
        <v>-17.5</v>
      </c>
      <c r="G18" s="393">
        <v>0.5</v>
      </c>
      <c r="H18" s="391">
        <v>1.5</v>
      </c>
      <c r="I18" s="391">
        <v>36.799999999999997</v>
      </c>
      <c r="J18" s="391">
        <v>-2</v>
      </c>
      <c r="K18" s="437">
        <f t="shared" si="10"/>
        <v>36.799999999999997</v>
      </c>
      <c r="L18" s="393">
        <v>3.6</v>
      </c>
      <c r="M18" s="391">
        <v>3.5</v>
      </c>
      <c r="N18" s="391">
        <v>4.7</v>
      </c>
      <c r="O18" s="391">
        <v>-2.2000000000000002</v>
      </c>
      <c r="P18" s="438">
        <f t="shared" si="11"/>
        <v>9.6000000000000014</v>
      </c>
      <c r="Q18" s="391">
        <v>8.6999999999999993</v>
      </c>
      <c r="R18" s="391">
        <v>13.8</v>
      </c>
      <c r="S18" s="391">
        <v>14.4</v>
      </c>
      <c r="T18" s="391">
        <v>-6.2</v>
      </c>
      <c r="U18" s="438">
        <v>30.7</v>
      </c>
      <c r="V18" s="439">
        <v>6.8</v>
      </c>
      <c r="W18" s="439">
        <v>6.6</v>
      </c>
      <c r="X18" s="440">
        <v>0</v>
      </c>
      <c r="Y18" s="391">
        <v>-4.5999999999999996</v>
      </c>
      <c r="Z18" s="438">
        <f t="shared" si="7"/>
        <v>8.7999999999999989</v>
      </c>
      <c r="AA18" s="439">
        <v>6.8</v>
      </c>
      <c r="AB18" s="439">
        <v>9.9</v>
      </c>
      <c r="AC18" s="440">
        <v>6.7</v>
      </c>
      <c r="AD18" s="391"/>
      <c r="AE18" s="438"/>
    </row>
    <row r="19" spans="1:31" s="395" customFormat="1" ht="20.100000000000001" customHeight="1" thickBot="1">
      <c r="A19" s="378" t="s">
        <v>49</v>
      </c>
      <c r="B19" s="391">
        <f t="shared" ref="B19:AC19" si="12">B4+B9+B18</f>
        <v>203.00000000000006</v>
      </c>
      <c r="C19" s="391">
        <f t="shared" si="12"/>
        <v>212.99999999999997</v>
      </c>
      <c r="D19" s="391">
        <f t="shared" si="12"/>
        <v>197.60000000000002</v>
      </c>
      <c r="E19" s="391">
        <f t="shared" si="12"/>
        <v>175.50000000000017</v>
      </c>
      <c r="F19" s="402">
        <f t="shared" si="12"/>
        <v>789.09999999999923</v>
      </c>
      <c r="G19" s="381">
        <f t="shared" si="12"/>
        <v>184.67999999999995</v>
      </c>
      <c r="H19" s="379">
        <f t="shared" si="12"/>
        <v>195</v>
      </c>
      <c r="I19" s="379">
        <f t="shared" si="12"/>
        <v>203.39999999999998</v>
      </c>
      <c r="J19" s="379">
        <f t="shared" si="12"/>
        <v>206.79999999999995</v>
      </c>
      <c r="K19" s="402">
        <f t="shared" si="12"/>
        <v>789.88000000000034</v>
      </c>
      <c r="L19" s="381">
        <f t="shared" si="12"/>
        <v>219.4999999999998</v>
      </c>
      <c r="M19" s="379">
        <f t="shared" si="12"/>
        <v>397.59999999999991</v>
      </c>
      <c r="N19" s="379">
        <f t="shared" si="12"/>
        <v>431.79999999999967</v>
      </c>
      <c r="O19" s="379">
        <f t="shared" si="12"/>
        <v>393.50000000000074</v>
      </c>
      <c r="P19" s="403">
        <f t="shared" si="12"/>
        <v>1442.3999999999992</v>
      </c>
      <c r="Q19" s="379">
        <f t="shared" si="12"/>
        <v>428.7</v>
      </c>
      <c r="R19" s="379">
        <f t="shared" si="12"/>
        <v>583.5</v>
      </c>
      <c r="S19" s="379">
        <f t="shared" si="12"/>
        <v>529.1999999999997</v>
      </c>
      <c r="T19" s="379">
        <f t="shared" si="12"/>
        <v>444.40000000000038</v>
      </c>
      <c r="U19" s="403">
        <f t="shared" si="12"/>
        <v>1985.7999999999995</v>
      </c>
      <c r="V19" s="379">
        <f t="shared" si="12"/>
        <v>422.8</v>
      </c>
      <c r="W19" s="379">
        <f t="shared" si="12"/>
        <v>407.50000000000011</v>
      </c>
      <c r="X19" s="322">
        <f t="shared" si="12"/>
        <v>449.10000000000036</v>
      </c>
      <c r="Y19" s="322">
        <f t="shared" si="12"/>
        <v>389.9</v>
      </c>
      <c r="Z19" s="403">
        <f t="shared" si="12"/>
        <v>1669.3</v>
      </c>
      <c r="AA19" s="379">
        <f t="shared" si="12"/>
        <v>457.20000000000033</v>
      </c>
      <c r="AB19" s="379">
        <f t="shared" si="12"/>
        <v>516.99999999999989</v>
      </c>
      <c r="AC19" s="379">
        <f t="shared" si="12"/>
        <v>421.90000000000003</v>
      </c>
      <c r="AD19" s="322"/>
      <c r="AE19" s="403"/>
    </row>
    <row r="20" spans="1:31" ht="20.100000000000001" customHeight="1">
      <c r="A20" s="383" t="s">
        <v>213</v>
      </c>
      <c r="B20" s="396">
        <v>12.5</v>
      </c>
      <c r="C20" s="396">
        <v>-8.5</v>
      </c>
      <c r="D20" s="396">
        <v>5.3</v>
      </c>
      <c r="E20" s="396">
        <v>5</v>
      </c>
      <c r="F20" s="397">
        <f>SUM(B20:E20)</f>
        <v>14.3</v>
      </c>
      <c r="G20" s="398">
        <v>3.9</v>
      </c>
      <c r="H20" s="396">
        <v>0.7</v>
      </c>
      <c r="I20" s="396">
        <v>7.4</v>
      </c>
      <c r="J20" s="396">
        <v>4.0999999999999996</v>
      </c>
      <c r="K20" s="397">
        <f>SUM(G20:J20)</f>
        <v>16.100000000000001</v>
      </c>
      <c r="L20" s="398">
        <v>1.2000000000000028</v>
      </c>
      <c r="M20" s="396">
        <v>23.9</v>
      </c>
      <c r="N20" s="396">
        <v>1.5</v>
      </c>
      <c r="O20" s="396">
        <v>-11.4</v>
      </c>
      <c r="P20" s="399">
        <f>SUM(L20:O20)</f>
        <v>15.200000000000001</v>
      </c>
      <c r="Q20" s="396">
        <v>28.9</v>
      </c>
      <c r="R20" s="396">
        <v>-11.9</v>
      </c>
      <c r="S20" s="396">
        <v>-5.2</v>
      </c>
      <c r="T20" s="390">
        <v>-3.2</v>
      </c>
      <c r="U20" s="399">
        <v>8.6000000000000014</v>
      </c>
      <c r="V20" s="400">
        <v>-35.200000000000003</v>
      </c>
      <c r="W20" s="400">
        <v>-21.4</v>
      </c>
      <c r="X20" s="325">
        <v>13.1</v>
      </c>
      <c r="Y20" s="390">
        <v>-26.3</v>
      </c>
      <c r="Z20" s="399">
        <f t="shared" si="7"/>
        <v>-69.8</v>
      </c>
      <c r="AA20" s="400">
        <v>30.5</v>
      </c>
      <c r="AB20" s="400">
        <v>-14.4</v>
      </c>
      <c r="AC20" s="325">
        <v>-28</v>
      </c>
      <c r="AD20" s="390"/>
      <c r="AE20" s="399"/>
    </row>
    <row r="21" spans="1:31" ht="20.100000000000001" customHeight="1">
      <c r="A21" s="383" t="s">
        <v>87</v>
      </c>
      <c r="B21" s="396">
        <v>30.1</v>
      </c>
      <c r="C21" s="396">
        <v>-92.4</v>
      </c>
      <c r="D21" s="396">
        <v>-5.2</v>
      </c>
      <c r="E21" s="396">
        <v>-43.1</v>
      </c>
      <c r="F21" s="397">
        <f t="shared" ref="F21:F22" si="13">SUM(B21:E21)</f>
        <v>-110.6</v>
      </c>
      <c r="G21" s="398">
        <v>-80.099999999999994</v>
      </c>
      <c r="H21" s="396">
        <v>-102.4</v>
      </c>
      <c r="I21" s="396">
        <v>-10.7</v>
      </c>
      <c r="J21" s="396">
        <v>-22.8</v>
      </c>
      <c r="K21" s="397">
        <f t="shared" ref="K21:K22" si="14">SUM(G21:J21)</f>
        <v>-216</v>
      </c>
      <c r="L21" s="398">
        <v>-108.70000000000005</v>
      </c>
      <c r="M21" s="396">
        <v>-273.39999999999998</v>
      </c>
      <c r="N21" s="396">
        <v>-384.7</v>
      </c>
      <c r="O21" s="396">
        <v>-379.2</v>
      </c>
      <c r="P21" s="399">
        <f t="shared" ref="P21:P22" si="15">SUM(L21:O21)</f>
        <v>-1146</v>
      </c>
      <c r="Q21" s="396">
        <v>-261.3</v>
      </c>
      <c r="R21" s="396">
        <v>-222.1</v>
      </c>
      <c r="S21" s="396">
        <v>88.8</v>
      </c>
      <c r="T21" s="390">
        <v>-270</v>
      </c>
      <c r="U21" s="399">
        <v>-664.59999999999991</v>
      </c>
      <c r="V21" s="400">
        <v>-182.7</v>
      </c>
      <c r="W21" s="400">
        <v>-133.19999999999999</v>
      </c>
      <c r="X21" s="325">
        <v>-127.3</v>
      </c>
      <c r="Y21" s="390">
        <v>-122.9</v>
      </c>
      <c r="Z21" s="399">
        <f t="shared" si="7"/>
        <v>-566.1</v>
      </c>
      <c r="AA21" s="400">
        <v>-185.5</v>
      </c>
      <c r="AB21" s="400">
        <v>-113.3</v>
      </c>
      <c r="AC21" s="325">
        <v>-104.8</v>
      </c>
      <c r="AD21" s="390"/>
      <c r="AE21" s="399"/>
    </row>
    <row r="22" spans="1:31" ht="26.25" customHeight="1" thickBot="1">
      <c r="A22" s="383" t="s">
        <v>187</v>
      </c>
      <c r="B22" s="396">
        <v>0.7</v>
      </c>
      <c r="C22" s="396">
        <v>0.8</v>
      </c>
      <c r="D22" s="396">
        <v>0.5</v>
      </c>
      <c r="E22" s="396">
        <v>0.8</v>
      </c>
      <c r="F22" s="397">
        <f t="shared" si="13"/>
        <v>2.8</v>
      </c>
      <c r="G22" s="398">
        <v>0.8</v>
      </c>
      <c r="H22" s="396">
        <v>0.8</v>
      </c>
      <c r="I22" s="396">
        <v>0.7</v>
      </c>
      <c r="J22" s="396">
        <v>0.6</v>
      </c>
      <c r="K22" s="397">
        <f t="shared" si="14"/>
        <v>2.9</v>
      </c>
      <c r="L22" s="398">
        <v>0.60000000000000009</v>
      </c>
      <c r="M22" s="396">
        <v>0.7</v>
      </c>
      <c r="N22" s="396">
        <v>0.7</v>
      </c>
      <c r="O22" s="396">
        <v>0.6</v>
      </c>
      <c r="P22" s="399">
        <f t="shared" si="15"/>
        <v>2.6</v>
      </c>
      <c r="Q22" s="396">
        <v>0.5</v>
      </c>
      <c r="R22" s="396">
        <v>0.9</v>
      </c>
      <c r="S22" s="396">
        <v>0.5</v>
      </c>
      <c r="T22" s="390">
        <v>0.70000000000000018</v>
      </c>
      <c r="U22" s="399">
        <v>2.6</v>
      </c>
      <c r="V22" s="400">
        <v>0.8</v>
      </c>
      <c r="W22" s="400">
        <v>-0.8</v>
      </c>
      <c r="X22" s="362">
        <v>0</v>
      </c>
      <c r="Y22" s="362">
        <v>0</v>
      </c>
      <c r="Z22" s="404">
        <f t="shared" si="7"/>
        <v>0</v>
      </c>
      <c r="AA22" s="362">
        <v>0</v>
      </c>
      <c r="AB22" s="362">
        <v>0</v>
      </c>
      <c r="AC22" s="362">
        <v>0</v>
      </c>
      <c r="AD22" s="362"/>
      <c r="AE22" s="404"/>
    </row>
    <row r="23" spans="1:31" s="395" customFormat="1" ht="20.100000000000001" customHeight="1" thickBot="1">
      <c r="A23" s="378" t="s">
        <v>209</v>
      </c>
      <c r="B23" s="379">
        <f>B19+B20+B21+B22</f>
        <v>246.30000000000004</v>
      </c>
      <c r="C23" s="379">
        <f t="shared" ref="C23:Z23" si="16">C19+C20+C21+C22</f>
        <v>112.89999999999996</v>
      </c>
      <c r="D23" s="379">
        <f t="shared" si="16"/>
        <v>198.20000000000005</v>
      </c>
      <c r="E23" s="379">
        <f t="shared" si="16"/>
        <v>138.20000000000019</v>
      </c>
      <c r="F23" s="402">
        <f t="shared" si="16"/>
        <v>695.59999999999911</v>
      </c>
      <c r="G23" s="381">
        <f t="shared" si="16"/>
        <v>109.27999999999996</v>
      </c>
      <c r="H23" s="379">
        <f t="shared" si="16"/>
        <v>94.09999999999998</v>
      </c>
      <c r="I23" s="379">
        <f t="shared" si="16"/>
        <v>200.79999999999998</v>
      </c>
      <c r="J23" s="379">
        <f t="shared" si="16"/>
        <v>188.69999999999993</v>
      </c>
      <c r="K23" s="402">
        <f t="shared" si="16"/>
        <v>592.88000000000034</v>
      </c>
      <c r="L23" s="381">
        <f t="shared" si="16"/>
        <v>112.59999999999977</v>
      </c>
      <c r="M23" s="379">
        <f t="shared" si="16"/>
        <v>148.7999999999999</v>
      </c>
      <c r="N23" s="379">
        <f t="shared" si="16"/>
        <v>49.299999999999685</v>
      </c>
      <c r="O23" s="379">
        <f t="shared" si="16"/>
        <v>3.5000000000007732</v>
      </c>
      <c r="P23" s="403">
        <f t="shared" si="16"/>
        <v>314.19999999999925</v>
      </c>
      <c r="Q23" s="379">
        <f t="shared" si="16"/>
        <v>196.79999999999995</v>
      </c>
      <c r="R23" s="379">
        <f t="shared" si="16"/>
        <v>350.4</v>
      </c>
      <c r="S23" s="379">
        <f t="shared" si="16"/>
        <v>613.29999999999961</v>
      </c>
      <c r="T23" s="379">
        <f t="shared" si="16"/>
        <v>171.90000000000038</v>
      </c>
      <c r="U23" s="403">
        <f t="shared" si="16"/>
        <v>1332.3999999999994</v>
      </c>
      <c r="V23" s="379">
        <f t="shared" si="16"/>
        <v>205.70000000000005</v>
      </c>
      <c r="W23" s="379">
        <f t="shared" si="16"/>
        <v>252.10000000000014</v>
      </c>
      <c r="X23" s="322">
        <f t="shared" si="16"/>
        <v>334.90000000000038</v>
      </c>
      <c r="Y23" s="322">
        <f t="shared" si="16"/>
        <v>240.69999999999996</v>
      </c>
      <c r="Z23" s="403">
        <f t="shared" si="16"/>
        <v>1033.4000000000001</v>
      </c>
      <c r="AA23" s="379">
        <f t="shared" ref="AA23:AC23" si="17">AA19+AA20+AA21+AA22</f>
        <v>302.20000000000033</v>
      </c>
      <c r="AB23" s="379">
        <f t="shared" si="17"/>
        <v>389.2999999999999</v>
      </c>
      <c r="AC23" s="379">
        <f t="shared" si="17"/>
        <v>289.10000000000002</v>
      </c>
      <c r="AD23" s="322"/>
      <c r="AE23" s="403"/>
    </row>
    <row r="24" spans="1:31" ht="20.100000000000001" customHeight="1" thickBot="1">
      <c r="A24" s="383" t="s">
        <v>2</v>
      </c>
      <c r="B24" s="396">
        <v>-41.2</v>
      </c>
      <c r="C24" s="396">
        <v>-13.4</v>
      </c>
      <c r="D24" s="396">
        <v>-26.2</v>
      </c>
      <c r="E24" s="396">
        <v>-16.600000000000001</v>
      </c>
      <c r="F24" s="397">
        <f>SUM(B24:E24)</f>
        <v>-97.4</v>
      </c>
      <c r="G24" s="398">
        <v>-14.1</v>
      </c>
      <c r="H24" s="396">
        <v>-13.4</v>
      </c>
      <c r="I24" s="396">
        <v>-24.4</v>
      </c>
      <c r="J24" s="396">
        <v>-15.5</v>
      </c>
      <c r="K24" s="397">
        <f>SUM(G24:J24)</f>
        <v>-67.400000000000006</v>
      </c>
      <c r="L24" s="398">
        <v>-14.400000000000002</v>
      </c>
      <c r="M24" s="396">
        <v>-16.7</v>
      </c>
      <c r="N24" s="396">
        <v>-1.1000000000000001</v>
      </c>
      <c r="O24" s="396">
        <v>10.5</v>
      </c>
      <c r="P24" s="399">
        <f>SUM(L24:O24)</f>
        <v>-21.700000000000003</v>
      </c>
      <c r="Q24" s="396">
        <v>-26</v>
      </c>
      <c r="R24" s="396">
        <v>-45.9</v>
      </c>
      <c r="S24" s="396">
        <v>-110.8</v>
      </c>
      <c r="T24" s="400">
        <v>13.7</v>
      </c>
      <c r="U24" s="399">
        <v>-169</v>
      </c>
      <c r="V24" s="400">
        <v>-27.2</v>
      </c>
      <c r="W24" s="400">
        <v>-21.2</v>
      </c>
      <c r="X24" s="325">
        <v>-65.099999999999994</v>
      </c>
      <c r="Y24" s="400">
        <v>101.1</v>
      </c>
      <c r="Z24" s="399">
        <f t="shared" si="7"/>
        <v>-12.400000000000006</v>
      </c>
      <c r="AA24" s="400">
        <v>-30.8</v>
      </c>
      <c r="AB24" s="400">
        <v>-107.6</v>
      </c>
      <c r="AC24" s="325">
        <v>-54.2</v>
      </c>
      <c r="AD24" s="400"/>
      <c r="AE24" s="399"/>
    </row>
    <row r="25" spans="1:31" s="395" customFormat="1" ht="20.100000000000001" customHeight="1" thickBot="1">
      <c r="A25" s="378" t="s">
        <v>210</v>
      </c>
      <c r="B25" s="379">
        <f t="shared" ref="B25:Z25" si="18">B23+B24</f>
        <v>205.10000000000002</v>
      </c>
      <c r="C25" s="379">
        <f t="shared" si="18"/>
        <v>99.499999999999957</v>
      </c>
      <c r="D25" s="379">
        <f t="shared" si="18"/>
        <v>172.00000000000006</v>
      </c>
      <c r="E25" s="379">
        <f t="shared" si="18"/>
        <v>121.60000000000019</v>
      </c>
      <c r="F25" s="402">
        <f>F23+F24</f>
        <v>598.19999999999914</v>
      </c>
      <c r="G25" s="381">
        <f t="shared" si="18"/>
        <v>95.179999999999964</v>
      </c>
      <c r="H25" s="379">
        <f t="shared" si="18"/>
        <v>80.699999999999974</v>
      </c>
      <c r="I25" s="379">
        <f t="shared" si="18"/>
        <v>176.39999999999998</v>
      </c>
      <c r="J25" s="379">
        <f t="shared" si="18"/>
        <v>173.19999999999993</v>
      </c>
      <c r="K25" s="402">
        <f t="shared" si="18"/>
        <v>525.48000000000036</v>
      </c>
      <c r="L25" s="381">
        <f t="shared" si="18"/>
        <v>98.199999999999761</v>
      </c>
      <c r="M25" s="379">
        <f t="shared" si="18"/>
        <v>132.09999999999991</v>
      </c>
      <c r="N25" s="379">
        <f t="shared" si="18"/>
        <v>48.199999999999683</v>
      </c>
      <c r="O25" s="379">
        <f t="shared" si="18"/>
        <v>14.000000000000773</v>
      </c>
      <c r="P25" s="403">
        <f t="shared" si="18"/>
        <v>292.49999999999926</v>
      </c>
      <c r="Q25" s="379">
        <f t="shared" si="18"/>
        <v>170.79999999999995</v>
      </c>
      <c r="R25" s="379">
        <f t="shared" si="18"/>
        <v>304.5</v>
      </c>
      <c r="S25" s="379">
        <f t="shared" si="18"/>
        <v>502.4999999999996</v>
      </c>
      <c r="T25" s="379">
        <f t="shared" si="18"/>
        <v>185.60000000000036</v>
      </c>
      <c r="U25" s="403">
        <f t="shared" si="18"/>
        <v>1163.3999999999994</v>
      </c>
      <c r="V25" s="379">
        <f t="shared" si="18"/>
        <v>178.50000000000006</v>
      </c>
      <c r="W25" s="379">
        <f t="shared" si="18"/>
        <v>230.90000000000015</v>
      </c>
      <c r="X25" s="322">
        <f t="shared" si="18"/>
        <v>269.80000000000041</v>
      </c>
      <c r="Y25" s="322">
        <f t="shared" si="18"/>
        <v>341.79999999999995</v>
      </c>
      <c r="Z25" s="403">
        <f t="shared" si="18"/>
        <v>1021.0000000000001</v>
      </c>
      <c r="AA25" s="379">
        <f t="shared" ref="AA25:AC25" si="19">AA23+AA24</f>
        <v>271.40000000000032</v>
      </c>
      <c r="AB25" s="379">
        <f t="shared" si="19"/>
        <v>281.69999999999993</v>
      </c>
      <c r="AC25" s="379">
        <f t="shared" si="19"/>
        <v>234.90000000000003</v>
      </c>
      <c r="AD25" s="322"/>
      <c r="AE25" s="403"/>
    </row>
    <row r="26" spans="1:31" ht="25.5">
      <c r="A26" s="383" t="s">
        <v>173</v>
      </c>
      <c r="B26" s="396">
        <f>B25</f>
        <v>205.10000000000002</v>
      </c>
      <c r="C26" s="396">
        <f t="shared" ref="C26:U26" si="20">C25</f>
        <v>99.499999999999957</v>
      </c>
      <c r="D26" s="396">
        <f t="shared" si="20"/>
        <v>172.00000000000006</v>
      </c>
      <c r="E26" s="396">
        <f t="shared" si="20"/>
        <v>121.60000000000019</v>
      </c>
      <c r="F26" s="397">
        <f t="shared" si="20"/>
        <v>598.19999999999914</v>
      </c>
      <c r="G26" s="398">
        <f t="shared" si="20"/>
        <v>95.179999999999964</v>
      </c>
      <c r="H26" s="396">
        <f t="shared" si="20"/>
        <v>80.699999999999974</v>
      </c>
      <c r="I26" s="396">
        <f t="shared" si="20"/>
        <v>176.39999999999998</v>
      </c>
      <c r="J26" s="396">
        <f t="shared" si="20"/>
        <v>173.19999999999993</v>
      </c>
      <c r="K26" s="397">
        <f t="shared" si="20"/>
        <v>525.48000000000036</v>
      </c>
      <c r="L26" s="398">
        <f t="shared" si="20"/>
        <v>98.199999999999761</v>
      </c>
      <c r="M26" s="396">
        <f t="shared" si="20"/>
        <v>132.09999999999991</v>
      </c>
      <c r="N26" s="396">
        <f t="shared" si="20"/>
        <v>48.199999999999683</v>
      </c>
      <c r="O26" s="396">
        <f t="shared" si="20"/>
        <v>14.000000000000773</v>
      </c>
      <c r="P26" s="399">
        <f t="shared" si="20"/>
        <v>292.49999999999926</v>
      </c>
      <c r="Q26" s="396">
        <f t="shared" si="20"/>
        <v>170.79999999999995</v>
      </c>
      <c r="R26" s="396">
        <f t="shared" si="20"/>
        <v>304.5</v>
      </c>
      <c r="S26" s="396">
        <f t="shared" si="20"/>
        <v>502.4999999999996</v>
      </c>
      <c r="T26" s="405">
        <f t="shared" si="20"/>
        <v>185.60000000000036</v>
      </c>
      <c r="U26" s="399">
        <f t="shared" si="20"/>
        <v>1163.3999999999994</v>
      </c>
      <c r="V26" s="400">
        <v>175.5</v>
      </c>
      <c r="W26" s="400">
        <v>237.7</v>
      </c>
      <c r="X26" s="325">
        <v>278.2</v>
      </c>
      <c r="Y26" s="405">
        <v>349.9</v>
      </c>
      <c r="Z26" s="399">
        <f t="shared" si="7"/>
        <v>1041.3</v>
      </c>
      <c r="AA26" s="400">
        <v>279.39999999999998</v>
      </c>
      <c r="AB26" s="400">
        <v>291.2</v>
      </c>
      <c r="AC26" s="325">
        <v>242.9</v>
      </c>
      <c r="AD26" s="405"/>
      <c r="AE26" s="399"/>
    </row>
    <row r="27" spans="1:31" ht="25.5">
      <c r="A27" s="383" t="s">
        <v>216</v>
      </c>
      <c r="B27" s="396"/>
      <c r="C27" s="396"/>
      <c r="D27" s="396"/>
      <c r="E27" s="396"/>
      <c r="F27" s="397"/>
      <c r="G27" s="398"/>
      <c r="H27" s="396"/>
      <c r="I27" s="396"/>
      <c r="J27" s="396"/>
      <c r="K27" s="397"/>
      <c r="L27" s="398"/>
      <c r="M27" s="396"/>
      <c r="N27" s="396"/>
      <c r="O27" s="396"/>
      <c r="P27" s="399"/>
      <c r="Q27" s="396"/>
      <c r="R27" s="396"/>
      <c r="S27" s="396"/>
      <c r="T27" s="405"/>
      <c r="U27" s="399"/>
      <c r="V27" s="400">
        <v>3</v>
      </c>
      <c r="W27" s="400">
        <v>-6.8</v>
      </c>
      <c r="X27" s="325">
        <v>-8.4</v>
      </c>
      <c r="Y27" s="405">
        <v>-8.1</v>
      </c>
      <c r="Z27" s="399">
        <f t="shared" si="7"/>
        <v>-20.299999999999997</v>
      </c>
      <c r="AA27" s="400">
        <v>-8</v>
      </c>
      <c r="AB27" s="400">
        <v>-9.5</v>
      </c>
      <c r="AC27" s="325">
        <v>-8</v>
      </c>
      <c r="AD27" s="405"/>
      <c r="AE27" s="399"/>
    </row>
    <row r="28" spans="1:31" s="395" customFormat="1" ht="20.100000000000001" customHeight="1">
      <c r="A28" s="406" t="s">
        <v>174</v>
      </c>
      <c r="B28" s="407">
        <f t="shared" ref="B28:L28" si="21">ROUND(B25/348.352836,2)</f>
        <v>0.59</v>
      </c>
      <c r="C28" s="407">
        <f t="shared" si="21"/>
        <v>0.28999999999999998</v>
      </c>
      <c r="D28" s="407">
        <f t="shared" si="21"/>
        <v>0.49</v>
      </c>
      <c r="E28" s="407">
        <f t="shared" si="21"/>
        <v>0.35</v>
      </c>
      <c r="F28" s="408">
        <f t="shared" si="21"/>
        <v>1.72</v>
      </c>
      <c r="G28" s="409">
        <f t="shared" si="21"/>
        <v>0.27</v>
      </c>
      <c r="H28" s="407">
        <f t="shared" si="21"/>
        <v>0.23</v>
      </c>
      <c r="I28" s="407">
        <f t="shared" si="21"/>
        <v>0.51</v>
      </c>
      <c r="J28" s="407">
        <f t="shared" si="21"/>
        <v>0.5</v>
      </c>
      <c r="K28" s="408">
        <f t="shared" si="21"/>
        <v>1.51</v>
      </c>
      <c r="L28" s="410">
        <f t="shared" si="21"/>
        <v>0.28000000000000003</v>
      </c>
      <c r="M28" s="407">
        <f>ROUND(M25/524.348714,2)</f>
        <v>0.25</v>
      </c>
      <c r="N28" s="407">
        <f>ROUND(N25/639.546016,2)</f>
        <v>0.08</v>
      </c>
      <c r="O28" s="407">
        <f>ROUND(O25/639.546016,2)</f>
        <v>0.02</v>
      </c>
      <c r="P28" s="411">
        <f>ROUND(P25/539.024535,2)</f>
        <v>0.54</v>
      </c>
      <c r="Q28" s="407">
        <f t="shared" ref="Q28:Z28" si="22">ROUND(Q25/639.546016,2)</f>
        <v>0.27</v>
      </c>
      <c r="R28" s="407">
        <f t="shared" si="22"/>
        <v>0.48</v>
      </c>
      <c r="S28" s="407">
        <f t="shared" si="22"/>
        <v>0.79</v>
      </c>
      <c r="T28" s="412">
        <f t="shared" si="22"/>
        <v>0.28999999999999998</v>
      </c>
      <c r="U28" s="411">
        <f t="shared" si="22"/>
        <v>1.82</v>
      </c>
      <c r="V28" s="413">
        <f t="shared" si="22"/>
        <v>0.28000000000000003</v>
      </c>
      <c r="W28" s="413">
        <f>ROUNDUP(W25/639.546016,2)</f>
        <v>0.37</v>
      </c>
      <c r="X28" s="326">
        <f t="shared" si="22"/>
        <v>0.42</v>
      </c>
      <c r="Y28" s="326">
        <f>ROUNDUP(Y25/639.546016,2)</f>
        <v>0.54</v>
      </c>
      <c r="Z28" s="411">
        <f t="shared" si="22"/>
        <v>1.6</v>
      </c>
      <c r="AA28" s="413">
        <f t="shared" ref="AA28:AC28" si="23">ROUND(AA25/639.546016,2)</f>
        <v>0.42</v>
      </c>
      <c r="AB28" s="413">
        <f t="shared" si="23"/>
        <v>0.44</v>
      </c>
      <c r="AC28" s="413">
        <f t="shared" si="23"/>
        <v>0.37</v>
      </c>
      <c r="AD28" s="326"/>
      <c r="AE28" s="411"/>
    </row>
    <row r="29" spans="1:31" s="14" customFormat="1" ht="20.100000000000001" customHeight="1" thickBot="1">
      <c r="A29" s="414"/>
      <c r="B29" s="396"/>
      <c r="C29" s="396"/>
      <c r="D29" s="396"/>
      <c r="E29" s="396"/>
      <c r="F29" s="415"/>
      <c r="G29" s="396"/>
      <c r="H29" s="396"/>
      <c r="I29" s="396"/>
      <c r="J29" s="396"/>
      <c r="K29" s="415"/>
      <c r="L29" s="396"/>
      <c r="M29" s="396"/>
      <c r="N29" s="396"/>
      <c r="O29" s="396"/>
      <c r="P29" s="415"/>
      <c r="Q29" s="396"/>
      <c r="R29" s="396"/>
      <c r="S29" s="396"/>
      <c r="T29" s="396" t="s">
        <v>175</v>
      </c>
      <c r="U29" s="415"/>
      <c r="V29" s="369"/>
      <c r="W29" s="369"/>
      <c r="X29" s="327"/>
      <c r="Y29" s="396"/>
      <c r="Z29" s="415"/>
      <c r="AA29" s="369"/>
      <c r="AB29" s="369"/>
      <c r="AC29" s="327"/>
      <c r="AD29" s="396"/>
      <c r="AE29" s="415"/>
    </row>
    <row r="30" spans="1:31" s="395" customFormat="1" ht="20.100000000000001" customHeight="1">
      <c r="A30" s="416" t="s">
        <v>0</v>
      </c>
      <c r="B30" s="416">
        <f t="shared" ref="B30:AA30" si="24">B19-B11</f>
        <v>257.40000000000003</v>
      </c>
      <c r="C30" s="417">
        <f t="shared" si="24"/>
        <v>269.7</v>
      </c>
      <c r="D30" s="417">
        <f t="shared" si="24"/>
        <v>257.8</v>
      </c>
      <c r="E30" s="417">
        <f t="shared" si="24"/>
        <v>247.20000000000016</v>
      </c>
      <c r="F30" s="418">
        <f t="shared" si="24"/>
        <v>1032.0999999999992</v>
      </c>
      <c r="G30" s="416">
        <f t="shared" si="24"/>
        <v>245.37999999999994</v>
      </c>
      <c r="H30" s="417">
        <f t="shared" si="24"/>
        <v>257.3</v>
      </c>
      <c r="I30" s="417">
        <f t="shared" si="24"/>
        <v>268.2</v>
      </c>
      <c r="J30" s="417">
        <f t="shared" si="24"/>
        <v>275.39999999999998</v>
      </c>
      <c r="K30" s="418">
        <f t="shared" si="24"/>
        <v>1046.2800000000002</v>
      </c>
      <c r="L30" s="416">
        <f t="shared" si="24"/>
        <v>281.99999999999977</v>
      </c>
      <c r="M30" s="417">
        <f t="shared" si="24"/>
        <v>708.89999999999986</v>
      </c>
      <c r="N30" s="417">
        <f t="shared" si="24"/>
        <v>910.09999999999968</v>
      </c>
      <c r="O30" s="417">
        <f t="shared" si="24"/>
        <v>837.30000000000075</v>
      </c>
      <c r="P30" s="418">
        <f t="shared" si="24"/>
        <v>2738.2999999999993</v>
      </c>
      <c r="Q30" s="416">
        <f t="shared" si="24"/>
        <v>896.59999999999991</v>
      </c>
      <c r="R30" s="417">
        <f t="shared" si="24"/>
        <v>977</v>
      </c>
      <c r="S30" s="417">
        <f t="shared" si="24"/>
        <v>930.39999999999964</v>
      </c>
      <c r="T30" s="417">
        <f t="shared" si="24"/>
        <v>881.10000000000036</v>
      </c>
      <c r="U30" s="419">
        <f t="shared" si="24"/>
        <v>3685.0999999999995</v>
      </c>
      <c r="V30" s="416">
        <f t="shared" si="24"/>
        <v>846.5</v>
      </c>
      <c r="W30" s="420">
        <f t="shared" si="24"/>
        <v>935.00000000000011</v>
      </c>
      <c r="X30" s="234">
        <f t="shared" si="24"/>
        <v>957.00000000000034</v>
      </c>
      <c r="Y30" s="234">
        <f t="shared" si="24"/>
        <v>902.3</v>
      </c>
      <c r="Z30" s="419">
        <f t="shared" si="24"/>
        <v>3640.8</v>
      </c>
      <c r="AA30" s="416">
        <f t="shared" si="24"/>
        <v>929.50000000000034</v>
      </c>
      <c r="AB30" s="420">
        <f t="shared" ref="AB30:AC30" si="25">AB19-AB11</f>
        <v>963.69999999999982</v>
      </c>
      <c r="AC30" s="420">
        <f t="shared" si="25"/>
        <v>851.1</v>
      </c>
      <c r="AD30" s="234"/>
      <c r="AE30" s="419"/>
    </row>
    <row r="31" spans="1:31" s="395" customFormat="1" ht="20.100000000000001" customHeight="1" thickBot="1">
      <c r="A31" s="421" t="s">
        <v>3</v>
      </c>
      <c r="B31" s="422">
        <f t="shared" ref="B31:AA31" si="26">B30/B4</f>
        <v>0.38463837417812313</v>
      </c>
      <c r="C31" s="423">
        <f t="shared" si="26"/>
        <v>0.377836929111796</v>
      </c>
      <c r="D31" s="423">
        <f t="shared" si="26"/>
        <v>0.4</v>
      </c>
      <c r="E31" s="423">
        <f t="shared" si="26"/>
        <v>0.32933653077537983</v>
      </c>
      <c r="F31" s="424">
        <f t="shared" si="26"/>
        <v>0.37151290450307745</v>
      </c>
      <c r="G31" s="422">
        <f t="shared" si="26"/>
        <v>0.35200114761153339</v>
      </c>
      <c r="H31" s="423">
        <f t="shared" si="26"/>
        <v>0.34963989672509854</v>
      </c>
      <c r="I31" s="423">
        <f t="shared" si="26"/>
        <v>0.39598405433338257</v>
      </c>
      <c r="J31" s="423">
        <f t="shared" si="26"/>
        <v>0.34403497813866329</v>
      </c>
      <c r="K31" s="425">
        <f t="shared" si="26"/>
        <v>0.35944757454995196</v>
      </c>
      <c r="L31" s="422">
        <f t="shared" si="26"/>
        <v>0.38987971795935272</v>
      </c>
      <c r="M31" s="423">
        <f t="shared" si="26"/>
        <v>0.40603700097370976</v>
      </c>
      <c r="N31" s="423">
        <f t="shared" si="26"/>
        <v>0.37613655149611497</v>
      </c>
      <c r="O31" s="423">
        <f t="shared" si="26"/>
        <v>0.33211693308476481</v>
      </c>
      <c r="P31" s="424">
        <f t="shared" si="26"/>
        <v>0.36954614772129168</v>
      </c>
      <c r="Q31" s="423">
        <f t="shared" si="26"/>
        <v>0.38497209102619145</v>
      </c>
      <c r="R31" s="423">
        <f t="shared" si="26"/>
        <v>0.39567471245747615</v>
      </c>
      <c r="S31" s="423">
        <f t="shared" si="26"/>
        <v>0.3852747525777464</v>
      </c>
      <c r="T31" s="423">
        <f t="shared" si="26"/>
        <v>0.33759914172956829</v>
      </c>
      <c r="U31" s="424">
        <f t="shared" si="26"/>
        <v>0.37515015779293487</v>
      </c>
      <c r="V31" s="423">
        <f t="shared" si="26"/>
        <v>0.35807952622673433</v>
      </c>
      <c r="W31" s="423">
        <f t="shared" si="26"/>
        <v>0.3827418232428671</v>
      </c>
      <c r="X31" s="426">
        <f t="shared" si="26"/>
        <v>0.4007873356227491</v>
      </c>
      <c r="Y31" s="426">
        <f t="shared" si="26"/>
        <v>0.35592284328034396</v>
      </c>
      <c r="Z31" s="424">
        <f t="shared" si="26"/>
        <v>0.37419063084544396</v>
      </c>
      <c r="AA31" s="423">
        <f t="shared" si="26"/>
        <v>0.38914008205643491</v>
      </c>
      <c r="AB31" s="423">
        <f t="shared" ref="AB31:AC31" si="27">AB30/AB4</f>
        <v>0.39017773998947319</v>
      </c>
      <c r="AC31" s="423">
        <f t="shared" si="27"/>
        <v>0.35597473754653058</v>
      </c>
      <c r="AD31" s="426"/>
      <c r="AE31" s="424"/>
    </row>
    <row r="32" spans="1:31" ht="15" customHeight="1">
      <c r="A32" s="427"/>
      <c r="B32" s="428"/>
      <c r="C32" s="428"/>
      <c r="D32" s="428"/>
      <c r="E32" s="428"/>
      <c r="F32" s="428"/>
      <c r="G32" s="428"/>
      <c r="H32" s="429"/>
      <c r="I32" s="430"/>
      <c r="J32" s="430"/>
      <c r="T32" s="10"/>
      <c r="U32" s="10"/>
      <c r="V32" s="10"/>
      <c r="W32" s="10"/>
      <c r="X32" s="328"/>
      <c r="Y32" s="10"/>
      <c r="Z32" s="10"/>
      <c r="AA32" s="10"/>
      <c r="AB32" s="10"/>
      <c r="AC32" s="328"/>
      <c r="AD32" s="10"/>
      <c r="AE32" s="10"/>
    </row>
    <row r="33" spans="1:31" ht="15" customHeight="1">
      <c r="A33" s="431" t="s">
        <v>214</v>
      </c>
      <c r="B33" s="428"/>
      <c r="C33" s="428"/>
      <c r="D33" s="428"/>
      <c r="E33" s="428"/>
      <c r="F33" s="428"/>
      <c r="G33" s="428"/>
      <c r="H33" s="428"/>
      <c r="I33" s="428"/>
      <c r="J33" s="428"/>
      <c r="K33" s="428"/>
      <c r="L33" s="428"/>
      <c r="M33" s="428"/>
      <c r="N33" s="7"/>
      <c r="O33" s="7"/>
      <c r="P33" s="7"/>
      <c r="Q33" s="7"/>
      <c r="R33" s="7"/>
      <c r="S33" s="7"/>
      <c r="T33" s="12"/>
      <c r="U33" s="12"/>
      <c r="V33" s="12"/>
      <c r="W33" s="12"/>
      <c r="X33" s="320"/>
      <c r="Y33" s="12"/>
      <c r="Z33" s="12"/>
      <c r="AA33" s="12"/>
      <c r="AB33" s="12"/>
      <c r="AC33" s="320"/>
      <c r="AD33" s="12"/>
      <c r="AE33" s="12"/>
    </row>
    <row r="34" spans="1:31" ht="15" customHeight="1">
      <c r="A34" s="521"/>
      <c r="B34" s="521"/>
      <c r="C34" s="521"/>
      <c r="D34" s="521"/>
      <c r="E34" s="521"/>
      <c r="F34" s="521"/>
      <c r="G34" s="521"/>
      <c r="H34" s="521"/>
      <c r="I34" s="521"/>
      <c r="J34" s="521"/>
      <c r="K34" s="521"/>
      <c r="L34" s="521"/>
      <c r="M34" s="521"/>
      <c r="N34" s="7"/>
      <c r="O34" s="7"/>
      <c r="P34" s="7"/>
      <c r="Q34" s="7"/>
      <c r="R34" s="7"/>
      <c r="S34" s="7"/>
      <c r="T34" s="12"/>
      <c r="U34" s="12"/>
      <c r="V34" s="12"/>
      <c r="W34" s="12"/>
      <c r="X34" s="320"/>
      <c r="Y34" s="12"/>
      <c r="Z34" s="12"/>
      <c r="AA34" s="12"/>
      <c r="AB34" s="12"/>
      <c r="AC34" s="320"/>
      <c r="AD34" s="12"/>
      <c r="AE34" s="12"/>
    </row>
    <row r="35" spans="1:31" ht="15" customHeight="1">
      <c r="A35" s="428"/>
      <c r="B35" s="428"/>
      <c r="C35" s="428"/>
      <c r="D35" s="428"/>
      <c r="E35" s="428"/>
      <c r="F35" s="428"/>
      <c r="G35" s="428"/>
      <c r="H35" s="429"/>
      <c r="I35" s="430"/>
      <c r="T35" s="10"/>
      <c r="U35" s="10"/>
      <c r="V35" s="10"/>
      <c r="W35" s="10"/>
      <c r="X35" s="328"/>
      <c r="Y35" s="10"/>
      <c r="Z35" s="10"/>
      <c r="AA35" s="10"/>
      <c r="AB35" s="10"/>
      <c r="AC35" s="328"/>
      <c r="AD35" s="10"/>
      <c r="AE35" s="10"/>
    </row>
    <row r="36" spans="1:31" ht="15" customHeight="1">
      <c r="A36" s="521"/>
      <c r="B36" s="521"/>
      <c r="C36" s="521"/>
      <c r="D36" s="521"/>
      <c r="E36" s="521"/>
      <c r="F36" s="521"/>
      <c r="G36" s="521"/>
      <c r="H36" s="521"/>
      <c r="I36" s="521"/>
      <c r="J36" s="521"/>
      <c r="K36" s="521"/>
      <c r="L36" s="521"/>
      <c r="M36" s="521"/>
      <c r="N36" s="7"/>
      <c r="O36" s="7"/>
      <c r="P36" s="7"/>
      <c r="Q36" s="7"/>
      <c r="R36" s="7"/>
      <c r="S36" s="7"/>
      <c r="T36" s="12"/>
      <c r="U36" s="12"/>
      <c r="V36" s="12"/>
      <c r="W36" s="12"/>
      <c r="X36" s="320"/>
      <c r="Y36" s="12"/>
      <c r="Z36" s="12"/>
      <c r="AA36" s="12"/>
      <c r="AB36" s="12"/>
      <c r="AC36" s="320"/>
      <c r="AD36" s="12"/>
      <c r="AE36" s="12"/>
    </row>
    <row r="37" spans="1:31" ht="15" customHeight="1">
      <c r="A37" s="428"/>
      <c r="B37" s="428"/>
      <c r="C37" s="428"/>
      <c r="D37" s="428"/>
      <c r="E37" s="428"/>
      <c r="F37" s="428"/>
      <c r="G37" s="428"/>
      <c r="H37" s="429"/>
      <c r="I37" s="430"/>
      <c r="T37" s="10"/>
      <c r="U37" s="10"/>
      <c r="V37" s="10"/>
      <c r="W37" s="10"/>
      <c r="X37" s="328"/>
      <c r="Y37" s="10"/>
      <c r="Z37" s="10"/>
      <c r="AA37" s="10"/>
      <c r="AB37" s="10"/>
      <c r="AC37" s="328"/>
      <c r="AD37" s="10"/>
      <c r="AE37" s="10"/>
    </row>
    <row r="38" spans="1:31" ht="15" customHeight="1">
      <c r="A38" s="521"/>
      <c r="B38" s="521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7"/>
      <c r="O38" s="7"/>
      <c r="P38" s="7"/>
      <c r="Q38" s="7"/>
      <c r="R38" s="7"/>
      <c r="S38" s="7"/>
      <c r="T38" s="12"/>
      <c r="U38" s="12"/>
      <c r="V38" s="12"/>
      <c r="W38" s="12"/>
      <c r="X38" s="320"/>
      <c r="Y38" s="12"/>
      <c r="Z38" s="12"/>
      <c r="AA38" s="12"/>
      <c r="AB38" s="12"/>
      <c r="AC38" s="320"/>
      <c r="AD38" s="12"/>
      <c r="AE38" s="12"/>
    </row>
    <row r="39" spans="1:31" ht="15" customHeight="1">
      <c r="A39" s="427"/>
      <c r="B39" s="428"/>
      <c r="C39" s="428"/>
      <c r="D39" s="428"/>
      <c r="E39" s="428"/>
      <c r="F39" s="428"/>
      <c r="G39" s="428"/>
      <c r="H39" s="429"/>
      <c r="I39" s="430"/>
      <c r="T39" s="10"/>
      <c r="U39" s="10"/>
      <c r="V39" s="10"/>
      <c r="W39" s="10"/>
      <c r="X39" s="328"/>
      <c r="Y39" s="10"/>
      <c r="Z39" s="10"/>
      <c r="AA39" s="10"/>
      <c r="AB39" s="10"/>
      <c r="AC39" s="328"/>
      <c r="AD39" s="10"/>
      <c r="AE39" s="10"/>
    </row>
    <row r="40" spans="1:31" ht="28.5" customHeight="1">
      <c r="A40" s="427"/>
      <c r="B40" s="428"/>
      <c r="C40" s="428"/>
      <c r="D40" s="428"/>
      <c r="E40" s="428"/>
      <c r="F40" s="428"/>
      <c r="G40" s="428"/>
      <c r="H40" s="429"/>
      <c r="I40" s="430"/>
      <c r="T40" s="10"/>
      <c r="U40" s="10"/>
      <c r="V40" s="10"/>
      <c r="W40" s="10"/>
      <c r="X40" s="328"/>
      <c r="Y40" s="10"/>
      <c r="Z40" s="10"/>
      <c r="AA40" s="10"/>
      <c r="AB40" s="10"/>
      <c r="AC40" s="328"/>
      <c r="AD40" s="10"/>
      <c r="AE40" s="10"/>
    </row>
    <row r="41" spans="1:31" ht="28.5" customHeight="1">
      <c r="A41" s="427"/>
      <c r="B41" s="428"/>
      <c r="C41" s="428"/>
      <c r="D41" s="428"/>
      <c r="E41" s="428"/>
      <c r="F41" s="428"/>
      <c r="G41" s="428"/>
      <c r="H41" s="429"/>
      <c r="I41" s="430"/>
      <c r="T41" s="10"/>
      <c r="U41" s="10"/>
      <c r="V41" s="10"/>
      <c r="W41" s="10"/>
      <c r="X41" s="328"/>
      <c r="Y41" s="10"/>
      <c r="Z41" s="10"/>
      <c r="AA41" s="10"/>
      <c r="AB41" s="10"/>
      <c r="AC41" s="328"/>
      <c r="AD41" s="10"/>
      <c r="AE41" s="10"/>
    </row>
    <row r="42" spans="1:31" ht="28.5" customHeight="1">
      <c r="A42" s="427"/>
      <c r="B42" s="428"/>
      <c r="C42" s="428"/>
      <c r="D42" s="428"/>
      <c r="E42" s="428"/>
      <c r="F42" s="428"/>
      <c r="G42" s="428"/>
      <c r="H42" s="429"/>
      <c r="I42" s="430"/>
      <c r="T42" s="10"/>
      <c r="U42" s="10"/>
      <c r="V42" s="10"/>
      <c r="W42" s="10"/>
      <c r="X42" s="328"/>
      <c r="Y42" s="10"/>
      <c r="Z42" s="10"/>
      <c r="AA42" s="10"/>
      <c r="AB42" s="10"/>
      <c r="AC42" s="328"/>
      <c r="AD42" s="10"/>
      <c r="AE42" s="10"/>
    </row>
    <row r="43" spans="1:31" ht="28.5" customHeight="1">
      <c r="A43" s="427"/>
      <c r="B43" s="428"/>
      <c r="C43" s="428"/>
      <c r="D43" s="428"/>
      <c r="E43" s="428"/>
      <c r="F43" s="428"/>
      <c r="G43" s="428"/>
      <c r="H43" s="429"/>
      <c r="I43" s="430"/>
      <c r="T43" s="10"/>
      <c r="U43" s="10"/>
      <c r="V43" s="10"/>
      <c r="W43" s="10"/>
      <c r="X43" s="328"/>
      <c r="Y43" s="10"/>
      <c r="Z43" s="10"/>
      <c r="AA43" s="10"/>
      <c r="AB43" s="10"/>
      <c r="AC43" s="328"/>
      <c r="AD43" s="10"/>
      <c r="AE43" s="10"/>
    </row>
    <row r="44" spans="1:31" ht="28.5" customHeight="1">
      <c r="A44" s="427"/>
      <c r="B44" s="428"/>
      <c r="C44" s="428"/>
      <c r="D44" s="428"/>
      <c r="E44" s="428"/>
      <c r="F44" s="428"/>
      <c r="G44" s="428"/>
      <c r="H44" s="429"/>
      <c r="I44" s="430"/>
      <c r="T44" s="10"/>
      <c r="U44" s="10"/>
      <c r="V44" s="10"/>
      <c r="W44" s="10"/>
      <c r="X44" s="328"/>
      <c r="Y44" s="10"/>
      <c r="Z44" s="10"/>
      <c r="AA44" s="10"/>
      <c r="AB44" s="10"/>
      <c r="AC44" s="328"/>
      <c r="AD44" s="10"/>
      <c r="AE44" s="10"/>
    </row>
    <row r="45" spans="1:31" ht="28.5" customHeight="1">
      <c r="A45" s="427"/>
      <c r="B45" s="428"/>
      <c r="C45" s="428"/>
      <c r="D45" s="428"/>
      <c r="E45" s="428"/>
      <c r="F45" s="428"/>
      <c r="G45" s="428"/>
      <c r="H45" s="429"/>
      <c r="I45" s="430"/>
      <c r="T45" s="10"/>
      <c r="U45" s="10"/>
      <c r="V45" s="10"/>
      <c r="W45" s="10"/>
      <c r="X45" s="328"/>
      <c r="Y45" s="10"/>
      <c r="Z45" s="10"/>
      <c r="AA45" s="10"/>
      <c r="AB45" s="10"/>
      <c r="AC45" s="328"/>
      <c r="AD45" s="10"/>
      <c r="AE45" s="10"/>
    </row>
    <row r="46" spans="1:31" ht="28.5" customHeight="1">
      <c r="A46" s="427"/>
      <c r="B46" s="428"/>
      <c r="C46" s="428"/>
      <c r="D46" s="428"/>
      <c r="E46" s="428"/>
      <c r="F46" s="428"/>
      <c r="G46" s="428"/>
      <c r="H46" s="429"/>
      <c r="I46" s="430"/>
      <c r="T46" s="10"/>
      <c r="U46" s="10"/>
      <c r="V46" s="10"/>
      <c r="W46" s="10"/>
      <c r="X46" s="328"/>
      <c r="Y46" s="10"/>
      <c r="Z46" s="10"/>
      <c r="AA46" s="10"/>
      <c r="AB46" s="10"/>
      <c r="AC46" s="328"/>
      <c r="AD46" s="10"/>
      <c r="AE46" s="10"/>
    </row>
    <row r="47" spans="1:31" ht="28.5" customHeight="1">
      <c r="A47" s="427"/>
      <c r="B47" s="428"/>
      <c r="C47" s="428"/>
      <c r="D47" s="428"/>
      <c r="E47" s="428"/>
      <c r="F47" s="428"/>
      <c r="G47" s="428"/>
      <c r="H47" s="429"/>
      <c r="I47" s="430"/>
      <c r="T47" s="10"/>
      <c r="U47" s="10"/>
      <c r="V47" s="10"/>
      <c r="W47" s="10"/>
      <c r="X47" s="328"/>
      <c r="Y47" s="10"/>
      <c r="Z47" s="10"/>
      <c r="AA47" s="10"/>
      <c r="AB47" s="10"/>
      <c r="AC47" s="328"/>
      <c r="AD47" s="10"/>
      <c r="AE47" s="10"/>
    </row>
    <row r="48" spans="1:31" ht="28.5" customHeight="1">
      <c r="A48" s="427"/>
      <c r="B48" s="428"/>
      <c r="C48" s="428"/>
      <c r="D48" s="428"/>
      <c r="E48" s="428"/>
      <c r="F48" s="428"/>
      <c r="G48" s="428"/>
      <c r="H48" s="429"/>
      <c r="I48" s="430"/>
      <c r="T48" s="10"/>
      <c r="U48" s="10"/>
      <c r="V48" s="10"/>
      <c r="W48" s="10"/>
      <c r="X48" s="328"/>
      <c r="Y48" s="10"/>
      <c r="Z48" s="10"/>
      <c r="AA48" s="10"/>
      <c r="AB48" s="10"/>
      <c r="AC48" s="328"/>
      <c r="AD48" s="10"/>
      <c r="AE48" s="10"/>
    </row>
    <row r="49" spans="1:9" ht="28.5" customHeight="1">
      <c r="A49" s="427"/>
      <c r="B49" s="428"/>
      <c r="C49" s="428"/>
      <c r="D49" s="428"/>
      <c r="E49" s="428"/>
      <c r="F49" s="428"/>
      <c r="G49" s="428"/>
      <c r="H49" s="429"/>
      <c r="I49" s="430"/>
    </row>
  </sheetData>
  <mergeCells count="9">
    <mergeCell ref="A38:M38"/>
    <mergeCell ref="B2:F2"/>
    <mergeCell ref="G2:K2"/>
    <mergeCell ref="L2:P2"/>
    <mergeCell ref="AA2:AE2"/>
    <mergeCell ref="Q2:U2"/>
    <mergeCell ref="V2:Z2"/>
    <mergeCell ref="A34:M34"/>
    <mergeCell ref="A36:M36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ignoredErrors>
    <ignoredError sqref="Z14:Z15 Z5:Z8 Z20:Z22 Z24 Z16:Z18 Z10:Z13 AA9:AC9 B9:E9 G9:J9 L9:O9 Q9:Y9" formulaRange="1"/>
    <ignoredError sqref="Z19 Z23 Z25 X28:Y28 F9 F19 K9 K19 P9 P19 Z9 W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C728"/>
  <sheetViews>
    <sheetView showGridLines="0" zoomScale="85" zoomScaleNormal="85" zoomScaleSheetLayoutView="100" workbookViewId="0">
      <selection activeCell="O14" sqref="O14"/>
    </sheetView>
  </sheetViews>
  <sheetFormatPr defaultRowHeight="15"/>
  <cols>
    <col min="1" max="1" width="1.625" style="446" customWidth="1"/>
    <col min="2" max="2" width="31.125" style="446" customWidth="1"/>
    <col min="3" max="3" width="12.875" style="446" customWidth="1"/>
    <col min="4" max="4" width="1.875" style="446" customWidth="1"/>
    <col min="5" max="5" width="13.25" style="446" customWidth="1"/>
    <col min="6" max="6" width="1.625" style="446" customWidth="1"/>
    <col min="7" max="7" width="9.625" style="446" customWidth="1"/>
    <col min="8" max="8" width="12.875" style="446" customWidth="1"/>
    <col min="9" max="9" width="1.875" style="446" customWidth="1"/>
    <col min="10" max="10" width="13.375" style="446" customWidth="1"/>
    <col min="11" max="11" width="1.875" style="446" customWidth="1"/>
    <col min="12" max="12" width="9.625" style="446" customWidth="1"/>
    <col min="13" max="13" width="12.875" style="446" customWidth="1"/>
    <col min="14" max="14" width="1.875" style="446" customWidth="1"/>
    <col min="15" max="15" width="13.25" style="446" customWidth="1"/>
    <col min="16" max="16" width="1.875" style="446" customWidth="1"/>
    <col min="17" max="17" width="9.625" style="446" customWidth="1"/>
    <col min="18" max="18" width="12.875" style="446" customWidth="1"/>
    <col min="19" max="19" width="13.625" style="446" customWidth="1"/>
    <col min="20" max="20" width="9.625" style="446" customWidth="1"/>
    <col min="21" max="497" width="9" style="445"/>
    <col min="498" max="16384" width="9" style="446"/>
  </cols>
  <sheetData>
    <row r="1" spans="2:497" ht="50.25" customHeight="1" thickBot="1">
      <c r="B1" s="3" t="s">
        <v>176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</row>
    <row r="2" spans="2:497" s="448" customFormat="1" ht="30" customHeight="1" thickBot="1">
      <c r="B2" s="535" t="s">
        <v>103</v>
      </c>
      <c r="C2" s="528" t="s">
        <v>108</v>
      </c>
      <c r="D2" s="529"/>
      <c r="E2" s="529"/>
      <c r="F2" s="529"/>
      <c r="G2" s="530"/>
      <c r="H2" s="528" t="s">
        <v>109</v>
      </c>
      <c r="I2" s="529"/>
      <c r="J2" s="529"/>
      <c r="K2" s="529"/>
      <c r="L2" s="530"/>
      <c r="M2" s="528" t="s">
        <v>110</v>
      </c>
      <c r="N2" s="529"/>
      <c r="O2" s="529"/>
      <c r="P2" s="529"/>
      <c r="Q2" s="530"/>
      <c r="R2" s="528" t="s">
        <v>111</v>
      </c>
      <c r="S2" s="529"/>
      <c r="T2" s="530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  <c r="AP2" s="447"/>
      <c r="AQ2" s="447"/>
      <c r="AR2" s="447"/>
      <c r="AS2" s="447"/>
      <c r="AT2" s="447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447"/>
      <c r="BH2" s="447"/>
      <c r="BI2" s="447"/>
      <c r="BJ2" s="447"/>
      <c r="BK2" s="447"/>
      <c r="BL2" s="447"/>
      <c r="BM2" s="447"/>
      <c r="BN2" s="447"/>
      <c r="BO2" s="447"/>
      <c r="BP2" s="447"/>
      <c r="BQ2" s="447"/>
      <c r="BR2" s="447"/>
      <c r="BS2" s="447"/>
      <c r="BT2" s="447"/>
      <c r="BU2" s="447"/>
      <c r="BV2" s="447"/>
      <c r="BW2" s="447"/>
      <c r="BX2" s="447"/>
      <c r="BY2" s="447"/>
      <c r="BZ2" s="447"/>
      <c r="CA2" s="447"/>
      <c r="CB2" s="447"/>
      <c r="CC2" s="447"/>
      <c r="CD2" s="447"/>
      <c r="CE2" s="447"/>
      <c r="CF2" s="447"/>
      <c r="CG2" s="447"/>
      <c r="CH2" s="447"/>
      <c r="CI2" s="447"/>
      <c r="CJ2" s="447"/>
      <c r="CK2" s="447"/>
      <c r="CL2" s="447"/>
      <c r="CM2" s="447"/>
      <c r="CN2" s="447"/>
      <c r="CO2" s="447"/>
      <c r="CP2" s="447"/>
      <c r="CQ2" s="447"/>
      <c r="CR2" s="447"/>
      <c r="CS2" s="447"/>
      <c r="CT2" s="447"/>
      <c r="CU2" s="447"/>
      <c r="CV2" s="447"/>
      <c r="CW2" s="447"/>
      <c r="CX2" s="447"/>
      <c r="CY2" s="447"/>
      <c r="CZ2" s="447"/>
      <c r="DA2" s="447"/>
      <c r="DB2" s="447"/>
      <c r="DC2" s="447"/>
      <c r="DD2" s="447"/>
      <c r="DE2" s="447"/>
      <c r="DF2" s="447"/>
      <c r="DG2" s="447"/>
      <c r="DH2" s="447"/>
      <c r="DI2" s="447"/>
      <c r="DJ2" s="447"/>
      <c r="DK2" s="447"/>
      <c r="DL2" s="447"/>
      <c r="DM2" s="447"/>
      <c r="DN2" s="447"/>
      <c r="DO2" s="447"/>
      <c r="DP2" s="447"/>
      <c r="DQ2" s="447"/>
      <c r="DR2" s="447"/>
      <c r="DS2" s="447"/>
      <c r="DT2" s="447"/>
      <c r="DU2" s="447"/>
      <c r="DV2" s="447"/>
      <c r="DW2" s="447"/>
      <c r="DX2" s="447"/>
      <c r="DY2" s="447"/>
      <c r="DZ2" s="447"/>
      <c r="EA2" s="447"/>
      <c r="EB2" s="447"/>
      <c r="EC2" s="447"/>
      <c r="ED2" s="447"/>
      <c r="EE2" s="447"/>
      <c r="EF2" s="447"/>
      <c r="EG2" s="447"/>
      <c r="EH2" s="447"/>
      <c r="EI2" s="447"/>
      <c r="EJ2" s="447"/>
      <c r="EK2" s="447"/>
      <c r="EL2" s="447"/>
      <c r="EM2" s="447"/>
      <c r="EN2" s="447"/>
      <c r="EO2" s="447"/>
      <c r="EP2" s="447"/>
      <c r="EQ2" s="447"/>
      <c r="ER2" s="447"/>
      <c r="ES2" s="447"/>
      <c r="ET2" s="447"/>
      <c r="EU2" s="447"/>
      <c r="EV2" s="447"/>
      <c r="EW2" s="447"/>
      <c r="EX2" s="447"/>
      <c r="EY2" s="447"/>
      <c r="EZ2" s="447"/>
      <c r="FA2" s="447"/>
      <c r="FB2" s="447"/>
      <c r="FC2" s="447"/>
      <c r="FD2" s="447"/>
      <c r="FE2" s="447"/>
      <c r="FF2" s="447"/>
      <c r="FG2" s="447"/>
      <c r="FH2" s="447"/>
      <c r="FI2" s="447"/>
      <c r="FJ2" s="447"/>
      <c r="FK2" s="447"/>
      <c r="FL2" s="447"/>
      <c r="FM2" s="447"/>
      <c r="FN2" s="447"/>
      <c r="FO2" s="447"/>
      <c r="FP2" s="447"/>
      <c r="FQ2" s="447"/>
      <c r="FR2" s="447"/>
      <c r="FS2" s="447"/>
      <c r="FT2" s="447"/>
      <c r="FU2" s="447"/>
      <c r="FV2" s="447"/>
      <c r="FW2" s="447"/>
      <c r="FX2" s="447"/>
      <c r="FY2" s="447"/>
      <c r="FZ2" s="447"/>
      <c r="GA2" s="447"/>
      <c r="GB2" s="447"/>
      <c r="GC2" s="447"/>
      <c r="GD2" s="447"/>
      <c r="GE2" s="447"/>
      <c r="GF2" s="447"/>
      <c r="GG2" s="447"/>
      <c r="GH2" s="447"/>
      <c r="GI2" s="447"/>
      <c r="GJ2" s="447"/>
      <c r="GK2" s="447"/>
      <c r="GL2" s="447"/>
      <c r="GM2" s="447"/>
      <c r="GN2" s="447"/>
      <c r="GO2" s="447"/>
      <c r="GP2" s="447"/>
      <c r="GQ2" s="447"/>
      <c r="GR2" s="447"/>
      <c r="GS2" s="447"/>
      <c r="GT2" s="447"/>
      <c r="GU2" s="447"/>
      <c r="GV2" s="447"/>
      <c r="GW2" s="447"/>
      <c r="GX2" s="447"/>
      <c r="GY2" s="447"/>
      <c r="GZ2" s="447"/>
      <c r="HA2" s="447"/>
      <c r="HB2" s="447"/>
      <c r="HC2" s="447"/>
      <c r="HD2" s="447"/>
      <c r="HE2" s="447"/>
      <c r="HF2" s="447"/>
      <c r="HG2" s="447"/>
      <c r="HH2" s="447"/>
      <c r="HI2" s="447"/>
      <c r="HJ2" s="447"/>
      <c r="HK2" s="447"/>
      <c r="HL2" s="447"/>
      <c r="HM2" s="447"/>
      <c r="HN2" s="447"/>
      <c r="HO2" s="447"/>
      <c r="HP2" s="447"/>
      <c r="HQ2" s="447"/>
      <c r="HR2" s="447"/>
      <c r="HS2" s="447"/>
      <c r="HT2" s="447"/>
      <c r="HU2" s="447"/>
      <c r="HV2" s="447"/>
      <c r="HW2" s="447"/>
      <c r="HX2" s="447"/>
      <c r="HY2" s="447"/>
      <c r="HZ2" s="447"/>
      <c r="IA2" s="447"/>
      <c r="IB2" s="447"/>
      <c r="IC2" s="447"/>
      <c r="ID2" s="447"/>
      <c r="IE2" s="447"/>
      <c r="IF2" s="447"/>
      <c r="IG2" s="447"/>
      <c r="IH2" s="447"/>
      <c r="II2" s="447"/>
      <c r="IJ2" s="447"/>
      <c r="IK2" s="447"/>
      <c r="IL2" s="447"/>
      <c r="IM2" s="447"/>
      <c r="IN2" s="447"/>
      <c r="IO2" s="447"/>
      <c r="IP2" s="447"/>
      <c r="IQ2" s="447"/>
      <c r="IR2" s="447"/>
      <c r="IS2" s="447"/>
      <c r="IT2" s="447"/>
      <c r="IU2" s="447"/>
      <c r="IV2" s="447"/>
      <c r="IW2" s="447"/>
      <c r="IX2" s="447"/>
      <c r="IY2" s="447"/>
      <c r="IZ2" s="447"/>
      <c r="JA2" s="447"/>
      <c r="JB2" s="447"/>
      <c r="JC2" s="447"/>
      <c r="JD2" s="447"/>
      <c r="JE2" s="447"/>
      <c r="JF2" s="447"/>
      <c r="JG2" s="447"/>
      <c r="JH2" s="447"/>
      <c r="JI2" s="447"/>
      <c r="JJ2" s="447"/>
      <c r="JK2" s="447"/>
      <c r="JL2" s="447"/>
      <c r="JM2" s="447"/>
      <c r="JN2" s="447"/>
      <c r="JO2" s="447"/>
      <c r="JP2" s="447"/>
      <c r="JQ2" s="447"/>
      <c r="JR2" s="447"/>
      <c r="JS2" s="447"/>
      <c r="JT2" s="447"/>
      <c r="JU2" s="447"/>
      <c r="JV2" s="447"/>
      <c r="JW2" s="447"/>
      <c r="JX2" s="447"/>
      <c r="JY2" s="447"/>
      <c r="JZ2" s="447"/>
      <c r="KA2" s="447"/>
      <c r="KB2" s="447"/>
      <c r="KC2" s="447"/>
      <c r="KD2" s="447"/>
      <c r="KE2" s="447"/>
      <c r="KF2" s="447"/>
      <c r="KG2" s="447"/>
      <c r="KH2" s="447"/>
      <c r="KI2" s="447"/>
      <c r="KJ2" s="447"/>
      <c r="KK2" s="447"/>
      <c r="KL2" s="447"/>
      <c r="KM2" s="447"/>
      <c r="KN2" s="447"/>
      <c r="KO2" s="447"/>
      <c r="KP2" s="447"/>
      <c r="KQ2" s="447"/>
      <c r="KR2" s="447"/>
      <c r="KS2" s="447"/>
      <c r="KT2" s="447"/>
      <c r="KU2" s="447"/>
      <c r="KV2" s="447"/>
      <c r="KW2" s="447"/>
      <c r="KX2" s="447"/>
      <c r="KY2" s="447"/>
      <c r="KZ2" s="447"/>
      <c r="LA2" s="447"/>
      <c r="LB2" s="447"/>
      <c r="LC2" s="447"/>
      <c r="LD2" s="447"/>
      <c r="LE2" s="447"/>
      <c r="LF2" s="447"/>
      <c r="LG2" s="447"/>
      <c r="LH2" s="447"/>
      <c r="LI2" s="447"/>
      <c r="LJ2" s="447"/>
      <c r="LK2" s="447"/>
      <c r="LL2" s="447"/>
      <c r="LM2" s="447"/>
      <c r="LN2" s="447"/>
      <c r="LO2" s="447"/>
      <c r="LP2" s="447"/>
      <c r="LQ2" s="447"/>
      <c r="LR2" s="447"/>
      <c r="LS2" s="447"/>
      <c r="LT2" s="447"/>
      <c r="LU2" s="447"/>
      <c r="LV2" s="447"/>
      <c r="LW2" s="447"/>
      <c r="LX2" s="447"/>
      <c r="LY2" s="447"/>
      <c r="LZ2" s="447"/>
      <c r="MA2" s="447"/>
      <c r="MB2" s="447"/>
      <c r="MC2" s="447"/>
      <c r="MD2" s="447"/>
      <c r="ME2" s="447"/>
      <c r="MF2" s="447"/>
      <c r="MG2" s="447"/>
      <c r="MH2" s="447"/>
      <c r="MI2" s="447"/>
      <c r="MJ2" s="447"/>
      <c r="MK2" s="447"/>
      <c r="ML2" s="447"/>
      <c r="MM2" s="447"/>
      <c r="MN2" s="447"/>
      <c r="MO2" s="447"/>
      <c r="MP2" s="447"/>
      <c r="MQ2" s="447"/>
      <c r="MR2" s="447"/>
      <c r="MS2" s="447"/>
      <c r="MT2" s="447"/>
      <c r="MU2" s="447"/>
      <c r="MV2" s="447"/>
      <c r="MW2" s="447"/>
      <c r="MX2" s="447"/>
      <c r="MY2" s="447"/>
      <c r="MZ2" s="447"/>
      <c r="NA2" s="447"/>
      <c r="NB2" s="447"/>
      <c r="NC2" s="447"/>
      <c r="ND2" s="447"/>
      <c r="NE2" s="447"/>
      <c r="NF2" s="447"/>
      <c r="NG2" s="447"/>
      <c r="NH2" s="447"/>
      <c r="NI2" s="447"/>
      <c r="NJ2" s="447"/>
      <c r="NK2" s="447"/>
      <c r="NL2" s="447"/>
      <c r="NM2" s="447"/>
      <c r="NN2" s="447"/>
      <c r="NO2" s="447"/>
      <c r="NP2" s="447"/>
      <c r="NQ2" s="447"/>
      <c r="NR2" s="447"/>
      <c r="NS2" s="447"/>
      <c r="NT2" s="447"/>
      <c r="NU2" s="447"/>
      <c r="NV2" s="447"/>
      <c r="NW2" s="447"/>
      <c r="NX2" s="447"/>
      <c r="NY2" s="447"/>
      <c r="NZ2" s="447"/>
      <c r="OA2" s="447"/>
      <c r="OB2" s="447"/>
      <c r="OC2" s="447"/>
      <c r="OD2" s="447"/>
      <c r="OE2" s="447"/>
      <c r="OF2" s="447"/>
      <c r="OG2" s="447"/>
      <c r="OH2" s="447"/>
      <c r="OI2" s="447"/>
      <c r="OJ2" s="447"/>
      <c r="OK2" s="447"/>
      <c r="OL2" s="447"/>
      <c r="OM2" s="447"/>
      <c r="ON2" s="447"/>
      <c r="OO2" s="447"/>
      <c r="OP2" s="447"/>
      <c r="OQ2" s="447"/>
      <c r="OR2" s="447"/>
      <c r="OS2" s="447"/>
      <c r="OT2" s="447"/>
      <c r="OU2" s="447"/>
      <c r="OV2" s="447"/>
      <c r="OW2" s="447"/>
      <c r="OX2" s="447"/>
      <c r="OY2" s="447"/>
      <c r="OZ2" s="447"/>
      <c r="PA2" s="447"/>
      <c r="PB2" s="447"/>
      <c r="PC2" s="447"/>
      <c r="PD2" s="447"/>
      <c r="PE2" s="447"/>
      <c r="PF2" s="447"/>
      <c r="PG2" s="447"/>
      <c r="PH2" s="447"/>
      <c r="PI2" s="447"/>
      <c r="PJ2" s="447"/>
      <c r="PK2" s="447"/>
      <c r="PL2" s="447"/>
      <c r="PM2" s="447"/>
      <c r="PN2" s="447"/>
      <c r="PO2" s="447"/>
      <c r="PP2" s="447"/>
      <c r="PQ2" s="447"/>
      <c r="PR2" s="447"/>
      <c r="PS2" s="447"/>
      <c r="PT2" s="447"/>
      <c r="PU2" s="447"/>
      <c r="PV2" s="447"/>
      <c r="PW2" s="447"/>
      <c r="PX2" s="447"/>
      <c r="PY2" s="447"/>
      <c r="PZ2" s="447"/>
      <c r="QA2" s="447"/>
      <c r="QB2" s="447"/>
      <c r="QC2" s="447"/>
      <c r="QD2" s="447"/>
      <c r="QE2" s="447"/>
      <c r="QF2" s="447"/>
      <c r="QG2" s="447"/>
      <c r="QH2" s="447"/>
      <c r="QI2" s="447"/>
      <c r="QJ2" s="447"/>
      <c r="QK2" s="447"/>
      <c r="QL2" s="447"/>
      <c r="QM2" s="447"/>
      <c r="QN2" s="447"/>
      <c r="QO2" s="447"/>
      <c r="QP2" s="447"/>
      <c r="QQ2" s="447"/>
      <c r="QR2" s="447"/>
      <c r="QS2" s="447"/>
      <c r="QT2" s="447"/>
      <c r="QU2" s="447"/>
      <c r="QV2" s="447"/>
      <c r="QW2" s="447"/>
      <c r="QX2" s="447"/>
      <c r="QY2" s="447"/>
      <c r="QZ2" s="447"/>
      <c r="RA2" s="447"/>
      <c r="RB2" s="447"/>
      <c r="RC2" s="447"/>
      <c r="RD2" s="447"/>
      <c r="RE2" s="447"/>
      <c r="RF2" s="447"/>
      <c r="RG2" s="447"/>
      <c r="RH2" s="447"/>
      <c r="RI2" s="447"/>
      <c r="RJ2" s="447"/>
      <c r="RK2" s="447"/>
      <c r="RL2" s="447"/>
      <c r="RM2" s="447"/>
      <c r="RN2" s="447"/>
      <c r="RO2" s="447"/>
      <c r="RP2" s="447"/>
      <c r="RQ2" s="447"/>
      <c r="RR2" s="447"/>
      <c r="RS2" s="447"/>
      <c r="RT2" s="447"/>
      <c r="RU2" s="447"/>
      <c r="RV2" s="447"/>
      <c r="RW2" s="447"/>
      <c r="RX2" s="447"/>
      <c r="RY2" s="447"/>
      <c r="RZ2" s="447"/>
      <c r="SA2" s="447"/>
      <c r="SB2" s="447"/>
      <c r="SC2" s="447"/>
    </row>
    <row r="3" spans="2:497" s="448" customFormat="1" ht="20.25" customHeight="1" thickBot="1">
      <c r="B3" s="536"/>
      <c r="C3" s="531" t="s">
        <v>243</v>
      </c>
      <c r="D3" s="532"/>
      <c r="E3" s="532"/>
      <c r="F3" s="532"/>
      <c r="G3" s="533"/>
      <c r="H3" s="531" t="s">
        <v>243</v>
      </c>
      <c r="I3" s="532"/>
      <c r="J3" s="532"/>
      <c r="K3" s="532"/>
      <c r="L3" s="533"/>
      <c r="M3" s="531" t="s">
        <v>243</v>
      </c>
      <c r="N3" s="532"/>
      <c r="O3" s="532"/>
      <c r="P3" s="532"/>
      <c r="Q3" s="533"/>
      <c r="R3" s="531" t="s">
        <v>243</v>
      </c>
      <c r="S3" s="532"/>
      <c r="T3" s="533"/>
      <c r="U3" s="447"/>
      <c r="V3" s="449"/>
      <c r="W3" s="449"/>
      <c r="X3" s="449"/>
      <c r="Y3" s="449"/>
      <c r="Z3" s="447"/>
      <c r="AA3" s="447"/>
      <c r="AB3" s="447"/>
      <c r="AC3" s="447"/>
      <c r="AD3" s="447"/>
      <c r="AE3" s="447"/>
      <c r="AF3" s="447"/>
      <c r="AG3" s="447"/>
      <c r="AH3" s="447"/>
      <c r="AI3" s="447"/>
      <c r="AJ3" s="447"/>
      <c r="AK3" s="447"/>
      <c r="AL3" s="447"/>
      <c r="AM3" s="447"/>
      <c r="AN3" s="447"/>
      <c r="AO3" s="447"/>
      <c r="AP3" s="447"/>
      <c r="AQ3" s="447"/>
      <c r="AR3" s="447"/>
      <c r="AS3" s="447"/>
      <c r="AT3" s="447"/>
      <c r="AU3" s="447"/>
      <c r="AV3" s="447"/>
      <c r="AW3" s="447"/>
      <c r="AX3" s="447"/>
      <c r="AY3" s="447"/>
      <c r="AZ3" s="447"/>
      <c r="BA3" s="447"/>
      <c r="BB3" s="447"/>
      <c r="BC3" s="447"/>
      <c r="BD3" s="447"/>
      <c r="BE3" s="447"/>
      <c r="BF3" s="447"/>
      <c r="BG3" s="447"/>
      <c r="BH3" s="447"/>
      <c r="BI3" s="447"/>
      <c r="BJ3" s="447"/>
      <c r="BK3" s="447"/>
      <c r="BL3" s="447"/>
      <c r="BM3" s="447"/>
      <c r="BN3" s="447"/>
      <c r="BO3" s="447"/>
      <c r="BP3" s="447"/>
      <c r="BQ3" s="447"/>
      <c r="BR3" s="447"/>
      <c r="BS3" s="447"/>
      <c r="BT3" s="447"/>
      <c r="BU3" s="447"/>
      <c r="BV3" s="447"/>
      <c r="BW3" s="447"/>
      <c r="BX3" s="447"/>
      <c r="BY3" s="447"/>
      <c r="BZ3" s="447"/>
      <c r="CA3" s="447"/>
      <c r="CB3" s="447"/>
      <c r="CC3" s="447"/>
      <c r="CD3" s="447"/>
      <c r="CE3" s="447"/>
      <c r="CF3" s="447"/>
      <c r="CG3" s="447"/>
      <c r="CH3" s="447"/>
      <c r="CI3" s="447"/>
      <c r="CJ3" s="447"/>
      <c r="CK3" s="447"/>
      <c r="CL3" s="447"/>
      <c r="CM3" s="447"/>
      <c r="CN3" s="447"/>
      <c r="CO3" s="447"/>
      <c r="CP3" s="447"/>
      <c r="CQ3" s="447"/>
      <c r="CR3" s="447"/>
      <c r="CS3" s="447"/>
      <c r="CT3" s="447"/>
      <c r="CU3" s="447"/>
      <c r="CV3" s="447"/>
      <c r="CW3" s="447"/>
      <c r="CX3" s="447"/>
      <c r="CY3" s="447"/>
      <c r="CZ3" s="447"/>
      <c r="DA3" s="447"/>
      <c r="DB3" s="447"/>
      <c r="DC3" s="447"/>
      <c r="DD3" s="447"/>
      <c r="DE3" s="447"/>
      <c r="DF3" s="447"/>
      <c r="DG3" s="447"/>
      <c r="DH3" s="447"/>
      <c r="DI3" s="447"/>
      <c r="DJ3" s="447"/>
      <c r="DK3" s="447"/>
      <c r="DL3" s="447"/>
      <c r="DM3" s="447"/>
      <c r="DN3" s="447"/>
      <c r="DO3" s="447"/>
      <c r="DP3" s="447"/>
      <c r="DQ3" s="447"/>
      <c r="DR3" s="447"/>
      <c r="DS3" s="447"/>
      <c r="DT3" s="447"/>
      <c r="DU3" s="447"/>
      <c r="DV3" s="447"/>
      <c r="DW3" s="447"/>
      <c r="DX3" s="447"/>
      <c r="DY3" s="447"/>
      <c r="DZ3" s="447"/>
      <c r="EA3" s="447"/>
      <c r="EB3" s="447"/>
      <c r="EC3" s="447"/>
      <c r="ED3" s="447"/>
      <c r="EE3" s="447"/>
      <c r="EF3" s="447"/>
      <c r="EG3" s="447"/>
      <c r="EH3" s="447"/>
      <c r="EI3" s="447"/>
      <c r="EJ3" s="447"/>
      <c r="EK3" s="447"/>
      <c r="EL3" s="447"/>
      <c r="EM3" s="447"/>
      <c r="EN3" s="447"/>
      <c r="EO3" s="447"/>
      <c r="EP3" s="447"/>
      <c r="EQ3" s="447"/>
      <c r="ER3" s="447"/>
      <c r="ES3" s="447"/>
      <c r="ET3" s="447"/>
      <c r="EU3" s="447"/>
      <c r="EV3" s="447"/>
      <c r="EW3" s="447"/>
      <c r="EX3" s="447"/>
      <c r="EY3" s="447"/>
      <c r="EZ3" s="447"/>
      <c r="FA3" s="447"/>
      <c r="FB3" s="447"/>
      <c r="FC3" s="447"/>
      <c r="FD3" s="447"/>
      <c r="FE3" s="447"/>
      <c r="FF3" s="447"/>
      <c r="FG3" s="447"/>
      <c r="FH3" s="447"/>
      <c r="FI3" s="447"/>
      <c r="FJ3" s="447"/>
      <c r="FK3" s="447"/>
      <c r="FL3" s="447"/>
      <c r="FM3" s="447"/>
      <c r="FN3" s="447"/>
      <c r="FO3" s="447"/>
      <c r="FP3" s="447"/>
      <c r="FQ3" s="447"/>
      <c r="FR3" s="447"/>
      <c r="FS3" s="447"/>
      <c r="FT3" s="447"/>
      <c r="FU3" s="447"/>
      <c r="FV3" s="447"/>
      <c r="FW3" s="447"/>
      <c r="FX3" s="447"/>
      <c r="FY3" s="447"/>
      <c r="FZ3" s="447"/>
      <c r="GA3" s="447"/>
      <c r="GB3" s="447"/>
      <c r="GC3" s="447"/>
      <c r="GD3" s="447"/>
      <c r="GE3" s="447"/>
      <c r="GF3" s="447"/>
      <c r="GG3" s="447"/>
      <c r="GH3" s="447"/>
      <c r="GI3" s="447"/>
      <c r="GJ3" s="447"/>
      <c r="GK3" s="447"/>
      <c r="GL3" s="447"/>
      <c r="GM3" s="447"/>
      <c r="GN3" s="447"/>
      <c r="GO3" s="447"/>
      <c r="GP3" s="447"/>
      <c r="GQ3" s="447"/>
      <c r="GR3" s="447"/>
      <c r="GS3" s="447"/>
      <c r="GT3" s="447"/>
      <c r="GU3" s="447"/>
      <c r="GV3" s="447"/>
      <c r="GW3" s="447"/>
      <c r="GX3" s="447"/>
      <c r="GY3" s="447"/>
      <c r="GZ3" s="447"/>
      <c r="HA3" s="447"/>
      <c r="HB3" s="447"/>
      <c r="HC3" s="447"/>
      <c r="HD3" s="447"/>
      <c r="HE3" s="447"/>
      <c r="HF3" s="447"/>
      <c r="HG3" s="447"/>
      <c r="HH3" s="447"/>
      <c r="HI3" s="447"/>
      <c r="HJ3" s="447"/>
      <c r="HK3" s="447"/>
      <c r="HL3" s="447"/>
      <c r="HM3" s="447"/>
      <c r="HN3" s="447"/>
      <c r="HO3" s="447"/>
      <c r="HP3" s="447"/>
      <c r="HQ3" s="447"/>
      <c r="HR3" s="447"/>
      <c r="HS3" s="447"/>
      <c r="HT3" s="447"/>
      <c r="HU3" s="447"/>
      <c r="HV3" s="447"/>
      <c r="HW3" s="447"/>
      <c r="HX3" s="447"/>
      <c r="HY3" s="447"/>
      <c r="HZ3" s="447"/>
      <c r="IA3" s="447"/>
      <c r="IB3" s="447"/>
      <c r="IC3" s="447"/>
      <c r="ID3" s="447"/>
      <c r="IE3" s="447"/>
      <c r="IF3" s="447"/>
      <c r="IG3" s="447"/>
      <c r="IH3" s="447"/>
      <c r="II3" s="447"/>
      <c r="IJ3" s="447"/>
      <c r="IK3" s="447"/>
      <c r="IL3" s="447"/>
      <c r="IM3" s="447"/>
      <c r="IN3" s="447"/>
      <c r="IO3" s="447"/>
      <c r="IP3" s="447"/>
      <c r="IQ3" s="447"/>
      <c r="IR3" s="447"/>
      <c r="IS3" s="447"/>
      <c r="IT3" s="447"/>
      <c r="IU3" s="447"/>
      <c r="IV3" s="447"/>
      <c r="IW3" s="447"/>
      <c r="IX3" s="447"/>
      <c r="IY3" s="447"/>
      <c r="IZ3" s="447"/>
      <c r="JA3" s="447"/>
      <c r="JB3" s="447"/>
      <c r="JC3" s="447"/>
      <c r="JD3" s="447"/>
      <c r="JE3" s="447"/>
      <c r="JF3" s="447"/>
      <c r="JG3" s="447"/>
      <c r="JH3" s="447"/>
      <c r="JI3" s="447"/>
      <c r="JJ3" s="447"/>
      <c r="JK3" s="447"/>
      <c r="JL3" s="447"/>
      <c r="JM3" s="447"/>
      <c r="JN3" s="447"/>
      <c r="JO3" s="447"/>
      <c r="JP3" s="447"/>
      <c r="JQ3" s="447"/>
      <c r="JR3" s="447"/>
      <c r="JS3" s="447"/>
      <c r="JT3" s="447"/>
      <c r="JU3" s="447"/>
      <c r="JV3" s="447"/>
      <c r="JW3" s="447"/>
      <c r="JX3" s="447"/>
      <c r="JY3" s="447"/>
      <c r="JZ3" s="447"/>
      <c r="KA3" s="447"/>
      <c r="KB3" s="447"/>
      <c r="KC3" s="447"/>
      <c r="KD3" s="447"/>
      <c r="KE3" s="447"/>
      <c r="KF3" s="447"/>
      <c r="KG3" s="447"/>
      <c r="KH3" s="447"/>
      <c r="KI3" s="447"/>
      <c r="KJ3" s="447"/>
      <c r="KK3" s="447"/>
      <c r="KL3" s="447"/>
      <c r="KM3" s="447"/>
      <c r="KN3" s="447"/>
      <c r="KO3" s="447"/>
      <c r="KP3" s="447"/>
      <c r="KQ3" s="447"/>
      <c r="KR3" s="447"/>
      <c r="KS3" s="447"/>
      <c r="KT3" s="447"/>
      <c r="KU3" s="447"/>
      <c r="KV3" s="447"/>
      <c r="KW3" s="447"/>
      <c r="KX3" s="447"/>
      <c r="KY3" s="447"/>
      <c r="KZ3" s="447"/>
      <c r="LA3" s="447"/>
      <c r="LB3" s="447"/>
      <c r="LC3" s="447"/>
      <c r="LD3" s="447"/>
      <c r="LE3" s="447"/>
      <c r="LF3" s="447"/>
      <c r="LG3" s="447"/>
      <c r="LH3" s="447"/>
      <c r="LI3" s="447"/>
      <c r="LJ3" s="447"/>
      <c r="LK3" s="447"/>
      <c r="LL3" s="447"/>
      <c r="LM3" s="447"/>
      <c r="LN3" s="447"/>
      <c r="LO3" s="447"/>
      <c r="LP3" s="447"/>
      <c r="LQ3" s="447"/>
      <c r="LR3" s="447"/>
      <c r="LS3" s="447"/>
      <c r="LT3" s="447"/>
      <c r="LU3" s="447"/>
      <c r="LV3" s="447"/>
      <c r="LW3" s="447"/>
      <c r="LX3" s="447"/>
      <c r="LY3" s="447"/>
      <c r="LZ3" s="447"/>
      <c r="MA3" s="447"/>
      <c r="MB3" s="447"/>
      <c r="MC3" s="447"/>
      <c r="MD3" s="447"/>
      <c r="ME3" s="447"/>
      <c r="MF3" s="447"/>
      <c r="MG3" s="447"/>
      <c r="MH3" s="447"/>
      <c r="MI3" s="447"/>
      <c r="MJ3" s="447"/>
      <c r="MK3" s="447"/>
      <c r="ML3" s="447"/>
      <c r="MM3" s="447"/>
      <c r="MN3" s="447"/>
      <c r="MO3" s="447"/>
      <c r="MP3" s="447"/>
      <c r="MQ3" s="447"/>
      <c r="MR3" s="447"/>
      <c r="MS3" s="447"/>
      <c r="MT3" s="447"/>
      <c r="MU3" s="447"/>
      <c r="MV3" s="447"/>
      <c r="MW3" s="447"/>
      <c r="MX3" s="447"/>
      <c r="MY3" s="447"/>
      <c r="MZ3" s="447"/>
      <c r="NA3" s="447"/>
      <c r="NB3" s="447"/>
      <c r="NC3" s="447"/>
      <c r="ND3" s="447"/>
      <c r="NE3" s="447"/>
      <c r="NF3" s="447"/>
      <c r="NG3" s="447"/>
      <c r="NH3" s="447"/>
      <c r="NI3" s="447"/>
      <c r="NJ3" s="447"/>
      <c r="NK3" s="447"/>
      <c r="NL3" s="447"/>
      <c r="NM3" s="447"/>
      <c r="NN3" s="447"/>
      <c r="NO3" s="447"/>
      <c r="NP3" s="447"/>
      <c r="NQ3" s="447"/>
      <c r="NR3" s="447"/>
      <c r="NS3" s="447"/>
      <c r="NT3" s="447"/>
      <c r="NU3" s="447"/>
      <c r="NV3" s="447"/>
      <c r="NW3" s="447"/>
      <c r="NX3" s="447"/>
      <c r="NY3" s="447"/>
      <c r="NZ3" s="447"/>
      <c r="OA3" s="447"/>
      <c r="OB3" s="447"/>
      <c r="OC3" s="447"/>
      <c r="OD3" s="447"/>
      <c r="OE3" s="447"/>
      <c r="OF3" s="447"/>
      <c r="OG3" s="447"/>
      <c r="OH3" s="447"/>
      <c r="OI3" s="447"/>
      <c r="OJ3" s="447"/>
      <c r="OK3" s="447"/>
      <c r="OL3" s="447"/>
      <c r="OM3" s="447"/>
      <c r="ON3" s="447"/>
      <c r="OO3" s="447"/>
      <c r="OP3" s="447"/>
      <c r="OQ3" s="447"/>
      <c r="OR3" s="447"/>
      <c r="OS3" s="447"/>
      <c r="OT3" s="447"/>
      <c r="OU3" s="447"/>
      <c r="OV3" s="447"/>
      <c r="OW3" s="447"/>
      <c r="OX3" s="447"/>
      <c r="OY3" s="447"/>
      <c r="OZ3" s="447"/>
      <c r="PA3" s="447"/>
      <c r="PB3" s="447"/>
      <c r="PC3" s="447"/>
      <c r="PD3" s="447"/>
      <c r="PE3" s="447"/>
      <c r="PF3" s="447"/>
      <c r="PG3" s="447"/>
      <c r="PH3" s="447"/>
      <c r="PI3" s="447"/>
      <c r="PJ3" s="447"/>
      <c r="PK3" s="447"/>
      <c r="PL3" s="447"/>
      <c r="PM3" s="447"/>
      <c r="PN3" s="447"/>
      <c r="PO3" s="447"/>
      <c r="PP3" s="447"/>
      <c r="PQ3" s="447"/>
      <c r="PR3" s="447"/>
      <c r="PS3" s="447"/>
      <c r="PT3" s="447"/>
      <c r="PU3" s="447"/>
      <c r="PV3" s="447"/>
      <c r="PW3" s="447"/>
      <c r="PX3" s="447"/>
      <c r="PY3" s="447"/>
      <c r="PZ3" s="447"/>
      <c r="QA3" s="447"/>
      <c r="QB3" s="447"/>
      <c r="QC3" s="447"/>
      <c r="QD3" s="447"/>
      <c r="QE3" s="447"/>
      <c r="QF3" s="447"/>
      <c r="QG3" s="447"/>
      <c r="QH3" s="447"/>
      <c r="QI3" s="447"/>
      <c r="QJ3" s="447"/>
      <c r="QK3" s="447"/>
      <c r="QL3" s="447"/>
      <c r="QM3" s="447"/>
      <c r="QN3" s="447"/>
      <c r="QO3" s="447"/>
      <c r="QP3" s="447"/>
      <c r="QQ3" s="447"/>
      <c r="QR3" s="447"/>
      <c r="QS3" s="447"/>
      <c r="QT3" s="447"/>
      <c r="QU3" s="447"/>
      <c r="QV3" s="447"/>
      <c r="QW3" s="447"/>
      <c r="QX3" s="447"/>
      <c r="QY3" s="447"/>
      <c r="QZ3" s="447"/>
      <c r="RA3" s="447"/>
      <c r="RB3" s="447"/>
      <c r="RC3" s="447"/>
      <c r="RD3" s="447"/>
      <c r="RE3" s="447"/>
      <c r="RF3" s="447"/>
      <c r="RG3" s="447"/>
      <c r="RH3" s="447"/>
      <c r="RI3" s="447"/>
      <c r="RJ3" s="447"/>
      <c r="RK3" s="447"/>
      <c r="RL3" s="447"/>
      <c r="RM3" s="447"/>
      <c r="RN3" s="447"/>
      <c r="RO3" s="447"/>
      <c r="RP3" s="447"/>
      <c r="RQ3" s="447"/>
      <c r="RR3" s="447"/>
      <c r="RS3" s="447"/>
      <c r="RT3" s="447"/>
      <c r="RU3" s="447"/>
      <c r="RV3" s="447"/>
      <c r="RW3" s="447"/>
      <c r="RX3" s="447"/>
      <c r="RY3" s="447"/>
      <c r="RZ3" s="447"/>
      <c r="SA3" s="447"/>
      <c r="SB3" s="447"/>
      <c r="SC3" s="447"/>
    </row>
    <row r="4" spans="2:497" s="451" customFormat="1" ht="20.25" customHeight="1" thickBot="1">
      <c r="B4" s="537"/>
      <c r="C4" s="228" t="s">
        <v>244</v>
      </c>
      <c r="D4" s="229"/>
      <c r="E4" s="230" t="s">
        <v>245</v>
      </c>
      <c r="F4" s="231"/>
      <c r="G4" s="232" t="s">
        <v>112</v>
      </c>
      <c r="H4" s="228" t="s">
        <v>244</v>
      </c>
      <c r="I4" s="229"/>
      <c r="J4" s="231" t="s">
        <v>245</v>
      </c>
      <c r="K4" s="231"/>
      <c r="L4" s="232" t="s">
        <v>112</v>
      </c>
      <c r="M4" s="228" t="s">
        <v>244</v>
      </c>
      <c r="N4" s="229"/>
      <c r="O4" s="231" t="s">
        <v>245</v>
      </c>
      <c r="P4" s="231"/>
      <c r="Q4" s="233" t="s">
        <v>112</v>
      </c>
      <c r="R4" s="228" t="s">
        <v>244</v>
      </c>
      <c r="S4" s="231" t="s">
        <v>245</v>
      </c>
      <c r="T4" s="233" t="s">
        <v>112</v>
      </c>
      <c r="U4" s="17"/>
      <c r="V4" s="450"/>
      <c r="W4" s="450"/>
      <c r="X4" s="450"/>
      <c r="Y4" s="450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</row>
    <row r="5" spans="2:497" s="448" customFormat="1" ht="20.25" customHeight="1">
      <c r="B5" s="452" t="s">
        <v>113</v>
      </c>
      <c r="C5" s="453">
        <v>6379.5</v>
      </c>
      <c r="D5" s="454"/>
      <c r="E5" s="455">
        <v>6274.9</v>
      </c>
      <c r="F5" s="455"/>
      <c r="G5" s="277">
        <f>C5-E5</f>
        <v>104.60000000000036</v>
      </c>
      <c r="H5" s="453">
        <v>869.9</v>
      </c>
      <c r="I5" s="456"/>
      <c r="J5" s="455">
        <v>919.8</v>
      </c>
      <c r="K5" s="457"/>
      <c r="L5" s="289">
        <f>H5-J5</f>
        <v>-49.899999999999977</v>
      </c>
      <c r="M5" s="458">
        <v>0</v>
      </c>
      <c r="N5" s="459"/>
      <c r="O5" s="460">
        <v>0</v>
      </c>
      <c r="P5" s="460"/>
      <c r="Q5" s="294">
        <f>M5-O5</f>
        <v>0</v>
      </c>
      <c r="R5" s="461">
        <f>C5+H5+M5</f>
        <v>7249.4</v>
      </c>
      <c r="S5" s="462">
        <f>E5+J5+O5</f>
        <v>7194.7</v>
      </c>
      <c r="T5" s="300">
        <f>R5-S5</f>
        <v>54.699999999999818</v>
      </c>
      <c r="U5" s="447"/>
      <c r="V5" s="463"/>
      <c r="W5" s="463"/>
      <c r="X5" s="463"/>
      <c r="Y5" s="449"/>
      <c r="Z5" s="447"/>
      <c r="AA5" s="447"/>
      <c r="AB5" s="447"/>
      <c r="AC5" s="447"/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7"/>
      <c r="AO5" s="447"/>
      <c r="AP5" s="447"/>
      <c r="AQ5" s="447"/>
      <c r="AR5" s="447"/>
      <c r="AS5" s="447"/>
      <c r="AT5" s="447"/>
      <c r="AU5" s="447"/>
      <c r="AV5" s="447"/>
      <c r="AW5" s="447"/>
      <c r="AX5" s="447"/>
      <c r="AY5" s="447"/>
      <c r="AZ5" s="447"/>
      <c r="BA5" s="447"/>
      <c r="BB5" s="447"/>
      <c r="BC5" s="447"/>
      <c r="BD5" s="447"/>
      <c r="BE5" s="447"/>
      <c r="BF5" s="447"/>
      <c r="BG5" s="447"/>
      <c r="BH5" s="447"/>
      <c r="BI5" s="447"/>
      <c r="BJ5" s="447"/>
      <c r="BK5" s="447"/>
      <c r="BL5" s="447"/>
      <c r="BM5" s="447"/>
      <c r="BN5" s="447"/>
      <c r="BO5" s="447"/>
      <c r="BP5" s="447"/>
      <c r="BQ5" s="447"/>
      <c r="BR5" s="447"/>
      <c r="BS5" s="447"/>
      <c r="BT5" s="447"/>
      <c r="BU5" s="447"/>
      <c r="BV5" s="447"/>
      <c r="BW5" s="447"/>
      <c r="BX5" s="447"/>
      <c r="BY5" s="447"/>
      <c r="BZ5" s="447"/>
      <c r="CA5" s="447"/>
      <c r="CB5" s="447"/>
      <c r="CC5" s="447"/>
      <c r="CD5" s="447"/>
      <c r="CE5" s="447"/>
      <c r="CF5" s="447"/>
      <c r="CG5" s="447"/>
      <c r="CH5" s="447"/>
      <c r="CI5" s="447"/>
      <c r="CJ5" s="447"/>
      <c r="CK5" s="447"/>
      <c r="CL5" s="447"/>
      <c r="CM5" s="447"/>
      <c r="CN5" s="447"/>
      <c r="CO5" s="447"/>
      <c r="CP5" s="447"/>
      <c r="CQ5" s="447"/>
      <c r="CR5" s="447"/>
      <c r="CS5" s="447"/>
      <c r="CT5" s="447"/>
      <c r="CU5" s="447"/>
      <c r="CV5" s="447"/>
      <c r="CW5" s="447"/>
      <c r="CX5" s="447"/>
      <c r="CY5" s="447"/>
      <c r="CZ5" s="447"/>
      <c r="DA5" s="447"/>
      <c r="DB5" s="447"/>
      <c r="DC5" s="447"/>
      <c r="DD5" s="447"/>
      <c r="DE5" s="447"/>
      <c r="DF5" s="447"/>
      <c r="DG5" s="447"/>
      <c r="DH5" s="447"/>
      <c r="DI5" s="447"/>
      <c r="DJ5" s="447"/>
      <c r="DK5" s="447"/>
      <c r="DL5" s="447"/>
      <c r="DM5" s="447"/>
      <c r="DN5" s="447"/>
      <c r="DO5" s="447"/>
      <c r="DP5" s="447"/>
      <c r="DQ5" s="447"/>
      <c r="DR5" s="447"/>
      <c r="DS5" s="447"/>
      <c r="DT5" s="447"/>
      <c r="DU5" s="447"/>
      <c r="DV5" s="447"/>
      <c r="DW5" s="447"/>
      <c r="DX5" s="447"/>
      <c r="DY5" s="447"/>
      <c r="DZ5" s="447"/>
      <c r="EA5" s="447"/>
      <c r="EB5" s="447"/>
      <c r="EC5" s="447"/>
      <c r="ED5" s="447"/>
      <c r="EE5" s="447"/>
      <c r="EF5" s="447"/>
      <c r="EG5" s="447"/>
      <c r="EH5" s="447"/>
      <c r="EI5" s="447"/>
      <c r="EJ5" s="447"/>
      <c r="EK5" s="447"/>
      <c r="EL5" s="447"/>
      <c r="EM5" s="447"/>
      <c r="EN5" s="447"/>
      <c r="EO5" s="447"/>
      <c r="EP5" s="447"/>
      <c r="EQ5" s="447"/>
      <c r="ER5" s="447"/>
      <c r="ES5" s="447"/>
      <c r="ET5" s="447"/>
      <c r="EU5" s="447"/>
      <c r="EV5" s="447"/>
      <c r="EW5" s="447"/>
      <c r="EX5" s="447"/>
      <c r="EY5" s="447"/>
      <c r="EZ5" s="447"/>
      <c r="FA5" s="447"/>
      <c r="FB5" s="447"/>
      <c r="FC5" s="447"/>
      <c r="FD5" s="447"/>
      <c r="FE5" s="447"/>
      <c r="FF5" s="447"/>
      <c r="FG5" s="447"/>
      <c r="FH5" s="447"/>
      <c r="FI5" s="447"/>
      <c r="FJ5" s="447"/>
      <c r="FK5" s="447"/>
      <c r="FL5" s="447"/>
      <c r="FM5" s="447"/>
      <c r="FN5" s="447"/>
      <c r="FO5" s="447"/>
      <c r="FP5" s="447"/>
      <c r="FQ5" s="447"/>
      <c r="FR5" s="447"/>
      <c r="FS5" s="447"/>
      <c r="FT5" s="447"/>
      <c r="FU5" s="447"/>
      <c r="FV5" s="447"/>
      <c r="FW5" s="447"/>
      <c r="FX5" s="447"/>
      <c r="FY5" s="447"/>
      <c r="FZ5" s="447"/>
      <c r="GA5" s="447"/>
      <c r="GB5" s="447"/>
      <c r="GC5" s="447"/>
      <c r="GD5" s="447"/>
      <c r="GE5" s="447"/>
      <c r="GF5" s="447"/>
      <c r="GG5" s="447"/>
      <c r="GH5" s="447"/>
      <c r="GI5" s="447"/>
      <c r="GJ5" s="447"/>
      <c r="GK5" s="447"/>
      <c r="GL5" s="447"/>
      <c r="GM5" s="447"/>
      <c r="GN5" s="447"/>
      <c r="GO5" s="447"/>
      <c r="GP5" s="447"/>
      <c r="GQ5" s="447"/>
      <c r="GR5" s="447"/>
      <c r="GS5" s="447"/>
      <c r="GT5" s="447"/>
      <c r="GU5" s="447"/>
      <c r="GV5" s="447"/>
      <c r="GW5" s="447"/>
      <c r="GX5" s="447"/>
      <c r="GY5" s="447"/>
      <c r="GZ5" s="447"/>
      <c r="HA5" s="447"/>
      <c r="HB5" s="447"/>
      <c r="HC5" s="447"/>
      <c r="HD5" s="447"/>
      <c r="HE5" s="447"/>
      <c r="HF5" s="447"/>
      <c r="HG5" s="447"/>
      <c r="HH5" s="447"/>
      <c r="HI5" s="447"/>
      <c r="HJ5" s="447"/>
      <c r="HK5" s="447"/>
      <c r="HL5" s="447"/>
      <c r="HM5" s="447"/>
      <c r="HN5" s="447"/>
      <c r="HO5" s="447"/>
      <c r="HP5" s="447"/>
      <c r="HQ5" s="447"/>
      <c r="HR5" s="447"/>
      <c r="HS5" s="447"/>
      <c r="HT5" s="447"/>
      <c r="HU5" s="447"/>
      <c r="HV5" s="447"/>
      <c r="HW5" s="447"/>
      <c r="HX5" s="447"/>
      <c r="HY5" s="447"/>
      <c r="HZ5" s="447"/>
      <c r="IA5" s="447"/>
      <c r="IB5" s="447"/>
      <c r="IC5" s="447"/>
      <c r="ID5" s="447"/>
      <c r="IE5" s="447"/>
      <c r="IF5" s="447"/>
      <c r="IG5" s="447"/>
      <c r="IH5" s="447"/>
      <c r="II5" s="447"/>
      <c r="IJ5" s="447"/>
      <c r="IK5" s="447"/>
      <c r="IL5" s="447"/>
      <c r="IM5" s="447"/>
      <c r="IN5" s="447"/>
      <c r="IO5" s="447"/>
      <c r="IP5" s="447"/>
      <c r="IQ5" s="447"/>
      <c r="IR5" s="447"/>
      <c r="IS5" s="447"/>
      <c r="IT5" s="447"/>
      <c r="IU5" s="447"/>
      <c r="IV5" s="447"/>
      <c r="IW5" s="447"/>
      <c r="IX5" s="447"/>
      <c r="IY5" s="447"/>
      <c r="IZ5" s="447"/>
      <c r="JA5" s="447"/>
      <c r="JB5" s="447"/>
      <c r="JC5" s="447"/>
      <c r="JD5" s="447"/>
      <c r="JE5" s="447"/>
      <c r="JF5" s="447"/>
      <c r="JG5" s="447"/>
      <c r="JH5" s="447"/>
      <c r="JI5" s="447"/>
      <c r="JJ5" s="447"/>
      <c r="JK5" s="447"/>
      <c r="JL5" s="447"/>
      <c r="JM5" s="447"/>
      <c r="JN5" s="447"/>
      <c r="JO5" s="447"/>
      <c r="JP5" s="447"/>
      <c r="JQ5" s="447"/>
      <c r="JR5" s="447"/>
      <c r="JS5" s="447"/>
      <c r="JT5" s="447"/>
      <c r="JU5" s="447"/>
      <c r="JV5" s="447"/>
      <c r="JW5" s="447"/>
      <c r="JX5" s="447"/>
      <c r="JY5" s="447"/>
      <c r="JZ5" s="447"/>
      <c r="KA5" s="447"/>
      <c r="KB5" s="447"/>
      <c r="KC5" s="447"/>
      <c r="KD5" s="447"/>
      <c r="KE5" s="447"/>
      <c r="KF5" s="447"/>
      <c r="KG5" s="447"/>
      <c r="KH5" s="447"/>
      <c r="KI5" s="447"/>
      <c r="KJ5" s="447"/>
      <c r="KK5" s="447"/>
      <c r="KL5" s="447"/>
      <c r="KM5" s="447"/>
      <c r="KN5" s="447"/>
      <c r="KO5" s="447"/>
      <c r="KP5" s="447"/>
      <c r="KQ5" s="447"/>
      <c r="KR5" s="447"/>
      <c r="KS5" s="447"/>
      <c r="KT5" s="447"/>
      <c r="KU5" s="447"/>
      <c r="KV5" s="447"/>
      <c r="KW5" s="447"/>
      <c r="KX5" s="447"/>
      <c r="KY5" s="447"/>
      <c r="KZ5" s="447"/>
      <c r="LA5" s="447"/>
      <c r="LB5" s="447"/>
      <c r="LC5" s="447"/>
      <c r="LD5" s="447"/>
      <c r="LE5" s="447"/>
      <c r="LF5" s="447"/>
      <c r="LG5" s="447"/>
      <c r="LH5" s="447"/>
      <c r="LI5" s="447"/>
      <c r="LJ5" s="447"/>
      <c r="LK5" s="447"/>
      <c r="LL5" s="447"/>
      <c r="LM5" s="447"/>
      <c r="LN5" s="447"/>
      <c r="LO5" s="447"/>
      <c r="LP5" s="447"/>
      <c r="LQ5" s="447"/>
      <c r="LR5" s="447"/>
      <c r="LS5" s="447"/>
      <c r="LT5" s="447"/>
      <c r="LU5" s="447"/>
      <c r="LV5" s="447"/>
      <c r="LW5" s="447"/>
      <c r="LX5" s="447"/>
      <c r="LY5" s="447"/>
      <c r="LZ5" s="447"/>
      <c r="MA5" s="447"/>
      <c r="MB5" s="447"/>
      <c r="MC5" s="447"/>
      <c r="MD5" s="447"/>
      <c r="ME5" s="447"/>
      <c r="MF5" s="447"/>
      <c r="MG5" s="447"/>
      <c r="MH5" s="447"/>
      <c r="MI5" s="447"/>
      <c r="MJ5" s="447"/>
      <c r="MK5" s="447"/>
      <c r="ML5" s="447"/>
      <c r="MM5" s="447"/>
      <c r="MN5" s="447"/>
      <c r="MO5" s="447"/>
      <c r="MP5" s="447"/>
      <c r="MQ5" s="447"/>
      <c r="MR5" s="447"/>
      <c r="MS5" s="447"/>
      <c r="MT5" s="447"/>
      <c r="MU5" s="447"/>
      <c r="MV5" s="447"/>
      <c r="MW5" s="447"/>
      <c r="MX5" s="447"/>
      <c r="MY5" s="447"/>
      <c r="MZ5" s="447"/>
      <c r="NA5" s="447"/>
      <c r="NB5" s="447"/>
      <c r="NC5" s="447"/>
      <c r="ND5" s="447"/>
      <c r="NE5" s="447"/>
      <c r="NF5" s="447"/>
      <c r="NG5" s="447"/>
      <c r="NH5" s="447"/>
      <c r="NI5" s="447"/>
      <c r="NJ5" s="447"/>
      <c r="NK5" s="447"/>
      <c r="NL5" s="447"/>
      <c r="NM5" s="447"/>
      <c r="NN5" s="447"/>
      <c r="NO5" s="447"/>
      <c r="NP5" s="447"/>
      <c r="NQ5" s="447"/>
      <c r="NR5" s="447"/>
      <c r="NS5" s="447"/>
      <c r="NT5" s="447"/>
      <c r="NU5" s="447"/>
      <c r="NV5" s="447"/>
      <c r="NW5" s="447"/>
      <c r="NX5" s="447"/>
      <c r="NY5" s="447"/>
      <c r="NZ5" s="447"/>
      <c r="OA5" s="447"/>
      <c r="OB5" s="447"/>
      <c r="OC5" s="447"/>
      <c r="OD5" s="447"/>
      <c r="OE5" s="447"/>
      <c r="OF5" s="447"/>
      <c r="OG5" s="447"/>
      <c r="OH5" s="447"/>
      <c r="OI5" s="447"/>
      <c r="OJ5" s="447"/>
      <c r="OK5" s="447"/>
      <c r="OL5" s="447"/>
      <c r="OM5" s="447"/>
      <c r="ON5" s="447"/>
      <c r="OO5" s="447"/>
      <c r="OP5" s="447"/>
      <c r="OQ5" s="447"/>
      <c r="OR5" s="447"/>
      <c r="OS5" s="447"/>
      <c r="OT5" s="447"/>
      <c r="OU5" s="447"/>
      <c r="OV5" s="447"/>
      <c r="OW5" s="447"/>
      <c r="OX5" s="447"/>
      <c r="OY5" s="447"/>
      <c r="OZ5" s="447"/>
      <c r="PA5" s="447"/>
      <c r="PB5" s="447"/>
      <c r="PC5" s="447"/>
      <c r="PD5" s="447"/>
      <c r="PE5" s="447"/>
      <c r="PF5" s="447"/>
      <c r="PG5" s="447"/>
      <c r="PH5" s="447"/>
      <c r="PI5" s="447"/>
      <c r="PJ5" s="447"/>
      <c r="PK5" s="447"/>
      <c r="PL5" s="447"/>
      <c r="PM5" s="447"/>
      <c r="PN5" s="447"/>
      <c r="PO5" s="447"/>
      <c r="PP5" s="447"/>
      <c r="PQ5" s="447"/>
      <c r="PR5" s="447"/>
      <c r="PS5" s="447"/>
      <c r="PT5" s="447"/>
      <c r="PU5" s="447"/>
      <c r="PV5" s="447"/>
      <c r="PW5" s="447"/>
      <c r="PX5" s="447"/>
      <c r="PY5" s="447"/>
      <c r="PZ5" s="447"/>
      <c r="QA5" s="447"/>
      <c r="QB5" s="447"/>
      <c r="QC5" s="447"/>
      <c r="QD5" s="447"/>
      <c r="QE5" s="447"/>
      <c r="QF5" s="447"/>
      <c r="QG5" s="447"/>
      <c r="QH5" s="447"/>
      <c r="QI5" s="447"/>
      <c r="QJ5" s="447"/>
      <c r="QK5" s="447"/>
      <c r="QL5" s="447"/>
      <c r="QM5" s="447"/>
      <c r="QN5" s="447"/>
      <c r="QO5" s="447"/>
      <c r="QP5" s="447"/>
      <c r="QQ5" s="447"/>
      <c r="QR5" s="447"/>
      <c r="QS5" s="447"/>
      <c r="QT5" s="447"/>
      <c r="QU5" s="447"/>
      <c r="QV5" s="447"/>
      <c r="QW5" s="447"/>
      <c r="QX5" s="447"/>
      <c r="QY5" s="447"/>
      <c r="QZ5" s="447"/>
      <c r="RA5" s="447"/>
      <c r="RB5" s="447"/>
      <c r="RC5" s="447"/>
      <c r="RD5" s="447"/>
      <c r="RE5" s="447"/>
      <c r="RF5" s="447"/>
      <c r="RG5" s="447"/>
      <c r="RH5" s="447"/>
      <c r="RI5" s="447"/>
      <c r="RJ5" s="447"/>
      <c r="RK5" s="447"/>
      <c r="RL5" s="447"/>
      <c r="RM5" s="447"/>
      <c r="RN5" s="447"/>
      <c r="RO5" s="447"/>
      <c r="RP5" s="447"/>
      <c r="RQ5" s="447"/>
      <c r="RR5" s="447"/>
      <c r="RS5" s="447"/>
      <c r="RT5" s="447"/>
      <c r="RU5" s="447"/>
      <c r="RV5" s="447"/>
      <c r="RW5" s="447"/>
      <c r="RX5" s="447"/>
      <c r="RY5" s="447"/>
      <c r="RZ5" s="447"/>
      <c r="SA5" s="447"/>
      <c r="SB5" s="447"/>
      <c r="SC5" s="447"/>
    </row>
    <row r="6" spans="2:497" s="448" customFormat="1" ht="20.25" customHeight="1">
      <c r="B6" s="464" t="s">
        <v>114</v>
      </c>
      <c r="C6" s="453">
        <v>30.5</v>
      </c>
      <c r="D6" s="465"/>
      <c r="E6" s="466">
        <v>22.6</v>
      </c>
      <c r="F6" s="466"/>
      <c r="G6" s="278">
        <f t="shared" ref="G6:G14" si="0">C6-E6</f>
        <v>7.8999999999999986</v>
      </c>
      <c r="H6" s="453">
        <v>130.30000000000001</v>
      </c>
      <c r="I6" s="467"/>
      <c r="J6" s="466">
        <v>150.69999999999999</v>
      </c>
      <c r="K6" s="468"/>
      <c r="L6" s="290">
        <f t="shared" ref="L6:L11" si="1">H6-J6</f>
        <v>-20.399999999999977</v>
      </c>
      <c r="M6" s="453">
        <v>-160.80000000000001</v>
      </c>
      <c r="N6" s="465"/>
      <c r="O6" s="466">
        <v>-173.3</v>
      </c>
      <c r="P6" s="466"/>
      <c r="Q6" s="294">
        <f t="shared" ref="Q6:Q14" si="2">M6-O6</f>
        <v>12.5</v>
      </c>
      <c r="R6" s="296">
        <f t="shared" ref="R6:R14" si="3">C6+H6+M6</f>
        <v>0</v>
      </c>
      <c r="S6" s="460">
        <f t="shared" ref="S6:S11" si="4">E6+J6+O6</f>
        <v>0</v>
      </c>
      <c r="T6" s="294">
        <f t="shared" ref="T6:T11" si="5">R6-S6</f>
        <v>0</v>
      </c>
      <c r="U6" s="447"/>
      <c r="V6" s="469"/>
      <c r="W6" s="469"/>
      <c r="X6" s="469"/>
      <c r="Y6" s="449"/>
      <c r="Z6" s="447"/>
      <c r="AA6" s="447"/>
      <c r="AB6" s="447"/>
      <c r="AC6" s="447"/>
      <c r="AD6" s="447"/>
      <c r="AE6" s="447"/>
      <c r="AF6" s="447"/>
      <c r="AG6" s="447"/>
      <c r="AH6" s="447"/>
      <c r="AI6" s="447"/>
      <c r="AJ6" s="447"/>
      <c r="AK6" s="447"/>
      <c r="AL6" s="447"/>
      <c r="AM6" s="447"/>
      <c r="AN6" s="447"/>
      <c r="AO6" s="447"/>
      <c r="AP6" s="447"/>
      <c r="AQ6" s="447"/>
      <c r="AR6" s="447"/>
      <c r="AS6" s="447"/>
      <c r="AT6" s="447"/>
      <c r="AU6" s="447"/>
      <c r="AV6" s="447"/>
      <c r="AW6" s="447"/>
      <c r="AX6" s="447"/>
      <c r="AY6" s="447"/>
      <c r="AZ6" s="447"/>
      <c r="BA6" s="447"/>
      <c r="BB6" s="447"/>
      <c r="BC6" s="447"/>
      <c r="BD6" s="447"/>
      <c r="BE6" s="447"/>
      <c r="BF6" s="447"/>
      <c r="BG6" s="447"/>
      <c r="BH6" s="447"/>
      <c r="BI6" s="447"/>
      <c r="BJ6" s="447"/>
      <c r="BK6" s="447"/>
      <c r="BL6" s="447"/>
      <c r="BM6" s="447"/>
      <c r="BN6" s="447"/>
      <c r="BO6" s="447"/>
      <c r="BP6" s="447"/>
      <c r="BQ6" s="447"/>
      <c r="BR6" s="447"/>
      <c r="BS6" s="447"/>
      <c r="BT6" s="447"/>
      <c r="BU6" s="447"/>
      <c r="BV6" s="447"/>
      <c r="BW6" s="447"/>
      <c r="BX6" s="447"/>
      <c r="BY6" s="447"/>
      <c r="BZ6" s="447"/>
      <c r="CA6" s="447"/>
      <c r="CB6" s="447"/>
      <c r="CC6" s="447"/>
      <c r="CD6" s="447"/>
      <c r="CE6" s="447"/>
      <c r="CF6" s="447"/>
      <c r="CG6" s="447"/>
      <c r="CH6" s="447"/>
      <c r="CI6" s="447"/>
      <c r="CJ6" s="447"/>
      <c r="CK6" s="447"/>
      <c r="CL6" s="447"/>
      <c r="CM6" s="447"/>
      <c r="CN6" s="447"/>
      <c r="CO6" s="447"/>
      <c r="CP6" s="447"/>
      <c r="CQ6" s="447"/>
      <c r="CR6" s="447"/>
      <c r="CS6" s="447"/>
      <c r="CT6" s="447"/>
      <c r="CU6" s="447"/>
      <c r="CV6" s="447"/>
      <c r="CW6" s="447"/>
      <c r="CX6" s="447"/>
      <c r="CY6" s="447"/>
      <c r="CZ6" s="447"/>
      <c r="DA6" s="447"/>
      <c r="DB6" s="447"/>
      <c r="DC6" s="447"/>
      <c r="DD6" s="447"/>
      <c r="DE6" s="447"/>
      <c r="DF6" s="447"/>
      <c r="DG6" s="447"/>
      <c r="DH6" s="447"/>
      <c r="DI6" s="447"/>
      <c r="DJ6" s="447"/>
      <c r="DK6" s="447"/>
      <c r="DL6" s="447"/>
      <c r="DM6" s="447"/>
      <c r="DN6" s="447"/>
      <c r="DO6" s="447"/>
      <c r="DP6" s="447"/>
      <c r="DQ6" s="447"/>
      <c r="DR6" s="447"/>
      <c r="DS6" s="447"/>
      <c r="DT6" s="447"/>
      <c r="DU6" s="447"/>
      <c r="DV6" s="447"/>
      <c r="DW6" s="447"/>
      <c r="DX6" s="447"/>
      <c r="DY6" s="447"/>
      <c r="DZ6" s="447"/>
      <c r="EA6" s="447"/>
      <c r="EB6" s="447"/>
      <c r="EC6" s="447"/>
      <c r="ED6" s="447"/>
      <c r="EE6" s="447"/>
      <c r="EF6" s="447"/>
      <c r="EG6" s="447"/>
      <c r="EH6" s="447"/>
      <c r="EI6" s="447"/>
      <c r="EJ6" s="447"/>
      <c r="EK6" s="447"/>
      <c r="EL6" s="447"/>
      <c r="EM6" s="447"/>
      <c r="EN6" s="447"/>
      <c r="EO6" s="447"/>
      <c r="EP6" s="447"/>
      <c r="EQ6" s="447"/>
      <c r="ER6" s="447"/>
      <c r="ES6" s="447"/>
      <c r="ET6" s="447"/>
      <c r="EU6" s="447"/>
      <c r="EV6" s="447"/>
      <c r="EW6" s="447"/>
      <c r="EX6" s="447"/>
      <c r="EY6" s="447"/>
      <c r="EZ6" s="447"/>
      <c r="FA6" s="447"/>
      <c r="FB6" s="447"/>
      <c r="FC6" s="447"/>
      <c r="FD6" s="447"/>
      <c r="FE6" s="447"/>
      <c r="FF6" s="447"/>
      <c r="FG6" s="447"/>
      <c r="FH6" s="447"/>
      <c r="FI6" s="447"/>
      <c r="FJ6" s="447"/>
      <c r="FK6" s="447"/>
      <c r="FL6" s="447"/>
      <c r="FM6" s="447"/>
      <c r="FN6" s="447"/>
      <c r="FO6" s="447"/>
      <c r="FP6" s="447"/>
      <c r="FQ6" s="447"/>
      <c r="FR6" s="447"/>
      <c r="FS6" s="447"/>
      <c r="FT6" s="447"/>
      <c r="FU6" s="447"/>
      <c r="FV6" s="447"/>
      <c r="FW6" s="447"/>
      <c r="FX6" s="447"/>
      <c r="FY6" s="447"/>
      <c r="FZ6" s="447"/>
      <c r="GA6" s="447"/>
      <c r="GB6" s="447"/>
      <c r="GC6" s="447"/>
      <c r="GD6" s="447"/>
      <c r="GE6" s="447"/>
      <c r="GF6" s="447"/>
      <c r="GG6" s="447"/>
      <c r="GH6" s="447"/>
      <c r="GI6" s="447"/>
      <c r="GJ6" s="447"/>
      <c r="GK6" s="447"/>
      <c r="GL6" s="447"/>
      <c r="GM6" s="447"/>
      <c r="GN6" s="447"/>
      <c r="GO6" s="447"/>
      <c r="GP6" s="447"/>
      <c r="GQ6" s="447"/>
      <c r="GR6" s="447"/>
      <c r="GS6" s="447"/>
      <c r="GT6" s="447"/>
      <c r="GU6" s="447"/>
      <c r="GV6" s="447"/>
      <c r="GW6" s="447"/>
      <c r="GX6" s="447"/>
      <c r="GY6" s="447"/>
      <c r="GZ6" s="447"/>
      <c r="HA6" s="447"/>
      <c r="HB6" s="447"/>
      <c r="HC6" s="447"/>
      <c r="HD6" s="447"/>
      <c r="HE6" s="447"/>
      <c r="HF6" s="447"/>
      <c r="HG6" s="447"/>
      <c r="HH6" s="447"/>
      <c r="HI6" s="447"/>
      <c r="HJ6" s="447"/>
      <c r="HK6" s="447"/>
      <c r="HL6" s="447"/>
      <c r="HM6" s="447"/>
      <c r="HN6" s="447"/>
      <c r="HO6" s="447"/>
      <c r="HP6" s="447"/>
      <c r="HQ6" s="447"/>
      <c r="HR6" s="447"/>
      <c r="HS6" s="447"/>
      <c r="HT6" s="447"/>
      <c r="HU6" s="447"/>
      <c r="HV6" s="447"/>
      <c r="HW6" s="447"/>
      <c r="HX6" s="447"/>
      <c r="HY6" s="447"/>
      <c r="HZ6" s="447"/>
      <c r="IA6" s="447"/>
      <c r="IB6" s="447"/>
      <c r="IC6" s="447"/>
      <c r="ID6" s="447"/>
      <c r="IE6" s="447"/>
      <c r="IF6" s="447"/>
      <c r="IG6" s="447"/>
      <c r="IH6" s="447"/>
      <c r="II6" s="447"/>
      <c r="IJ6" s="447"/>
      <c r="IK6" s="447"/>
      <c r="IL6" s="447"/>
      <c r="IM6" s="447"/>
      <c r="IN6" s="447"/>
      <c r="IO6" s="447"/>
      <c r="IP6" s="447"/>
      <c r="IQ6" s="447"/>
      <c r="IR6" s="447"/>
      <c r="IS6" s="447"/>
      <c r="IT6" s="447"/>
      <c r="IU6" s="447"/>
      <c r="IV6" s="447"/>
      <c r="IW6" s="447"/>
      <c r="IX6" s="447"/>
      <c r="IY6" s="447"/>
      <c r="IZ6" s="447"/>
      <c r="JA6" s="447"/>
      <c r="JB6" s="447"/>
      <c r="JC6" s="447"/>
      <c r="JD6" s="447"/>
      <c r="JE6" s="447"/>
      <c r="JF6" s="447"/>
      <c r="JG6" s="447"/>
      <c r="JH6" s="447"/>
      <c r="JI6" s="447"/>
      <c r="JJ6" s="447"/>
      <c r="JK6" s="447"/>
      <c r="JL6" s="447"/>
      <c r="JM6" s="447"/>
      <c r="JN6" s="447"/>
      <c r="JO6" s="447"/>
      <c r="JP6" s="447"/>
      <c r="JQ6" s="447"/>
      <c r="JR6" s="447"/>
      <c r="JS6" s="447"/>
      <c r="JT6" s="447"/>
      <c r="JU6" s="447"/>
      <c r="JV6" s="447"/>
      <c r="JW6" s="447"/>
      <c r="JX6" s="447"/>
      <c r="JY6" s="447"/>
      <c r="JZ6" s="447"/>
      <c r="KA6" s="447"/>
      <c r="KB6" s="447"/>
      <c r="KC6" s="447"/>
      <c r="KD6" s="447"/>
      <c r="KE6" s="447"/>
      <c r="KF6" s="447"/>
      <c r="KG6" s="447"/>
      <c r="KH6" s="447"/>
      <c r="KI6" s="447"/>
      <c r="KJ6" s="447"/>
      <c r="KK6" s="447"/>
      <c r="KL6" s="447"/>
      <c r="KM6" s="447"/>
      <c r="KN6" s="447"/>
      <c r="KO6" s="447"/>
      <c r="KP6" s="447"/>
      <c r="KQ6" s="447"/>
      <c r="KR6" s="447"/>
      <c r="KS6" s="447"/>
      <c r="KT6" s="447"/>
      <c r="KU6" s="447"/>
      <c r="KV6" s="447"/>
      <c r="KW6" s="447"/>
      <c r="KX6" s="447"/>
      <c r="KY6" s="447"/>
      <c r="KZ6" s="447"/>
      <c r="LA6" s="447"/>
      <c r="LB6" s="447"/>
      <c r="LC6" s="447"/>
      <c r="LD6" s="447"/>
      <c r="LE6" s="447"/>
      <c r="LF6" s="447"/>
      <c r="LG6" s="447"/>
      <c r="LH6" s="447"/>
      <c r="LI6" s="447"/>
      <c r="LJ6" s="447"/>
      <c r="LK6" s="447"/>
      <c r="LL6" s="447"/>
      <c r="LM6" s="447"/>
      <c r="LN6" s="447"/>
      <c r="LO6" s="447"/>
      <c r="LP6" s="447"/>
      <c r="LQ6" s="447"/>
      <c r="LR6" s="447"/>
      <c r="LS6" s="447"/>
      <c r="LT6" s="447"/>
      <c r="LU6" s="447"/>
      <c r="LV6" s="447"/>
      <c r="LW6" s="447"/>
      <c r="LX6" s="447"/>
      <c r="LY6" s="447"/>
      <c r="LZ6" s="447"/>
      <c r="MA6" s="447"/>
      <c r="MB6" s="447"/>
      <c r="MC6" s="447"/>
      <c r="MD6" s="447"/>
      <c r="ME6" s="447"/>
      <c r="MF6" s="447"/>
      <c r="MG6" s="447"/>
      <c r="MH6" s="447"/>
      <c r="MI6" s="447"/>
      <c r="MJ6" s="447"/>
      <c r="MK6" s="447"/>
      <c r="ML6" s="447"/>
      <c r="MM6" s="447"/>
      <c r="MN6" s="447"/>
      <c r="MO6" s="447"/>
      <c r="MP6" s="447"/>
      <c r="MQ6" s="447"/>
      <c r="MR6" s="447"/>
      <c r="MS6" s="447"/>
      <c r="MT6" s="447"/>
      <c r="MU6" s="447"/>
      <c r="MV6" s="447"/>
      <c r="MW6" s="447"/>
      <c r="MX6" s="447"/>
      <c r="MY6" s="447"/>
      <c r="MZ6" s="447"/>
      <c r="NA6" s="447"/>
      <c r="NB6" s="447"/>
      <c r="NC6" s="447"/>
      <c r="ND6" s="447"/>
      <c r="NE6" s="447"/>
      <c r="NF6" s="447"/>
      <c r="NG6" s="447"/>
      <c r="NH6" s="447"/>
      <c r="NI6" s="447"/>
      <c r="NJ6" s="447"/>
      <c r="NK6" s="447"/>
      <c r="NL6" s="447"/>
      <c r="NM6" s="447"/>
      <c r="NN6" s="447"/>
      <c r="NO6" s="447"/>
      <c r="NP6" s="447"/>
      <c r="NQ6" s="447"/>
      <c r="NR6" s="447"/>
      <c r="NS6" s="447"/>
      <c r="NT6" s="447"/>
      <c r="NU6" s="447"/>
      <c r="NV6" s="447"/>
      <c r="NW6" s="447"/>
      <c r="NX6" s="447"/>
      <c r="NY6" s="447"/>
      <c r="NZ6" s="447"/>
      <c r="OA6" s="447"/>
      <c r="OB6" s="447"/>
      <c r="OC6" s="447"/>
      <c r="OD6" s="447"/>
      <c r="OE6" s="447"/>
      <c r="OF6" s="447"/>
      <c r="OG6" s="447"/>
      <c r="OH6" s="447"/>
      <c r="OI6" s="447"/>
      <c r="OJ6" s="447"/>
      <c r="OK6" s="447"/>
      <c r="OL6" s="447"/>
      <c r="OM6" s="447"/>
      <c r="ON6" s="447"/>
      <c r="OO6" s="447"/>
      <c r="OP6" s="447"/>
      <c r="OQ6" s="447"/>
      <c r="OR6" s="447"/>
      <c r="OS6" s="447"/>
      <c r="OT6" s="447"/>
      <c r="OU6" s="447"/>
      <c r="OV6" s="447"/>
      <c r="OW6" s="447"/>
      <c r="OX6" s="447"/>
      <c r="OY6" s="447"/>
      <c r="OZ6" s="447"/>
      <c r="PA6" s="447"/>
      <c r="PB6" s="447"/>
      <c r="PC6" s="447"/>
      <c r="PD6" s="447"/>
      <c r="PE6" s="447"/>
      <c r="PF6" s="447"/>
      <c r="PG6" s="447"/>
      <c r="PH6" s="447"/>
      <c r="PI6" s="447"/>
      <c r="PJ6" s="447"/>
      <c r="PK6" s="447"/>
      <c r="PL6" s="447"/>
      <c r="PM6" s="447"/>
      <c r="PN6" s="447"/>
      <c r="PO6" s="447"/>
      <c r="PP6" s="447"/>
      <c r="PQ6" s="447"/>
      <c r="PR6" s="447"/>
      <c r="PS6" s="447"/>
      <c r="PT6" s="447"/>
      <c r="PU6" s="447"/>
      <c r="PV6" s="447"/>
      <c r="PW6" s="447"/>
      <c r="PX6" s="447"/>
      <c r="PY6" s="447"/>
      <c r="PZ6" s="447"/>
      <c r="QA6" s="447"/>
      <c r="QB6" s="447"/>
      <c r="QC6" s="447"/>
      <c r="QD6" s="447"/>
      <c r="QE6" s="447"/>
      <c r="QF6" s="447"/>
      <c r="QG6" s="447"/>
      <c r="QH6" s="447"/>
      <c r="QI6" s="447"/>
      <c r="QJ6" s="447"/>
      <c r="QK6" s="447"/>
      <c r="QL6" s="447"/>
      <c r="QM6" s="447"/>
      <c r="QN6" s="447"/>
      <c r="QO6" s="447"/>
      <c r="QP6" s="447"/>
      <c r="QQ6" s="447"/>
      <c r="QR6" s="447"/>
      <c r="QS6" s="447"/>
      <c r="QT6" s="447"/>
      <c r="QU6" s="447"/>
      <c r="QV6" s="447"/>
      <c r="QW6" s="447"/>
      <c r="QX6" s="447"/>
      <c r="QY6" s="447"/>
      <c r="QZ6" s="447"/>
      <c r="RA6" s="447"/>
      <c r="RB6" s="447"/>
      <c r="RC6" s="447"/>
      <c r="RD6" s="447"/>
      <c r="RE6" s="447"/>
      <c r="RF6" s="447"/>
      <c r="RG6" s="447"/>
      <c r="RH6" s="447"/>
      <c r="RI6" s="447"/>
      <c r="RJ6" s="447"/>
      <c r="RK6" s="447"/>
      <c r="RL6" s="447"/>
      <c r="RM6" s="447"/>
      <c r="RN6" s="447"/>
      <c r="RO6" s="447"/>
      <c r="RP6" s="447"/>
      <c r="RQ6" s="447"/>
      <c r="RR6" s="447"/>
      <c r="RS6" s="447"/>
      <c r="RT6" s="447"/>
      <c r="RU6" s="447"/>
      <c r="RV6" s="447"/>
      <c r="RW6" s="447"/>
      <c r="RX6" s="447"/>
      <c r="RY6" s="447"/>
      <c r="RZ6" s="447"/>
      <c r="SA6" s="447"/>
      <c r="SB6" s="447"/>
      <c r="SC6" s="447"/>
    </row>
    <row r="7" spans="2:497" s="471" customFormat="1" ht="20.25" customHeight="1">
      <c r="B7" s="20" t="s">
        <v>115</v>
      </c>
      <c r="C7" s="279">
        <f>C5+C6</f>
        <v>6410</v>
      </c>
      <c r="D7" s="280"/>
      <c r="E7" s="281">
        <f>E5+E6</f>
        <v>6297.5</v>
      </c>
      <c r="F7" s="281"/>
      <c r="G7" s="282">
        <f>C7-E7</f>
        <v>112.5</v>
      </c>
      <c r="H7" s="279">
        <f>H5+H6</f>
        <v>1000.2</v>
      </c>
      <c r="I7" s="21"/>
      <c r="J7" s="281">
        <f>J5+J6</f>
        <v>1070.5</v>
      </c>
      <c r="K7" s="23"/>
      <c r="L7" s="291">
        <f t="shared" si="1"/>
        <v>-70.299999999999955</v>
      </c>
      <c r="M7" s="279">
        <f>M5+M6</f>
        <v>-160.80000000000001</v>
      </c>
      <c r="N7" s="280"/>
      <c r="O7" s="281">
        <f>O5+O6</f>
        <v>-173.3</v>
      </c>
      <c r="P7" s="281"/>
      <c r="Q7" s="295">
        <f t="shared" si="2"/>
        <v>12.5</v>
      </c>
      <c r="R7" s="297">
        <f t="shared" si="3"/>
        <v>7249.4</v>
      </c>
      <c r="S7" s="298">
        <f t="shared" si="4"/>
        <v>7194.7</v>
      </c>
      <c r="T7" s="295">
        <f t="shared" si="5"/>
        <v>54.699999999999818</v>
      </c>
      <c r="U7" s="24"/>
      <c r="V7" s="25"/>
      <c r="W7" s="25"/>
      <c r="X7" s="25"/>
      <c r="Y7" s="470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</row>
    <row r="8" spans="2:497" s="471" customFormat="1" ht="20.25" customHeight="1">
      <c r="B8" s="20" t="s">
        <v>188</v>
      </c>
      <c r="C8" s="279">
        <v>2389.3000000000002</v>
      </c>
      <c r="D8" s="280"/>
      <c r="E8" s="281">
        <v>2328.6999999999998</v>
      </c>
      <c r="F8" s="281"/>
      <c r="G8" s="282">
        <f t="shared" si="0"/>
        <v>60.600000000000364</v>
      </c>
      <c r="H8" s="279">
        <v>355</v>
      </c>
      <c r="I8" s="26"/>
      <c r="J8" s="281">
        <v>409.8</v>
      </c>
      <c r="K8" s="22"/>
      <c r="L8" s="291">
        <f t="shared" si="1"/>
        <v>-54.800000000000011</v>
      </c>
      <c r="M8" s="296">
        <v>0</v>
      </c>
      <c r="N8" s="297"/>
      <c r="O8" s="298">
        <v>0</v>
      </c>
      <c r="P8" s="281"/>
      <c r="Q8" s="295">
        <f t="shared" si="2"/>
        <v>0</v>
      </c>
      <c r="R8" s="297">
        <f>C8+H8+M8</f>
        <v>2744.3</v>
      </c>
      <c r="S8" s="298">
        <f t="shared" si="4"/>
        <v>2738.5</v>
      </c>
      <c r="T8" s="295">
        <f t="shared" si="5"/>
        <v>5.8000000000001819</v>
      </c>
      <c r="U8" s="24"/>
      <c r="V8" s="25"/>
      <c r="W8" s="25"/>
      <c r="X8" s="25"/>
      <c r="Y8" s="470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24"/>
      <c r="MQ8" s="24"/>
      <c r="MR8" s="24"/>
      <c r="MS8" s="24"/>
      <c r="MT8" s="24"/>
      <c r="MU8" s="24"/>
      <c r="MV8" s="24"/>
      <c r="MW8" s="24"/>
      <c r="MX8" s="24"/>
      <c r="MY8" s="24"/>
      <c r="MZ8" s="24"/>
      <c r="NA8" s="24"/>
      <c r="NB8" s="24"/>
      <c r="NC8" s="24"/>
      <c r="ND8" s="24"/>
      <c r="NE8" s="24"/>
      <c r="NF8" s="24"/>
      <c r="NG8" s="24"/>
      <c r="NH8" s="24"/>
      <c r="NI8" s="24"/>
      <c r="NJ8" s="24"/>
      <c r="NK8" s="24"/>
      <c r="NL8" s="24"/>
      <c r="NM8" s="24"/>
      <c r="NN8" s="24"/>
      <c r="NO8" s="24"/>
      <c r="NP8" s="24"/>
      <c r="NQ8" s="24"/>
      <c r="NR8" s="24"/>
      <c r="NS8" s="24"/>
      <c r="NT8" s="24"/>
      <c r="NU8" s="24"/>
      <c r="NV8" s="24"/>
      <c r="NW8" s="24"/>
      <c r="NX8" s="24"/>
      <c r="NY8" s="24"/>
      <c r="NZ8" s="24"/>
      <c r="OA8" s="24"/>
      <c r="OB8" s="24"/>
      <c r="OC8" s="24"/>
      <c r="OD8" s="24"/>
      <c r="OE8" s="24"/>
      <c r="OF8" s="24"/>
      <c r="OG8" s="24"/>
      <c r="OH8" s="24"/>
      <c r="OI8" s="24"/>
      <c r="OJ8" s="24"/>
      <c r="OK8" s="24"/>
      <c r="OL8" s="24"/>
      <c r="OM8" s="24"/>
      <c r="ON8" s="24"/>
      <c r="OO8" s="24"/>
      <c r="OP8" s="24"/>
      <c r="OQ8" s="24"/>
      <c r="OR8" s="24"/>
      <c r="OS8" s="24"/>
      <c r="OT8" s="24"/>
      <c r="OU8" s="24"/>
      <c r="OV8" s="24"/>
      <c r="OW8" s="24"/>
      <c r="OX8" s="24"/>
      <c r="OY8" s="24"/>
      <c r="OZ8" s="24"/>
      <c r="PA8" s="24"/>
      <c r="PB8" s="24"/>
      <c r="PC8" s="24"/>
      <c r="PD8" s="24"/>
      <c r="PE8" s="24"/>
      <c r="PF8" s="24"/>
      <c r="PG8" s="24"/>
      <c r="PH8" s="24"/>
      <c r="PI8" s="24"/>
      <c r="PJ8" s="24"/>
      <c r="PK8" s="24"/>
      <c r="PL8" s="24"/>
      <c r="PM8" s="24"/>
      <c r="PN8" s="24"/>
      <c r="PO8" s="24"/>
      <c r="PP8" s="24"/>
      <c r="PQ8" s="24"/>
      <c r="PR8" s="24"/>
      <c r="PS8" s="24"/>
      <c r="PT8" s="24"/>
      <c r="PU8" s="24"/>
      <c r="PV8" s="24"/>
      <c r="PW8" s="24"/>
      <c r="PX8" s="24"/>
      <c r="PY8" s="24"/>
      <c r="PZ8" s="24"/>
      <c r="QA8" s="24"/>
      <c r="QB8" s="24"/>
      <c r="QC8" s="24"/>
      <c r="QD8" s="24"/>
      <c r="QE8" s="24"/>
      <c r="QF8" s="24"/>
      <c r="QG8" s="24"/>
      <c r="QH8" s="24"/>
      <c r="QI8" s="24"/>
      <c r="QJ8" s="24"/>
      <c r="QK8" s="24"/>
      <c r="QL8" s="24"/>
      <c r="QM8" s="24"/>
      <c r="QN8" s="24"/>
      <c r="QO8" s="24"/>
      <c r="QP8" s="24"/>
      <c r="QQ8" s="24"/>
      <c r="QR8" s="24"/>
      <c r="QS8" s="24"/>
      <c r="QT8" s="24"/>
      <c r="QU8" s="24"/>
      <c r="QV8" s="24"/>
      <c r="QW8" s="24"/>
      <c r="QX8" s="24"/>
      <c r="QY8" s="24"/>
      <c r="QZ8" s="24"/>
      <c r="RA8" s="24"/>
      <c r="RB8" s="24"/>
      <c r="RC8" s="24"/>
      <c r="RD8" s="24"/>
      <c r="RE8" s="24"/>
      <c r="RF8" s="24"/>
      <c r="RG8" s="24"/>
      <c r="RH8" s="24"/>
      <c r="RI8" s="24"/>
      <c r="RJ8" s="24"/>
      <c r="RK8" s="24"/>
      <c r="RL8" s="24"/>
      <c r="RM8" s="24"/>
      <c r="RN8" s="24"/>
      <c r="RO8" s="24"/>
      <c r="RP8" s="24"/>
      <c r="RQ8" s="24"/>
      <c r="RR8" s="24"/>
      <c r="RS8" s="24"/>
      <c r="RT8" s="24"/>
      <c r="RU8" s="24"/>
      <c r="RV8" s="24"/>
      <c r="RW8" s="24"/>
      <c r="RX8" s="24"/>
      <c r="RY8" s="24"/>
      <c r="RZ8" s="24"/>
      <c r="SA8" s="24"/>
      <c r="SB8" s="24"/>
      <c r="SC8" s="24"/>
    </row>
    <row r="9" spans="2:497" s="448" customFormat="1" ht="32.25" customHeight="1">
      <c r="B9" s="464" t="s">
        <v>75</v>
      </c>
      <c r="C9" s="453">
        <v>1319.5</v>
      </c>
      <c r="D9" s="280"/>
      <c r="E9" s="466">
        <v>1428.8</v>
      </c>
      <c r="F9" s="281"/>
      <c r="G9" s="278">
        <f t="shared" si="0"/>
        <v>-109.29999999999995</v>
      </c>
      <c r="H9" s="453">
        <v>28.7</v>
      </c>
      <c r="I9" s="467"/>
      <c r="J9" s="466">
        <v>30.3</v>
      </c>
      <c r="K9" s="468"/>
      <c r="L9" s="290">
        <f t="shared" si="1"/>
        <v>-1.6000000000000014</v>
      </c>
      <c r="M9" s="458">
        <v>0</v>
      </c>
      <c r="N9" s="459"/>
      <c r="O9" s="460">
        <v>0</v>
      </c>
      <c r="P9" s="466"/>
      <c r="Q9" s="294">
        <f t="shared" si="2"/>
        <v>0</v>
      </c>
      <c r="R9" s="459">
        <f>C9+H9+M9</f>
        <v>1348.2</v>
      </c>
      <c r="S9" s="460">
        <f t="shared" si="4"/>
        <v>1459.1</v>
      </c>
      <c r="T9" s="294">
        <f t="shared" si="5"/>
        <v>-110.89999999999986</v>
      </c>
      <c r="U9" s="447"/>
      <c r="V9" s="25"/>
      <c r="W9" s="25"/>
      <c r="X9" s="25"/>
      <c r="Y9" s="449"/>
      <c r="Z9" s="447"/>
      <c r="AA9" s="447"/>
      <c r="AB9" s="447"/>
      <c r="AC9" s="447"/>
      <c r="AD9" s="447"/>
      <c r="AE9" s="447"/>
      <c r="AF9" s="447"/>
      <c r="AG9" s="447"/>
      <c r="AH9" s="447"/>
      <c r="AI9" s="447"/>
      <c r="AJ9" s="447"/>
      <c r="AK9" s="447"/>
      <c r="AL9" s="447"/>
      <c r="AM9" s="447"/>
      <c r="AN9" s="447"/>
      <c r="AO9" s="447"/>
      <c r="AP9" s="447"/>
      <c r="AQ9" s="447"/>
      <c r="AR9" s="447"/>
      <c r="AS9" s="447"/>
      <c r="AT9" s="447"/>
      <c r="AU9" s="447"/>
      <c r="AV9" s="447"/>
      <c r="AW9" s="447"/>
      <c r="AX9" s="447"/>
      <c r="AY9" s="447"/>
      <c r="AZ9" s="447"/>
      <c r="BA9" s="447"/>
      <c r="BB9" s="447"/>
      <c r="BC9" s="447"/>
      <c r="BD9" s="447"/>
      <c r="BE9" s="447"/>
      <c r="BF9" s="447"/>
      <c r="BG9" s="447"/>
      <c r="BH9" s="447"/>
      <c r="BI9" s="447"/>
      <c r="BJ9" s="447"/>
      <c r="BK9" s="447"/>
      <c r="BL9" s="447"/>
      <c r="BM9" s="447"/>
      <c r="BN9" s="447"/>
      <c r="BO9" s="447"/>
      <c r="BP9" s="447"/>
      <c r="BQ9" s="447"/>
      <c r="BR9" s="447"/>
      <c r="BS9" s="447"/>
      <c r="BT9" s="447"/>
      <c r="BU9" s="447"/>
      <c r="BV9" s="447"/>
      <c r="BW9" s="447"/>
      <c r="BX9" s="447"/>
      <c r="BY9" s="447"/>
      <c r="BZ9" s="447"/>
      <c r="CA9" s="447"/>
      <c r="CB9" s="447"/>
      <c r="CC9" s="447"/>
      <c r="CD9" s="447"/>
      <c r="CE9" s="447"/>
      <c r="CF9" s="447"/>
      <c r="CG9" s="447"/>
      <c r="CH9" s="447"/>
      <c r="CI9" s="447"/>
      <c r="CJ9" s="447"/>
      <c r="CK9" s="447"/>
      <c r="CL9" s="447"/>
      <c r="CM9" s="447"/>
      <c r="CN9" s="447"/>
      <c r="CO9" s="447"/>
      <c r="CP9" s="447"/>
      <c r="CQ9" s="447"/>
      <c r="CR9" s="447"/>
      <c r="CS9" s="447"/>
      <c r="CT9" s="447"/>
      <c r="CU9" s="447"/>
      <c r="CV9" s="447"/>
      <c r="CW9" s="447"/>
      <c r="CX9" s="447"/>
      <c r="CY9" s="447"/>
      <c r="CZ9" s="447"/>
      <c r="DA9" s="447"/>
      <c r="DB9" s="447"/>
      <c r="DC9" s="447"/>
      <c r="DD9" s="447"/>
      <c r="DE9" s="447"/>
      <c r="DF9" s="447"/>
      <c r="DG9" s="447"/>
      <c r="DH9" s="447"/>
      <c r="DI9" s="447"/>
      <c r="DJ9" s="447"/>
      <c r="DK9" s="447"/>
      <c r="DL9" s="447"/>
      <c r="DM9" s="447"/>
      <c r="DN9" s="447"/>
      <c r="DO9" s="447"/>
      <c r="DP9" s="447"/>
      <c r="DQ9" s="447"/>
      <c r="DR9" s="447"/>
      <c r="DS9" s="447"/>
      <c r="DT9" s="447"/>
      <c r="DU9" s="447"/>
      <c r="DV9" s="447"/>
      <c r="DW9" s="447"/>
      <c r="DX9" s="447"/>
      <c r="DY9" s="447"/>
      <c r="DZ9" s="447"/>
      <c r="EA9" s="447"/>
      <c r="EB9" s="447"/>
      <c r="EC9" s="447"/>
      <c r="ED9" s="447"/>
      <c r="EE9" s="447"/>
      <c r="EF9" s="447"/>
      <c r="EG9" s="447"/>
      <c r="EH9" s="447"/>
      <c r="EI9" s="447"/>
      <c r="EJ9" s="447"/>
      <c r="EK9" s="447"/>
      <c r="EL9" s="447"/>
      <c r="EM9" s="447"/>
      <c r="EN9" s="447"/>
      <c r="EO9" s="447"/>
      <c r="EP9" s="447"/>
      <c r="EQ9" s="447"/>
      <c r="ER9" s="447"/>
      <c r="ES9" s="447"/>
      <c r="ET9" s="447"/>
      <c r="EU9" s="447"/>
      <c r="EV9" s="447"/>
      <c r="EW9" s="447"/>
      <c r="EX9" s="447"/>
      <c r="EY9" s="447"/>
      <c r="EZ9" s="447"/>
      <c r="FA9" s="447"/>
      <c r="FB9" s="447"/>
      <c r="FC9" s="447"/>
      <c r="FD9" s="447"/>
      <c r="FE9" s="447"/>
      <c r="FF9" s="447"/>
      <c r="FG9" s="447"/>
      <c r="FH9" s="447"/>
      <c r="FI9" s="447"/>
      <c r="FJ9" s="447"/>
      <c r="FK9" s="447"/>
      <c r="FL9" s="447"/>
      <c r="FM9" s="447"/>
      <c r="FN9" s="447"/>
      <c r="FO9" s="447"/>
      <c r="FP9" s="447"/>
      <c r="FQ9" s="447"/>
      <c r="FR9" s="447"/>
      <c r="FS9" s="447"/>
      <c r="FT9" s="447"/>
      <c r="FU9" s="447"/>
      <c r="FV9" s="447"/>
      <c r="FW9" s="447"/>
      <c r="FX9" s="447"/>
      <c r="FY9" s="447"/>
      <c r="FZ9" s="447"/>
      <c r="GA9" s="447"/>
      <c r="GB9" s="447"/>
      <c r="GC9" s="447"/>
      <c r="GD9" s="447"/>
      <c r="GE9" s="447"/>
      <c r="GF9" s="447"/>
      <c r="GG9" s="447"/>
      <c r="GH9" s="447"/>
      <c r="GI9" s="447"/>
      <c r="GJ9" s="447"/>
      <c r="GK9" s="447"/>
      <c r="GL9" s="447"/>
      <c r="GM9" s="447"/>
      <c r="GN9" s="447"/>
      <c r="GO9" s="447"/>
      <c r="GP9" s="447"/>
      <c r="GQ9" s="447"/>
      <c r="GR9" s="447"/>
      <c r="GS9" s="447"/>
      <c r="GT9" s="447"/>
      <c r="GU9" s="447"/>
      <c r="GV9" s="447"/>
      <c r="GW9" s="447"/>
      <c r="GX9" s="447"/>
      <c r="GY9" s="447"/>
      <c r="GZ9" s="447"/>
      <c r="HA9" s="447"/>
      <c r="HB9" s="447"/>
      <c r="HC9" s="447"/>
      <c r="HD9" s="447"/>
      <c r="HE9" s="447"/>
      <c r="HF9" s="447"/>
      <c r="HG9" s="447"/>
      <c r="HH9" s="447"/>
      <c r="HI9" s="447"/>
      <c r="HJ9" s="447"/>
      <c r="HK9" s="447"/>
      <c r="HL9" s="447"/>
      <c r="HM9" s="447"/>
      <c r="HN9" s="447"/>
      <c r="HO9" s="447"/>
      <c r="HP9" s="447"/>
      <c r="HQ9" s="447"/>
      <c r="HR9" s="447"/>
      <c r="HS9" s="447"/>
      <c r="HT9" s="447"/>
      <c r="HU9" s="447"/>
      <c r="HV9" s="447"/>
      <c r="HW9" s="447"/>
      <c r="HX9" s="447"/>
      <c r="HY9" s="447"/>
      <c r="HZ9" s="447"/>
      <c r="IA9" s="447"/>
      <c r="IB9" s="447"/>
      <c r="IC9" s="447"/>
      <c r="ID9" s="447"/>
      <c r="IE9" s="447"/>
      <c r="IF9" s="447"/>
      <c r="IG9" s="447"/>
      <c r="IH9" s="447"/>
      <c r="II9" s="447"/>
      <c r="IJ9" s="447"/>
      <c r="IK9" s="447"/>
      <c r="IL9" s="447"/>
      <c r="IM9" s="447"/>
      <c r="IN9" s="447"/>
      <c r="IO9" s="447"/>
      <c r="IP9" s="447"/>
      <c r="IQ9" s="447"/>
      <c r="IR9" s="447"/>
      <c r="IS9" s="447"/>
      <c r="IT9" s="447"/>
      <c r="IU9" s="447"/>
      <c r="IV9" s="447"/>
      <c r="IW9" s="447"/>
      <c r="IX9" s="447"/>
      <c r="IY9" s="447"/>
      <c r="IZ9" s="447"/>
      <c r="JA9" s="447"/>
      <c r="JB9" s="447"/>
      <c r="JC9" s="447"/>
      <c r="JD9" s="447"/>
      <c r="JE9" s="447"/>
      <c r="JF9" s="447"/>
      <c r="JG9" s="447"/>
      <c r="JH9" s="447"/>
      <c r="JI9" s="447"/>
      <c r="JJ9" s="447"/>
      <c r="JK9" s="447"/>
      <c r="JL9" s="447"/>
      <c r="JM9" s="447"/>
      <c r="JN9" s="447"/>
      <c r="JO9" s="447"/>
      <c r="JP9" s="447"/>
      <c r="JQ9" s="447"/>
      <c r="JR9" s="447"/>
      <c r="JS9" s="447"/>
      <c r="JT9" s="447"/>
      <c r="JU9" s="447"/>
      <c r="JV9" s="447"/>
      <c r="JW9" s="447"/>
      <c r="JX9" s="447"/>
      <c r="JY9" s="447"/>
      <c r="JZ9" s="447"/>
      <c r="KA9" s="447"/>
      <c r="KB9" s="447"/>
      <c r="KC9" s="447"/>
      <c r="KD9" s="447"/>
      <c r="KE9" s="447"/>
      <c r="KF9" s="447"/>
      <c r="KG9" s="447"/>
      <c r="KH9" s="447"/>
      <c r="KI9" s="447"/>
      <c r="KJ9" s="447"/>
      <c r="KK9" s="447"/>
      <c r="KL9" s="447"/>
      <c r="KM9" s="447"/>
      <c r="KN9" s="447"/>
      <c r="KO9" s="447"/>
      <c r="KP9" s="447"/>
      <c r="KQ9" s="447"/>
      <c r="KR9" s="447"/>
      <c r="KS9" s="447"/>
      <c r="KT9" s="447"/>
      <c r="KU9" s="447"/>
      <c r="KV9" s="447"/>
      <c r="KW9" s="447"/>
      <c r="KX9" s="447"/>
      <c r="KY9" s="447"/>
      <c r="KZ9" s="447"/>
      <c r="LA9" s="447"/>
      <c r="LB9" s="447"/>
      <c r="LC9" s="447"/>
      <c r="LD9" s="447"/>
      <c r="LE9" s="447"/>
      <c r="LF9" s="447"/>
      <c r="LG9" s="447"/>
      <c r="LH9" s="447"/>
      <c r="LI9" s="447"/>
      <c r="LJ9" s="447"/>
      <c r="LK9" s="447"/>
      <c r="LL9" s="447"/>
      <c r="LM9" s="447"/>
      <c r="LN9" s="447"/>
      <c r="LO9" s="447"/>
      <c r="LP9" s="447"/>
      <c r="LQ9" s="447"/>
      <c r="LR9" s="447"/>
      <c r="LS9" s="447"/>
      <c r="LT9" s="447"/>
      <c r="LU9" s="447"/>
      <c r="LV9" s="447"/>
      <c r="LW9" s="447"/>
      <c r="LX9" s="447"/>
      <c r="LY9" s="447"/>
      <c r="LZ9" s="447"/>
      <c r="MA9" s="447"/>
      <c r="MB9" s="447"/>
      <c r="MC9" s="447"/>
      <c r="MD9" s="447"/>
      <c r="ME9" s="447"/>
      <c r="MF9" s="447"/>
      <c r="MG9" s="447"/>
      <c r="MH9" s="447"/>
      <c r="MI9" s="447"/>
      <c r="MJ9" s="447"/>
      <c r="MK9" s="447"/>
      <c r="ML9" s="447"/>
      <c r="MM9" s="447"/>
      <c r="MN9" s="447"/>
      <c r="MO9" s="447"/>
      <c r="MP9" s="447"/>
      <c r="MQ9" s="447"/>
      <c r="MR9" s="447"/>
      <c r="MS9" s="447"/>
      <c r="MT9" s="447"/>
      <c r="MU9" s="447"/>
      <c r="MV9" s="447"/>
      <c r="MW9" s="447"/>
      <c r="MX9" s="447"/>
      <c r="MY9" s="447"/>
      <c r="MZ9" s="447"/>
      <c r="NA9" s="447"/>
      <c r="NB9" s="447"/>
      <c r="NC9" s="447"/>
      <c r="ND9" s="447"/>
      <c r="NE9" s="447"/>
      <c r="NF9" s="447"/>
      <c r="NG9" s="447"/>
      <c r="NH9" s="447"/>
      <c r="NI9" s="447"/>
      <c r="NJ9" s="447"/>
      <c r="NK9" s="447"/>
      <c r="NL9" s="447"/>
      <c r="NM9" s="447"/>
      <c r="NN9" s="447"/>
      <c r="NO9" s="447"/>
      <c r="NP9" s="447"/>
      <c r="NQ9" s="447"/>
      <c r="NR9" s="447"/>
      <c r="NS9" s="447"/>
      <c r="NT9" s="447"/>
      <c r="NU9" s="447"/>
      <c r="NV9" s="447"/>
      <c r="NW9" s="447"/>
      <c r="NX9" s="447"/>
      <c r="NY9" s="447"/>
      <c r="NZ9" s="447"/>
      <c r="OA9" s="447"/>
      <c r="OB9" s="447"/>
      <c r="OC9" s="447"/>
      <c r="OD9" s="447"/>
      <c r="OE9" s="447"/>
      <c r="OF9" s="447"/>
      <c r="OG9" s="447"/>
      <c r="OH9" s="447"/>
      <c r="OI9" s="447"/>
      <c r="OJ9" s="447"/>
      <c r="OK9" s="447"/>
      <c r="OL9" s="447"/>
      <c r="OM9" s="447"/>
      <c r="ON9" s="447"/>
      <c r="OO9" s="447"/>
      <c r="OP9" s="447"/>
      <c r="OQ9" s="447"/>
      <c r="OR9" s="447"/>
      <c r="OS9" s="447"/>
      <c r="OT9" s="447"/>
      <c r="OU9" s="447"/>
      <c r="OV9" s="447"/>
      <c r="OW9" s="447"/>
      <c r="OX9" s="447"/>
      <c r="OY9" s="447"/>
      <c r="OZ9" s="447"/>
      <c r="PA9" s="447"/>
      <c r="PB9" s="447"/>
      <c r="PC9" s="447"/>
      <c r="PD9" s="447"/>
      <c r="PE9" s="447"/>
      <c r="PF9" s="447"/>
      <c r="PG9" s="447"/>
      <c r="PH9" s="447"/>
      <c r="PI9" s="447"/>
      <c r="PJ9" s="447"/>
      <c r="PK9" s="447"/>
      <c r="PL9" s="447"/>
      <c r="PM9" s="447"/>
      <c r="PN9" s="447"/>
      <c r="PO9" s="447"/>
      <c r="PP9" s="447"/>
      <c r="PQ9" s="447"/>
      <c r="PR9" s="447"/>
      <c r="PS9" s="447"/>
      <c r="PT9" s="447"/>
      <c r="PU9" s="447"/>
      <c r="PV9" s="447"/>
      <c r="PW9" s="447"/>
      <c r="PX9" s="447"/>
      <c r="PY9" s="447"/>
      <c r="PZ9" s="447"/>
      <c r="QA9" s="447"/>
      <c r="QB9" s="447"/>
      <c r="QC9" s="447"/>
      <c r="QD9" s="447"/>
      <c r="QE9" s="447"/>
      <c r="QF9" s="447"/>
      <c r="QG9" s="447"/>
      <c r="QH9" s="447"/>
      <c r="QI9" s="447"/>
      <c r="QJ9" s="447"/>
      <c r="QK9" s="447"/>
      <c r="QL9" s="447"/>
      <c r="QM9" s="447"/>
      <c r="QN9" s="447"/>
      <c r="QO9" s="447"/>
      <c r="QP9" s="447"/>
      <c r="QQ9" s="447"/>
      <c r="QR9" s="447"/>
      <c r="QS9" s="447"/>
      <c r="QT9" s="447"/>
      <c r="QU9" s="447"/>
      <c r="QV9" s="447"/>
      <c r="QW9" s="447"/>
      <c r="QX9" s="447"/>
      <c r="QY9" s="447"/>
      <c r="QZ9" s="447"/>
      <c r="RA9" s="447"/>
      <c r="RB9" s="447"/>
      <c r="RC9" s="447"/>
      <c r="RD9" s="447"/>
      <c r="RE9" s="447"/>
      <c r="RF9" s="447"/>
      <c r="RG9" s="447"/>
      <c r="RH9" s="447"/>
      <c r="RI9" s="447"/>
      <c r="RJ9" s="447"/>
      <c r="RK9" s="447"/>
      <c r="RL9" s="447"/>
      <c r="RM9" s="447"/>
      <c r="RN9" s="447"/>
      <c r="RO9" s="447"/>
      <c r="RP9" s="447"/>
      <c r="RQ9" s="447"/>
      <c r="RR9" s="447"/>
      <c r="RS9" s="447"/>
      <c r="RT9" s="447"/>
      <c r="RU9" s="447"/>
      <c r="RV9" s="447"/>
      <c r="RW9" s="447"/>
      <c r="RX9" s="447"/>
      <c r="RY9" s="447"/>
      <c r="RZ9" s="447"/>
      <c r="SA9" s="447"/>
      <c r="SB9" s="447"/>
      <c r="SC9" s="447"/>
    </row>
    <row r="10" spans="2:497" s="471" customFormat="1" ht="20.25" customHeight="1">
      <c r="B10" s="20" t="s">
        <v>94</v>
      </c>
      <c r="C10" s="279">
        <f>C8-C9</f>
        <v>1069.8000000000002</v>
      </c>
      <c r="D10" s="283"/>
      <c r="E10" s="284">
        <f>E8-E9</f>
        <v>899.89999999999986</v>
      </c>
      <c r="F10" s="281"/>
      <c r="G10" s="282">
        <f>C10-E10</f>
        <v>169.90000000000032</v>
      </c>
      <c r="H10" s="279">
        <f>H8-H9</f>
        <v>326.3</v>
      </c>
      <c r="I10" s="27"/>
      <c r="J10" s="284">
        <f>J8-J9</f>
        <v>379.5</v>
      </c>
      <c r="K10" s="22"/>
      <c r="L10" s="291">
        <f t="shared" si="1"/>
        <v>-53.199999999999989</v>
      </c>
      <c r="M10" s="296">
        <f>M8-M9</f>
        <v>0</v>
      </c>
      <c r="N10" s="297"/>
      <c r="O10" s="298">
        <f>O8-O9</f>
        <v>0</v>
      </c>
      <c r="P10" s="281"/>
      <c r="Q10" s="295">
        <f t="shared" si="2"/>
        <v>0</v>
      </c>
      <c r="R10" s="297">
        <f t="shared" si="3"/>
        <v>1396.1000000000001</v>
      </c>
      <c r="S10" s="298">
        <f>E10+J10+O10</f>
        <v>1279.3999999999999</v>
      </c>
      <c r="T10" s="295">
        <f t="shared" si="5"/>
        <v>116.70000000000027</v>
      </c>
      <c r="U10" s="24"/>
      <c r="V10" s="25"/>
      <c r="W10" s="25"/>
      <c r="X10" s="25"/>
      <c r="Y10" s="470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24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</row>
    <row r="11" spans="2:497" s="448" customFormat="1" ht="48" customHeight="1" thickBot="1">
      <c r="B11" s="472" t="s">
        <v>116</v>
      </c>
      <c r="C11" s="473">
        <v>635.70000000000005</v>
      </c>
      <c r="D11" s="286">
        <v>1</v>
      </c>
      <c r="E11" s="474">
        <v>487.8</v>
      </c>
      <c r="F11" s="287">
        <v>1</v>
      </c>
      <c r="G11" s="285">
        <f t="shared" si="0"/>
        <v>147.90000000000003</v>
      </c>
      <c r="H11" s="473">
        <v>19.2</v>
      </c>
      <c r="I11" s="475"/>
      <c r="J11" s="474">
        <v>19.899999999999999</v>
      </c>
      <c r="K11" s="476"/>
      <c r="L11" s="292">
        <f t="shared" si="1"/>
        <v>-0.69999999999999929</v>
      </c>
      <c r="M11" s="477">
        <v>0</v>
      </c>
      <c r="N11" s="478"/>
      <c r="O11" s="479">
        <v>0</v>
      </c>
      <c r="P11" s="480"/>
      <c r="Q11" s="299">
        <f t="shared" si="2"/>
        <v>0</v>
      </c>
      <c r="R11" s="478">
        <f t="shared" si="3"/>
        <v>654.90000000000009</v>
      </c>
      <c r="S11" s="479">
        <f t="shared" si="4"/>
        <v>507.7</v>
      </c>
      <c r="T11" s="304">
        <f t="shared" si="5"/>
        <v>147.2000000000001</v>
      </c>
      <c r="U11" s="447"/>
      <c r="V11" s="25"/>
      <c r="W11" s="25"/>
      <c r="X11" s="25"/>
      <c r="Y11" s="449"/>
      <c r="Z11" s="447"/>
      <c r="AA11" s="447"/>
      <c r="AB11" s="447"/>
      <c r="AC11" s="447"/>
      <c r="AD11" s="447"/>
      <c r="AE11" s="447"/>
      <c r="AF11" s="447"/>
      <c r="AG11" s="447"/>
      <c r="AH11" s="447"/>
      <c r="AI11" s="447"/>
      <c r="AJ11" s="447"/>
      <c r="AK11" s="447"/>
      <c r="AL11" s="447"/>
      <c r="AM11" s="447"/>
      <c r="AN11" s="447"/>
      <c r="AO11" s="447"/>
      <c r="AP11" s="447"/>
      <c r="AQ11" s="447"/>
      <c r="AR11" s="447"/>
      <c r="AS11" s="447"/>
      <c r="AT11" s="447"/>
      <c r="AU11" s="447"/>
      <c r="AV11" s="447"/>
      <c r="AW11" s="447"/>
      <c r="AX11" s="447"/>
      <c r="AY11" s="447"/>
      <c r="AZ11" s="447"/>
      <c r="BA11" s="447"/>
      <c r="BB11" s="447"/>
      <c r="BC11" s="447"/>
      <c r="BD11" s="447"/>
      <c r="BE11" s="447"/>
      <c r="BF11" s="447"/>
      <c r="BG11" s="447"/>
      <c r="BH11" s="447"/>
      <c r="BI11" s="447"/>
      <c r="BJ11" s="447"/>
      <c r="BK11" s="447"/>
      <c r="BL11" s="447"/>
      <c r="BM11" s="447"/>
      <c r="BN11" s="447"/>
      <c r="BO11" s="447"/>
      <c r="BP11" s="447"/>
      <c r="BQ11" s="447"/>
      <c r="BR11" s="447"/>
      <c r="BS11" s="447"/>
      <c r="BT11" s="447"/>
      <c r="BU11" s="447"/>
      <c r="BV11" s="447"/>
      <c r="BW11" s="447"/>
      <c r="BX11" s="447"/>
      <c r="BY11" s="447"/>
      <c r="BZ11" s="447"/>
      <c r="CA11" s="447"/>
      <c r="CB11" s="447"/>
      <c r="CC11" s="447"/>
      <c r="CD11" s="447"/>
      <c r="CE11" s="447"/>
      <c r="CF11" s="447"/>
      <c r="CG11" s="447"/>
      <c r="CH11" s="447"/>
      <c r="CI11" s="447"/>
      <c r="CJ11" s="447"/>
      <c r="CK11" s="447"/>
      <c r="CL11" s="447"/>
      <c r="CM11" s="447"/>
      <c r="CN11" s="447"/>
      <c r="CO11" s="447"/>
      <c r="CP11" s="447"/>
      <c r="CQ11" s="447"/>
      <c r="CR11" s="447"/>
      <c r="CS11" s="447"/>
      <c r="CT11" s="447"/>
      <c r="CU11" s="447"/>
      <c r="CV11" s="447"/>
      <c r="CW11" s="447"/>
      <c r="CX11" s="447"/>
      <c r="CY11" s="447"/>
      <c r="CZ11" s="447"/>
      <c r="DA11" s="447"/>
      <c r="DB11" s="447"/>
      <c r="DC11" s="447"/>
      <c r="DD11" s="447"/>
      <c r="DE11" s="447"/>
      <c r="DF11" s="447"/>
      <c r="DG11" s="447"/>
      <c r="DH11" s="447"/>
      <c r="DI11" s="447"/>
      <c r="DJ11" s="447"/>
      <c r="DK11" s="447"/>
      <c r="DL11" s="447"/>
      <c r="DM11" s="447"/>
      <c r="DN11" s="447"/>
      <c r="DO11" s="447"/>
      <c r="DP11" s="447"/>
      <c r="DQ11" s="447"/>
      <c r="DR11" s="447"/>
      <c r="DS11" s="447"/>
      <c r="DT11" s="447"/>
      <c r="DU11" s="447"/>
      <c r="DV11" s="447"/>
      <c r="DW11" s="447"/>
      <c r="DX11" s="447"/>
      <c r="DY11" s="447"/>
      <c r="DZ11" s="447"/>
      <c r="EA11" s="447"/>
      <c r="EB11" s="447"/>
      <c r="EC11" s="447"/>
      <c r="ED11" s="447"/>
      <c r="EE11" s="447"/>
      <c r="EF11" s="447"/>
      <c r="EG11" s="447"/>
      <c r="EH11" s="447"/>
      <c r="EI11" s="447"/>
      <c r="EJ11" s="447"/>
      <c r="EK11" s="447"/>
      <c r="EL11" s="447"/>
      <c r="EM11" s="447"/>
      <c r="EN11" s="447"/>
      <c r="EO11" s="447"/>
      <c r="EP11" s="447"/>
      <c r="EQ11" s="447"/>
      <c r="ER11" s="447"/>
      <c r="ES11" s="447"/>
      <c r="ET11" s="447"/>
      <c r="EU11" s="447"/>
      <c r="EV11" s="447"/>
      <c r="EW11" s="447"/>
      <c r="EX11" s="447"/>
      <c r="EY11" s="447"/>
      <c r="EZ11" s="447"/>
      <c r="FA11" s="447"/>
      <c r="FB11" s="447"/>
      <c r="FC11" s="447"/>
      <c r="FD11" s="447"/>
      <c r="FE11" s="447"/>
      <c r="FF11" s="447"/>
      <c r="FG11" s="447"/>
      <c r="FH11" s="447"/>
      <c r="FI11" s="447"/>
      <c r="FJ11" s="447"/>
      <c r="FK11" s="447"/>
      <c r="FL11" s="447"/>
      <c r="FM11" s="447"/>
      <c r="FN11" s="447"/>
      <c r="FO11" s="447"/>
      <c r="FP11" s="447"/>
      <c r="FQ11" s="447"/>
      <c r="FR11" s="447"/>
      <c r="FS11" s="447"/>
      <c r="FT11" s="447"/>
      <c r="FU11" s="447"/>
      <c r="FV11" s="447"/>
      <c r="FW11" s="447"/>
      <c r="FX11" s="447"/>
      <c r="FY11" s="447"/>
      <c r="FZ11" s="447"/>
      <c r="GA11" s="447"/>
      <c r="GB11" s="447"/>
      <c r="GC11" s="447"/>
      <c r="GD11" s="447"/>
      <c r="GE11" s="447"/>
      <c r="GF11" s="447"/>
      <c r="GG11" s="447"/>
      <c r="GH11" s="447"/>
      <c r="GI11" s="447"/>
      <c r="GJ11" s="447"/>
      <c r="GK11" s="447"/>
      <c r="GL11" s="447"/>
      <c r="GM11" s="447"/>
      <c r="GN11" s="447"/>
      <c r="GO11" s="447"/>
      <c r="GP11" s="447"/>
      <c r="GQ11" s="447"/>
      <c r="GR11" s="447"/>
      <c r="GS11" s="447"/>
      <c r="GT11" s="447"/>
      <c r="GU11" s="447"/>
      <c r="GV11" s="447"/>
      <c r="GW11" s="447"/>
      <c r="GX11" s="447"/>
      <c r="GY11" s="447"/>
      <c r="GZ11" s="447"/>
      <c r="HA11" s="447"/>
      <c r="HB11" s="447"/>
      <c r="HC11" s="447"/>
      <c r="HD11" s="447"/>
      <c r="HE11" s="447"/>
      <c r="HF11" s="447"/>
      <c r="HG11" s="447"/>
      <c r="HH11" s="447"/>
      <c r="HI11" s="447"/>
      <c r="HJ11" s="447"/>
      <c r="HK11" s="447"/>
      <c r="HL11" s="447"/>
      <c r="HM11" s="447"/>
      <c r="HN11" s="447"/>
      <c r="HO11" s="447"/>
      <c r="HP11" s="447"/>
      <c r="HQ11" s="447"/>
      <c r="HR11" s="447"/>
      <c r="HS11" s="447"/>
      <c r="HT11" s="447"/>
      <c r="HU11" s="447"/>
      <c r="HV11" s="447"/>
      <c r="HW11" s="447"/>
      <c r="HX11" s="447"/>
      <c r="HY11" s="447"/>
      <c r="HZ11" s="447"/>
      <c r="IA11" s="447"/>
      <c r="IB11" s="447"/>
      <c r="IC11" s="447"/>
      <c r="ID11" s="447"/>
      <c r="IE11" s="447"/>
      <c r="IF11" s="447"/>
      <c r="IG11" s="447"/>
      <c r="IH11" s="447"/>
      <c r="II11" s="447"/>
      <c r="IJ11" s="447"/>
      <c r="IK11" s="447"/>
      <c r="IL11" s="447"/>
      <c r="IM11" s="447"/>
      <c r="IN11" s="447"/>
      <c r="IO11" s="447"/>
      <c r="IP11" s="447"/>
      <c r="IQ11" s="447"/>
      <c r="IR11" s="447"/>
      <c r="IS11" s="447"/>
      <c r="IT11" s="447"/>
      <c r="IU11" s="447"/>
      <c r="IV11" s="447"/>
      <c r="IW11" s="447"/>
      <c r="IX11" s="447"/>
      <c r="IY11" s="447"/>
      <c r="IZ11" s="447"/>
      <c r="JA11" s="447"/>
      <c r="JB11" s="447"/>
      <c r="JC11" s="447"/>
      <c r="JD11" s="447"/>
      <c r="JE11" s="447"/>
      <c r="JF11" s="447"/>
      <c r="JG11" s="447"/>
      <c r="JH11" s="447"/>
      <c r="JI11" s="447"/>
      <c r="JJ11" s="447"/>
      <c r="JK11" s="447"/>
      <c r="JL11" s="447"/>
      <c r="JM11" s="447"/>
      <c r="JN11" s="447"/>
      <c r="JO11" s="447"/>
      <c r="JP11" s="447"/>
      <c r="JQ11" s="447"/>
      <c r="JR11" s="447"/>
      <c r="JS11" s="447"/>
      <c r="JT11" s="447"/>
      <c r="JU11" s="447"/>
      <c r="JV11" s="447"/>
      <c r="JW11" s="447"/>
      <c r="JX11" s="447"/>
      <c r="JY11" s="447"/>
      <c r="JZ11" s="447"/>
      <c r="KA11" s="447"/>
      <c r="KB11" s="447"/>
      <c r="KC11" s="447"/>
      <c r="KD11" s="447"/>
      <c r="KE11" s="447"/>
      <c r="KF11" s="447"/>
      <c r="KG11" s="447"/>
      <c r="KH11" s="447"/>
      <c r="KI11" s="447"/>
      <c r="KJ11" s="447"/>
      <c r="KK11" s="447"/>
      <c r="KL11" s="447"/>
      <c r="KM11" s="447"/>
      <c r="KN11" s="447"/>
      <c r="KO11" s="447"/>
      <c r="KP11" s="447"/>
      <c r="KQ11" s="447"/>
      <c r="KR11" s="447"/>
      <c r="KS11" s="447"/>
      <c r="KT11" s="447"/>
      <c r="KU11" s="447"/>
      <c r="KV11" s="447"/>
      <c r="KW11" s="447"/>
      <c r="KX11" s="447"/>
      <c r="KY11" s="447"/>
      <c r="KZ11" s="447"/>
      <c r="LA11" s="447"/>
      <c r="LB11" s="447"/>
      <c r="LC11" s="447"/>
      <c r="LD11" s="447"/>
      <c r="LE11" s="447"/>
      <c r="LF11" s="447"/>
      <c r="LG11" s="447"/>
      <c r="LH11" s="447"/>
      <c r="LI11" s="447"/>
      <c r="LJ11" s="447"/>
      <c r="LK11" s="447"/>
      <c r="LL11" s="447"/>
      <c r="LM11" s="447"/>
      <c r="LN11" s="447"/>
      <c r="LO11" s="447"/>
      <c r="LP11" s="447"/>
      <c r="LQ11" s="447"/>
      <c r="LR11" s="447"/>
      <c r="LS11" s="447"/>
      <c r="LT11" s="447"/>
      <c r="LU11" s="447"/>
      <c r="LV11" s="447"/>
      <c r="LW11" s="447"/>
      <c r="LX11" s="447"/>
      <c r="LY11" s="447"/>
      <c r="LZ11" s="447"/>
      <c r="MA11" s="447"/>
      <c r="MB11" s="447"/>
      <c r="MC11" s="447"/>
      <c r="MD11" s="447"/>
      <c r="ME11" s="447"/>
      <c r="MF11" s="447"/>
      <c r="MG11" s="447"/>
      <c r="MH11" s="447"/>
      <c r="MI11" s="447"/>
      <c r="MJ11" s="447"/>
      <c r="MK11" s="447"/>
      <c r="ML11" s="447"/>
      <c r="MM11" s="447"/>
      <c r="MN11" s="447"/>
      <c r="MO11" s="447"/>
      <c r="MP11" s="447"/>
      <c r="MQ11" s="447"/>
      <c r="MR11" s="447"/>
      <c r="MS11" s="447"/>
      <c r="MT11" s="447"/>
      <c r="MU11" s="447"/>
      <c r="MV11" s="447"/>
      <c r="MW11" s="447"/>
      <c r="MX11" s="447"/>
      <c r="MY11" s="447"/>
      <c r="MZ11" s="447"/>
      <c r="NA11" s="447"/>
      <c r="NB11" s="447"/>
      <c r="NC11" s="447"/>
      <c r="ND11" s="447"/>
      <c r="NE11" s="447"/>
      <c r="NF11" s="447"/>
      <c r="NG11" s="447"/>
      <c r="NH11" s="447"/>
      <c r="NI11" s="447"/>
      <c r="NJ11" s="447"/>
      <c r="NK11" s="447"/>
      <c r="NL11" s="447"/>
      <c r="NM11" s="447"/>
      <c r="NN11" s="447"/>
      <c r="NO11" s="447"/>
      <c r="NP11" s="447"/>
      <c r="NQ11" s="447"/>
      <c r="NR11" s="447"/>
      <c r="NS11" s="447"/>
      <c r="NT11" s="447"/>
      <c r="NU11" s="447"/>
      <c r="NV11" s="447"/>
      <c r="NW11" s="447"/>
      <c r="NX11" s="447"/>
      <c r="NY11" s="447"/>
      <c r="NZ11" s="447"/>
      <c r="OA11" s="447"/>
      <c r="OB11" s="447"/>
      <c r="OC11" s="447"/>
      <c r="OD11" s="447"/>
      <c r="OE11" s="447"/>
      <c r="OF11" s="447"/>
      <c r="OG11" s="447"/>
      <c r="OH11" s="447"/>
      <c r="OI11" s="447"/>
      <c r="OJ11" s="447"/>
      <c r="OK11" s="447"/>
      <c r="OL11" s="447"/>
      <c r="OM11" s="447"/>
      <c r="ON11" s="447"/>
      <c r="OO11" s="447"/>
      <c r="OP11" s="447"/>
      <c r="OQ11" s="447"/>
      <c r="OR11" s="447"/>
      <c r="OS11" s="447"/>
      <c r="OT11" s="447"/>
      <c r="OU11" s="447"/>
      <c r="OV11" s="447"/>
      <c r="OW11" s="447"/>
      <c r="OX11" s="447"/>
      <c r="OY11" s="447"/>
      <c r="OZ11" s="447"/>
      <c r="PA11" s="447"/>
      <c r="PB11" s="447"/>
      <c r="PC11" s="447"/>
      <c r="PD11" s="447"/>
      <c r="PE11" s="447"/>
      <c r="PF11" s="447"/>
      <c r="PG11" s="447"/>
      <c r="PH11" s="447"/>
      <c r="PI11" s="447"/>
      <c r="PJ11" s="447"/>
      <c r="PK11" s="447"/>
      <c r="PL11" s="447"/>
      <c r="PM11" s="447"/>
      <c r="PN11" s="447"/>
      <c r="PO11" s="447"/>
      <c r="PP11" s="447"/>
      <c r="PQ11" s="447"/>
      <c r="PR11" s="447"/>
      <c r="PS11" s="447"/>
      <c r="PT11" s="447"/>
      <c r="PU11" s="447"/>
      <c r="PV11" s="447"/>
      <c r="PW11" s="447"/>
      <c r="PX11" s="447"/>
      <c r="PY11" s="447"/>
      <c r="PZ11" s="447"/>
      <c r="QA11" s="447"/>
      <c r="QB11" s="447"/>
      <c r="QC11" s="447"/>
      <c r="QD11" s="447"/>
      <c r="QE11" s="447"/>
      <c r="QF11" s="447"/>
      <c r="QG11" s="447"/>
      <c r="QH11" s="447"/>
      <c r="QI11" s="447"/>
      <c r="QJ11" s="447"/>
      <c r="QK11" s="447"/>
      <c r="QL11" s="447"/>
      <c r="QM11" s="447"/>
      <c r="QN11" s="447"/>
      <c r="QO11" s="447"/>
      <c r="QP11" s="447"/>
      <c r="QQ11" s="447"/>
      <c r="QR11" s="447"/>
      <c r="QS11" s="447"/>
      <c r="QT11" s="447"/>
      <c r="QU11" s="447"/>
      <c r="QV11" s="447"/>
      <c r="QW11" s="447"/>
      <c r="QX11" s="447"/>
      <c r="QY11" s="447"/>
      <c r="QZ11" s="447"/>
      <c r="RA11" s="447"/>
      <c r="RB11" s="447"/>
      <c r="RC11" s="447"/>
      <c r="RD11" s="447"/>
      <c r="RE11" s="447"/>
      <c r="RF11" s="447"/>
      <c r="RG11" s="447"/>
      <c r="RH11" s="447"/>
      <c r="RI11" s="447"/>
      <c r="RJ11" s="447"/>
      <c r="RK11" s="447"/>
      <c r="RL11" s="447"/>
      <c r="RM11" s="447"/>
      <c r="RN11" s="447"/>
      <c r="RO11" s="447"/>
      <c r="RP11" s="447"/>
      <c r="RQ11" s="447"/>
      <c r="RR11" s="447"/>
      <c r="RS11" s="447"/>
      <c r="RT11" s="447"/>
      <c r="RU11" s="447"/>
      <c r="RV11" s="447"/>
      <c r="RW11" s="447"/>
      <c r="RX11" s="447"/>
      <c r="RY11" s="447"/>
      <c r="RZ11" s="447"/>
      <c r="SA11" s="447"/>
      <c r="SB11" s="447"/>
      <c r="SC11" s="447"/>
    </row>
    <row r="12" spans="2:497" s="448" customFormat="1" ht="20.25" customHeight="1">
      <c r="B12" s="28" t="s">
        <v>246</v>
      </c>
      <c r="C12" s="481"/>
      <c r="D12" s="482"/>
      <c r="E12" s="483"/>
      <c r="F12" s="483"/>
      <c r="G12" s="484"/>
      <c r="H12" s="482"/>
      <c r="I12" s="485"/>
      <c r="J12" s="483"/>
      <c r="K12" s="486"/>
      <c r="L12" s="487">
        <f>H12-J12</f>
        <v>0</v>
      </c>
      <c r="M12" s="481"/>
      <c r="N12" s="482"/>
      <c r="O12" s="483"/>
      <c r="P12" s="483"/>
      <c r="Q12" s="300">
        <f t="shared" si="2"/>
        <v>0</v>
      </c>
      <c r="R12" s="482"/>
      <c r="S12" s="483"/>
      <c r="T12" s="484"/>
      <c r="U12" s="447"/>
      <c r="V12" s="463"/>
      <c r="W12" s="463"/>
      <c r="X12" s="463"/>
      <c r="Y12" s="449"/>
      <c r="Z12" s="447"/>
      <c r="AA12" s="447"/>
      <c r="AB12" s="447"/>
      <c r="AC12" s="447"/>
      <c r="AD12" s="447"/>
      <c r="AE12" s="447"/>
      <c r="AF12" s="447"/>
      <c r="AG12" s="447"/>
      <c r="AH12" s="447"/>
      <c r="AI12" s="447"/>
      <c r="AJ12" s="447"/>
      <c r="AK12" s="447"/>
      <c r="AL12" s="447"/>
      <c r="AM12" s="447"/>
      <c r="AN12" s="447"/>
      <c r="AO12" s="447"/>
      <c r="AP12" s="447"/>
      <c r="AQ12" s="447"/>
      <c r="AR12" s="447"/>
      <c r="AS12" s="447"/>
      <c r="AT12" s="447"/>
      <c r="AU12" s="447"/>
      <c r="AV12" s="447"/>
      <c r="AW12" s="447"/>
      <c r="AX12" s="447"/>
      <c r="AY12" s="447"/>
      <c r="AZ12" s="447"/>
      <c r="BA12" s="447"/>
      <c r="BB12" s="447"/>
      <c r="BC12" s="447"/>
      <c r="BD12" s="447"/>
      <c r="BE12" s="447"/>
      <c r="BF12" s="447"/>
      <c r="BG12" s="447"/>
      <c r="BH12" s="447"/>
      <c r="BI12" s="447"/>
      <c r="BJ12" s="447"/>
      <c r="BK12" s="447"/>
      <c r="BL12" s="447"/>
      <c r="BM12" s="447"/>
      <c r="BN12" s="447"/>
      <c r="BO12" s="447"/>
      <c r="BP12" s="447"/>
      <c r="BQ12" s="447"/>
      <c r="BR12" s="447"/>
      <c r="BS12" s="447"/>
      <c r="BT12" s="447"/>
      <c r="BU12" s="447"/>
      <c r="BV12" s="447"/>
      <c r="BW12" s="447"/>
      <c r="BX12" s="447"/>
      <c r="BY12" s="447"/>
      <c r="BZ12" s="447"/>
      <c r="CA12" s="447"/>
      <c r="CB12" s="447"/>
      <c r="CC12" s="447"/>
      <c r="CD12" s="447"/>
      <c r="CE12" s="447"/>
      <c r="CF12" s="447"/>
      <c r="CG12" s="447"/>
      <c r="CH12" s="447"/>
      <c r="CI12" s="447"/>
      <c r="CJ12" s="447"/>
      <c r="CK12" s="447"/>
      <c r="CL12" s="447"/>
      <c r="CM12" s="447"/>
      <c r="CN12" s="447"/>
      <c r="CO12" s="447"/>
      <c r="CP12" s="447"/>
      <c r="CQ12" s="447"/>
      <c r="CR12" s="447"/>
      <c r="CS12" s="447"/>
      <c r="CT12" s="447"/>
      <c r="CU12" s="447"/>
      <c r="CV12" s="447"/>
      <c r="CW12" s="447"/>
      <c r="CX12" s="447"/>
      <c r="CY12" s="447"/>
      <c r="CZ12" s="447"/>
      <c r="DA12" s="447"/>
      <c r="DB12" s="447"/>
      <c r="DC12" s="447"/>
      <c r="DD12" s="447"/>
      <c r="DE12" s="447"/>
      <c r="DF12" s="447"/>
      <c r="DG12" s="447"/>
      <c r="DH12" s="447"/>
      <c r="DI12" s="447"/>
      <c r="DJ12" s="447"/>
      <c r="DK12" s="447"/>
      <c r="DL12" s="447"/>
      <c r="DM12" s="447"/>
      <c r="DN12" s="447"/>
      <c r="DO12" s="447"/>
      <c r="DP12" s="447"/>
      <c r="DQ12" s="447"/>
      <c r="DR12" s="447"/>
      <c r="DS12" s="447"/>
      <c r="DT12" s="447"/>
      <c r="DU12" s="447"/>
      <c r="DV12" s="447"/>
      <c r="DW12" s="447"/>
      <c r="DX12" s="447"/>
      <c r="DY12" s="447"/>
      <c r="DZ12" s="447"/>
      <c r="EA12" s="447"/>
      <c r="EB12" s="447"/>
      <c r="EC12" s="447"/>
      <c r="ED12" s="447"/>
      <c r="EE12" s="447"/>
      <c r="EF12" s="447"/>
      <c r="EG12" s="447"/>
      <c r="EH12" s="447"/>
      <c r="EI12" s="447"/>
      <c r="EJ12" s="447"/>
      <c r="EK12" s="447"/>
      <c r="EL12" s="447"/>
      <c r="EM12" s="447"/>
      <c r="EN12" s="447"/>
      <c r="EO12" s="447"/>
      <c r="EP12" s="447"/>
      <c r="EQ12" s="447"/>
      <c r="ER12" s="447"/>
      <c r="ES12" s="447"/>
      <c r="ET12" s="447"/>
      <c r="EU12" s="447"/>
      <c r="EV12" s="447"/>
      <c r="EW12" s="447"/>
      <c r="EX12" s="447"/>
      <c r="EY12" s="447"/>
      <c r="EZ12" s="447"/>
      <c r="FA12" s="447"/>
      <c r="FB12" s="447"/>
      <c r="FC12" s="447"/>
      <c r="FD12" s="447"/>
      <c r="FE12" s="447"/>
      <c r="FF12" s="447"/>
      <c r="FG12" s="447"/>
      <c r="FH12" s="447"/>
      <c r="FI12" s="447"/>
      <c r="FJ12" s="447"/>
      <c r="FK12" s="447"/>
      <c r="FL12" s="447"/>
      <c r="FM12" s="447"/>
      <c r="FN12" s="447"/>
      <c r="FO12" s="447"/>
      <c r="FP12" s="447"/>
      <c r="FQ12" s="447"/>
      <c r="FR12" s="447"/>
      <c r="FS12" s="447"/>
      <c r="FT12" s="447"/>
      <c r="FU12" s="447"/>
      <c r="FV12" s="447"/>
      <c r="FW12" s="447"/>
      <c r="FX12" s="447"/>
      <c r="FY12" s="447"/>
      <c r="FZ12" s="447"/>
      <c r="GA12" s="447"/>
      <c r="GB12" s="447"/>
      <c r="GC12" s="447"/>
      <c r="GD12" s="447"/>
      <c r="GE12" s="447"/>
      <c r="GF12" s="447"/>
      <c r="GG12" s="447"/>
      <c r="GH12" s="447"/>
      <c r="GI12" s="447"/>
      <c r="GJ12" s="447"/>
      <c r="GK12" s="447"/>
      <c r="GL12" s="447"/>
      <c r="GM12" s="447"/>
      <c r="GN12" s="447"/>
      <c r="GO12" s="447"/>
      <c r="GP12" s="447"/>
      <c r="GQ12" s="447"/>
      <c r="GR12" s="447"/>
      <c r="GS12" s="447"/>
      <c r="GT12" s="447"/>
      <c r="GU12" s="447"/>
      <c r="GV12" s="447"/>
      <c r="GW12" s="447"/>
      <c r="GX12" s="447"/>
      <c r="GY12" s="447"/>
      <c r="GZ12" s="447"/>
      <c r="HA12" s="447"/>
      <c r="HB12" s="447"/>
      <c r="HC12" s="447"/>
      <c r="HD12" s="447"/>
      <c r="HE12" s="447"/>
      <c r="HF12" s="447"/>
      <c r="HG12" s="447"/>
      <c r="HH12" s="447"/>
      <c r="HI12" s="447"/>
      <c r="HJ12" s="447"/>
      <c r="HK12" s="447"/>
      <c r="HL12" s="447"/>
      <c r="HM12" s="447"/>
      <c r="HN12" s="447"/>
      <c r="HO12" s="447"/>
      <c r="HP12" s="447"/>
      <c r="HQ12" s="447"/>
      <c r="HR12" s="447"/>
      <c r="HS12" s="447"/>
      <c r="HT12" s="447"/>
      <c r="HU12" s="447"/>
      <c r="HV12" s="447"/>
      <c r="HW12" s="447"/>
      <c r="HX12" s="447"/>
      <c r="HY12" s="447"/>
      <c r="HZ12" s="447"/>
      <c r="IA12" s="447"/>
      <c r="IB12" s="447"/>
      <c r="IC12" s="447"/>
      <c r="ID12" s="447"/>
      <c r="IE12" s="447"/>
      <c r="IF12" s="447"/>
      <c r="IG12" s="447"/>
      <c r="IH12" s="447"/>
      <c r="II12" s="447"/>
      <c r="IJ12" s="447"/>
      <c r="IK12" s="447"/>
      <c r="IL12" s="447"/>
      <c r="IM12" s="447"/>
      <c r="IN12" s="447"/>
      <c r="IO12" s="447"/>
      <c r="IP12" s="447"/>
      <c r="IQ12" s="447"/>
      <c r="IR12" s="447"/>
      <c r="IS12" s="447"/>
      <c r="IT12" s="447"/>
      <c r="IU12" s="447"/>
      <c r="IV12" s="447"/>
      <c r="IW12" s="447"/>
      <c r="IX12" s="447"/>
      <c r="IY12" s="447"/>
      <c r="IZ12" s="447"/>
      <c r="JA12" s="447"/>
      <c r="JB12" s="447"/>
      <c r="JC12" s="447"/>
      <c r="JD12" s="447"/>
      <c r="JE12" s="447"/>
      <c r="JF12" s="447"/>
      <c r="JG12" s="447"/>
      <c r="JH12" s="447"/>
      <c r="JI12" s="447"/>
      <c r="JJ12" s="447"/>
      <c r="JK12" s="447"/>
      <c r="JL12" s="447"/>
      <c r="JM12" s="447"/>
      <c r="JN12" s="447"/>
      <c r="JO12" s="447"/>
      <c r="JP12" s="447"/>
      <c r="JQ12" s="447"/>
      <c r="JR12" s="447"/>
      <c r="JS12" s="447"/>
      <c r="JT12" s="447"/>
      <c r="JU12" s="447"/>
      <c r="JV12" s="447"/>
      <c r="JW12" s="447"/>
      <c r="JX12" s="447"/>
      <c r="JY12" s="447"/>
      <c r="JZ12" s="447"/>
      <c r="KA12" s="447"/>
      <c r="KB12" s="447"/>
      <c r="KC12" s="447"/>
      <c r="KD12" s="447"/>
      <c r="KE12" s="447"/>
      <c r="KF12" s="447"/>
      <c r="KG12" s="447"/>
      <c r="KH12" s="447"/>
      <c r="KI12" s="447"/>
      <c r="KJ12" s="447"/>
      <c r="KK12" s="447"/>
      <c r="KL12" s="447"/>
      <c r="KM12" s="447"/>
      <c r="KN12" s="447"/>
      <c r="KO12" s="447"/>
      <c r="KP12" s="447"/>
      <c r="KQ12" s="447"/>
      <c r="KR12" s="447"/>
      <c r="KS12" s="447"/>
      <c r="KT12" s="447"/>
      <c r="KU12" s="447"/>
      <c r="KV12" s="447"/>
      <c r="KW12" s="447"/>
      <c r="KX12" s="447"/>
      <c r="KY12" s="447"/>
      <c r="KZ12" s="447"/>
      <c r="LA12" s="447"/>
      <c r="LB12" s="447"/>
      <c r="LC12" s="447"/>
      <c r="LD12" s="447"/>
      <c r="LE12" s="447"/>
      <c r="LF12" s="447"/>
      <c r="LG12" s="447"/>
      <c r="LH12" s="447"/>
      <c r="LI12" s="447"/>
      <c r="LJ12" s="447"/>
      <c r="LK12" s="447"/>
      <c r="LL12" s="447"/>
      <c r="LM12" s="447"/>
      <c r="LN12" s="447"/>
      <c r="LO12" s="447"/>
      <c r="LP12" s="447"/>
      <c r="LQ12" s="447"/>
      <c r="LR12" s="447"/>
      <c r="LS12" s="447"/>
      <c r="LT12" s="447"/>
      <c r="LU12" s="447"/>
      <c r="LV12" s="447"/>
      <c r="LW12" s="447"/>
      <c r="LX12" s="447"/>
      <c r="LY12" s="447"/>
      <c r="LZ12" s="447"/>
      <c r="MA12" s="447"/>
      <c r="MB12" s="447"/>
      <c r="MC12" s="447"/>
      <c r="MD12" s="447"/>
      <c r="ME12" s="447"/>
      <c r="MF12" s="447"/>
      <c r="MG12" s="447"/>
      <c r="MH12" s="447"/>
      <c r="MI12" s="447"/>
      <c r="MJ12" s="447"/>
      <c r="MK12" s="447"/>
      <c r="ML12" s="447"/>
      <c r="MM12" s="447"/>
      <c r="MN12" s="447"/>
      <c r="MO12" s="447"/>
      <c r="MP12" s="447"/>
      <c r="MQ12" s="447"/>
      <c r="MR12" s="447"/>
      <c r="MS12" s="447"/>
      <c r="MT12" s="447"/>
      <c r="MU12" s="447"/>
      <c r="MV12" s="447"/>
      <c r="MW12" s="447"/>
      <c r="MX12" s="447"/>
      <c r="MY12" s="447"/>
      <c r="MZ12" s="447"/>
      <c r="NA12" s="447"/>
      <c r="NB12" s="447"/>
      <c r="NC12" s="447"/>
      <c r="ND12" s="447"/>
      <c r="NE12" s="447"/>
      <c r="NF12" s="447"/>
      <c r="NG12" s="447"/>
      <c r="NH12" s="447"/>
      <c r="NI12" s="447"/>
      <c r="NJ12" s="447"/>
      <c r="NK12" s="447"/>
      <c r="NL12" s="447"/>
      <c r="NM12" s="447"/>
      <c r="NN12" s="447"/>
      <c r="NO12" s="447"/>
      <c r="NP12" s="447"/>
      <c r="NQ12" s="447"/>
      <c r="NR12" s="447"/>
      <c r="NS12" s="447"/>
      <c r="NT12" s="447"/>
      <c r="NU12" s="447"/>
      <c r="NV12" s="447"/>
      <c r="NW12" s="447"/>
      <c r="NX12" s="447"/>
      <c r="NY12" s="447"/>
      <c r="NZ12" s="447"/>
      <c r="OA12" s="447"/>
      <c r="OB12" s="447"/>
      <c r="OC12" s="447"/>
      <c r="OD12" s="447"/>
      <c r="OE12" s="447"/>
      <c r="OF12" s="447"/>
      <c r="OG12" s="447"/>
      <c r="OH12" s="447"/>
      <c r="OI12" s="447"/>
      <c r="OJ12" s="447"/>
      <c r="OK12" s="447"/>
      <c r="OL12" s="447"/>
      <c r="OM12" s="447"/>
      <c r="ON12" s="447"/>
      <c r="OO12" s="447"/>
      <c r="OP12" s="447"/>
      <c r="OQ12" s="447"/>
      <c r="OR12" s="447"/>
      <c r="OS12" s="447"/>
      <c r="OT12" s="447"/>
      <c r="OU12" s="447"/>
      <c r="OV12" s="447"/>
      <c r="OW12" s="447"/>
      <c r="OX12" s="447"/>
      <c r="OY12" s="447"/>
      <c r="OZ12" s="447"/>
      <c r="PA12" s="447"/>
      <c r="PB12" s="447"/>
      <c r="PC12" s="447"/>
      <c r="PD12" s="447"/>
      <c r="PE12" s="447"/>
      <c r="PF12" s="447"/>
      <c r="PG12" s="447"/>
      <c r="PH12" s="447"/>
      <c r="PI12" s="447"/>
      <c r="PJ12" s="447"/>
      <c r="PK12" s="447"/>
      <c r="PL12" s="447"/>
      <c r="PM12" s="447"/>
      <c r="PN12" s="447"/>
      <c r="PO12" s="447"/>
      <c r="PP12" s="447"/>
      <c r="PQ12" s="447"/>
      <c r="PR12" s="447"/>
      <c r="PS12" s="447"/>
      <c r="PT12" s="447"/>
      <c r="PU12" s="447"/>
      <c r="PV12" s="447"/>
      <c r="PW12" s="447"/>
      <c r="PX12" s="447"/>
      <c r="PY12" s="447"/>
      <c r="PZ12" s="447"/>
      <c r="QA12" s="447"/>
      <c r="QB12" s="447"/>
      <c r="QC12" s="447"/>
      <c r="QD12" s="447"/>
      <c r="QE12" s="447"/>
      <c r="QF12" s="447"/>
      <c r="QG12" s="447"/>
      <c r="QH12" s="447"/>
      <c r="QI12" s="447"/>
      <c r="QJ12" s="447"/>
      <c r="QK12" s="447"/>
      <c r="QL12" s="447"/>
      <c r="QM12" s="447"/>
      <c r="QN12" s="447"/>
      <c r="QO12" s="447"/>
      <c r="QP12" s="447"/>
      <c r="QQ12" s="447"/>
      <c r="QR12" s="447"/>
      <c r="QS12" s="447"/>
      <c r="QT12" s="447"/>
      <c r="QU12" s="447"/>
      <c r="QV12" s="447"/>
      <c r="QW12" s="447"/>
      <c r="QX12" s="447"/>
      <c r="QY12" s="447"/>
      <c r="QZ12" s="447"/>
      <c r="RA12" s="447"/>
      <c r="RB12" s="447"/>
      <c r="RC12" s="447"/>
      <c r="RD12" s="447"/>
      <c r="RE12" s="447"/>
      <c r="RF12" s="447"/>
      <c r="RG12" s="447"/>
      <c r="RH12" s="447"/>
      <c r="RI12" s="447"/>
      <c r="RJ12" s="447"/>
      <c r="RK12" s="447"/>
      <c r="RL12" s="447"/>
      <c r="RM12" s="447"/>
      <c r="RN12" s="447"/>
      <c r="RO12" s="447"/>
      <c r="RP12" s="447"/>
      <c r="RQ12" s="447"/>
      <c r="RR12" s="447"/>
      <c r="RS12" s="447"/>
      <c r="RT12" s="447"/>
      <c r="RU12" s="447"/>
      <c r="RV12" s="447"/>
      <c r="RW12" s="447"/>
      <c r="RX12" s="447"/>
      <c r="RY12" s="447"/>
      <c r="RZ12" s="447"/>
      <c r="SA12" s="447"/>
      <c r="SB12" s="447"/>
      <c r="SC12" s="447"/>
    </row>
    <row r="13" spans="2:497" s="448" customFormat="1" ht="20.25" customHeight="1">
      <c r="B13" s="488" t="s">
        <v>117</v>
      </c>
      <c r="C13" s="453">
        <v>22507</v>
      </c>
      <c r="D13" s="489"/>
      <c r="E13" s="466">
        <v>23016.2</v>
      </c>
      <c r="F13" s="490"/>
      <c r="G13" s="278">
        <f t="shared" si="0"/>
        <v>-509.20000000000073</v>
      </c>
      <c r="H13" s="491">
        <v>4434.2</v>
      </c>
      <c r="I13" s="29">
        <v>2</v>
      </c>
      <c r="J13" s="466">
        <v>4518.1000000000004</v>
      </c>
      <c r="K13" s="30">
        <v>2</v>
      </c>
      <c r="L13" s="278">
        <f>H13-J13</f>
        <v>-83.900000000000546</v>
      </c>
      <c r="M13" s="453">
        <v>-48.6</v>
      </c>
      <c r="N13" s="301"/>
      <c r="O13" s="466">
        <v>-41.2</v>
      </c>
      <c r="P13" s="302"/>
      <c r="Q13" s="294">
        <f t="shared" si="2"/>
        <v>-7.3999999999999986</v>
      </c>
      <c r="R13" s="458">
        <f>C13+H13+M13</f>
        <v>26892.600000000002</v>
      </c>
      <c r="S13" s="466">
        <f>J13+O13+E13</f>
        <v>27493.100000000002</v>
      </c>
      <c r="T13" s="278">
        <f>R13-S13</f>
        <v>-600.5</v>
      </c>
      <c r="U13" s="447"/>
      <c r="V13" s="463"/>
      <c r="W13" s="463"/>
      <c r="X13" s="463"/>
      <c r="Y13" s="449"/>
      <c r="Z13" s="447"/>
      <c r="AA13" s="447"/>
      <c r="AB13" s="447"/>
      <c r="AC13" s="447"/>
      <c r="AD13" s="447"/>
      <c r="AE13" s="447"/>
      <c r="AF13" s="447"/>
      <c r="AG13" s="447"/>
      <c r="AH13" s="447"/>
      <c r="AI13" s="447"/>
      <c r="AJ13" s="447"/>
      <c r="AK13" s="447"/>
      <c r="AL13" s="447"/>
      <c r="AM13" s="447"/>
      <c r="AN13" s="447"/>
      <c r="AO13" s="447"/>
      <c r="AP13" s="447"/>
      <c r="AQ13" s="447"/>
      <c r="AR13" s="447"/>
      <c r="AS13" s="447"/>
      <c r="AT13" s="447"/>
      <c r="AU13" s="447"/>
      <c r="AV13" s="447"/>
      <c r="AW13" s="447"/>
      <c r="AX13" s="447"/>
      <c r="AY13" s="447"/>
      <c r="AZ13" s="447"/>
      <c r="BA13" s="447"/>
      <c r="BB13" s="447"/>
      <c r="BC13" s="447"/>
      <c r="BD13" s="447"/>
      <c r="BE13" s="447"/>
      <c r="BF13" s="447"/>
      <c r="BG13" s="447"/>
      <c r="BH13" s="447"/>
      <c r="BI13" s="447"/>
      <c r="BJ13" s="447"/>
      <c r="BK13" s="447"/>
      <c r="BL13" s="447"/>
      <c r="BM13" s="447"/>
      <c r="BN13" s="447"/>
      <c r="BO13" s="447"/>
      <c r="BP13" s="447"/>
      <c r="BQ13" s="447"/>
      <c r="BR13" s="447"/>
      <c r="BS13" s="447"/>
      <c r="BT13" s="447"/>
      <c r="BU13" s="447"/>
      <c r="BV13" s="447"/>
      <c r="BW13" s="447"/>
      <c r="BX13" s="447"/>
      <c r="BY13" s="447"/>
      <c r="BZ13" s="447"/>
      <c r="CA13" s="447"/>
      <c r="CB13" s="447"/>
      <c r="CC13" s="447"/>
      <c r="CD13" s="447"/>
      <c r="CE13" s="447"/>
      <c r="CF13" s="447"/>
      <c r="CG13" s="447"/>
      <c r="CH13" s="447"/>
      <c r="CI13" s="447"/>
      <c r="CJ13" s="447"/>
      <c r="CK13" s="447"/>
      <c r="CL13" s="447"/>
      <c r="CM13" s="447"/>
      <c r="CN13" s="447"/>
      <c r="CO13" s="447"/>
      <c r="CP13" s="447"/>
      <c r="CQ13" s="447"/>
      <c r="CR13" s="447"/>
      <c r="CS13" s="447"/>
      <c r="CT13" s="447"/>
      <c r="CU13" s="447"/>
      <c r="CV13" s="447"/>
      <c r="CW13" s="447"/>
      <c r="CX13" s="447"/>
      <c r="CY13" s="447"/>
      <c r="CZ13" s="447"/>
      <c r="DA13" s="447"/>
      <c r="DB13" s="447"/>
      <c r="DC13" s="447"/>
      <c r="DD13" s="447"/>
      <c r="DE13" s="447"/>
      <c r="DF13" s="447"/>
      <c r="DG13" s="447"/>
      <c r="DH13" s="447"/>
      <c r="DI13" s="447"/>
      <c r="DJ13" s="447"/>
      <c r="DK13" s="447"/>
      <c r="DL13" s="447"/>
      <c r="DM13" s="447"/>
      <c r="DN13" s="447"/>
      <c r="DO13" s="447"/>
      <c r="DP13" s="447"/>
      <c r="DQ13" s="447"/>
      <c r="DR13" s="447"/>
      <c r="DS13" s="447"/>
      <c r="DT13" s="447"/>
      <c r="DU13" s="447"/>
      <c r="DV13" s="447"/>
      <c r="DW13" s="447"/>
      <c r="DX13" s="447"/>
      <c r="DY13" s="447"/>
      <c r="DZ13" s="447"/>
      <c r="EA13" s="447"/>
      <c r="EB13" s="447"/>
      <c r="EC13" s="447"/>
      <c r="ED13" s="447"/>
      <c r="EE13" s="447"/>
      <c r="EF13" s="447"/>
      <c r="EG13" s="447"/>
      <c r="EH13" s="447"/>
      <c r="EI13" s="447"/>
      <c r="EJ13" s="447"/>
      <c r="EK13" s="447"/>
      <c r="EL13" s="447"/>
      <c r="EM13" s="447"/>
      <c r="EN13" s="447"/>
      <c r="EO13" s="447"/>
      <c r="EP13" s="447"/>
      <c r="EQ13" s="447"/>
      <c r="ER13" s="447"/>
      <c r="ES13" s="447"/>
      <c r="ET13" s="447"/>
      <c r="EU13" s="447"/>
      <c r="EV13" s="447"/>
      <c r="EW13" s="447"/>
      <c r="EX13" s="447"/>
      <c r="EY13" s="447"/>
      <c r="EZ13" s="447"/>
      <c r="FA13" s="447"/>
      <c r="FB13" s="447"/>
      <c r="FC13" s="447"/>
      <c r="FD13" s="447"/>
      <c r="FE13" s="447"/>
      <c r="FF13" s="447"/>
      <c r="FG13" s="447"/>
      <c r="FH13" s="447"/>
      <c r="FI13" s="447"/>
      <c r="FJ13" s="447"/>
      <c r="FK13" s="447"/>
      <c r="FL13" s="447"/>
      <c r="FM13" s="447"/>
      <c r="FN13" s="447"/>
      <c r="FO13" s="447"/>
      <c r="FP13" s="447"/>
      <c r="FQ13" s="447"/>
      <c r="FR13" s="447"/>
      <c r="FS13" s="447"/>
      <c r="FT13" s="447"/>
      <c r="FU13" s="447"/>
      <c r="FV13" s="447"/>
      <c r="FW13" s="447"/>
      <c r="FX13" s="447"/>
      <c r="FY13" s="447"/>
      <c r="FZ13" s="447"/>
      <c r="GA13" s="447"/>
      <c r="GB13" s="447"/>
      <c r="GC13" s="447"/>
      <c r="GD13" s="447"/>
      <c r="GE13" s="447"/>
      <c r="GF13" s="447"/>
      <c r="GG13" s="447"/>
      <c r="GH13" s="447"/>
      <c r="GI13" s="447"/>
      <c r="GJ13" s="447"/>
      <c r="GK13" s="447"/>
      <c r="GL13" s="447"/>
      <c r="GM13" s="447"/>
      <c r="GN13" s="447"/>
      <c r="GO13" s="447"/>
      <c r="GP13" s="447"/>
      <c r="GQ13" s="447"/>
      <c r="GR13" s="447"/>
      <c r="GS13" s="447"/>
      <c r="GT13" s="447"/>
      <c r="GU13" s="447"/>
      <c r="GV13" s="447"/>
      <c r="GW13" s="447"/>
      <c r="GX13" s="447"/>
      <c r="GY13" s="447"/>
      <c r="GZ13" s="447"/>
      <c r="HA13" s="447"/>
      <c r="HB13" s="447"/>
      <c r="HC13" s="447"/>
      <c r="HD13" s="447"/>
      <c r="HE13" s="447"/>
      <c r="HF13" s="447"/>
      <c r="HG13" s="447"/>
      <c r="HH13" s="447"/>
      <c r="HI13" s="447"/>
      <c r="HJ13" s="447"/>
      <c r="HK13" s="447"/>
      <c r="HL13" s="447"/>
      <c r="HM13" s="447"/>
      <c r="HN13" s="447"/>
      <c r="HO13" s="447"/>
      <c r="HP13" s="447"/>
      <c r="HQ13" s="447"/>
      <c r="HR13" s="447"/>
      <c r="HS13" s="447"/>
      <c r="HT13" s="447"/>
      <c r="HU13" s="447"/>
      <c r="HV13" s="447"/>
      <c r="HW13" s="447"/>
      <c r="HX13" s="447"/>
      <c r="HY13" s="447"/>
      <c r="HZ13" s="447"/>
      <c r="IA13" s="447"/>
      <c r="IB13" s="447"/>
      <c r="IC13" s="447"/>
      <c r="ID13" s="447"/>
      <c r="IE13" s="447"/>
      <c r="IF13" s="447"/>
      <c r="IG13" s="447"/>
      <c r="IH13" s="447"/>
      <c r="II13" s="447"/>
      <c r="IJ13" s="447"/>
      <c r="IK13" s="447"/>
      <c r="IL13" s="447"/>
      <c r="IM13" s="447"/>
      <c r="IN13" s="447"/>
      <c r="IO13" s="447"/>
      <c r="IP13" s="447"/>
      <c r="IQ13" s="447"/>
      <c r="IR13" s="447"/>
      <c r="IS13" s="447"/>
      <c r="IT13" s="447"/>
      <c r="IU13" s="447"/>
      <c r="IV13" s="447"/>
      <c r="IW13" s="447"/>
      <c r="IX13" s="447"/>
      <c r="IY13" s="447"/>
      <c r="IZ13" s="447"/>
      <c r="JA13" s="447"/>
      <c r="JB13" s="447"/>
      <c r="JC13" s="447"/>
      <c r="JD13" s="447"/>
      <c r="JE13" s="447"/>
      <c r="JF13" s="447"/>
      <c r="JG13" s="447"/>
      <c r="JH13" s="447"/>
      <c r="JI13" s="447"/>
      <c r="JJ13" s="447"/>
      <c r="JK13" s="447"/>
      <c r="JL13" s="447"/>
      <c r="JM13" s="447"/>
      <c r="JN13" s="447"/>
      <c r="JO13" s="447"/>
      <c r="JP13" s="447"/>
      <c r="JQ13" s="447"/>
      <c r="JR13" s="447"/>
      <c r="JS13" s="447"/>
      <c r="JT13" s="447"/>
      <c r="JU13" s="447"/>
      <c r="JV13" s="447"/>
      <c r="JW13" s="447"/>
      <c r="JX13" s="447"/>
      <c r="JY13" s="447"/>
      <c r="JZ13" s="447"/>
      <c r="KA13" s="447"/>
      <c r="KB13" s="447"/>
      <c r="KC13" s="447"/>
      <c r="KD13" s="447"/>
      <c r="KE13" s="447"/>
      <c r="KF13" s="447"/>
      <c r="KG13" s="447"/>
      <c r="KH13" s="447"/>
      <c r="KI13" s="447"/>
      <c r="KJ13" s="447"/>
      <c r="KK13" s="447"/>
      <c r="KL13" s="447"/>
      <c r="KM13" s="447"/>
      <c r="KN13" s="447"/>
      <c r="KO13" s="447"/>
      <c r="KP13" s="447"/>
      <c r="KQ13" s="447"/>
      <c r="KR13" s="447"/>
      <c r="KS13" s="447"/>
      <c r="KT13" s="447"/>
      <c r="KU13" s="447"/>
      <c r="KV13" s="447"/>
      <c r="KW13" s="447"/>
      <c r="KX13" s="447"/>
      <c r="KY13" s="447"/>
      <c r="KZ13" s="447"/>
      <c r="LA13" s="447"/>
      <c r="LB13" s="447"/>
      <c r="LC13" s="447"/>
      <c r="LD13" s="447"/>
      <c r="LE13" s="447"/>
      <c r="LF13" s="447"/>
      <c r="LG13" s="447"/>
      <c r="LH13" s="447"/>
      <c r="LI13" s="447"/>
      <c r="LJ13" s="447"/>
      <c r="LK13" s="447"/>
      <c r="LL13" s="447"/>
      <c r="LM13" s="447"/>
      <c r="LN13" s="447"/>
      <c r="LO13" s="447"/>
      <c r="LP13" s="447"/>
      <c r="LQ13" s="447"/>
      <c r="LR13" s="447"/>
      <c r="LS13" s="447"/>
      <c r="LT13" s="447"/>
      <c r="LU13" s="447"/>
      <c r="LV13" s="447"/>
      <c r="LW13" s="447"/>
      <c r="LX13" s="447"/>
      <c r="LY13" s="447"/>
      <c r="LZ13" s="447"/>
      <c r="MA13" s="447"/>
      <c r="MB13" s="447"/>
      <c r="MC13" s="447"/>
      <c r="MD13" s="447"/>
      <c r="ME13" s="447"/>
      <c r="MF13" s="447"/>
      <c r="MG13" s="447"/>
      <c r="MH13" s="447"/>
      <c r="MI13" s="447"/>
      <c r="MJ13" s="447"/>
      <c r="MK13" s="447"/>
      <c r="ML13" s="447"/>
      <c r="MM13" s="447"/>
      <c r="MN13" s="447"/>
      <c r="MO13" s="447"/>
      <c r="MP13" s="447"/>
      <c r="MQ13" s="447"/>
      <c r="MR13" s="447"/>
      <c r="MS13" s="447"/>
      <c r="MT13" s="447"/>
      <c r="MU13" s="447"/>
      <c r="MV13" s="447"/>
      <c r="MW13" s="447"/>
      <c r="MX13" s="447"/>
      <c r="MY13" s="447"/>
      <c r="MZ13" s="447"/>
      <c r="NA13" s="447"/>
      <c r="NB13" s="447"/>
      <c r="NC13" s="447"/>
      <c r="ND13" s="447"/>
      <c r="NE13" s="447"/>
      <c r="NF13" s="447"/>
      <c r="NG13" s="447"/>
      <c r="NH13" s="447"/>
      <c r="NI13" s="447"/>
      <c r="NJ13" s="447"/>
      <c r="NK13" s="447"/>
      <c r="NL13" s="447"/>
      <c r="NM13" s="447"/>
      <c r="NN13" s="447"/>
      <c r="NO13" s="447"/>
      <c r="NP13" s="447"/>
      <c r="NQ13" s="447"/>
      <c r="NR13" s="447"/>
      <c r="NS13" s="447"/>
      <c r="NT13" s="447"/>
      <c r="NU13" s="447"/>
      <c r="NV13" s="447"/>
      <c r="NW13" s="447"/>
      <c r="NX13" s="447"/>
      <c r="NY13" s="447"/>
      <c r="NZ13" s="447"/>
      <c r="OA13" s="447"/>
      <c r="OB13" s="447"/>
      <c r="OC13" s="447"/>
      <c r="OD13" s="447"/>
      <c r="OE13" s="447"/>
      <c r="OF13" s="447"/>
      <c r="OG13" s="447"/>
      <c r="OH13" s="447"/>
      <c r="OI13" s="447"/>
      <c r="OJ13" s="447"/>
      <c r="OK13" s="447"/>
      <c r="OL13" s="447"/>
      <c r="OM13" s="447"/>
      <c r="ON13" s="447"/>
      <c r="OO13" s="447"/>
      <c r="OP13" s="447"/>
      <c r="OQ13" s="447"/>
      <c r="OR13" s="447"/>
      <c r="OS13" s="447"/>
      <c r="OT13" s="447"/>
      <c r="OU13" s="447"/>
      <c r="OV13" s="447"/>
      <c r="OW13" s="447"/>
      <c r="OX13" s="447"/>
      <c r="OY13" s="447"/>
      <c r="OZ13" s="447"/>
      <c r="PA13" s="447"/>
      <c r="PB13" s="447"/>
      <c r="PC13" s="447"/>
      <c r="PD13" s="447"/>
      <c r="PE13" s="447"/>
      <c r="PF13" s="447"/>
      <c r="PG13" s="447"/>
      <c r="PH13" s="447"/>
      <c r="PI13" s="447"/>
      <c r="PJ13" s="447"/>
      <c r="PK13" s="447"/>
      <c r="PL13" s="447"/>
      <c r="PM13" s="447"/>
      <c r="PN13" s="447"/>
      <c r="PO13" s="447"/>
      <c r="PP13" s="447"/>
      <c r="PQ13" s="447"/>
      <c r="PR13" s="447"/>
      <c r="PS13" s="447"/>
      <c r="PT13" s="447"/>
      <c r="PU13" s="447"/>
      <c r="PV13" s="447"/>
      <c r="PW13" s="447"/>
      <c r="PX13" s="447"/>
      <c r="PY13" s="447"/>
      <c r="PZ13" s="447"/>
      <c r="QA13" s="447"/>
      <c r="QB13" s="447"/>
      <c r="QC13" s="447"/>
      <c r="QD13" s="447"/>
      <c r="QE13" s="447"/>
      <c r="QF13" s="447"/>
      <c r="QG13" s="447"/>
      <c r="QH13" s="447"/>
      <c r="QI13" s="447"/>
      <c r="QJ13" s="447"/>
      <c r="QK13" s="447"/>
      <c r="QL13" s="447"/>
      <c r="QM13" s="447"/>
      <c r="QN13" s="447"/>
      <c r="QO13" s="447"/>
      <c r="QP13" s="447"/>
      <c r="QQ13" s="447"/>
      <c r="QR13" s="447"/>
      <c r="QS13" s="447"/>
      <c r="QT13" s="447"/>
      <c r="QU13" s="447"/>
      <c r="QV13" s="447"/>
      <c r="QW13" s="447"/>
      <c r="QX13" s="447"/>
      <c r="QY13" s="447"/>
      <c r="QZ13" s="447"/>
      <c r="RA13" s="447"/>
      <c r="RB13" s="447"/>
      <c r="RC13" s="447"/>
      <c r="RD13" s="447"/>
      <c r="RE13" s="447"/>
      <c r="RF13" s="447"/>
      <c r="RG13" s="447"/>
      <c r="RH13" s="447"/>
      <c r="RI13" s="447"/>
      <c r="RJ13" s="447"/>
      <c r="RK13" s="447"/>
      <c r="RL13" s="447"/>
      <c r="RM13" s="447"/>
      <c r="RN13" s="447"/>
      <c r="RO13" s="447"/>
      <c r="RP13" s="447"/>
      <c r="RQ13" s="447"/>
      <c r="RR13" s="447"/>
      <c r="RS13" s="447"/>
      <c r="RT13" s="447"/>
      <c r="RU13" s="447"/>
      <c r="RV13" s="447"/>
      <c r="RW13" s="447"/>
      <c r="RX13" s="447"/>
      <c r="RY13" s="447"/>
      <c r="RZ13" s="447"/>
      <c r="SA13" s="447"/>
      <c r="SB13" s="447"/>
      <c r="SC13" s="447"/>
    </row>
    <row r="14" spans="2:497" s="448" customFormat="1" ht="31.5" customHeight="1" thickBot="1">
      <c r="B14" s="492" t="s">
        <v>118</v>
      </c>
      <c r="C14" s="493">
        <v>0</v>
      </c>
      <c r="D14" s="494"/>
      <c r="E14" s="495">
        <v>0</v>
      </c>
      <c r="F14" s="495"/>
      <c r="G14" s="288">
        <f t="shared" si="0"/>
        <v>0</v>
      </c>
      <c r="H14" s="496">
        <v>5.8</v>
      </c>
      <c r="I14" s="497"/>
      <c r="J14" s="495">
        <v>5.8</v>
      </c>
      <c r="K14" s="498"/>
      <c r="L14" s="293">
        <f t="shared" ref="L14" si="6">H14-J14</f>
        <v>0</v>
      </c>
      <c r="M14" s="499">
        <v>0</v>
      </c>
      <c r="N14" s="494"/>
      <c r="O14" s="495">
        <v>0</v>
      </c>
      <c r="P14" s="495"/>
      <c r="Q14" s="303">
        <f t="shared" si="2"/>
        <v>0</v>
      </c>
      <c r="R14" s="500">
        <f t="shared" si="3"/>
        <v>5.8</v>
      </c>
      <c r="S14" s="501">
        <f>J14+O14+E14</f>
        <v>5.8</v>
      </c>
      <c r="T14" s="288">
        <f>R14-S14</f>
        <v>0</v>
      </c>
      <c r="U14" s="447"/>
      <c r="V14" s="463"/>
      <c r="W14" s="463"/>
      <c r="X14" s="463"/>
      <c r="Y14" s="449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  <c r="AL14" s="447"/>
      <c r="AM14" s="447"/>
      <c r="AN14" s="447"/>
      <c r="AO14" s="447"/>
      <c r="AP14" s="447"/>
      <c r="AQ14" s="447"/>
      <c r="AR14" s="447"/>
      <c r="AS14" s="447"/>
      <c r="AT14" s="447"/>
      <c r="AU14" s="447"/>
      <c r="AV14" s="447"/>
      <c r="AW14" s="447"/>
      <c r="AX14" s="447"/>
      <c r="AY14" s="447"/>
      <c r="AZ14" s="447"/>
      <c r="BA14" s="447"/>
      <c r="BB14" s="447"/>
      <c r="BC14" s="447"/>
      <c r="BD14" s="447"/>
      <c r="BE14" s="447"/>
      <c r="BF14" s="447"/>
      <c r="BG14" s="447"/>
      <c r="BH14" s="447"/>
      <c r="BI14" s="447"/>
      <c r="BJ14" s="447"/>
      <c r="BK14" s="447"/>
      <c r="BL14" s="447"/>
      <c r="BM14" s="447"/>
      <c r="BN14" s="447"/>
      <c r="BO14" s="447"/>
      <c r="BP14" s="447"/>
      <c r="BQ14" s="447"/>
      <c r="BR14" s="447"/>
      <c r="BS14" s="447"/>
      <c r="BT14" s="447"/>
      <c r="BU14" s="447"/>
      <c r="BV14" s="447"/>
      <c r="BW14" s="447"/>
      <c r="BX14" s="447"/>
      <c r="BY14" s="447"/>
      <c r="BZ14" s="447"/>
      <c r="CA14" s="447"/>
      <c r="CB14" s="447"/>
      <c r="CC14" s="447"/>
      <c r="CD14" s="447"/>
      <c r="CE14" s="447"/>
      <c r="CF14" s="447"/>
      <c r="CG14" s="447"/>
      <c r="CH14" s="447"/>
      <c r="CI14" s="447"/>
      <c r="CJ14" s="447"/>
      <c r="CK14" s="447"/>
      <c r="CL14" s="447"/>
      <c r="CM14" s="447"/>
      <c r="CN14" s="447"/>
      <c r="CO14" s="447"/>
      <c r="CP14" s="447"/>
      <c r="CQ14" s="447"/>
      <c r="CR14" s="447"/>
      <c r="CS14" s="447"/>
      <c r="CT14" s="447"/>
      <c r="CU14" s="447"/>
      <c r="CV14" s="447"/>
      <c r="CW14" s="447"/>
      <c r="CX14" s="447"/>
      <c r="CY14" s="447"/>
      <c r="CZ14" s="447"/>
      <c r="DA14" s="447"/>
      <c r="DB14" s="447"/>
      <c r="DC14" s="447"/>
      <c r="DD14" s="447"/>
      <c r="DE14" s="447"/>
      <c r="DF14" s="447"/>
      <c r="DG14" s="447"/>
      <c r="DH14" s="447"/>
      <c r="DI14" s="447"/>
      <c r="DJ14" s="447"/>
      <c r="DK14" s="447"/>
      <c r="DL14" s="447"/>
      <c r="DM14" s="447"/>
      <c r="DN14" s="447"/>
      <c r="DO14" s="447"/>
      <c r="DP14" s="447"/>
      <c r="DQ14" s="447"/>
      <c r="DR14" s="447"/>
      <c r="DS14" s="447"/>
      <c r="DT14" s="447"/>
      <c r="DU14" s="447"/>
      <c r="DV14" s="447"/>
      <c r="DW14" s="447"/>
      <c r="DX14" s="447"/>
      <c r="DY14" s="447"/>
      <c r="DZ14" s="447"/>
      <c r="EA14" s="447"/>
      <c r="EB14" s="447"/>
      <c r="EC14" s="447"/>
      <c r="ED14" s="447"/>
      <c r="EE14" s="447"/>
      <c r="EF14" s="447"/>
      <c r="EG14" s="447"/>
      <c r="EH14" s="447"/>
      <c r="EI14" s="447"/>
      <c r="EJ14" s="447"/>
      <c r="EK14" s="447"/>
      <c r="EL14" s="447"/>
      <c r="EM14" s="447"/>
      <c r="EN14" s="447"/>
      <c r="EO14" s="447"/>
      <c r="EP14" s="447"/>
      <c r="EQ14" s="447"/>
      <c r="ER14" s="447"/>
      <c r="ES14" s="447"/>
      <c r="ET14" s="447"/>
      <c r="EU14" s="447"/>
      <c r="EV14" s="447"/>
      <c r="EW14" s="447"/>
      <c r="EX14" s="447"/>
      <c r="EY14" s="447"/>
      <c r="EZ14" s="447"/>
      <c r="FA14" s="447"/>
      <c r="FB14" s="447"/>
      <c r="FC14" s="447"/>
      <c r="FD14" s="447"/>
      <c r="FE14" s="447"/>
      <c r="FF14" s="447"/>
      <c r="FG14" s="447"/>
      <c r="FH14" s="447"/>
      <c r="FI14" s="447"/>
      <c r="FJ14" s="447"/>
      <c r="FK14" s="447"/>
      <c r="FL14" s="447"/>
      <c r="FM14" s="447"/>
      <c r="FN14" s="447"/>
      <c r="FO14" s="447"/>
      <c r="FP14" s="447"/>
      <c r="FQ14" s="447"/>
      <c r="FR14" s="447"/>
      <c r="FS14" s="447"/>
      <c r="FT14" s="447"/>
      <c r="FU14" s="447"/>
      <c r="FV14" s="447"/>
      <c r="FW14" s="447"/>
      <c r="FX14" s="447"/>
      <c r="FY14" s="447"/>
      <c r="FZ14" s="447"/>
      <c r="GA14" s="447"/>
      <c r="GB14" s="447"/>
      <c r="GC14" s="447"/>
      <c r="GD14" s="447"/>
      <c r="GE14" s="447"/>
      <c r="GF14" s="447"/>
      <c r="GG14" s="447"/>
      <c r="GH14" s="447"/>
      <c r="GI14" s="447"/>
      <c r="GJ14" s="447"/>
      <c r="GK14" s="447"/>
      <c r="GL14" s="447"/>
      <c r="GM14" s="447"/>
      <c r="GN14" s="447"/>
      <c r="GO14" s="447"/>
      <c r="GP14" s="447"/>
      <c r="GQ14" s="447"/>
      <c r="GR14" s="447"/>
      <c r="GS14" s="447"/>
      <c r="GT14" s="447"/>
      <c r="GU14" s="447"/>
      <c r="GV14" s="447"/>
      <c r="GW14" s="447"/>
      <c r="GX14" s="447"/>
      <c r="GY14" s="447"/>
      <c r="GZ14" s="447"/>
      <c r="HA14" s="447"/>
      <c r="HB14" s="447"/>
      <c r="HC14" s="447"/>
      <c r="HD14" s="447"/>
      <c r="HE14" s="447"/>
      <c r="HF14" s="447"/>
      <c r="HG14" s="447"/>
      <c r="HH14" s="447"/>
      <c r="HI14" s="447"/>
      <c r="HJ14" s="447"/>
      <c r="HK14" s="447"/>
      <c r="HL14" s="447"/>
      <c r="HM14" s="447"/>
      <c r="HN14" s="447"/>
      <c r="HO14" s="447"/>
      <c r="HP14" s="447"/>
      <c r="HQ14" s="447"/>
      <c r="HR14" s="447"/>
      <c r="HS14" s="447"/>
      <c r="HT14" s="447"/>
      <c r="HU14" s="447"/>
      <c r="HV14" s="447"/>
      <c r="HW14" s="447"/>
      <c r="HX14" s="447"/>
      <c r="HY14" s="447"/>
      <c r="HZ14" s="447"/>
      <c r="IA14" s="447"/>
      <c r="IB14" s="447"/>
      <c r="IC14" s="447"/>
      <c r="ID14" s="447"/>
      <c r="IE14" s="447"/>
      <c r="IF14" s="447"/>
      <c r="IG14" s="447"/>
      <c r="IH14" s="447"/>
      <c r="II14" s="447"/>
      <c r="IJ14" s="447"/>
      <c r="IK14" s="447"/>
      <c r="IL14" s="447"/>
      <c r="IM14" s="447"/>
      <c r="IN14" s="447"/>
      <c r="IO14" s="447"/>
      <c r="IP14" s="447"/>
      <c r="IQ14" s="447"/>
      <c r="IR14" s="447"/>
      <c r="IS14" s="447"/>
      <c r="IT14" s="447"/>
      <c r="IU14" s="447"/>
      <c r="IV14" s="447"/>
      <c r="IW14" s="447"/>
      <c r="IX14" s="447"/>
      <c r="IY14" s="447"/>
      <c r="IZ14" s="447"/>
      <c r="JA14" s="447"/>
      <c r="JB14" s="447"/>
      <c r="JC14" s="447"/>
      <c r="JD14" s="447"/>
      <c r="JE14" s="447"/>
      <c r="JF14" s="447"/>
      <c r="JG14" s="447"/>
      <c r="JH14" s="447"/>
      <c r="JI14" s="447"/>
      <c r="JJ14" s="447"/>
      <c r="JK14" s="447"/>
      <c r="JL14" s="447"/>
      <c r="JM14" s="447"/>
      <c r="JN14" s="447"/>
      <c r="JO14" s="447"/>
      <c r="JP14" s="447"/>
      <c r="JQ14" s="447"/>
      <c r="JR14" s="447"/>
      <c r="JS14" s="447"/>
      <c r="JT14" s="447"/>
      <c r="JU14" s="447"/>
      <c r="JV14" s="447"/>
      <c r="JW14" s="447"/>
      <c r="JX14" s="447"/>
      <c r="JY14" s="447"/>
      <c r="JZ14" s="447"/>
      <c r="KA14" s="447"/>
      <c r="KB14" s="447"/>
      <c r="KC14" s="447"/>
      <c r="KD14" s="447"/>
      <c r="KE14" s="447"/>
      <c r="KF14" s="447"/>
      <c r="KG14" s="447"/>
      <c r="KH14" s="447"/>
      <c r="KI14" s="447"/>
      <c r="KJ14" s="447"/>
      <c r="KK14" s="447"/>
      <c r="KL14" s="447"/>
      <c r="KM14" s="447"/>
      <c r="KN14" s="447"/>
      <c r="KO14" s="447"/>
      <c r="KP14" s="447"/>
      <c r="KQ14" s="447"/>
      <c r="KR14" s="447"/>
      <c r="KS14" s="447"/>
      <c r="KT14" s="447"/>
      <c r="KU14" s="447"/>
      <c r="KV14" s="447"/>
      <c r="KW14" s="447"/>
      <c r="KX14" s="447"/>
      <c r="KY14" s="447"/>
      <c r="KZ14" s="447"/>
      <c r="LA14" s="447"/>
      <c r="LB14" s="447"/>
      <c r="LC14" s="447"/>
      <c r="LD14" s="447"/>
      <c r="LE14" s="447"/>
      <c r="LF14" s="447"/>
      <c r="LG14" s="447"/>
      <c r="LH14" s="447"/>
      <c r="LI14" s="447"/>
      <c r="LJ14" s="447"/>
      <c r="LK14" s="447"/>
      <c r="LL14" s="447"/>
      <c r="LM14" s="447"/>
      <c r="LN14" s="447"/>
      <c r="LO14" s="447"/>
      <c r="LP14" s="447"/>
      <c r="LQ14" s="447"/>
      <c r="LR14" s="447"/>
      <c r="LS14" s="447"/>
      <c r="LT14" s="447"/>
      <c r="LU14" s="447"/>
      <c r="LV14" s="447"/>
      <c r="LW14" s="447"/>
      <c r="LX14" s="447"/>
      <c r="LY14" s="447"/>
      <c r="LZ14" s="447"/>
      <c r="MA14" s="447"/>
      <c r="MB14" s="447"/>
      <c r="MC14" s="447"/>
      <c r="MD14" s="447"/>
      <c r="ME14" s="447"/>
      <c r="MF14" s="447"/>
      <c r="MG14" s="447"/>
      <c r="MH14" s="447"/>
      <c r="MI14" s="447"/>
      <c r="MJ14" s="447"/>
      <c r="MK14" s="447"/>
      <c r="ML14" s="447"/>
      <c r="MM14" s="447"/>
      <c r="MN14" s="447"/>
      <c r="MO14" s="447"/>
      <c r="MP14" s="447"/>
      <c r="MQ14" s="447"/>
      <c r="MR14" s="447"/>
      <c r="MS14" s="447"/>
      <c r="MT14" s="447"/>
      <c r="MU14" s="447"/>
      <c r="MV14" s="447"/>
      <c r="MW14" s="447"/>
      <c r="MX14" s="447"/>
      <c r="MY14" s="447"/>
      <c r="MZ14" s="447"/>
      <c r="NA14" s="447"/>
      <c r="NB14" s="447"/>
      <c r="NC14" s="447"/>
      <c r="ND14" s="447"/>
      <c r="NE14" s="447"/>
      <c r="NF14" s="447"/>
      <c r="NG14" s="447"/>
      <c r="NH14" s="447"/>
      <c r="NI14" s="447"/>
      <c r="NJ14" s="447"/>
      <c r="NK14" s="447"/>
      <c r="NL14" s="447"/>
      <c r="NM14" s="447"/>
      <c r="NN14" s="447"/>
      <c r="NO14" s="447"/>
      <c r="NP14" s="447"/>
      <c r="NQ14" s="447"/>
      <c r="NR14" s="447"/>
      <c r="NS14" s="447"/>
      <c r="NT14" s="447"/>
      <c r="NU14" s="447"/>
      <c r="NV14" s="447"/>
      <c r="NW14" s="447"/>
      <c r="NX14" s="447"/>
      <c r="NY14" s="447"/>
      <c r="NZ14" s="447"/>
      <c r="OA14" s="447"/>
      <c r="OB14" s="447"/>
      <c r="OC14" s="447"/>
      <c r="OD14" s="447"/>
      <c r="OE14" s="447"/>
      <c r="OF14" s="447"/>
      <c r="OG14" s="447"/>
      <c r="OH14" s="447"/>
      <c r="OI14" s="447"/>
      <c r="OJ14" s="447"/>
      <c r="OK14" s="447"/>
      <c r="OL14" s="447"/>
      <c r="OM14" s="447"/>
      <c r="ON14" s="447"/>
      <c r="OO14" s="447"/>
      <c r="OP14" s="447"/>
      <c r="OQ14" s="447"/>
      <c r="OR14" s="447"/>
      <c r="OS14" s="447"/>
      <c r="OT14" s="447"/>
      <c r="OU14" s="447"/>
      <c r="OV14" s="447"/>
      <c r="OW14" s="447"/>
      <c r="OX14" s="447"/>
      <c r="OY14" s="447"/>
      <c r="OZ14" s="447"/>
      <c r="PA14" s="447"/>
      <c r="PB14" s="447"/>
      <c r="PC14" s="447"/>
      <c r="PD14" s="447"/>
      <c r="PE14" s="447"/>
      <c r="PF14" s="447"/>
      <c r="PG14" s="447"/>
      <c r="PH14" s="447"/>
      <c r="PI14" s="447"/>
      <c r="PJ14" s="447"/>
      <c r="PK14" s="447"/>
      <c r="PL14" s="447"/>
      <c r="PM14" s="447"/>
      <c r="PN14" s="447"/>
      <c r="PO14" s="447"/>
      <c r="PP14" s="447"/>
      <c r="PQ14" s="447"/>
      <c r="PR14" s="447"/>
      <c r="PS14" s="447"/>
      <c r="PT14" s="447"/>
      <c r="PU14" s="447"/>
      <c r="PV14" s="447"/>
      <c r="PW14" s="447"/>
      <c r="PX14" s="447"/>
      <c r="PY14" s="447"/>
      <c r="PZ14" s="447"/>
      <c r="QA14" s="447"/>
      <c r="QB14" s="447"/>
      <c r="QC14" s="447"/>
      <c r="QD14" s="447"/>
      <c r="QE14" s="447"/>
      <c r="QF14" s="447"/>
      <c r="QG14" s="447"/>
      <c r="QH14" s="447"/>
      <c r="QI14" s="447"/>
      <c r="QJ14" s="447"/>
      <c r="QK14" s="447"/>
      <c r="QL14" s="447"/>
      <c r="QM14" s="447"/>
      <c r="QN14" s="447"/>
      <c r="QO14" s="447"/>
      <c r="QP14" s="447"/>
      <c r="QQ14" s="447"/>
      <c r="QR14" s="447"/>
      <c r="QS14" s="447"/>
      <c r="QT14" s="447"/>
      <c r="QU14" s="447"/>
      <c r="QV14" s="447"/>
      <c r="QW14" s="447"/>
      <c r="QX14" s="447"/>
      <c r="QY14" s="447"/>
      <c r="QZ14" s="447"/>
      <c r="RA14" s="447"/>
      <c r="RB14" s="447"/>
      <c r="RC14" s="447"/>
      <c r="RD14" s="447"/>
      <c r="RE14" s="447"/>
      <c r="RF14" s="447"/>
      <c r="RG14" s="447"/>
      <c r="RH14" s="447"/>
      <c r="RI14" s="447"/>
      <c r="RJ14" s="447"/>
      <c r="RK14" s="447"/>
      <c r="RL14" s="447"/>
      <c r="RM14" s="447"/>
      <c r="RN14" s="447"/>
      <c r="RO14" s="447"/>
      <c r="RP14" s="447"/>
      <c r="RQ14" s="447"/>
      <c r="RR14" s="447"/>
      <c r="RS14" s="447"/>
      <c r="RT14" s="447"/>
      <c r="RU14" s="447"/>
      <c r="RV14" s="447"/>
      <c r="RW14" s="447"/>
      <c r="RX14" s="447"/>
      <c r="RY14" s="447"/>
      <c r="RZ14" s="447"/>
      <c r="SA14" s="447"/>
      <c r="SB14" s="447"/>
      <c r="SC14" s="447"/>
    </row>
    <row r="15" spans="2:497" s="447" customFormat="1" ht="20.25" customHeight="1">
      <c r="B15" s="534" t="s">
        <v>207</v>
      </c>
      <c r="C15" s="534"/>
      <c r="D15" s="534"/>
      <c r="E15" s="534"/>
      <c r="F15" s="534"/>
      <c r="G15" s="534"/>
      <c r="H15" s="445"/>
      <c r="I15" s="445"/>
      <c r="J15" s="31"/>
      <c r="K15" s="31"/>
      <c r="L15" s="31"/>
      <c r="M15" s="445"/>
      <c r="N15" s="445"/>
      <c r="O15" s="445"/>
      <c r="P15" s="445"/>
      <c r="Q15" s="445"/>
      <c r="R15" s="445"/>
      <c r="S15" s="445"/>
      <c r="T15" s="445"/>
      <c r="V15" s="449"/>
      <c r="W15" s="449"/>
      <c r="X15" s="449"/>
      <c r="Y15" s="449"/>
    </row>
    <row r="16" spans="2:497" s="445" customFormat="1">
      <c r="B16" s="32" t="s">
        <v>208</v>
      </c>
      <c r="C16" s="32"/>
      <c r="D16" s="32"/>
      <c r="E16" s="32"/>
      <c r="F16" s="32"/>
      <c r="G16" s="32"/>
      <c r="J16" s="31"/>
      <c r="K16" s="31"/>
      <c r="L16" s="31"/>
    </row>
    <row r="17" spans="2:25" s="447" customFormat="1" ht="15" customHeight="1">
      <c r="B17" s="443"/>
      <c r="C17" s="443"/>
      <c r="D17" s="443"/>
      <c r="E17" s="443"/>
      <c r="F17" s="443"/>
      <c r="G17" s="443"/>
      <c r="H17" s="445"/>
      <c r="I17" s="445"/>
      <c r="J17" s="31"/>
      <c r="K17" s="31"/>
      <c r="L17" s="31"/>
      <c r="M17" s="445"/>
      <c r="N17" s="445"/>
      <c r="O17" s="445"/>
      <c r="P17" s="445"/>
      <c r="Q17" s="445"/>
      <c r="R17" s="445"/>
      <c r="S17" s="445"/>
      <c r="T17" s="445"/>
      <c r="V17" s="449"/>
      <c r="W17" s="449"/>
      <c r="X17" s="449"/>
      <c r="Y17" s="449"/>
    </row>
    <row r="18" spans="2:25" s="445" customFormat="1">
      <c r="B18" s="443"/>
      <c r="C18" s="32"/>
      <c r="D18" s="32"/>
      <c r="E18" s="32"/>
      <c r="F18" s="32"/>
      <c r="G18" s="32"/>
      <c r="J18" s="31"/>
      <c r="K18" s="31"/>
      <c r="L18" s="31"/>
    </row>
    <row r="19" spans="2:25" s="445" customFormat="1">
      <c r="B19" s="32"/>
      <c r="G19" s="33"/>
      <c r="J19" s="33"/>
      <c r="K19" s="33"/>
      <c r="L19" s="33"/>
    </row>
    <row r="20" spans="2:25" s="445" customFormat="1">
      <c r="G20" s="34"/>
      <c r="J20" s="34"/>
      <c r="K20" s="34"/>
      <c r="L20" s="34"/>
    </row>
    <row r="21" spans="2:25" s="445" customFormat="1">
      <c r="G21" s="33"/>
      <c r="J21" s="33"/>
      <c r="K21" s="33"/>
      <c r="L21" s="33"/>
    </row>
    <row r="22" spans="2:25" s="445" customFormat="1"/>
    <row r="23" spans="2:25" s="445" customFormat="1"/>
    <row r="24" spans="2:25" s="445" customFormat="1"/>
    <row r="25" spans="2:25" s="445" customFormat="1"/>
    <row r="26" spans="2:25" s="445" customFormat="1"/>
    <row r="27" spans="2:25" s="445" customFormat="1"/>
    <row r="28" spans="2:25" s="445" customFormat="1"/>
    <row r="29" spans="2:25" s="445" customFormat="1"/>
    <row r="30" spans="2:25" s="445" customFormat="1"/>
    <row r="31" spans="2:25" s="445" customFormat="1"/>
    <row r="32" spans="2:25" s="445" customFormat="1"/>
    <row r="33" s="445" customFormat="1"/>
    <row r="34" s="445" customFormat="1"/>
    <row r="35" s="445" customFormat="1"/>
    <row r="36" s="445" customFormat="1"/>
    <row r="37" s="445" customFormat="1"/>
    <row r="38" s="445" customFormat="1"/>
    <row r="39" s="445" customFormat="1"/>
    <row r="40" s="445" customFormat="1"/>
    <row r="41" s="445" customFormat="1"/>
    <row r="42" s="445" customFormat="1"/>
    <row r="43" s="445" customFormat="1"/>
    <row r="44" s="445" customFormat="1"/>
    <row r="45" s="445" customFormat="1"/>
    <row r="46" s="445" customFormat="1"/>
    <row r="47" s="445" customFormat="1"/>
    <row r="48" s="445" customFormat="1"/>
    <row r="49" s="445" customFormat="1"/>
    <row r="50" s="445" customFormat="1"/>
    <row r="51" s="445" customFormat="1"/>
    <row r="52" s="445" customFormat="1"/>
    <row r="53" s="445" customFormat="1"/>
    <row r="54" s="445" customFormat="1"/>
    <row r="55" s="445" customFormat="1"/>
    <row r="56" s="445" customFormat="1"/>
    <row r="57" s="445" customFormat="1"/>
    <row r="58" s="445" customFormat="1"/>
    <row r="59" s="445" customFormat="1"/>
    <row r="60" s="445" customFormat="1"/>
    <row r="61" s="445" customFormat="1"/>
    <row r="62" s="445" customFormat="1"/>
    <row r="63" s="445" customFormat="1"/>
    <row r="64" s="445" customFormat="1"/>
    <row r="65" s="445" customFormat="1"/>
    <row r="66" s="445" customFormat="1"/>
    <row r="67" s="445" customFormat="1"/>
    <row r="68" s="445" customFormat="1"/>
    <row r="69" s="445" customFormat="1"/>
    <row r="70" s="445" customFormat="1"/>
    <row r="71" s="445" customFormat="1"/>
    <row r="72" s="445" customFormat="1"/>
    <row r="73" s="445" customFormat="1"/>
    <row r="74" s="445" customFormat="1"/>
    <row r="75" s="445" customFormat="1"/>
    <row r="76" s="445" customFormat="1"/>
    <row r="77" s="445" customFormat="1"/>
    <row r="78" s="445" customFormat="1"/>
    <row r="79" s="445" customFormat="1"/>
    <row r="80" s="445" customFormat="1"/>
    <row r="81" s="445" customFormat="1"/>
    <row r="82" s="445" customFormat="1"/>
    <row r="83" s="445" customFormat="1"/>
    <row r="84" s="445" customFormat="1"/>
    <row r="85" s="445" customFormat="1"/>
    <row r="86" s="445" customFormat="1"/>
    <row r="87" s="445" customFormat="1"/>
    <row r="88" s="445" customFormat="1"/>
    <row r="89" s="445" customFormat="1"/>
    <row r="90" s="445" customFormat="1"/>
    <row r="91" s="445" customFormat="1"/>
    <row r="92" s="445" customFormat="1"/>
    <row r="93" s="445" customFormat="1"/>
    <row r="94" s="445" customFormat="1"/>
    <row r="95" s="445" customFormat="1"/>
    <row r="96" s="445" customFormat="1"/>
    <row r="97" s="445" customFormat="1"/>
    <row r="98" s="445" customFormat="1"/>
    <row r="99" s="445" customFormat="1"/>
    <row r="100" s="445" customFormat="1"/>
    <row r="101" s="445" customFormat="1"/>
    <row r="102" s="445" customFormat="1"/>
    <row r="103" s="445" customFormat="1"/>
    <row r="104" s="445" customFormat="1"/>
    <row r="105" s="445" customFormat="1"/>
    <row r="106" s="445" customFormat="1"/>
    <row r="107" s="445" customFormat="1"/>
    <row r="108" s="445" customFormat="1"/>
    <row r="109" s="445" customFormat="1"/>
    <row r="110" s="445" customFormat="1"/>
    <row r="111" s="445" customFormat="1"/>
    <row r="112" s="445" customFormat="1"/>
    <row r="113" s="445" customFormat="1"/>
    <row r="114" s="445" customFormat="1"/>
    <row r="115" s="445" customFormat="1"/>
    <row r="116" s="445" customFormat="1"/>
    <row r="117" s="445" customFormat="1"/>
    <row r="118" s="445" customFormat="1"/>
    <row r="119" s="445" customFormat="1"/>
    <row r="120" s="445" customFormat="1"/>
    <row r="121" s="445" customFormat="1"/>
    <row r="122" s="445" customFormat="1"/>
    <row r="123" s="445" customFormat="1"/>
    <row r="124" s="445" customFormat="1"/>
    <row r="125" s="445" customFormat="1"/>
    <row r="126" s="445" customFormat="1"/>
    <row r="127" s="445" customFormat="1"/>
    <row r="128" s="445" customFormat="1"/>
    <row r="129" s="445" customFormat="1"/>
    <row r="130" s="445" customFormat="1"/>
    <row r="131" s="445" customFormat="1"/>
    <row r="132" s="445" customFormat="1"/>
    <row r="133" s="445" customFormat="1"/>
    <row r="134" s="445" customFormat="1"/>
    <row r="135" s="445" customFormat="1"/>
    <row r="136" s="445" customFormat="1"/>
    <row r="137" s="445" customFormat="1"/>
    <row r="138" s="445" customFormat="1"/>
    <row r="139" s="445" customFormat="1"/>
    <row r="140" s="445" customFormat="1"/>
    <row r="141" s="445" customFormat="1"/>
    <row r="142" s="445" customFormat="1"/>
    <row r="143" s="445" customFormat="1"/>
    <row r="144" s="445" customFormat="1"/>
    <row r="145" s="445" customFormat="1"/>
    <row r="146" s="445" customFormat="1"/>
    <row r="147" s="445" customFormat="1"/>
    <row r="148" s="445" customFormat="1"/>
    <row r="149" s="445" customFormat="1"/>
    <row r="150" s="445" customFormat="1"/>
    <row r="151" s="445" customFormat="1"/>
    <row r="152" s="445" customFormat="1"/>
    <row r="153" s="445" customFormat="1"/>
    <row r="154" s="445" customFormat="1"/>
    <row r="155" s="445" customFormat="1"/>
    <row r="156" s="445" customFormat="1"/>
    <row r="157" s="445" customFormat="1"/>
    <row r="158" s="445" customFormat="1"/>
    <row r="159" s="445" customFormat="1"/>
    <row r="160" s="445" customFormat="1"/>
    <row r="161" s="445" customFormat="1"/>
    <row r="162" s="445" customFormat="1"/>
    <row r="163" s="445" customFormat="1"/>
    <row r="164" s="445" customFormat="1"/>
    <row r="165" s="445" customFormat="1"/>
    <row r="166" s="445" customFormat="1"/>
    <row r="167" s="445" customFormat="1"/>
    <row r="168" s="445" customFormat="1"/>
    <row r="169" s="445" customFormat="1"/>
    <row r="170" s="445" customFormat="1"/>
    <row r="171" s="445" customFormat="1"/>
    <row r="172" s="445" customFormat="1"/>
    <row r="173" s="445" customFormat="1"/>
    <row r="174" s="445" customFormat="1"/>
    <row r="175" s="445" customFormat="1"/>
    <row r="176" s="445" customFormat="1"/>
    <row r="177" s="445" customFormat="1"/>
    <row r="178" s="445" customFormat="1"/>
    <row r="179" s="445" customFormat="1"/>
    <row r="180" s="445" customFormat="1"/>
    <row r="181" s="445" customFormat="1"/>
    <row r="182" s="445" customFormat="1"/>
    <row r="183" s="445" customFormat="1"/>
    <row r="184" s="445" customFormat="1"/>
    <row r="185" s="445" customFormat="1"/>
    <row r="186" s="445" customFormat="1"/>
    <row r="187" s="445" customFormat="1"/>
    <row r="188" s="445" customFormat="1"/>
    <row r="189" s="445" customFormat="1"/>
    <row r="190" s="445" customFormat="1"/>
    <row r="191" s="445" customFormat="1"/>
    <row r="192" s="445" customFormat="1"/>
    <row r="193" s="445" customFormat="1"/>
    <row r="194" s="445" customFormat="1"/>
    <row r="195" s="445" customFormat="1"/>
    <row r="196" s="445" customFormat="1"/>
    <row r="197" s="445" customFormat="1"/>
    <row r="198" s="445" customFormat="1"/>
    <row r="199" s="445" customFormat="1"/>
    <row r="200" s="445" customFormat="1"/>
    <row r="201" s="445" customFormat="1"/>
    <row r="202" s="445" customFormat="1"/>
    <row r="203" s="445" customFormat="1"/>
    <row r="204" s="445" customFormat="1"/>
    <row r="205" s="445" customFormat="1"/>
    <row r="206" s="445" customFormat="1"/>
    <row r="207" s="445" customFormat="1"/>
    <row r="208" s="445" customFormat="1"/>
    <row r="209" s="445" customFormat="1"/>
    <row r="210" s="445" customFormat="1"/>
    <row r="211" s="445" customFormat="1"/>
    <row r="212" s="445" customFormat="1"/>
    <row r="213" s="445" customFormat="1"/>
    <row r="214" s="445" customFormat="1"/>
    <row r="215" s="445" customFormat="1"/>
    <row r="216" s="445" customFormat="1"/>
    <row r="217" s="445" customFormat="1"/>
    <row r="218" s="445" customFormat="1"/>
    <row r="219" s="445" customFormat="1"/>
    <row r="220" s="445" customFormat="1"/>
    <row r="221" s="445" customFormat="1"/>
    <row r="222" s="445" customFormat="1"/>
    <row r="223" s="445" customFormat="1"/>
    <row r="224" s="445" customFormat="1"/>
    <row r="225" s="445" customFormat="1"/>
    <row r="226" s="445" customFormat="1"/>
    <row r="227" s="445" customFormat="1"/>
    <row r="228" s="445" customFormat="1"/>
    <row r="229" s="445" customFormat="1"/>
    <row r="230" s="445" customFormat="1"/>
    <row r="231" s="445" customFormat="1"/>
    <row r="232" s="445" customFormat="1"/>
    <row r="233" s="445" customFormat="1"/>
    <row r="234" s="445" customFormat="1"/>
    <row r="235" s="445" customFormat="1"/>
    <row r="236" s="445" customFormat="1"/>
    <row r="237" s="445" customFormat="1"/>
    <row r="238" s="445" customFormat="1"/>
    <row r="239" s="445" customFormat="1"/>
    <row r="240" s="445" customFormat="1"/>
    <row r="241" s="445" customFormat="1"/>
    <row r="242" s="445" customFormat="1"/>
    <row r="243" s="445" customFormat="1"/>
    <row r="244" s="445" customFormat="1"/>
    <row r="245" s="445" customFormat="1"/>
    <row r="246" s="445" customFormat="1"/>
    <row r="247" s="445" customFormat="1"/>
    <row r="248" s="445" customFormat="1"/>
    <row r="249" s="445" customFormat="1"/>
    <row r="250" s="445" customFormat="1"/>
    <row r="251" s="445" customFormat="1"/>
    <row r="252" s="445" customFormat="1"/>
    <row r="253" s="445" customFormat="1"/>
    <row r="254" s="445" customFormat="1"/>
    <row r="255" s="445" customFormat="1"/>
    <row r="256" s="445" customFormat="1"/>
    <row r="257" s="445" customFormat="1"/>
    <row r="258" s="445" customFormat="1"/>
    <row r="259" s="445" customFormat="1"/>
    <row r="260" s="445" customFormat="1"/>
    <row r="261" s="445" customFormat="1"/>
    <row r="262" s="445" customFormat="1"/>
    <row r="263" s="445" customFormat="1"/>
    <row r="264" s="445" customFormat="1"/>
    <row r="265" s="445" customFormat="1"/>
    <row r="266" s="445" customFormat="1"/>
    <row r="267" s="445" customFormat="1"/>
    <row r="268" s="445" customFormat="1"/>
    <row r="269" s="445" customFormat="1"/>
    <row r="270" s="445" customFormat="1"/>
    <row r="271" s="445" customFormat="1"/>
    <row r="272" s="445" customFormat="1"/>
    <row r="273" s="445" customFormat="1"/>
    <row r="274" s="445" customFormat="1"/>
    <row r="275" s="445" customFormat="1"/>
    <row r="276" s="445" customFormat="1"/>
    <row r="277" s="445" customFormat="1"/>
    <row r="278" s="445" customFormat="1"/>
    <row r="279" s="445" customFormat="1"/>
    <row r="280" s="445" customFormat="1"/>
    <row r="281" s="445" customFormat="1"/>
    <row r="282" s="445" customFormat="1"/>
    <row r="283" s="445" customFormat="1"/>
    <row r="284" s="445" customFormat="1"/>
    <row r="285" s="445" customFormat="1"/>
    <row r="286" s="445" customFormat="1"/>
    <row r="287" s="445" customFormat="1"/>
    <row r="288" s="445" customFormat="1"/>
    <row r="289" s="445" customFormat="1"/>
    <row r="290" s="445" customFormat="1"/>
    <row r="291" s="445" customFormat="1"/>
    <row r="292" s="445" customFormat="1"/>
    <row r="293" s="445" customFormat="1"/>
    <row r="294" s="445" customFormat="1"/>
    <row r="295" s="445" customFormat="1"/>
    <row r="296" s="445" customFormat="1"/>
    <row r="297" s="445" customFormat="1"/>
    <row r="298" s="445" customFormat="1"/>
    <row r="299" s="445" customFormat="1"/>
    <row r="300" s="445" customFormat="1"/>
    <row r="301" s="445" customFormat="1"/>
    <row r="302" s="445" customFormat="1"/>
    <row r="303" s="445" customFormat="1"/>
    <row r="304" s="445" customFormat="1"/>
    <row r="305" s="445" customFormat="1"/>
    <row r="306" s="445" customFormat="1"/>
    <row r="307" s="445" customFormat="1"/>
    <row r="308" s="445" customFormat="1"/>
    <row r="309" s="445" customFormat="1"/>
    <row r="310" s="445" customFormat="1"/>
    <row r="311" s="445" customFormat="1"/>
    <row r="312" s="445" customFormat="1"/>
    <row r="313" s="445" customFormat="1"/>
    <row r="314" s="445" customFormat="1"/>
    <row r="315" s="445" customFormat="1"/>
    <row r="316" s="445" customFormat="1"/>
    <row r="317" s="445" customFormat="1"/>
    <row r="318" s="445" customFormat="1"/>
    <row r="319" s="445" customFormat="1"/>
    <row r="320" s="445" customFormat="1"/>
    <row r="321" s="445" customFormat="1"/>
    <row r="322" s="445" customFormat="1"/>
    <row r="323" s="445" customFormat="1"/>
    <row r="324" s="445" customFormat="1"/>
    <row r="325" s="445" customFormat="1"/>
    <row r="326" s="445" customFormat="1"/>
    <row r="327" s="445" customFormat="1"/>
    <row r="328" s="445" customFormat="1"/>
    <row r="329" s="445" customFormat="1"/>
    <row r="330" s="445" customFormat="1"/>
    <row r="331" s="445" customFormat="1"/>
    <row r="332" s="445" customFormat="1"/>
    <row r="333" s="445" customFormat="1"/>
    <row r="334" s="445" customFormat="1"/>
    <row r="335" s="445" customFormat="1"/>
    <row r="336" s="445" customFormat="1"/>
    <row r="337" s="445" customFormat="1"/>
    <row r="338" s="445" customFormat="1"/>
    <row r="339" s="445" customFormat="1"/>
    <row r="340" s="445" customFormat="1"/>
    <row r="341" s="445" customFormat="1"/>
    <row r="342" s="445" customFormat="1"/>
    <row r="343" s="445" customFormat="1"/>
    <row r="344" s="445" customFormat="1"/>
    <row r="345" s="445" customFormat="1"/>
    <row r="346" s="445" customFormat="1"/>
    <row r="347" s="445" customFormat="1"/>
    <row r="348" s="445" customFormat="1"/>
    <row r="349" s="445" customFormat="1"/>
    <row r="350" s="445" customFormat="1"/>
    <row r="351" s="445" customFormat="1"/>
    <row r="352" s="445" customFormat="1"/>
    <row r="353" s="445" customFormat="1"/>
    <row r="354" s="445" customFormat="1"/>
    <row r="355" s="445" customFormat="1"/>
    <row r="356" s="445" customFormat="1"/>
    <row r="357" s="445" customFormat="1"/>
    <row r="358" s="445" customFormat="1"/>
    <row r="359" s="445" customFormat="1"/>
    <row r="360" s="445" customFormat="1"/>
    <row r="361" s="445" customFormat="1"/>
    <row r="362" s="445" customFormat="1"/>
    <row r="363" s="445" customFormat="1"/>
    <row r="364" s="445" customFormat="1"/>
    <row r="365" s="445" customFormat="1"/>
    <row r="366" s="445" customFormat="1"/>
    <row r="367" s="445" customFormat="1"/>
    <row r="368" s="445" customFormat="1"/>
    <row r="369" s="445" customFormat="1"/>
    <row r="370" s="445" customFormat="1"/>
    <row r="371" s="445" customFormat="1"/>
    <row r="372" s="445" customFormat="1"/>
    <row r="373" s="445" customFormat="1"/>
    <row r="374" s="445" customFormat="1"/>
    <row r="375" s="445" customFormat="1"/>
    <row r="376" s="445" customFormat="1"/>
    <row r="377" s="445" customFormat="1"/>
    <row r="378" s="445" customFormat="1"/>
    <row r="379" s="445" customFormat="1"/>
    <row r="380" s="445" customFormat="1"/>
    <row r="381" s="445" customFormat="1"/>
    <row r="382" s="445" customFormat="1"/>
    <row r="383" s="445" customFormat="1"/>
    <row r="384" s="445" customFormat="1"/>
    <row r="385" s="445" customFormat="1"/>
    <row r="386" s="445" customFormat="1"/>
    <row r="387" s="445" customFormat="1"/>
    <row r="388" s="445" customFormat="1"/>
    <row r="389" s="445" customFormat="1"/>
    <row r="390" s="445" customFormat="1"/>
    <row r="391" s="445" customFormat="1"/>
    <row r="392" s="445" customFormat="1"/>
    <row r="393" s="445" customFormat="1"/>
    <row r="394" s="445" customFormat="1"/>
    <row r="395" s="445" customFormat="1"/>
    <row r="396" s="445" customFormat="1"/>
    <row r="397" s="445" customFormat="1"/>
    <row r="398" s="445" customFormat="1"/>
    <row r="399" s="445" customFormat="1"/>
    <row r="400" s="445" customFormat="1"/>
    <row r="401" s="445" customFormat="1"/>
    <row r="402" s="445" customFormat="1"/>
    <row r="403" s="445" customFormat="1"/>
    <row r="404" s="445" customFormat="1"/>
    <row r="405" s="445" customFormat="1"/>
    <row r="406" s="445" customFormat="1"/>
    <row r="407" s="445" customFormat="1"/>
    <row r="408" s="445" customFormat="1"/>
    <row r="409" s="445" customFormat="1"/>
    <row r="410" s="445" customFormat="1"/>
    <row r="411" s="445" customFormat="1"/>
    <row r="412" s="445" customFormat="1"/>
    <row r="413" s="445" customFormat="1"/>
    <row r="414" s="445" customFormat="1"/>
    <row r="415" s="445" customFormat="1"/>
    <row r="416" s="445" customFormat="1"/>
    <row r="417" s="445" customFormat="1"/>
    <row r="418" s="445" customFormat="1"/>
    <row r="419" s="445" customFormat="1"/>
    <row r="420" s="445" customFormat="1"/>
    <row r="421" s="445" customFormat="1"/>
    <row r="422" s="445" customFormat="1"/>
    <row r="423" s="445" customFormat="1"/>
    <row r="424" s="445" customFormat="1"/>
    <row r="425" s="445" customFormat="1"/>
    <row r="426" s="445" customFormat="1"/>
    <row r="427" s="445" customFormat="1"/>
    <row r="428" s="445" customFormat="1"/>
    <row r="429" s="445" customFormat="1"/>
    <row r="430" s="445" customFormat="1"/>
    <row r="431" s="445" customFormat="1"/>
    <row r="432" s="445" customFormat="1"/>
    <row r="433" s="445" customFormat="1"/>
    <row r="434" s="445" customFormat="1"/>
    <row r="435" s="445" customFormat="1"/>
    <row r="436" s="445" customFormat="1"/>
    <row r="437" s="445" customFormat="1"/>
    <row r="438" s="445" customFormat="1"/>
    <row r="439" s="445" customFormat="1"/>
    <row r="440" s="445" customFormat="1"/>
    <row r="441" s="445" customFormat="1"/>
    <row r="442" s="445" customFormat="1"/>
    <row r="443" s="445" customFormat="1"/>
    <row r="444" s="445" customFormat="1"/>
    <row r="445" s="445" customFormat="1"/>
    <row r="446" s="445" customFormat="1"/>
    <row r="447" s="445" customFormat="1"/>
    <row r="448" s="445" customFormat="1"/>
    <row r="449" s="445" customFormat="1"/>
    <row r="450" s="445" customFormat="1"/>
    <row r="451" s="445" customFormat="1"/>
    <row r="452" s="445" customFormat="1"/>
    <row r="453" s="445" customFormat="1"/>
    <row r="454" s="445" customFormat="1"/>
    <row r="455" s="445" customFormat="1"/>
    <row r="456" s="445" customFormat="1"/>
    <row r="457" s="445" customFormat="1"/>
    <row r="458" s="445" customFormat="1"/>
    <row r="459" s="445" customFormat="1"/>
    <row r="460" s="445" customFormat="1"/>
    <row r="461" s="445" customFormat="1"/>
    <row r="462" s="445" customFormat="1"/>
    <row r="463" s="445" customFormat="1"/>
    <row r="464" s="445" customFormat="1"/>
    <row r="465" s="445" customFormat="1"/>
    <row r="466" s="445" customFormat="1"/>
    <row r="467" s="445" customFormat="1"/>
    <row r="468" s="445" customFormat="1"/>
    <row r="469" s="445" customFormat="1"/>
    <row r="470" s="445" customFormat="1"/>
    <row r="471" s="445" customFormat="1"/>
    <row r="472" s="445" customFormat="1"/>
    <row r="473" s="445" customFormat="1"/>
    <row r="474" s="445" customFormat="1"/>
    <row r="475" s="445" customFormat="1"/>
    <row r="476" s="445" customFormat="1"/>
    <row r="477" s="445" customFormat="1"/>
    <row r="478" s="445" customFormat="1"/>
    <row r="479" s="445" customFormat="1"/>
    <row r="480" s="445" customFormat="1"/>
    <row r="481" s="445" customFormat="1"/>
    <row r="482" s="445" customFormat="1"/>
    <row r="483" s="445" customFormat="1"/>
    <row r="484" s="445" customFormat="1"/>
    <row r="485" s="445" customFormat="1"/>
    <row r="486" s="445" customFormat="1"/>
    <row r="487" s="445" customFormat="1"/>
    <row r="488" s="445" customFormat="1"/>
    <row r="489" s="445" customFormat="1"/>
    <row r="490" s="445" customFormat="1"/>
    <row r="491" s="445" customFormat="1"/>
    <row r="492" s="445" customFormat="1"/>
    <row r="493" s="445" customFormat="1"/>
    <row r="494" s="445" customFormat="1"/>
    <row r="495" s="445" customFormat="1"/>
    <row r="496" s="445" customFormat="1"/>
    <row r="497" s="445" customFormat="1"/>
    <row r="498" s="445" customFormat="1"/>
    <row r="499" s="445" customFormat="1"/>
    <row r="500" s="445" customFormat="1"/>
    <row r="501" s="445" customFormat="1"/>
    <row r="502" s="445" customFormat="1"/>
    <row r="503" s="445" customFormat="1"/>
    <row r="504" s="445" customFormat="1"/>
    <row r="505" s="445" customFormat="1"/>
    <row r="506" s="445" customFormat="1"/>
    <row r="507" s="445" customFormat="1"/>
    <row r="508" s="445" customFormat="1"/>
    <row r="509" s="445" customFormat="1"/>
    <row r="510" s="445" customFormat="1"/>
    <row r="511" s="445" customFormat="1"/>
    <row r="512" s="445" customFormat="1"/>
    <row r="513" s="445" customFormat="1"/>
    <row r="514" s="445" customFormat="1"/>
    <row r="515" s="445" customFormat="1"/>
    <row r="516" s="445" customFormat="1"/>
    <row r="517" s="445" customFormat="1"/>
    <row r="518" s="445" customFormat="1"/>
    <row r="519" s="445" customFormat="1"/>
    <row r="520" s="445" customFormat="1"/>
    <row r="521" s="445" customFormat="1"/>
    <row r="522" s="445" customFormat="1"/>
    <row r="523" s="445" customFormat="1"/>
    <row r="524" s="445" customFormat="1"/>
    <row r="525" s="445" customFormat="1"/>
    <row r="526" s="445" customFormat="1"/>
    <row r="527" s="445" customFormat="1"/>
    <row r="528" s="445" customFormat="1"/>
    <row r="529" s="445" customFormat="1"/>
    <row r="530" s="445" customFormat="1"/>
    <row r="531" s="445" customFormat="1"/>
    <row r="532" s="445" customFormat="1"/>
    <row r="533" s="445" customFormat="1"/>
    <row r="534" s="445" customFormat="1"/>
    <row r="535" s="445" customFormat="1"/>
    <row r="536" s="445" customFormat="1"/>
    <row r="537" s="445" customFormat="1"/>
    <row r="538" s="445" customFormat="1"/>
    <row r="539" s="445" customFormat="1"/>
    <row r="540" s="445" customFormat="1"/>
    <row r="541" s="445" customFormat="1"/>
    <row r="542" s="445" customFormat="1"/>
    <row r="543" s="445" customFormat="1"/>
    <row r="544" s="445" customFormat="1"/>
    <row r="545" s="445" customFormat="1"/>
    <row r="546" s="445" customFormat="1"/>
    <row r="547" s="445" customFormat="1"/>
    <row r="548" s="445" customFormat="1"/>
    <row r="549" s="445" customFormat="1"/>
    <row r="550" s="445" customFormat="1"/>
    <row r="551" s="445" customFormat="1"/>
    <row r="552" s="445" customFormat="1"/>
    <row r="553" s="445" customFormat="1"/>
    <row r="554" s="445" customFormat="1"/>
    <row r="555" s="445" customFormat="1"/>
    <row r="556" s="445" customFormat="1"/>
    <row r="557" s="445" customFormat="1"/>
    <row r="558" s="445" customFormat="1"/>
    <row r="559" s="445" customFormat="1"/>
    <row r="560" s="445" customFormat="1"/>
    <row r="561" s="445" customFormat="1"/>
    <row r="562" s="445" customFormat="1"/>
    <row r="563" s="445" customFormat="1"/>
    <row r="564" s="445" customFormat="1"/>
    <row r="565" s="445" customFormat="1"/>
    <row r="566" s="445" customFormat="1"/>
    <row r="567" s="445" customFormat="1"/>
    <row r="568" s="445" customFormat="1"/>
    <row r="569" s="445" customFormat="1"/>
    <row r="570" s="445" customFormat="1"/>
    <row r="571" s="445" customFormat="1"/>
    <row r="572" s="445" customFormat="1"/>
    <row r="573" s="445" customFormat="1"/>
    <row r="574" s="445" customFormat="1"/>
    <row r="575" s="445" customFormat="1"/>
    <row r="576" s="445" customFormat="1"/>
    <row r="577" s="445" customFormat="1"/>
    <row r="578" s="445" customFormat="1"/>
    <row r="579" s="445" customFormat="1"/>
    <row r="580" s="445" customFormat="1"/>
    <row r="581" s="445" customFormat="1"/>
    <row r="582" s="445" customFormat="1"/>
    <row r="583" s="445" customFormat="1"/>
    <row r="584" s="445" customFormat="1"/>
    <row r="585" s="445" customFormat="1"/>
    <row r="586" s="445" customFormat="1"/>
    <row r="587" s="445" customFormat="1"/>
    <row r="588" s="445" customFormat="1"/>
    <row r="589" s="445" customFormat="1"/>
    <row r="590" s="445" customFormat="1"/>
    <row r="591" s="445" customFormat="1"/>
    <row r="592" s="445" customFormat="1"/>
    <row r="593" s="445" customFormat="1"/>
    <row r="594" s="445" customFormat="1"/>
    <row r="595" s="445" customFormat="1"/>
    <row r="596" s="445" customFormat="1"/>
    <row r="597" s="445" customFormat="1"/>
    <row r="598" s="445" customFormat="1"/>
    <row r="599" s="445" customFormat="1"/>
    <row r="600" s="445" customFormat="1"/>
    <row r="601" s="445" customFormat="1"/>
    <row r="602" s="445" customFormat="1"/>
    <row r="603" s="445" customFormat="1"/>
    <row r="604" s="445" customFormat="1"/>
    <row r="605" s="445" customFormat="1"/>
    <row r="606" s="445" customFormat="1"/>
    <row r="607" s="445" customFormat="1"/>
    <row r="608" s="445" customFormat="1"/>
    <row r="609" s="445" customFormat="1"/>
    <row r="610" s="445" customFormat="1"/>
    <row r="611" s="445" customFormat="1"/>
    <row r="612" s="445" customFormat="1"/>
    <row r="613" s="445" customFormat="1"/>
    <row r="614" s="445" customFormat="1"/>
    <row r="615" s="445" customFormat="1"/>
    <row r="616" s="445" customFormat="1"/>
    <row r="617" s="445" customFormat="1"/>
    <row r="618" s="445" customFormat="1"/>
    <row r="619" s="445" customFormat="1"/>
    <row r="620" s="445" customFormat="1"/>
    <row r="621" s="445" customFormat="1"/>
    <row r="622" s="445" customFormat="1"/>
    <row r="623" s="445" customFormat="1"/>
    <row r="624" s="445" customFormat="1"/>
    <row r="625" s="445" customFormat="1"/>
    <row r="626" s="445" customFormat="1"/>
    <row r="627" s="445" customFormat="1"/>
    <row r="628" s="445" customFormat="1"/>
    <row r="629" s="445" customFormat="1"/>
    <row r="630" s="445" customFormat="1"/>
    <row r="631" s="445" customFormat="1"/>
    <row r="632" s="445" customFormat="1"/>
    <row r="633" s="445" customFormat="1"/>
    <row r="634" s="445" customFormat="1"/>
    <row r="635" s="445" customFormat="1"/>
    <row r="636" s="445" customFormat="1"/>
    <row r="637" s="445" customFormat="1"/>
    <row r="638" s="445" customFormat="1"/>
    <row r="639" s="445" customFormat="1"/>
    <row r="640" s="445" customFormat="1"/>
    <row r="641" s="445" customFormat="1"/>
    <row r="642" s="445" customFormat="1"/>
    <row r="643" s="445" customFormat="1"/>
    <row r="644" s="445" customFormat="1"/>
    <row r="645" s="445" customFormat="1"/>
    <row r="646" s="445" customFormat="1"/>
    <row r="647" s="445" customFormat="1"/>
    <row r="648" s="445" customFormat="1"/>
    <row r="649" s="445" customFormat="1"/>
    <row r="650" s="445" customFormat="1"/>
    <row r="651" s="445" customFormat="1"/>
    <row r="652" s="445" customFormat="1"/>
    <row r="653" s="445" customFormat="1"/>
    <row r="654" s="445" customFormat="1"/>
    <row r="655" s="445" customFormat="1"/>
    <row r="656" s="445" customFormat="1"/>
    <row r="657" s="445" customFormat="1"/>
    <row r="658" s="445" customFormat="1"/>
    <row r="659" s="445" customFormat="1"/>
    <row r="660" s="445" customFormat="1"/>
    <row r="661" s="445" customFormat="1"/>
    <row r="662" s="445" customFormat="1"/>
    <row r="663" s="445" customFormat="1"/>
    <row r="664" s="445" customFormat="1"/>
    <row r="665" s="445" customFormat="1"/>
    <row r="666" s="445" customFormat="1"/>
    <row r="667" s="445" customFormat="1"/>
    <row r="668" s="445" customFormat="1"/>
    <row r="669" s="445" customFormat="1"/>
    <row r="670" s="445" customFormat="1"/>
    <row r="671" s="445" customFormat="1"/>
    <row r="672" s="445" customFormat="1"/>
    <row r="673" s="445" customFormat="1"/>
    <row r="674" s="445" customFormat="1"/>
    <row r="675" s="445" customFormat="1"/>
    <row r="676" s="445" customFormat="1"/>
    <row r="677" s="445" customFormat="1"/>
    <row r="678" s="445" customFormat="1"/>
    <row r="679" s="445" customFormat="1"/>
    <row r="680" s="445" customFormat="1"/>
    <row r="681" s="445" customFormat="1"/>
    <row r="682" s="445" customFormat="1"/>
    <row r="683" s="445" customFormat="1"/>
    <row r="684" s="445" customFormat="1"/>
    <row r="685" s="445" customFormat="1"/>
    <row r="686" s="445" customFormat="1"/>
    <row r="687" s="445" customFormat="1"/>
    <row r="688" s="445" customFormat="1"/>
    <row r="689" s="445" customFormat="1"/>
    <row r="690" s="445" customFormat="1"/>
    <row r="691" s="445" customFormat="1"/>
    <row r="692" s="445" customFormat="1"/>
    <row r="693" s="445" customFormat="1"/>
    <row r="694" s="445" customFormat="1"/>
    <row r="695" s="445" customFormat="1"/>
    <row r="696" s="445" customFormat="1"/>
    <row r="697" s="445" customFormat="1"/>
    <row r="698" s="445" customFormat="1"/>
    <row r="699" s="445" customFormat="1"/>
    <row r="700" s="445" customFormat="1"/>
    <row r="701" s="445" customFormat="1"/>
    <row r="702" s="445" customFormat="1"/>
    <row r="703" s="445" customFormat="1"/>
    <row r="704" s="445" customFormat="1"/>
    <row r="705" s="445" customFormat="1"/>
    <row r="706" s="445" customFormat="1"/>
    <row r="707" s="445" customFormat="1"/>
    <row r="708" s="445" customFormat="1"/>
    <row r="709" s="445" customFormat="1"/>
    <row r="710" s="445" customFormat="1"/>
    <row r="711" s="445" customFormat="1"/>
    <row r="712" s="445" customFormat="1"/>
    <row r="713" s="445" customFormat="1"/>
    <row r="714" s="445" customFormat="1"/>
    <row r="715" s="445" customFormat="1"/>
    <row r="716" s="445" customFormat="1"/>
    <row r="717" s="445" customFormat="1"/>
    <row r="718" s="445" customFormat="1"/>
    <row r="719" s="445" customFormat="1"/>
    <row r="720" s="445" customFormat="1"/>
    <row r="721" s="445" customFormat="1"/>
    <row r="722" s="445" customFormat="1"/>
    <row r="723" s="445" customFormat="1"/>
    <row r="724" s="445" customFormat="1"/>
    <row r="725" s="445" customFormat="1"/>
    <row r="726" s="445" customFormat="1"/>
    <row r="727" s="445" customFormat="1"/>
    <row r="728" s="445" customFormat="1"/>
  </sheetData>
  <mergeCells count="10">
    <mergeCell ref="B15:G15"/>
    <mergeCell ref="B2:B4"/>
    <mergeCell ref="C2:G2"/>
    <mergeCell ref="H2:L2"/>
    <mergeCell ref="M2:Q2"/>
    <mergeCell ref="R2:T2"/>
    <mergeCell ref="C3:G3"/>
    <mergeCell ref="H3:L3"/>
    <mergeCell ref="M3:Q3"/>
    <mergeCell ref="R3:T3"/>
  </mergeCells>
  <pageMargins left="0.7" right="0.7" top="0.75" bottom="0.75" header="0.3" footer="0.3"/>
  <pageSetup paperSize="9" scale="46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Z72"/>
  <sheetViews>
    <sheetView showGridLines="0" zoomScaleNormal="100" zoomScaleSheetLayoutView="85" workbookViewId="0">
      <pane xSplit="1" ySplit="3" topLeftCell="U4" activePane="bottomRight" state="frozen"/>
      <selection pane="topRight" activeCell="B1" sqref="B1"/>
      <selection pane="bottomLeft" activeCell="A4" sqref="A4"/>
      <selection pane="bottomRight" activeCell="X58" sqref="X58"/>
    </sheetView>
  </sheetViews>
  <sheetFormatPr defaultRowHeight="12.75"/>
  <cols>
    <col min="1" max="1" width="53" style="6" customWidth="1"/>
    <col min="2" max="2" width="11.5" style="7" bestFit="1" customWidth="1"/>
    <col min="3" max="3" width="12.375" style="7" bestFit="1" customWidth="1"/>
    <col min="4" max="4" width="13.625" style="7" customWidth="1"/>
    <col min="5" max="5" width="12.125" style="7" bestFit="1" customWidth="1"/>
    <col min="6" max="8" width="13.625" style="7" customWidth="1"/>
    <col min="9" max="9" width="12.125" style="7" customWidth="1"/>
    <col min="10" max="10" width="13.625" style="7" customWidth="1"/>
    <col min="11" max="12" width="13.625" style="39" customWidth="1"/>
    <col min="13" max="13" width="12.125" style="7" customWidth="1"/>
    <col min="14" max="15" width="13.625" style="7" customWidth="1"/>
    <col min="16" max="16" width="13.625" style="39" customWidth="1"/>
    <col min="17" max="25" width="13.625" style="7" customWidth="1"/>
    <col min="26" max="16384" width="9" style="7"/>
  </cols>
  <sheetData>
    <row r="1" spans="1:494" s="36" customFormat="1" ht="50.25" customHeight="1" thickBot="1">
      <c r="A1" s="5" t="s">
        <v>176</v>
      </c>
      <c r="B1" s="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</row>
    <row r="2" spans="1:494" s="36" customFormat="1" ht="24.95" customHeight="1">
      <c r="A2" s="8" t="s">
        <v>119</v>
      </c>
      <c r="B2" s="539">
        <v>2012</v>
      </c>
      <c r="C2" s="539"/>
      <c r="D2" s="539"/>
      <c r="E2" s="540"/>
      <c r="F2" s="539">
        <v>2013</v>
      </c>
      <c r="G2" s="539"/>
      <c r="H2" s="539"/>
      <c r="I2" s="539"/>
      <c r="J2" s="538">
        <v>2014</v>
      </c>
      <c r="K2" s="539"/>
      <c r="L2" s="539"/>
      <c r="M2" s="540"/>
      <c r="N2" s="542">
        <v>2015</v>
      </c>
      <c r="O2" s="542"/>
      <c r="P2" s="542"/>
      <c r="Q2" s="543"/>
      <c r="R2" s="538">
        <v>2016</v>
      </c>
      <c r="S2" s="539"/>
      <c r="T2" s="539"/>
      <c r="U2" s="540"/>
      <c r="V2" s="538">
        <v>2017</v>
      </c>
      <c r="W2" s="539"/>
      <c r="X2" s="539"/>
      <c r="Y2" s="540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</row>
    <row r="3" spans="1:494" ht="34.5" customHeight="1" thickBot="1">
      <c r="A3" s="9" t="s">
        <v>103</v>
      </c>
      <c r="B3" s="37" t="s">
        <v>120</v>
      </c>
      <c r="C3" s="37" t="s">
        <v>121</v>
      </c>
      <c r="D3" s="37" t="s">
        <v>122</v>
      </c>
      <c r="E3" s="85" t="s">
        <v>123</v>
      </c>
      <c r="F3" s="37" t="s">
        <v>120</v>
      </c>
      <c r="G3" s="37" t="s">
        <v>121</v>
      </c>
      <c r="H3" s="37" t="s">
        <v>122</v>
      </c>
      <c r="I3" s="78" t="s">
        <v>123</v>
      </c>
      <c r="J3" s="86" t="s">
        <v>120</v>
      </c>
      <c r="K3" s="37" t="s">
        <v>121</v>
      </c>
      <c r="L3" s="37" t="s">
        <v>122</v>
      </c>
      <c r="M3" s="87" t="s">
        <v>200</v>
      </c>
      <c r="N3" s="37" t="s">
        <v>120</v>
      </c>
      <c r="O3" s="37" t="s">
        <v>121</v>
      </c>
      <c r="P3" s="37" t="s">
        <v>122</v>
      </c>
      <c r="Q3" s="85" t="s">
        <v>123</v>
      </c>
      <c r="R3" s="37" t="s">
        <v>120</v>
      </c>
      <c r="S3" s="37" t="s">
        <v>121</v>
      </c>
      <c r="T3" s="37" t="s">
        <v>122</v>
      </c>
      <c r="U3" s="85" t="s">
        <v>123</v>
      </c>
      <c r="V3" s="37" t="s">
        <v>120</v>
      </c>
      <c r="W3" s="37" t="s">
        <v>121</v>
      </c>
      <c r="X3" s="37" t="s">
        <v>122</v>
      </c>
      <c r="Y3" s="85" t="s">
        <v>123</v>
      </c>
    </row>
    <row r="4" spans="1:494" s="12" customFormat="1" ht="33.75" customHeight="1" thickBot="1">
      <c r="A4" s="72" t="s">
        <v>4</v>
      </c>
      <c r="B4" s="73"/>
      <c r="C4" s="73"/>
      <c r="D4" s="73"/>
      <c r="E4" s="89"/>
      <c r="F4" s="73"/>
      <c r="G4" s="73"/>
      <c r="H4" s="73"/>
      <c r="I4" s="79"/>
      <c r="J4" s="88"/>
      <c r="K4" s="74"/>
      <c r="L4" s="74"/>
      <c r="M4" s="89"/>
      <c r="N4" s="73"/>
      <c r="O4" s="73"/>
      <c r="P4" s="74"/>
      <c r="Q4" s="89"/>
      <c r="R4" s="73"/>
      <c r="S4" s="73"/>
      <c r="T4" s="73"/>
      <c r="U4" s="89"/>
      <c r="V4" s="73"/>
      <c r="W4" s="73"/>
      <c r="X4" s="73"/>
      <c r="Y4" s="89"/>
    </row>
    <row r="5" spans="1:494" s="12" customFormat="1" ht="20.100000000000001" customHeight="1">
      <c r="A5" s="58" t="s">
        <v>5</v>
      </c>
      <c r="B5" s="42">
        <f>415.308</f>
        <v>415.30799999999999</v>
      </c>
      <c r="C5" s="42">
        <f>419.479</f>
        <v>419.47899999999998</v>
      </c>
      <c r="D5" s="69">
        <f>(425068)*0.001</f>
        <v>425.06799999999998</v>
      </c>
      <c r="E5" s="330">
        <f>(420060)*0.001</f>
        <v>420.06</v>
      </c>
      <c r="F5" s="69">
        <f>(419894)*0.001</f>
        <v>419.89400000000001</v>
      </c>
      <c r="G5" s="69">
        <f>(418521)*0.001</f>
        <v>418.52100000000002</v>
      </c>
      <c r="H5" s="69">
        <f>(409736)*0.001</f>
        <v>409.73599999999999</v>
      </c>
      <c r="I5" s="331">
        <f>(407579)*0.001</f>
        <v>407.57900000000001</v>
      </c>
      <c r="J5" s="332">
        <f>(395393)*0.001</f>
        <v>395.39300000000003</v>
      </c>
      <c r="K5" s="42">
        <v>384.8</v>
      </c>
      <c r="L5" s="42">
        <v>417</v>
      </c>
      <c r="M5" s="90">
        <v>421.1</v>
      </c>
      <c r="N5" s="42">
        <v>416.6</v>
      </c>
      <c r="O5" s="42">
        <v>401.1</v>
      </c>
      <c r="P5" s="42">
        <v>377</v>
      </c>
      <c r="Q5" s="244">
        <v>371</v>
      </c>
      <c r="R5" s="305">
        <v>356.7</v>
      </c>
      <c r="S5" s="305">
        <v>353.3</v>
      </c>
      <c r="T5" s="305">
        <v>350.4</v>
      </c>
      <c r="U5" s="244">
        <v>350.9</v>
      </c>
      <c r="V5" s="305">
        <v>342.2</v>
      </c>
      <c r="W5" s="305">
        <v>332.9</v>
      </c>
      <c r="X5" s="305">
        <v>324</v>
      </c>
      <c r="Y5" s="244"/>
    </row>
    <row r="6" spans="1:494" s="12" customFormat="1" ht="20.100000000000001" customHeight="1">
      <c r="A6" s="58" t="s">
        <v>6</v>
      </c>
      <c r="B6" s="42">
        <f>258.7</f>
        <v>258.7</v>
      </c>
      <c r="C6" s="42">
        <f>258.506</f>
        <v>258.50599999999997</v>
      </c>
      <c r="D6" s="69">
        <f>(257043)*0.001</f>
        <v>257.04300000000001</v>
      </c>
      <c r="E6" s="330">
        <f>(276407)*0.001</f>
        <v>276.40699999999998</v>
      </c>
      <c r="F6" s="69">
        <f>(266252)*0.001</f>
        <v>266.25200000000001</v>
      </c>
      <c r="G6" s="69">
        <f>(265011)*0.001</f>
        <v>265.01100000000002</v>
      </c>
      <c r="H6" s="69">
        <f>(252063)*0.001</f>
        <v>252.06300000000002</v>
      </c>
      <c r="I6" s="331">
        <f>(251152)*0.001</f>
        <v>251.15200000000002</v>
      </c>
      <c r="J6" s="332">
        <f>(248178)*0.001</f>
        <v>248.178</v>
      </c>
      <c r="K6" s="41">
        <v>3010.6</v>
      </c>
      <c r="L6" s="41">
        <v>2933.8</v>
      </c>
      <c r="M6" s="90">
        <v>2714.9</v>
      </c>
      <c r="N6" s="42">
        <v>2855.8</v>
      </c>
      <c r="O6" s="42">
        <v>2541.1999999999998</v>
      </c>
      <c r="P6" s="41">
        <v>2535.1999999999998</v>
      </c>
      <c r="Q6" s="244">
        <v>2548.6</v>
      </c>
      <c r="R6" s="305">
        <v>3002.2</v>
      </c>
      <c r="S6" s="305">
        <v>2931</v>
      </c>
      <c r="T6" s="305">
        <v>2882.8</v>
      </c>
      <c r="U6" s="244">
        <v>2964.3</v>
      </c>
      <c r="V6" s="305">
        <v>2885.9</v>
      </c>
      <c r="W6" s="305">
        <v>2904.7</v>
      </c>
      <c r="X6" s="305">
        <v>2866.4</v>
      </c>
      <c r="Y6" s="244"/>
    </row>
    <row r="7" spans="1:494" s="12" customFormat="1" ht="20.100000000000001" customHeight="1">
      <c r="A7" s="58" t="s">
        <v>9</v>
      </c>
      <c r="B7" s="42">
        <f>2422.989</f>
        <v>2422.989</v>
      </c>
      <c r="C7" s="42">
        <f>2575.456</f>
        <v>2575.4560000000001</v>
      </c>
      <c r="D7" s="42">
        <f>(2575456)*0.001</f>
        <v>2575.4560000000001</v>
      </c>
      <c r="E7" s="90">
        <f>(2568033)*0.001</f>
        <v>2568.0329999999999</v>
      </c>
      <c r="F7" s="42">
        <f>(2568033)*0.001</f>
        <v>2568.0329999999999</v>
      </c>
      <c r="G7" s="42">
        <f>(2568033)*0.001</f>
        <v>2568.0329999999999</v>
      </c>
      <c r="H7" s="42">
        <f>(2637594)*0.001</f>
        <v>2637.5940000000001</v>
      </c>
      <c r="I7" s="90">
        <f>(2602804)*0.001</f>
        <v>2602.8040000000001</v>
      </c>
      <c r="J7" s="42">
        <f>(2602804)*0.001</f>
        <v>2602.8040000000001</v>
      </c>
      <c r="K7" s="41">
        <v>11735.5</v>
      </c>
      <c r="L7" s="41">
        <v>11735.5</v>
      </c>
      <c r="M7" s="90">
        <v>10585.3</v>
      </c>
      <c r="N7" s="42">
        <v>10831.2</v>
      </c>
      <c r="O7" s="42">
        <v>10606.4</v>
      </c>
      <c r="P7" s="41">
        <v>10606.4</v>
      </c>
      <c r="Q7" s="244">
        <v>10606.4</v>
      </c>
      <c r="R7" s="305">
        <v>11675.3</v>
      </c>
      <c r="S7" s="305">
        <v>10975.2</v>
      </c>
      <c r="T7" s="305">
        <v>10975.3</v>
      </c>
      <c r="U7" s="244">
        <v>10975.4</v>
      </c>
      <c r="V7" s="305">
        <v>10975.4</v>
      </c>
      <c r="W7" s="305">
        <v>10975.4</v>
      </c>
      <c r="X7" s="305">
        <v>10975.4</v>
      </c>
      <c r="Y7" s="244"/>
    </row>
    <row r="8" spans="1:494" s="12" customFormat="1" ht="20.100000000000001" customHeight="1">
      <c r="A8" s="58" t="s">
        <v>189</v>
      </c>
      <c r="B8" s="43">
        <f>0</f>
        <v>0</v>
      </c>
      <c r="C8" s="43">
        <v>0</v>
      </c>
      <c r="D8" s="43">
        <f>0</f>
        <v>0</v>
      </c>
      <c r="E8" s="96">
        <v>0</v>
      </c>
      <c r="F8" s="43">
        <f>0</f>
        <v>0</v>
      </c>
      <c r="G8" s="43">
        <f>0</f>
        <v>0</v>
      </c>
      <c r="H8" s="43">
        <f>0</f>
        <v>0</v>
      </c>
      <c r="I8" s="80">
        <f>0</f>
        <v>0</v>
      </c>
      <c r="J8" s="91">
        <v>0</v>
      </c>
      <c r="K8" s="41">
        <v>4482</v>
      </c>
      <c r="L8" s="41">
        <v>4331.8999999999996</v>
      </c>
      <c r="M8" s="90">
        <v>4255.8</v>
      </c>
      <c r="N8" s="45">
        <v>4002.2</v>
      </c>
      <c r="O8" s="45">
        <v>3944.6</v>
      </c>
      <c r="P8" s="41">
        <v>3791.6</v>
      </c>
      <c r="Q8" s="244">
        <v>3638.5</v>
      </c>
      <c r="R8" s="306">
        <v>3488.7</v>
      </c>
      <c r="S8" s="306">
        <v>3337.3</v>
      </c>
      <c r="T8" s="306">
        <v>3184.2</v>
      </c>
      <c r="U8" s="244">
        <v>3031.2</v>
      </c>
      <c r="V8" s="306">
        <v>2883.1</v>
      </c>
      <c r="W8" s="306">
        <v>2762.8</v>
      </c>
      <c r="X8" s="306">
        <v>2660.5</v>
      </c>
      <c r="Y8" s="244"/>
    </row>
    <row r="9" spans="1:494" s="12" customFormat="1" ht="20.100000000000001" customHeight="1">
      <c r="A9" s="58" t="s">
        <v>55</v>
      </c>
      <c r="B9" s="42">
        <f>840</f>
        <v>840</v>
      </c>
      <c r="C9" s="69">
        <f>(840000)*0.001</f>
        <v>840</v>
      </c>
      <c r="D9" s="69">
        <f>(840000)*0.001</f>
        <v>840</v>
      </c>
      <c r="E9" s="330">
        <f>(847800)*0.001</f>
        <v>847.80000000000007</v>
      </c>
      <c r="F9" s="69">
        <f>(847800)*0.001</f>
        <v>847.80000000000007</v>
      </c>
      <c r="G9" s="69">
        <f>(847800)*0.001</f>
        <v>847.80000000000007</v>
      </c>
      <c r="H9" s="69">
        <f>(847800)*0.001</f>
        <v>847.80000000000007</v>
      </c>
      <c r="I9" s="331">
        <f>(890800)*0.001</f>
        <v>890.80000000000007</v>
      </c>
      <c r="J9" s="332">
        <f>(890800)*0.001</f>
        <v>890.80000000000007</v>
      </c>
      <c r="K9" s="46">
        <v>890.8</v>
      </c>
      <c r="L9" s="46">
        <v>890.8</v>
      </c>
      <c r="M9" s="90">
        <v>2085.9</v>
      </c>
      <c r="N9" s="42">
        <v>1783.7</v>
      </c>
      <c r="O9" s="42">
        <v>2092.6999999999998</v>
      </c>
      <c r="P9" s="46">
        <v>2086.6</v>
      </c>
      <c r="Q9" s="244">
        <v>2080.6</v>
      </c>
      <c r="R9" s="305">
        <v>2074.6</v>
      </c>
      <c r="S9" s="305">
        <v>2068.6</v>
      </c>
      <c r="T9" s="305">
        <v>2062.5</v>
      </c>
      <c r="U9" s="244">
        <v>2056.5</v>
      </c>
      <c r="V9" s="305">
        <v>2050.5</v>
      </c>
      <c r="W9" s="305">
        <v>2044.4</v>
      </c>
      <c r="X9" s="305">
        <v>2038.4</v>
      </c>
      <c r="Y9" s="244"/>
    </row>
    <row r="10" spans="1:494" s="12" customFormat="1" ht="20.100000000000001" customHeight="1">
      <c r="A10" s="58" t="s">
        <v>60</v>
      </c>
      <c r="B10" s="42">
        <f>69.466</f>
        <v>69.465999999999994</v>
      </c>
      <c r="C10" s="69">
        <f>(69627)*0.001</f>
        <v>69.626999999999995</v>
      </c>
      <c r="D10" s="69">
        <f>(68459)*0.001</f>
        <v>68.459000000000003</v>
      </c>
      <c r="E10" s="330">
        <f>(81380)*0.001</f>
        <v>81.38</v>
      </c>
      <c r="F10" s="69">
        <f>(82841)*0.001</f>
        <v>82.841000000000008</v>
      </c>
      <c r="G10" s="69">
        <f>(83804)*0.001</f>
        <v>83.804000000000002</v>
      </c>
      <c r="H10" s="69">
        <f>(115337)*0.001</f>
        <v>115.337</v>
      </c>
      <c r="I10" s="331">
        <f>(137401)*0.001</f>
        <v>137.40100000000001</v>
      </c>
      <c r="J10" s="332">
        <f>(136697)*0.001</f>
        <v>136.697</v>
      </c>
      <c r="K10" s="41">
        <v>2360.6</v>
      </c>
      <c r="L10" s="41">
        <v>2624.2</v>
      </c>
      <c r="M10" s="90">
        <v>2591.4</v>
      </c>
      <c r="N10" s="42">
        <v>2527.5</v>
      </c>
      <c r="O10" s="42">
        <v>2525.8000000000002</v>
      </c>
      <c r="P10" s="41">
        <v>2464.1999999999998</v>
      </c>
      <c r="Q10" s="244">
        <v>2422.1999999999998</v>
      </c>
      <c r="R10" s="305">
        <v>2988.7</v>
      </c>
      <c r="S10" s="305">
        <v>3903</v>
      </c>
      <c r="T10" s="305">
        <v>3769.5</v>
      </c>
      <c r="U10" s="244">
        <v>3656.2</v>
      </c>
      <c r="V10" s="305">
        <v>3540.5</v>
      </c>
      <c r="W10" s="305">
        <v>3471.1</v>
      </c>
      <c r="X10" s="305">
        <v>3343.6</v>
      </c>
      <c r="Y10" s="244"/>
    </row>
    <row r="11" spans="1:494" s="12" customFormat="1" ht="20.100000000000001" customHeight="1">
      <c r="A11" s="58" t="s">
        <v>56</v>
      </c>
      <c r="B11" s="42">
        <f>91.415</f>
        <v>91.415000000000006</v>
      </c>
      <c r="C11" s="69">
        <f>(95405)*0.001</f>
        <v>95.405000000000001</v>
      </c>
      <c r="D11" s="69">
        <f>(95323)*0.001</f>
        <v>95.323000000000008</v>
      </c>
      <c r="E11" s="330">
        <f>(97988)*0.001</f>
        <v>97.988</v>
      </c>
      <c r="F11" s="69">
        <f>(104074)*0.001</f>
        <v>104.074</v>
      </c>
      <c r="G11" s="69">
        <f>(115904)*0.001</f>
        <v>115.904</v>
      </c>
      <c r="H11" s="69">
        <f>(82162)*0.001</f>
        <v>82.162000000000006</v>
      </c>
      <c r="I11" s="331">
        <f>(71571)*0.001</f>
        <v>71.570999999999998</v>
      </c>
      <c r="J11" s="332">
        <f>(107548)*0.001</f>
        <v>107.548</v>
      </c>
      <c r="K11" s="46">
        <v>128.1</v>
      </c>
      <c r="L11" s="46">
        <v>148.80000000000001</v>
      </c>
      <c r="M11" s="90">
        <v>135.80000000000001</v>
      </c>
      <c r="N11" s="42">
        <v>158.69999999999999</v>
      </c>
      <c r="O11" s="42">
        <v>174.6</v>
      </c>
      <c r="P11" s="46">
        <v>109</v>
      </c>
      <c r="Q11" s="244">
        <v>145</v>
      </c>
      <c r="R11" s="305">
        <v>129.80000000000001</v>
      </c>
      <c r="S11" s="305">
        <v>156.19999999999999</v>
      </c>
      <c r="T11" s="305">
        <v>125.6</v>
      </c>
      <c r="U11" s="244">
        <v>151.80000000000001</v>
      </c>
      <c r="V11" s="305">
        <v>150</v>
      </c>
      <c r="W11" s="305">
        <v>167.3</v>
      </c>
      <c r="X11" s="305">
        <v>180.5</v>
      </c>
      <c r="Y11" s="244"/>
    </row>
    <row r="12" spans="1:494" s="12" customFormat="1" ht="20.100000000000001" customHeight="1">
      <c r="A12" s="58" t="s">
        <v>7</v>
      </c>
      <c r="B12" s="42">
        <f>8.419</f>
        <v>8.4190000000000005</v>
      </c>
      <c r="C12" s="69">
        <f>(8398)*0.001</f>
        <v>8.3979999999999997</v>
      </c>
      <c r="D12" s="69">
        <f>(8378)*0.001</f>
        <v>8.3780000000000001</v>
      </c>
      <c r="E12" s="330">
        <f>(8357)*0.001</f>
        <v>8.3569999999999993</v>
      </c>
      <c r="F12" s="69">
        <f>(8336)*0.001</f>
        <v>8.3360000000000003</v>
      </c>
      <c r="G12" s="69">
        <f>(7788)*0.001</f>
        <v>7.7880000000000003</v>
      </c>
      <c r="H12" s="69">
        <f>(7427)*0.001</f>
        <v>7.4270000000000005</v>
      </c>
      <c r="I12" s="331">
        <f>(5330)*0.001</f>
        <v>5.33</v>
      </c>
      <c r="J12" s="332">
        <f>(5315)*0.001</f>
        <v>5.3150000000000004</v>
      </c>
      <c r="K12" s="46">
        <v>5.3</v>
      </c>
      <c r="L12" s="46">
        <v>5.3</v>
      </c>
      <c r="M12" s="90">
        <v>5.3</v>
      </c>
      <c r="N12" s="42">
        <v>5.2</v>
      </c>
      <c r="O12" s="42">
        <v>5.2</v>
      </c>
      <c r="P12" s="46">
        <v>5.2</v>
      </c>
      <c r="Q12" s="244">
        <v>5.2</v>
      </c>
      <c r="R12" s="305">
        <v>5.2</v>
      </c>
      <c r="S12" s="305">
        <v>5.2</v>
      </c>
      <c r="T12" s="305">
        <v>5.2</v>
      </c>
      <c r="U12" s="244">
        <v>5.0999999999999996</v>
      </c>
      <c r="V12" s="305">
        <v>5.0999999999999996</v>
      </c>
      <c r="W12" s="305">
        <v>5.0999999999999996</v>
      </c>
      <c r="X12" s="305">
        <v>5.0999999999999996</v>
      </c>
      <c r="Y12" s="244"/>
    </row>
    <row r="13" spans="1:494" s="12" customFormat="1" ht="20.100000000000001" customHeight="1">
      <c r="A13" s="58" t="s">
        <v>190</v>
      </c>
      <c r="B13" s="358">
        <v>0</v>
      </c>
      <c r="C13" s="336">
        <f>(33259)*0.001</f>
        <v>33.259</v>
      </c>
      <c r="D13" s="336">
        <f>(33252)*0.001</f>
        <v>33.252000000000002</v>
      </c>
      <c r="E13" s="337">
        <f>(35125)*0.001</f>
        <v>35.125</v>
      </c>
      <c r="F13" s="336">
        <f>(34399)*0.001</f>
        <v>34.399000000000001</v>
      </c>
      <c r="G13" s="336">
        <f>(32935)*0.001</f>
        <v>32.935000000000002</v>
      </c>
      <c r="H13" s="336">
        <f>(29318)*0.001</f>
        <v>29.318000000000001</v>
      </c>
      <c r="I13" s="338">
        <f>(29551)*0.001</f>
        <v>29.551000000000002</v>
      </c>
      <c r="J13" s="339">
        <f>(26502)*0.001</f>
        <v>26.501999999999999</v>
      </c>
      <c r="K13" s="46">
        <v>46.2</v>
      </c>
      <c r="L13" s="46">
        <v>67</v>
      </c>
      <c r="M13" s="90">
        <v>81</v>
      </c>
      <c r="N13" s="42">
        <v>84.1</v>
      </c>
      <c r="O13" s="42">
        <v>82.3</v>
      </c>
      <c r="P13" s="46">
        <v>81.2</v>
      </c>
      <c r="Q13" s="244">
        <v>83.3</v>
      </c>
      <c r="R13" s="305">
        <v>81.099999999999994</v>
      </c>
      <c r="S13" s="305">
        <v>79.7</v>
      </c>
      <c r="T13" s="305">
        <v>80.400000000000006</v>
      </c>
      <c r="U13" s="244">
        <v>82.8</v>
      </c>
      <c r="V13" s="305">
        <v>83.8</v>
      </c>
      <c r="W13" s="305">
        <v>82.9</v>
      </c>
      <c r="X13" s="305">
        <v>85.8</v>
      </c>
      <c r="Y13" s="244"/>
    </row>
    <row r="14" spans="1:494" s="12" customFormat="1" ht="20.100000000000001" customHeight="1">
      <c r="A14" s="58" t="s">
        <v>177</v>
      </c>
      <c r="B14" s="51">
        <v>0</v>
      </c>
      <c r="C14" s="51">
        <v>0</v>
      </c>
      <c r="D14" s="51">
        <v>0</v>
      </c>
      <c r="E14" s="359">
        <v>0</v>
      </c>
      <c r="F14" s="51">
        <v>0</v>
      </c>
      <c r="G14" s="51">
        <v>0</v>
      </c>
      <c r="H14" s="51">
        <v>0</v>
      </c>
      <c r="I14" s="359">
        <v>0</v>
      </c>
      <c r="J14" s="51">
        <v>0</v>
      </c>
      <c r="K14" s="51">
        <v>0</v>
      </c>
      <c r="L14" s="51">
        <v>0</v>
      </c>
      <c r="M14" s="359">
        <v>0</v>
      </c>
      <c r="N14" s="51">
        <v>0</v>
      </c>
      <c r="O14" s="51">
        <v>0</v>
      </c>
      <c r="P14" s="51">
        <v>0</v>
      </c>
      <c r="Q14" s="359">
        <v>0</v>
      </c>
      <c r="R14" s="305">
        <v>180.5</v>
      </c>
      <c r="S14" s="305">
        <v>0</v>
      </c>
      <c r="T14" s="305">
        <v>0</v>
      </c>
      <c r="U14" s="244">
        <v>0</v>
      </c>
      <c r="V14" s="305">
        <v>0</v>
      </c>
      <c r="W14" s="305">
        <v>0</v>
      </c>
      <c r="X14" s="305">
        <v>0</v>
      </c>
      <c r="Y14" s="244"/>
    </row>
    <row r="15" spans="1:494" s="12" customFormat="1" ht="20.100000000000001" customHeight="1">
      <c r="A15" s="58" t="s">
        <v>191</v>
      </c>
      <c r="B15" s="42">
        <f>92.159</f>
        <v>92.159000000000006</v>
      </c>
      <c r="C15" s="69">
        <f>(84770)*0.001</f>
        <v>84.77</v>
      </c>
      <c r="D15" s="69">
        <f>(116704)*0.001</f>
        <v>116.70400000000001</v>
      </c>
      <c r="E15" s="330">
        <f>(109642)*0.001</f>
        <v>109.642</v>
      </c>
      <c r="F15" s="69">
        <f>(62960)*0.001</f>
        <v>62.96</v>
      </c>
      <c r="G15" s="69">
        <f>(61422)*0.001</f>
        <v>61.422000000000004</v>
      </c>
      <c r="H15" s="69">
        <f>(27107)*0.001</f>
        <v>27.106999999999999</v>
      </c>
      <c r="I15" s="331">
        <f>(20803)*0.001</f>
        <v>20.803000000000001</v>
      </c>
      <c r="J15" s="332">
        <f>(6430)*0.001</f>
        <v>6.43</v>
      </c>
      <c r="K15" s="46">
        <v>107.4</v>
      </c>
      <c r="L15" s="46">
        <v>141.4</v>
      </c>
      <c r="M15" s="90">
        <v>198.5</v>
      </c>
      <c r="N15" s="42">
        <v>238</v>
      </c>
      <c r="O15" s="42">
        <v>232.8</v>
      </c>
      <c r="P15" s="46">
        <v>232.7</v>
      </c>
      <c r="Q15" s="244">
        <v>272.8</v>
      </c>
      <c r="R15" s="305">
        <v>295.39999999999998</v>
      </c>
      <c r="S15" s="305">
        <v>331.8</v>
      </c>
      <c r="T15" s="305">
        <v>373.3</v>
      </c>
      <c r="U15" s="244">
        <v>452</v>
      </c>
      <c r="V15" s="305">
        <v>476.3</v>
      </c>
      <c r="W15" s="305">
        <v>508.1</v>
      </c>
      <c r="X15" s="305">
        <v>544.20000000000005</v>
      </c>
      <c r="Y15" s="244"/>
    </row>
    <row r="16" spans="1:494" s="38" customFormat="1" ht="20.100000000000001" customHeight="1">
      <c r="A16" s="63" t="s">
        <v>97</v>
      </c>
      <c r="B16" s="48">
        <v>0</v>
      </c>
      <c r="C16" s="48">
        <v>0</v>
      </c>
      <c r="D16" s="48">
        <v>0</v>
      </c>
      <c r="E16" s="106">
        <v>0</v>
      </c>
      <c r="F16" s="48">
        <v>0</v>
      </c>
      <c r="G16" s="48">
        <v>0</v>
      </c>
      <c r="H16" s="48">
        <v>0</v>
      </c>
      <c r="I16" s="81">
        <v>0</v>
      </c>
      <c r="J16" s="92">
        <v>0</v>
      </c>
      <c r="K16" s="48">
        <v>0</v>
      </c>
      <c r="L16" s="48">
        <v>0</v>
      </c>
      <c r="M16" s="93">
        <v>1.2</v>
      </c>
      <c r="N16" s="48">
        <v>0</v>
      </c>
      <c r="O16" s="48">
        <v>0</v>
      </c>
      <c r="P16" s="48">
        <v>0</v>
      </c>
      <c r="Q16" s="245">
        <v>6.9</v>
      </c>
      <c r="R16" s="307">
        <v>0.6</v>
      </c>
      <c r="S16" s="307">
        <v>0</v>
      </c>
      <c r="T16" s="307">
        <v>3.5</v>
      </c>
      <c r="U16" s="245">
        <v>9.5</v>
      </c>
      <c r="V16" s="307">
        <v>7.8</v>
      </c>
      <c r="W16" s="307">
        <v>4.9000000000000004</v>
      </c>
      <c r="X16" s="307">
        <v>2.5</v>
      </c>
      <c r="Y16" s="245"/>
    </row>
    <row r="17" spans="1:25" s="12" customFormat="1" ht="20.100000000000001" customHeight="1" thickBot="1">
      <c r="A17" s="59" t="s">
        <v>8</v>
      </c>
      <c r="B17" s="50">
        <f>30.5</f>
        <v>30.5</v>
      </c>
      <c r="C17" s="69">
        <f>(40245)*0.001</f>
        <v>40.244999999999997</v>
      </c>
      <c r="D17" s="69">
        <f>(37018)*0.001</f>
        <v>37.018000000000001</v>
      </c>
      <c r="E17" s="330">
        <f>(31356)*0.001</f>
        <v>31.356000000000002</v>
      </c>
      <c r="F17" s="69">
        <f>(30260)*0.001</f>
        <v>30.26</v>
      </c>
      <c r="G17" s="69">
        <f>(27326)*0.001</f>
        <v>27.326000000000001</v>
      </c>
      <c r="H17" s="69">
        <f>(27552)*0.001</f>
        <v>27.552</v>
      </c>
      <c r="I17" s="331">
        <f>(38854)*0.001</f>
        <v>38.853999999999999</v>
      </c>
      <c r="J17" s="332">
        <f>(34685)*0.001</f>
        <v>34.685000000000002</v>
      </c>
      <c r="K17" s="49">
        <v>240.5</v>
      </c>
      <c r="L17" s="49">
        <v>285.7</v>
      </c>
      <c r="M17" s="94">
        <v>281.10000000000002</v>
      </c>
      <c r="N17" s="50">
        <v>229</v>
      </c>
      <c r="O17" s="50">
        <v>260.89999999999998</v>
      </c>
      <c r="P17" s="49">
        <v>107.2</v>
      </c>
      <c r="Q17" s="244">
        <v>87.6</v>
      </c>
      <c r="R17" s="308">
        <v>211.3</v>
      </c>
      <c r="S17" s="308">
        <v>236.5</v>
      </c>
      <c r="T17" s="308">
        <v>238.4</v>
      </c>
      <c r="U17" s="244">
        <v>232.7</v>
      </c>
      <c r="V17" s="305">
        <v>249.3</v>
      </c>
      <c r="W17" s="308">
        <v>199.9</v>
      </c>
      <c r="X17" s="308">
        <v>192.1</v>
      </c>
      <c r="Y17" s="244"/>
    </row>
    <row r="18" spans="1:25" s="15" customFormat="1" ht="24.95" customHeight="1" thickBot="1">
      <c r="A18" s="13" t="s">
        <v>10</v>
      </c>
      <c r="B18" s="62">
        <f t="shared" ref="B18:I18" si="0">(SUM(B5:B17))</f>
        <v>4228.9560000000001</v>
      </c>
      <c r="C18" s="62">
        <f t="shared" si="0"/>
        <v>4425.1450000000004</v>
      </c>
      <c r="D18" s="62">
        <f t="shared" si="0"/>
        <v>4456.701</v>
      </c>
      <c r="E18" s="84">
        <f t="shared" si="0"/>
        <v>4476.1480000000001</v>
      </c>
      <c r="F18" s="62">
        <f t="shared" si="0"/>
        <v>4424.8490000000011</v>
      </c>
      <c r="G18" s="62">
        <f t="shared" si="0"/>
        <v>4428.5439999999999</v>
      </c>
      <c r="H18" s="62">
        <f t="shared" si="0"/>
        <v>4436.0960000000005</v>
      </c>
      <c r="I18" s="62">
        <f t="shared" si="0"/>
        <v>4455.8450000000003</v>
      </c>
      <c r="J18" s="333">
        <f>(SUM(J5:J17))</f>
        <v>4454.3520000000008</v>
      </c>
      <c r="K18" s="61">
        <f t="shared" ref="K18:L18" si="1">SUM(K5:K17)</f>
        <v>23391.8</v>
      </c>
      <c r="L18" s="61">
        <f t="shared" si="1"/>
        <v>23581.399999999998</v>
      </c>
      <c r="M18" s="84">
        <f t="shared" ref="M18:R18" si="2">(SUM(M5:M17))-M16</f>
        <v>23356.1</v>
      </c>
      <c r="N18" s="62">
        <f t="shared" si="2"/>
        <v>23132</v>
      </c>
      <c r="O18" s="62">
        <f t="shared" si="2"/>
        <v>22867.599999999999</v>
      </c>
      <c r="P18" s="62">
        <f t="shared" si="2"/>
        <v>22396.3</v>
      </c>
      <c r="Q18" s="246">
        <f t="shared" si="2"/>
        <v>22261.199999999997</v>
      </c>
      <c r="R18" s="309">
        <f t="shared" si="2"/>
        <v>24489.499999999996</v>
      </c>
      <c r="S18" s="309">
        <f t="shared" ref="S18:X18" si="3">(SUM(S5:S17))-S16</f>
        <v>24377.8</v>
      </c>
      <c r="T18" s="309">
        <f t="shared" si="3"/>
        <v>24047.600000000002</v>
      </c>
      <c r="U18" s="246">
        <f t="shared" si="3"/>
        <v>23958.899999999998</v>
      </c>
      <c r="V18" s="309">
        <f t="shared" si="3"/>
        <v>23642.099999999995</v>
      </c>
      <c r="W18" s="309">
        <f t="shared" si="3"/>
        <v>23454.6</v>
      </c>
      <c r="X18" s="309">
        <f t="shared" si="3"/>
        <v>23215.999999999996</v>
      </c>
      <c r="Y18" s="246"/>
    </row>
    <row r="19" spans="1:25" s="15" customFormat="1" ht="20.100000000000001" customHeight="1">
      <c r="A19" s="57" t="s">
        <v>57</v>
      </c>
      <c r="B19" s="40">
        <f>176.114</f>
        <v>176.114</v>
      </c>
      <c r="C19" s="69">
        <f>(167251)*0.001</f>
        <v>167.251</v>
      </c>
      <c r="D19" s="69">
        <f>(171461)*0.001</f>
        <v>171.46100000000001</v>
      </c>
      <c r="E19" s="330">
        <f>(141652)*0.001</f>
        <v>141.65200000000002</v>
      </c>
      <c r="F19" s="69">
        <f>(155399)*0.001</f>
        <v>155.399</v>
      </c>
      <c r="G19" s="69">
        <f>(170743)*0.001</f>
        <v>170.74299999999999</v>
      </c>
      <c r="H19" s="69">
        <f>(208533)*0.001</f>
        <v>208.53300000000002</v>
      </c>
      <c r="I19" s="331">
        <f>(181341)*0.001</f>
        <v>181.34100000000001</v>
      </c>
      <c r="J19" s="332">
        <f>(228936)*0.001</f>
        <v>228.93600000000001</v>
      </c>
      <c r="K19" s="64">
        <v>199.1</v>
      </c>
      <c r="L19" s="64">
        <v>172.6</v>
      </c>
      <c r="M19" s="95">
        <v>152.1</v>
      </c>
      <c r="N19" s="40">
        <v>163.1</v>
      </c>
      <c r="O19" s="40">
        <v>170.4</v>
      </c>
      <c r="P19" s="64">
        <v>255.6</v>
      </c>
      <c r="Q19" s="244">
        <v>192.2</v>
      </c>
      <c r="R19" s="310">
        <v>234.7</v>
      </c>
      <c r="S19" s="310">
        <v>163.5</v>
      </c>
      <c r="T19" s="310">
        <v>219.1</v>
      </c>
      <c r="U19" s="244">
        <v>192</v>
      </c>
      <c r="V19" s="310">
        <v>179.8</v>
      </c>
      <c r="W19" s="310">
        <v>214.3</v>
      </c>
      <c r="X19" s="310">
        <v>243.6</v>
      </c>
      <c r="Y19" s="244"/>
    </row>
    <row r="20" spans="1:25" s="12" customFormat="1" ht="20.100000000000001" customHeight="1">
      <c r="A20" s="58" t="s">
        <v>11</v>
      </c>
      <c r="B20" s="42">
        <f>185.376</f>
        <v>185.376</v>
      </c>
      <c r="C20" s="69">
        <f>(185528)*0.001</f>
        <v>185.52799999999999</v>
      </c>
      <c r="D20" s="69">
        <f>(177054)*0.001</f>
        <v>177.054</v>
      </c>
      <c r="E20" s="330">
        <f>(161974)*0.001</f>
        <v>161.97399999999999</v>
      </c>
      <c r="F20" s="69">
        <f>(150701)*0.001</f>
        <v>150.70099999999999</v>
      </c>
      <c r="G20" s="69">
        <f>(157445)*0.001</f>
        <v>157.44499999999999</v>
      </c>
      <c r="H20" s="69">
        <f>(155698)*0.001</f>
        <v>155.69800000000001</v>
      </c>
      <c r="I20" s="331">
        <f>(146771)*0.001</f>
        <v>146.77100000000002</v>
      </c>
      <c r="J20" s="332">
        <f>(163072)*0.001</f>
        <v>163.072</v>
      </c>
      <c r="K20" s="41">
        <v>343.8</v>
      </c>
      <c r="L20" s="41">
        <v>316.60000000000002</v>
      </c>
      <c r="M20" s="90">
        <v>301.39999999999998</v>
      </c>
      <c r="N20" s="42">
        <v>252.9</v>
      </c>
      <c r="O20" s="42">
        <v>261.7</v>
      </c>
      <c r="P20" s="41">
        <v>264.10000000000002</v>
      </c>
      <c r="Q20" s="244">
        <v>281</v>
      </c>
      <c r="R20" s="305">
        <v>260.2</v>
      </c>
      <c r="S20" s="305">
        <v>270</v>
      </c>
      <c r="T20" s="305">
        <v>281</v>
      </c>
      <c r="U20" s="244">
        <v>278.7</v>
      </c>
      <c r="V20" s="305">
        <v>237.2</v>
      </c>
      <c r="W20" s="305">
        <v>279</v>
      </c>
      <c r="X20" s="305">
        <v>295.60000000000002</v>
      </c>
      <c r="Y20" s="244"/>
    </row>
    <row r="21" spans="1:25" s="12" customFormat="1" ht="20.100000000000001" customHeight="1">
      <c r="A21" s="58" t="s">
        <v>62</v>
      </c>
      <c r="B21" s="42">
        <f>1.102</f>
        <v>1.1020000000000001</v>
      </c>
      <c r="C21" s="43">
        <f>0</f>
        <v>0</v>
      </c>
      <c r="D21" s="43">
        <f>0</f>
        <v>0</v>
      </c>
      <c r="E21" s="96">
        <f>0</f>
        <v>0</v>
      </c>
      <c r="F21" s="43">
        <f>0</f>
        <v>0</v>
      </c>
      <c r="G21" s="43">
        <f>0</f>
        <v>0</v>
      </c>
      <c r="H21" s="43">
        <f>0</f>
        <v>0</v>
      </c>
      <c r="I21" s="80">
        <v>0</v>
      </c>
      <c r="J21" s="91">
        <v>0</v>
      </c>
      <c r="K21" s="51">
        <v>0</v>
      </c>
      <c r="L21" s="51">
        <v>0</v>
      </c>
      <c r="M21" s="96">
        <f>0*($A$71)</f>
        <v>0</v>
      </c>
      <c r="N21" s="43">
        <f>0*($A$71)</f>
        <v>0</v>
      </c>
      <c r="O21" s="43">
        <v>0</v>
      </c>
      <c r="P21" s="51">
        <v>0</v>
      </c>
      <c r="Q21" s="244">
        <v>0</v>
      </c>
      <c r="R21" s="306">
        <v>0</v>
      </c>
      <c r="S21" s="306">
        <v>0</v>
      </c>
      <c r="T21" s="306">
        <v>0</v>
      </c>
      <c r="U21" s="244">
        <v>0</v>
      </c>
      <c r="V21" s="306">
        <v>0</v>
      </c>
      <c r="W21" s="306">
        <v>0</v>
      </c>
      <c r="X21" s="306">
        <v>0</v>
      </c>
      <c r="Y21" s="244"/>
    </row>
    <row r="22" spans="1:25" s="12" customFormat="1" ht="20.100000000000001" customHeight="1">
      <c r="A22" s="58" t="s">
        <v>192</v>
      </c>
      <c r="B22" s="42">
        <f>342.386</f>
        <v>342.38600000000002</v>
      </c>
      <c r="C22" s="69">
        <f>(382365)*0.001</f>
        <v>382.36500000000001</v>
      </c>
      <c r="D22" s="69">
        <f>(376949)*0.001</f>
        <v>376.94900000000001</v>
      </c>
      <c r="E22" s="330">
        <f>(375659)*0.001</f>
        <v>375.65899999999999</v>
      </c>
      <c r="F22" s="69">
        <f>(403593)*0.001</f>
        <v>403.59300000000002</v>
      </c>
      <c r="G22" s="69">
        <f>(410902)*0.001</f>
        <v>410.90199999999999</v>
      </c>
      <c r="H22" s="69">
        <f>(401503)*0.001</f>
        <v>401.50299999999999</v>
      </c>
      <c r="I22" s="331">
        <f>(374424)*0.001</f>
        <v>374.42400000000004</v>
      </c>
      <c r="J22" s="332">
        <f>(398589)*0.001</f>
        <v>398.589</v>
      </c>
      <c r="K22" s="41">
        <v>1374.4</v>
      </c>
      <c r="L22" s="41">
        <v>1369.9</v>
      </c>
      <c r="M22" s="90">
        <v>1453.4</v>
      </c>
      <c r="N22" s="42">
        <v>1599.5</v>
      </c>
      <c r="O22" s="42">
        <v>1988.6</v>
      </c>
      <c r="P22" s="41">
        <v>1699.4</v>
      </c>
      <c r="Q22" s="244">
        <v>1619.1</v>
      </c>
      <c r="R22" s="305">
        <v>1503.9</v>
      </c>
      <c r="S22" s="305">
        <v>1541.1</v>
      </c>
      <c r="T22" s="305">
        <v>1571.8</v>
      </c>
      <c r="U22" s="244">
        <v>1688</v>
      </c>
      <c r="V22" s="305">
        <v>1608.5</v>
      </c>
      <c r="W22" s="305">
        <v>1727</v>
      </c>
      <c r="X22" s="305">
        <v>1758.5</v>
      </c>
      <c r="Y22" s="244"/>
    </row>
    <row r="23" spans="1:25" s="12" customFormat="1" ht="20.100000000000001" customHeight="1">
      <c r="A23" s="58" t="s">
        <v>72</v>
      </c>
      <c r="B23" s="42">
        <f>9.894</f>
        <v>9.8940000000000001</v>
      </c>
      <c r="C23" s="69">
        <f>(263)*0.001</f>
        <v>0.26300000000000001</v>
      </c>
      <c r="D23" s="69">
        <f>(321)*0.001</f>
        <v>0.32100000000000001</v>
      </c>
      <c r="E23" s="330">
        <f>(6494)*0.001</f>
        <v>6.4939999999999998</v>
      </c>
      <c r="F23" s="69">
        <f>(1372)*0.001</f>
        <v>1.3720000000000001</v>
      </c>
      <c r="G23" s="69">
        <f>(1952)*0.001</f>
        <v>1.952</v>
      </c>
      <c r="H23" s="69">
        <f>(1195)*0.001</f>
        <v>1.1950000000000001</v>
      </c>
      <c r="I23" s="331">
        <f>(183)*0.001</f>
        <v>0.183</v>
      </c>
      <c r="J23" s="332">
        <f>(365)*0.001</f>
        <v>0.36499999999999999</v>
      </c>
      <c r="K23" s="41">
        <v>28</v>
      </c>
      <c r="L23" s="41">
        <v>26</v>
      </c>
      <c r="M23" s="90">
        <v>26</v>
      </c>
      <c r="N23" s="42">
        <v>28.9</v>
      </c>
      <c r="O23" s="42">
        <v>1.5</v>
      </c>
      <c r="P23" s="41">
        <v>0.7</v>
      </c>
      <c r="Q23" s="244">
        <v>0.7</v>
      </c>
      <c r="R23" s="305">
        <v>1.9</v>
      </c>
      <c r="S23" s="305">
        <v>1.4</v>
      </c>
      <c r="T23" s="305">
        <v>0.9</v>
      </c>
      <c r="U23" s="244">
        <v>29.1</v>
      </c>
      <c r="V23" s="305">
        <v>30.3</v>
      </c>
      <c r="W23" s="305">
        <v>17</v>
      </c>
      <c r="X23" s="305">
        <v>25.3</v>
      </c>
      <c r="Y23" s="244"/>
    </row>
    <row r="24" spans="1:25" s="12" customFormat="1" ht="20.100000000000001" customHeight="1">
      <c r="A24" s="58" t="s">
        <v>193</v>
      </c>
      <c r="B24" s="43">
        <v>0</v>
      </c>
      <c r="C24" s="69">
        <f>(53916)*0.001</f>
        <v>53.916000000000004</v>
      </c>
      <c r="D24" s="69">
        <f>(54038)*0.001</f>
        <v>54.038000000000004</v>
      </c>
      <c r="E24" s="330">
        <f>(57096)*0.001</f>
        <v>57.096000000000004</v>
      </c>
      <c r="F24" s="69">
        <f>(60035)*0.001</f>
        <v>60.035000000000004</v>
      </c>
      <c r="G24" s="69">
        <f>(63564)*0.001</f>
        <v>63.564</v>
      </c>
      <c r="H24" s="69">
        <f>(65852)*0.001</f>
        <v>65.852000000000004</v>
      </c>
      <c r="I24" s="331">
        <f>(70055)*0.001</f>
        <v>70.055000000000007</v>
      </c>
      <c r="J24" s="332">
        <f>(70958)*0.001</f>
        <v>70.957999999999998</v>
      </c>
      <c r="K24" s="41">
        <v>91.2</v>
      </c>
      <c r="L24" s="41">
        <v>117.3</v>
      </c>
      <c r="M24" s="90">
        <v>141.69999999999999</v>
      </c>
      <c r="N24" s="42">
        <v>165.3</v>
      </c>
      <c r="O24" s="42">
        <v>186.1</v>
      </c>
      <c r="P24" s="41">
        <v>200.4</v>
      </c>
      <c r="Q24" s="244">
        <v>212.7</v>
      </c>
      <c r="R24" s="305">
        <v>213.3</v>
      </c>
      <c r="S24" s="305">
        <v>209.1</v>
      </c>
      <c r="T24" s="305">
        <v>207.6</v>
      </c>
      <c r="U24" s="244">
        <v>207.2</v>
      </c>
      <c r="V24" s="305">
        <v>205.7</v>
      </c>
      <c r="W24" s="305">
        <v>202.3</v>
      </c>
      <c r="X24" s="305">
        <v>203.5</v>
      </c>
      <c r="Y24" s="244"/>
    </row>
    <row r="25" spans="1:25" s="12" customFormat="1" ht="20.100000000000001" customHeight="1">
      <c r="A25" s="58" t="s">
        <v>194</v>
      </c>
      <c r="B25" s="42">
        <f>136.299</f>
        <v>136.29900000000001</v>
      </c>
      <c r="C25" s="69">
        <f>(73814)*0.001</f>
        <v>73.814000000000007</v>
      </c>
      <c r="D25" s="69">
        <f>(53239)*0.001</f>
        <v>53.239000000000004</v>
      </c>
      <c r="E25" s="330">
        <f>(71968)*0.001</f>
        <v>71.968000000000004</v>
      </c>
      <c r="F25" s="69">
        <f>(109187)*0.001</f>
        <v>109.187</v>
      </c>
      <c r="G25" s="69">
        <f>(93754)*0.001</f>
        <v>93.754000000000005</v>
      </c>
      <c r="H25" s="69">
        <f>(113708)*0.001</f>
        <v>113.708</v>
      </c>
      <c r="I25" s="331">
        <f>(105360)*0.001</f>
        <v>105.36</v>
      </c>
      <c r="J25" s="332">
        <f>(106732)*0.001</f>
        <v>106.732</v>
      </c>
      <c r="K25" s="41">
        <v>221.9</v>
      </c>
      <c r="L25" s="41">
        <v>224.2</v>
      </c>
      <c r="M25" s="90">
        <v>160.1</v>
      </c>
      <c r="N25" s="42">
        <v>212.9</v>
      </c>
      <c r="O25" s="42">
        <v>226.2</v>
      </c>
      <c r="P25" s="41">
        <v>255</v>
      </c>
      <c r="Q25" s="244">
        <v>399.5</v>
      </c>
      <c r="R25" s="305">
        <v>69.599999999999994</v>
      </c>
      <c r="S25" s="305">
        <v>62.8</v>
      </c>
      <c r="T25" s="305">
        <v>54.9</v>
      </c>
      <c r="U25" s="244">
        <v>38.700000000000003</v>
      </c>
      <c r="V25" s="305">
        <v>72.3</v>
      </c>
      <c r="W25" s="305">
        <v>60.7</v>
      </c>
      <c r="X25" s="305">
        <v>61.7</v>
      </c>
      <c r="Y25" s="244"/>
    </row>
    <row r="26" spans="1:25" s="38" customFormat="1" ht="20.100000000000001" customHeight="1">
      <c r="A26" s="63" t="s">
        <v>97</v>
      </c>
      <c r="B26" s="43">
        <v>0</v>
      </c>
      <c r="C26" s="43">
        <f>0</f>
        <v>0</v>
      </c>
      <c r="D26" s="43">
        <v>0</v>
      </c>
      <c r="E26" s="107">
        <f>0</f>
        <v>0</v>
      </c>
      <c r="F26" s="43">
        <f>0</f>
        <v>0</v>
      </c>
      <c r="G26" s="43">
        <v>0</v>
      </c>
      <c r="H26" s="43">
        <f>0</f>
        <v>0</v>
      </c>
      <c r="I26" s="82">
        <v>0</v>
      </c>
      <c r="J26" s="91">
        <v>0</v>
      </c>
      <c r="K26" s="43">
        <f>0*($A$71)</f>
        <v>0</v>
      </c>
      <c r="L26" s="43">
        <f>0*($A$71)</f>
        <v>0</v>
      </c>
      <c r="M26" s="93">
        <v>22.2</v>
      </c>
      <c r="N26" s="47">
        <v>26.3</v>
      </c>
      <c r="O26" s="47">
        <v>27.3</v>
      </c>
      <c r="P26" s="52">
        <v>3.8</v>
      </c>
      <c r="Q26" s="245">
        <v>10.5</v>
      </c>
      <c r="R26" s="307">
        <v>0.2</v>
      </c>
      <c r="S26" s="307">
        <v>3.6</v>
      </c>
      <c r="T26" s="307">
        <v>4.8</v>
      </c>
      <c r="U26" s="245">
        <v>6.7</v>
      </c>
      <c r="V26" s="307">
        <v>4.9000000000000004</v>
      </c>
      <c r="W26" s="307">
        <v>5.3</v>
      </c>
      <c r="X26" s="307">
        <v>6.4</v>
      </c>
      <c r="Y26" s="245"/>
    </row>
    <row r="27" spans="1:25" s="12" customFormat="1" ht="20.100000000000001" customHeight="1">
      <c r="A27" s="58" t="s">
        <v>89</v>
      </c>
      <c r="B27" s="43">
        <v>0</v>
      </c>
      <c r="C27" s="43">
        <f>0</f>
        <v>0</v>
      </c>
      <c r="D27" s="43">
        <v>0</v>
      </c>
      <c r="E27" s="96">
        <v>0</v>
      </c>
      <c r="F27" s="43">
        <f>0</f>
        <v>0</v>
      </c>
      <c r="G27" s="43">
        <v>0</v>
      </c>
      <c r="H27" s="43">
        <f>0</f>
        <v>0</v>
      </c>
      <c r="I27" s="80">
        <v>0</v>
      </c>
      <c r="J27" s="91">
        <v>0</v>
      </c>
      <c r="K27" s="53">
        <v>270</v>
      </c>
      <c r="L27" s="53">
        <v>30</v>
      </c>
      <c r="M27" s="96">
        <f>0*($A$71)</f>
        <v>0</v>
      </c>
      <c r="N27" s="42">
        <v>42.7</v>
      </c>
      <c r="O27" s="42">
        <v>43.1</v>
      </c>
      <c r="P27" s="44">
        <v>0</v>
      </c>
      <c r="Q27" s="244">
        <v>0</v>
      </c>
      <c r="R27" s="305">
        <v>12.4</v>
      </c>
      <c r="S27" s="305">
        <v>0</v>
      </c>
      <c r="T27" s="305">
        <v>0</v>
      </c>
      <c r="U27" s="244">
        <v>0</v>
      </c>
      <c r="V27" s="305">
        <v>0</v>
      </c>
      <c r="W27" s="305">
        <v>0</v>
      </c>
      <c r="X27" s="305">
        <v>0</v>
      </c>
      <c r="Y27" s="244"/>
    </row>
    <row r="28" spans="1:25" s="12" customFormat="1" ht="20.100000000000001" customHeight="1">
      <c r="A28" s="58" t="s">
        <v>12</v>
      </c>
      <c r="B28" s="42">
        <f>422.627</f>
        <v>422.62700000000001</v>
      </c>
      <c r="C28" s="69">
        <f>(309519)*0.001</f>
        <v>309.51900000000001</v>
      </c>
      <c r="D28" s="69">
        <f>(225111)*0.001</f>
        <v>225.11100000000002</v>
      </c>
      <c r="E28" s="330">
        <f>(270354)*0.001</f>
        <v>270.35399999999998</v>
      </c>
      <c r="F28" s="69">
        <f>(324338)*0.001</f>
        <v>324.33800000000002</v>
      </c>
      <c r="G28" s="69">
        <f>(265803)*0.001</f>
        <v>265.803</v>
      </c>
      <c r="H28" s="69">
        <f>(215396)*0.001</f>
        <v>215.39600000000002</v>
      </c>
      <c r="I28" s="331">
        <f>(342251)*0.001</f>
        <v>342.25100000000003</v>
      </c>
      <c r="J28" s="332">
        <f>(428190)*0.001</f>
        <v>428.19</v>
      </c>
      <c r="K28" s="41">
        <v>1894.3</v>
      </c>
      <c r="L28" s="41">
        <v>1631</v>
      </c>
      <c r="M28" s="90">
        <v>1735.3</v>
      </c>
      <c r="N28" s="42">
        <v>1478.9</v>
      </c>
      <c r="O28" s="42">
        <v>1383.8</v>
      </c>
      <c r="P28" s="41">
        <v>1059.5999999999999</v>
      </c>
      <c r="Q28" s="244">
        <v>1512</v>
      </c>
      <c r="R28" s="305">
        <v>1538.6</v>
      </c>
      <c r="S28" s="305">
        <v>944.5</v>
      </c>
      <c r="T28" s="305">
        <v>1099.4000000000001</v>
      </c>
      <c r="U28" s="244">
        <v>1326</v>
      </c>
      <c r="V28" s="305">
        <v>1567.7</v>
      </c>
      <c r="W28" s="305">
        <v>1354.6</v>
      </c>
      <c r="X28" s="305">
        <v>1080.2</v>
      </c>
      <c r="Y28" s="244"/>
    </row>
    <row r="29" spans="1:25" s="12" customFormat="1" ht="20.100000000000001" customHeight="1" thickBot="1">
      <c r="A29" s="58" t="s">
        <v>44</v>
      </c>
      <c r="B29" s="43">
        <v>0</v>
      </c>
      <c r="C29" s="43">
        <f>0</f>
        <v>0</v>
      </c>
      <c r="D29" s="43">
        <f>0</f>
        <v>0</v>
      </c>
      <c r="E29" s="96">
        <v>0</v>
      </c>
      <c r="F29" s="43">
        <f>0</f>
        <v>0</v>
      </c>
      <c r="G29" s="43">
        <v>0</v>
      </c>
      <c r="H29" s="43">
        <f>0</f>
        <v>0</v>
      </c>
      <c r="I29" s="80">
        <v>0</v>
      </c>
      <c r="J29" s="91">
        <v>0</v>
      </c>
      <c r="K29" s="53">
        <v>12.6</v>
      </c>
      <c r="L29" s="53">
        <v>12.2</v>
      </c>
      <c r="M29" s="90">
        <v>12.6</v>
      </c>
      <c r="N29" s="42">
        <v>12.7</v>
      </c>
      <c r="O29" s="42">
        <v>12.8</v>
      </c>
      <c r="P29" s="53">
        <v>12.4</v>
      </c>
      <c r="Q29" s="244">
        <v>11.7</v>
      </c>
      <c r="R29" s="305">
        <v>31.4</v>
      </c>
      <c r="S29" s="305">
        <v>10.9</v>
      </c>
      <c r="T29" s="305">
        <v>10.8</v>
      </c>
      <c r="U29" s="244">
        <v>10.7</v>
      </c>
      <c r="V29" s="305">
        <v>9.6</v>
      </c>
      <c r="W29" s="305">
        <v>8</v>
      </c>
      <c r="X29" s="305">
        <v>8.1999999999999993</v>
      </c>
      <c r="Y29" s="244"/>
    </row>
    <row r="30" spans="1:25" s="15" customFormat="1" ht="24.95" customHeight="1" thickBot="1">
      <c r="A30" s="13" t="s">
        <v>13</v>
      </c>
      <c r="B30" s="62">
        <f t="shared" ref="B30:L30" si="4">SUM(B19:B29)</f>
        <v>1273.798</v>
      </c>
      <c r="C30" s="62">
        <f t="shared" si="4"/>
        <v>1172.6559999999999</v>
      </c>
      <c r="D30" s="62">
        <f t="shared" si="4"/>
        <v>1058.173</v>
      </c>
      <c r="E30" s="84">
        <f t="shared" si="4"/>
        <v>1085.1969999999999</v>
      </c>
      <c r="F30" s="62">
        <f t="shared" si="4"/>
        <v>1204.625</v>
      </c>
      <c r="G30" s="62">
        <f t="shared" si="4"/>
        <v>1164.163</v>
      </c>
      <c r="H30" s="62">
        <f t="shared" si="4"/>
        <v>1161.885</v>
      </c>
      <c r="I30" s="62">
        <f t="shared" si="4"/>
        <v>1220.3850000000002</v>
      </c>
      <c r="J30" s="333">
        <f t="shared" si="4"/>
        <v>1396.8419999999999</v>
      </c>
      <c r="K30" s="61">
        <f t="shared" si="4"/>
        <v>4435.3</v>
      </c>
      <c r="L30" s="61">
        <f t="shared" si="4"/>
        <v>3899.7999999999997</v>
      </c>
      <c r="M30" s="84">
        <f t="shared" ref="M30:R30" si="5">SUM(M19:M29)-M26</f>
        <v>3982.6</v>
      </c>
      <c r="N30" s="62">
        <f t="shared" si="5"/>
        <v>3956.9</v>
      </c>
      <c r="O30" s="62">
        <f t="shared" si="5"/>
        <v>4274.2</v>
      </c>
      <c r="P30" s="62">
        <f t="shared" si="5"/>
        <v>3747.2000000000003</v>
      </c>
      <c r="Q30" s="246">
        <f t="shared" si="5"/>
        <v>4228.8999999999987</v>
      </c>
      <c r="R30" s="309">
        <f t="shared" si="5"/>
        <v>3866.0000000000005</v>
      </c>
      <c r="S30" s="309">
        <f t="shared" ref="S30:T30" si="6">SUM(S19:S29)-S26</f>
        <v>3203.3</v>
      </c>
      <c r="T30" s="309">
        <f t="shared" si="6"/>
        <v>3445.5000000000005</v>
      </c>
      <c r="U30" s="246">
        <f t="shared" ref="U30" si="7">SUM(U19:U29)-U26</f>
        <v>3770.3999999999992</v>
      </c>
      <c r="V30" s="309">
        <f t="shared" ref="V30:W30" si="8">SUM(V19:V29)-V26</f>
        <v>3911.1000000000004</v>
      </c>
      <c r="W30" s="309">
        <f t="shared" si="8"/>
        <v>3862.9</v>
      </c>
      <c r="X30" s="309">
        <f t="shared" ref="X30" si="9">SUM(X19:X29)-X26</f>
        <v>3676.6</v>
      </c>
      <c r="Y30" s="246"/>
    </row>
    <row r="31" spans="1:25" s="12" customFormat="1" ht="24.95" customHeight="1" thickBot="1">
      <c r="A31" s="65" t="s">
        <v>124</v>
      </c>
      <c r="B31" s="66">
        <f t="shared" ref="B31:P31" si="10">B18+B30</f>
        <v>5502.7539999999999</v>
      </c>
      <c r="C31" s="66">
        <f t="shared" si="10"/>
        <v>5597.8010000000004</v>
      </c>
      <c r="D31" s="66">
        <f t="shared" si="10"/>
        <v>5514.8739999999998</v>
      </c>
      <c r="E31" s="97">
        <f t="shared" si="10"/>
        <v>5561.3450000000003</v>
      </c>
      <c r="F31" s="66">
        <f t="shared" si="10"/>
        <v>5629.4740000000011</v>
      </c>
      <c r="G31" s="66">
        <f t="shared" si="10"/>
        <v>5592.7070000000003</v>
      </c>
      <c r="H31" s="66">
        <f t="shared" si="10"/>
        <v>5597.9810000000007</v>
      </c>
      <c r="I31" s="334">
        <f t="shared" si="10"/>
        <v>5676.2300000000005</v>
      </c>
      <c r="J31" s="335">
        <f t="shared" si="10"/>
        <v>5851.1940000000004</v>
      </c>
      <c r="K31" s="66">
        <f t="shared" si="10"/>
        <v>27827.1</v>
      </c>
      <c r="L31" s="66">
        <f t="shared" si="10"/>
        <v>27481.199999999997</v>
      </c>
      <c r="M31" s="97">
        <f t="shared" si="10"/>
        <v>27338.699999999997</v>
      </c>
      <c r="N31" s="66">
        <f t="shared" si="10"/>
        <v>27088.9</v>
      </c>
      <c r="O31" s="66">
        <f t="shared" si="10"/>
        <v>27141.8</v>
      </c>
      <c r="P31" s="66">
        <f t="shared" si="10"/>
        <v>26143.5</v>
      </c>
      <c r="Q31" s="247">
        <f t="shared" ref="Q31:R31" si="11">Q18+Q30</f>
        <v>26490.099999999995</v>
      </c>
      <c r="R31" s="311">
        <f t="shared" si="11"/>
        <v>28355.499999999996</v>
      </c>
      <c r="S31" s="311">
        <f t="shared" ref="S31:V31" si="12">S18+S30</f>
        <v>27581.1</v>
      </c>
      <c r="T31" s="311">
        <f t="shared" si="12"/>
        <v>27493.100000000002</v>
      </c>
      <c r="U31" s="247">
        <f t="shared" si="12"/>
        <v>27729.299999999996</v>
      </c>
      <c r="V31" s="311">
        <f t="shared" si="12"/>
        <v>27553.199999999997</v>
      </c>
      <c r="W31" s="311">
        <f t="shared" ref="W31:X31" si="13">W18+W30</f>
        <v>27317.5</v>
      </c>
      <c r="X31" s="311">
        <f t="shared" si="13"/>
        <v>26892.599999999995</v>
      </c>
      <c r="Y31" s="247"/>
    </row>
    <row r="32" spans="1:25" s="12" customFormat="1" ht="33.75" customHeight="1" thickBot="1">
      <c r="A32" s="72" t="s">
        <v>14</v>
      </c>
      <c r="B32" s="73"/>
      <c r="C32" s="73"/>
      <c r="D32" s="73"/>
      <c r="E32" s="89"/>
      <c r="F32" s="73"/>
      <c r="G32" s="73"/>
      <c r="H32" s="73"/>
      <c r="I32" s="79"/>
      <c r="J32" s="88"/>
      <c r="K32" s="74"/>
      <c r="L32" s="74"/>
      <c r="M32" s="89"/>
      <c r="N32" s="73"/>
      <c r="O32" s="73"/>
      <c r="P32" s="74"/>
      <c r="Q32" s="89"/>
      <c r="R32" s="312"/>
      <c r="S32" s="312"/>
      <c r="T32" s="312"/>
      <c r="U32" s="89"/>
      <c r="V32" s="312"/>
      <c r="W32" s="312"/>
      <c r="X32" s="312"/>
      <c r="Y32" s="89"/>
    </row>
    <row r="33" spans="1:25" s="12" customFormat="1" ht="20.100000000000001" customHeight="1">
      <c r="A33" s="57" t="s">
        <v>15</v>
      </c>
      <c r="B33" s="340">
        <f>13.934</f>
        <v>13.933999999999999</v>
      </c>
      <c r="C33" s="340">
        <f t="shared" ref="C33:J33" si="14">(13934)*0.001</f>
        <v>13.934000000000001</v>
      </c>
      <c r="D33" s="340">
        <f t="shared" si="14"/>
        <v>13.934000000000001</v>
      </c>
      <c r="E33" s="341">
        <f t="shared" si="14"/>
        <v>13.934000000000001</v>
      </c>
      <c r="F33" s="340">
        <f t="shared" si="14"/>
        <v>13.934000000000001</v>
      </c>
      <c r="G33" s="340">
        <f t="shared" si="14"/>
        <v>13.934000000000001</v>
      </c>
      <c r="H33" s="340">
        <f t="shared" si="14"/>
        <v>13.934000000000001</v>
      </c>
      <c r="I33" s="342">
        <f t="shared" si="14"/>
        <v>13.934000000000001</v>
      </c>
      <c r="J33" s="343">
        <f t="shared" si="14"/>
        <v>13.934000000000001</v>
      </c>
      <c r="K33" s="75">
        <v>25.6</v>
      </c>
      <c r="L33" s="75">
        <v>25.6</v>
      </c>
      <c r="M33" s="98">
        <v>25.6</v>
      </c>
      <c r="N33" s="76">
        <v>25.6</v>
      </c>
      <c r="O33" s="76">
        <v>25.6</v>
      </c>
      <c r="P33" s="76">
        <v>25.6</v>
      </c>
      <c r="Q33" s="248">
        <v>25.6</v>
      </c>
      <c r="R33" s="310">
        <v>25.6</v>
      </c>
      <c r="S33" s="310">
        <v>25.6</v>
      </c>
      <c r="T33" s="310">
        <v>25.6</v>
      </c>
      <c r="U33" s="248">
        <v>25.6</v>
      </c>
      <c r="V33" s="310">
        <v>25.6</v>
      </c>
      <c r="W33" s="310">
        <v>25.6</v>
      </c>
      <c r="X33" s="310">
        <v>25.6</v>
      </c>
      <c r="Y33" s="248"/>
    </row>
    <row r="34" spans="1:25" s="12" customFormat="1" ht="20.100000000000001" customHeight="1">
      <c r="A34" s="58" t="s">
        <v>16</v>
      </c>
      <c r="B34" s="336">
        <f>432.265</f>
        <v>432.26499999999999</v>
      </c>
      <c r="C34" s="51">
        <v>0</v>
      </c>
      <c r="D34" s="51">
        <v>0</v>
      </c>
      <c r="E34" s="100">
        <v>0</v>
      </c>
      <c r="F34" s="51">
        <v>0</v>
      </c>
      <c r="G34" s="51">
        <v>0</v>
      </c>
      <c r="H34" s="51">
        <v>0</v>
      </c>
      <c r="I34" s="83">
        <v>0</v>
      </c>
      <c r="J34" s="99">
        <v>0</v>
      </c>
      <c r="K34" s="51">
        <v>0</v>
      </c>
      <c r="L34" s="51">
        <v>0</v>
      </c>
      <c r="M34" s="100">
        <v>0</v>
      </c>
      <c r="N34" s="51">
        <v>0</v>
      </c>
      <c r="O34" s="51">
        <v>0</v>
      </c>
      <c r="P34" s="51">
        <v>0</v>
      </c>
      <c r="Q34" s="244">
        <v>0</v>
      </c>
      <c r="R34" s="313">
        <v>0</v>
      </c>
      <c r="S34" s="313">
        <v>0</v>
      </c>
      <c r="T34" s="313">
        <v>0</v>
      </c>
      <c r="U34" s="244">
        <v>0</v>
      </c>
      <c r="V34" s="313">
        <v>0</v>
      </c>
      <c r="W34" s="313">
        <v>0</v>
      </c>
      <c r="X34" s="313">
        <v>0</v>
      </c>
      <c r="Y34" s="244"/>
    </row>
    <row r="35" spans="1:25" s="12" customFormat="1" ht="20.100000000000001" customHeight="1">
      <c r="A35" s="58" t="s">
        <v>17</v>
      </c>
      <c r="B35" s="336">
        <f>1305.277</f>
        <v>1305.277</v>
      </c>
      <c r="C35" s="51">
        <v>0</v>
      </c>
      <c r="D35" s="51">
        <v>0</v>
      </c>
      <c r="E35" s="100">
        <v>0</v>
      </c>
      <c r="F35" s="51">
        <v>0</v>
      </c>
      <c r="G35" s="51">
        <v>0</v>
      </c>
      <c r="H35" s="51">
        <v>0</v>
      </c>
      <c r="I35" s="83">
        <v>0</v>
      </c>
      <c r="J35" s="99">
        <v>0</v>
      </c>
      <c r="K35" s="51">
        <v>0</v>
      </c>
      <c r="L35" s="51">
        <v>0</v>
      </c>
      <c r="M35" s="100">
        <v>0</v>
      </c>
      <c r="N35" s="51">
        <v>0</v>
      </c>
      <c r="O35" s="51">
        <v>0</v>
      </c>
      <c r="P35" s="51">
        <v>0</v>
      </c>
      <c r="Q35" s="244">
        <v>0</v>
      </c>
      <c r="R35" s="313">
        <v>0</v>
      </c>
      <c r="S35" s="313">
        <v>0</v>
      </c>
      <c r="T35" s="313">
        <v>0</v>
      </c>
      <c r="U35" s="244">
        <v>0</v>
      </c>
      <c r="V35" s="313">
        <v>0</v>
      </c>
      <c r="W35" s="313">
        <v>0</v>
      </c>
      <c r="X35" s="313">
        <v>0</v>
      </c>
      <c r="Y35" s="244"/>
    </row>
    <row r="36" spans="1:25" s="12" customFormat="1" ht="20.100000000000001" customHeight="1">
      <c r="A36" s="58" t="s">
        <v>195</v>
      </c>
      <c r="B36" s="51">
        <v>0</v>
      </c>
      <c r="C36" s="42">
        <f t="shared" ref="C36:J36" si="15">(1295103)*0.001</f>
        <v>1295.1030000000001</v>
      </c>
      <c r="D36" s="42">
        <f t="shared" si="15"/>
        <v>1295.1030000000001</v>
      </c>
      <c r="E36" s="90">
        <f t="shared" si="15"/>
        <v>1295.1030000000001</v>
      </c>
      <c r="F36" s="42">
        <f t="shared" si="15"/>
        <v>1295.1030000000001</v>
      </c>
      <c r="G36" s="42">
        <f t="shared" si="15"/>
        <v>1295.1030000000001</v>
      </c>
      <c r="H36" s="42">
        <f t="shared" si="15"/>
        <v>1295.1030000000001</v>
      </c>
      <c r="I36" s="90">
        <f t="shared" si="15"/>
        <v>1295.1030000000001</v>
      </c>
      <c r="J36" s="42">
        <f t="shared" si="15"/>
        <v>1295.1030000000001</v>
      </c>
      <c r="K36" s="68">
        <v>7237.5</v>
      </c>
      <c r="L36" s="68">
        <v>7237.5</v>
      </c>
      <c r="M36" s="101">
        <v>7174</v>
      </c>
      <c r="N36" s="41">
        <v>7237.4</v>
      </c>
      <c r="O36" s="41">
        <v>7174</v>
      </c>
      <c r="P36" s="41">
        <v>7174</v>
      </c>
      <c r="Q36" s="244">
        <v>7174</v>
      </c>
      <c r="R36" s="305">
        <v>7174</v>
      </c>
      <c r="S36" s="305">
        <v>7174</v>
      </c>
      <c r="T36" s="305">
        <v>7174</v>
      </c>
      <c r="U36" s="244">
        <v>7174</v>
      </c>
      <c r="V36" s="305">
        <v>7174</v>
      </c>
      <c r="W36" s="305">
        <v>7174</v>
      </c>
      <c r="X36" s="305">
        <v>7174</v>
      </c>
      <c r="Y36" s="244"/>
    </row>
    <row r="37" spans="1:25" s="12" customFormat="1" ht="20.100000000000001" customHeight="1">
      <c r="A37" s="58" t="s">
        <v>58</v>
      </c>
      <c r="B37" s="344">
        <f>-3.17</f>
        <v>-3.17</v>
      </c>
      <c r="C37" s="51">
        <v>0</v>
      </c>
      <c r="D37" s="51">
        <v>0</v>
      </c>
      <c r="E37" s="100">
        <v>0</v>
      </c>
      <c r="F37" s="51">
        <v>0</v>
      </c>
      <c r="G37" s="51">
        <v>0</v>
      </c>
      <c r="H37" s="51">
        <v>0</v>
      </c>
      <c r="I37" s="83">
        <v>0</v>
      </c>
      <c r="J37" s="99">
        <v>0</v>
      </c>
      <c r="K37" s="51">
        <v>0</v>
      </c>
      <c r="L37" s="51">
        <v>0</v>
      </c>
      <c r="M37" s="100">
        <v>0</v>
      </c>
      <c r="N37" s="51">
        <v>0</v>
      </c>
      <c r="O37" s="51">
        <v>0</v>
      </c>
      <c r="P37" s="51">
        <v>0</v>
      </c>
      <c r="Q37" s="244">
        <v>0</v>
      </c>
      <c r="R37" s="313">
        <v>0</v>
      </c>
      <c r="S37" s="313">
        <v>0</v>
      </c>
      <c r="T37" s="313">
        <v>0</v>
      </c>
      <c r="U37" s="244">
        <v>0</v>
      </c>
      <c r="V37" s="313">
        <v>0</v>
      </c>
      <c r="W37" s="313">
        <v>0</v>
      </c>
      <c r="X37" s="313">
        <v>0</v>
      </c>
      <c r="Y37" s="244"/>
    </row>
    <row r="38" spans="1:25" s="12" customFormat="1" ht="20.100000000000001" customHeight="1">
      <c r="A38" s="58" t="s">
        <v>59</v>
      </c>
      <c r="B38" s="336">
        <f>2.396</f>
        <v>2.3959999999999999</v>
      </c>
      <c r="C38" s="51">
        <v>0</v>
      </c>
      <c r="D38" s="51">
        <v>0</v>
      </c>
      <c r="E38" s="100">
        <v>0</v>
      </c>
      <c r="F38" s="51">
        <v>0</v>
      </c>
      <c r="G38" s="51">
        <v>0</v>
      </c>
      <c r="H38" s="51">
        <v>0</v>
      </c>
      <c r="I38" s="83">
        <v>0</v>
      </c>
      <c r="J38" s="99">
        <v>0</v>
      </c>
      <c r="K38" s="51">
        <v>0</v>
      </c>
      <c r="L38" s="51">
        <v>0</v>
      </c>
      <c r="M38" s="100">
        <v>0</v>
      </c>
      <c r="N38" s="51">
        <v>0</v>
      </c>
      <c r="O38" s="51">
        <v>0</v>
      </c>
      <c r="P38" s="51">
        <v>0</v>
      </c>
      <c r="Q38" s="244">
        <v>0</v>
      </c>
      <c r="R38" s="313">
        <v>0</v>
      </c>
      <c r="S38" s="313">
        <v>0</v>
      </c>
      <c r="T38" s="313">
        <v>0</v>
      </c>
      <c r="U38" s="244">
        <v>0</v>
      </c>
      <c r="V38" s="313">
        <v>0</v>
      </c>
      <c r="W38" s="313">
        <v>0</v>
      </c>
      <c r="X38" s="313">
        <v>0</v>
      </c>
      <c r="Y38" s="244"/>
    </row>
    <row r="39" spans="1:25" s="12" customFormat="1" ht="20.100000000000001" customHeight="1">
      <c r="A39" s="58" t="s">
        <v>196</v>
      </c>
      <c r="B39" s="51">
        <v>0</v>
      </c>
      <c r="C39" s="336">
        <f>(1225)*0.001</f>
        <v>1.2250000000000001</v>
      </c>
      <c r="D39" s="336">
        <f>(-8191)*0.001</f>
        <v>-8.1910000000000007</v>
      </c>
      <c r="E39" s="337">
        <f>(-16327)*0.001</f>
        <v>-16.327000000000002</v>
      </c>
      <c r="F39" s="336">
        <f>(-17667)*0.001</f>
        <v>-17.667000000000002</v>
      </c>
      <c r="G39" s="336">
        <f>(-13285)*0.001</f>
        <v>-13.285</v>
      </c>
      <c r="H39" s="336">
        <f>(-11455)*0.001</f>
        <v>-11.455</v>
      </c>
      <c r="I39" s="338">
        <f>(-8964)*0.001</f>
        <v>-8.9640000000000004</v>
      </c>
      <c r="J39" s="99">
        <v>0</v>
      </c>
      <c r="K39" s="51">
        <v>0</v>
      </c>
      <c r="L39" s="69">
        <v>-9.1999999999999993</v>
      </c>
      <c r="M39" s="102">
        <v>-12.2</v>
      </c>
      <c r="N39" s="69">
        <v>-12.7</v>
      </c>
      <c r="O39" s="69">
        <v>-7.9</v>
      </c>
      <c r="P39" s="69">
        <v>-8.1999999999999993</v>
      </c>
      <c r="Q39" s="244">
        <v>-3.7</v>
      </c>
      <c r="R39" s="314">
        <v>-1.7</v>
      </c>
      <c r="S39" s="314">
        <v>0.1</v>
      </c>
      <c r="T39" s="314">
        <v>2.2000000000000002</v>
      </c>
      <c r="U39" s="244">
        <v>4.5</v>
      </c>
      <c r="V39" s="314">
        <v>3.8</v>
      </c>
      <c r="W39" s="314">
        <v>3.6</v>
      </c>
      <c r="X39" s="314">
        <v>3.5</v>
      </c>
      <c r="Y39" s="244"/>
    </row>
    <row r="40" spans="1:25" s="12" customFormat="1" ht="20.100000000000001" customHeight="1" thickBot="1">
      <c r="A40" s="58" t="s">
        <v>222</v>
      </c>
      <c r="B40" s="336">
        <f>340.065</f>
        <v>340.065</v>
      </c>
      <c r="C40" s="336">
        <f>(882007)*0.001</f>
        <v>882.00700000000006</v>
      </c>
      <c r="D40" s="345">
        <f>(1054069)*0.001</f>
        <v>1054.069</v>
      </c>
      <c r="E40" s="346">
        <f>(1175693)*0.001</f>
        <v>1175.693</v>
      </c>
      <c r="F40" s="345">
        <f>(1270798)*0.001</f>
        <v>1270.798</v>
      </c>
      <c r="G40" s="345">
        <f>(1351543)*0.001</f>
        <v>1351.5430000000001</v>
      </c>
      <c r="H40" s="345">
        <f>(1527994)*0.001</f>
        <v>1527.9940000000001</v>
      </c>
      <c r="I40" s="346">
        <f>(1701138)*0.001</f>
        <v>1701.1380000000001</v>
      </c>
      <c r="J40" s="345">
        <f>(1799310)*0.001</f>
        <v>1799.31</v>
      </c>
      <c r="K40" s="68">
        <v>1828.6</v>
      </c>
      <c r="L40" s="68">
        <v>1876.8</v>
      </c>
      <c r="M40" s="103">
        <v>1890.8</v>
      </c>
      <c r="N40" s="68">
        <v>2061.6</v>
      </c>
      <c r="O40" s="68">
        <v>2366.1</v>
      </c>
      <c r="P40" s="68">
        <v>2868.6</v>
      </c>
      <c r="Q40" s="244">
        <v>3054.2</v>
      </c>
      <c r="R40" s="314">
        <v>3229.7</v>
      </c>
      <c r="S40" s="314">
        <v>3467.4</v>
      </c>
      <c r="T40" s="314">
        <v>3745.6</v>
      </c>
      <c r="U40" s="244">
        <v>4095.5</v>
      </c>
      <c r="V40" s="314">
        <v>4374.8999999999996</v>
      </c>
      <c r="W40" s="314">
        <v>4461.3999999999996</v>
      </c>
      <c r="X40" s="314">
        <v>4704.3</v>
      </c>
      <c r="Y40" s="244"/>
    </row>
    <row r="41" spans="1:25" s="15" customFormat="1" ht="24.95" customHeight="1" thickBot="1">
      <c r="A41" s="13" t="s">
        <v>74</v>
      </c>
      <c r="B41" s="61">
        <f t="shared" ref="B41:C41" si="16">SUM(B33:B40)</f>
        <v>2090.7669999999998</v>
      </c>
      <c r="C41" s="61">
        <f t="shared" si="16"/>
        <v>2192.2690000000002</v>
      </c>
      <c r="D41" s="61">
        <f t="shared" ref="D41:H41" si="17">SUM(D33:D40)</f>
        <v>2354.915</v>
      </c>
      <c r="E41" s="61">
        <f t="shared" si="17"/>
        <v>2468.4030000000002</v>
      </c>
      <c r="F41" s="61">
        <f t="shared" si="17"/>
        <v>2562.1680000000001</v>
      </c>
      <c r="G41" s="61">
        <f t="shared" si="17"/>
        <v>2647.2950000000001</v>
      </c>
      <c r="H41" s="61">
        <f t="shared" si="17"/>
        <v>2825.576</v>
      </c>
      <c r="I41" s="61">
        <f t="shared" ref="I41:J41" si="18">SUM(I33:I40)</f>
        <v>3001.2110000000002</v>
      </c>
      <c r="J41" s="61">
        <f t="shared" si="18"/>
        <v>3108.3469999999998</v>
      </c>
      <c r="K41" s="61">
        <f t="shared" ref="K41:Q41" si="19">SUM(K33:K40)</f>
        <v>9091.7000000000007</v>
      </c>
      <c r="L41" s="61">
        <f t="shared" si="19"/>
        <v>9130.7000000000007</v>
      </c>
      <c r="M41" s="84">
        <f t="shared" si="19"/>
        <v>9078.2000000000007</v>
      </c>
      <c r="N41" s="62">
        <f t="shared" si="19"/>
        <v>9311.9</v>
      </c>
      <c r="O41" s="62">
        <f t="shared" si="19"/>
        <v>9557.8000000000011</v>
      </c>
      <c r="P41" s="62">
        <f t="shared" si="19"/>
        <v>10060</v>
      </c>
      <c r="Q41" s="249">
        <f t="shared" si="19"/>
        <v>10250.1</v>
      </c>
      <c r="R41" s="309">
        <f t="shared" ref="R41:X41" si="20">SUM(R33:R40)</f>
        <v>10427.6</v>
      </c>
      <c r="S41" s="309">
        <f t="shared" si="20"/>
        <v>10667.1</v>
      </c>
      <c r="T41" s="309">
        <f t="shared" si="20"/>
        <v>10947.4</v>
      </c>
      <c r="U41" s="249">
        <f t="shared" si="20"/>
        <v>11299.6</v>
      </c>
      <c r="V41" s="309">
        <f t="shared" si="20"/>
        <v>11578.3</v>
      </c>
      <c r="W41" s="309">
        <f t="shared" si="20"/>
        <v>11664.6</v>
      </c>
      <c r="X41" s="309">
        <f t="shared" si="20"/>
        <v>11907.400000000001</v>
      </c>
      <c r="Y41" s="249"/>
    </row>
    <row r="42" spans="1:25" s="15" customFormat="1" ht="20.100000000000001" customHeight="1" thickBot="1">
      <c r="A42" s="77" t="s">
        <v>73</v>
      </c>
      <c r="B42" s="51">
        <v>0</v>
      </c>
      <c r="C42" s="51">
        <v>0</v>
      </c>
      <c r="D42" s="51">
        <v>0</v>
      </c>
      <c r="E42" s="100">
        <v>0</v>
      </c>
      <c r="F42" s="51">
        <v>0</v>
      </c>
      <c r="G42" s="51">
        <v>0</v>
      </c>
      <c r="H42" s="347">
        <f>2/1000</f>
        <v>2E-3</v>
      </c>
      <c r="I42" s="348">
        <f>2/1000</f>
        <v>2E-3</v>
      </c>
      <c r="J42" s="349">
        <f>2/1000</f>
        <v>2E-3</v>
      </c>
      <c r="K42" s="55">
        <v>0</v>
      </c>
      <c r="L42" s="55">
        <v>0</v>
      </c>
      <c r="M42" s="100">
        <v>0</v>
      </c>
      <c r="N42" s="55">
        <v>0</v>
      </c>
      <c r="O42" s="55">
        <v>0</v>
      </c>
      <c r="P42" s="55">
        <v>0</v>
      </c>
      <c r="Q42" s="250">
        <v>0</v>
      </c>
      <c r="R42" s="315">
        <v>-22.4</v>
      </c>
      <c r="S42" s="315">
        <v>94.5</v>
      </c>
      <c r="T42" s="315">
        <v>86.1</v>
      </c>
      <c r="U42" s="250">
        <v>78</v>
      </c>
      <c r="V42" s="315">
        <v>70</v>
      </c>
      <c r="W42" s="315">
        <v>60.5</v>
      </c>
      <c r="X42" s="315">
        <v>52.5</v>
      </c>
      <c r="Y42" s="250"/>
    </row>
    <row r="43" spans="1:25" s="15" customFormat="1" ht="24.95" customHeight="1" thickBot="1">
      <c r="A43" s="13" t="s">
        <v>18</v>
      </c>
      <c r="B43" s="62">
        <f t="shared" ref="B43" si="21">B41+B42</f>
        <v>2090.7669999999998</v>
      </c>
      <c r="C43" s="62">
        <f t="shared" ref="C43" si="22">C41+C42</f>
        <v>2192.2690000000002</v>
      </c>
      <c r="D43" s="62">
        <f t="shared" ref="D43" si="23">D41+D42</f>
        <v>2354.915</v>
      </c>
      <c r="E43" s="84">
        <f t="shared" ref="E43:G43" si="24">E41</f>
        <v>2468.4030000000002</v>
      </c>
      <c r="F43" s="62">
        <f t="shared" si="24"/>
        <v>2562.1680000000001</v>
      </c>
      <c r="G43" s="62">
        <f t="shared" si="24"/>
        <v>2647.2950000000001</v>
      </c>
      <c r="H43" s="62">
        <f>SUM(H41:H42)</f>
        <v>2825.578</v>
      </c>
      <c r="I43" s="62">
        <f t="shared" ref="I43:O43" si="25">I41+I42</f>
        <v>3001.2130000000002</v>
      </c>
      <c r="J43" s="333">
        <f t="shared" si="25"/>
        <v>3108.3489999999997</v>
      </c>
      <c r="K43" s="61">
        <f t="shared" si="25"/>
        <v>9091.7000000000007</v>
      </c>
      <c r="L43" s="61">
        <f t="shared" si="25"/>
        <v>9130.7000000000007</v>
      </c>
      <c r="M43" s="84">
        <f t="shared" si="25"/>
        <v>9078.2000000000007</v>
      </c>
      <c r="N43" s="62">
        <f t="shared" si="25"/>
        <v>9311.9</v>
      </c>
      <c r="O43" s="62">
        <f t="shared" si="25"/>
        <v>9557.8000000000011</v>
      </c>
      <c r="P43" s="62">
        <f t="shared" ref="P43:R43" si="26">P41+P42</f>
        <v>10060</v>
      </c>
      <c r="Q43" s="249">
        <f t="shared" si="26"/>
        <v>10250.1</v>
      </c>
      <c r="R43" s="309">
        <f t="shared" si="26"/>
        <v>10405.200000000001</v>
      </c>
      <c r="S43" s="309">
        <f t="shared" ref="S43:X43" si="27">S41+S42</f>
        <v>10761.6</v>
      </c>
      <c r="T43" s="309">
        <f t="shared" si="27"/>
        <v>11033.5</v>
      </c>
      <c r="U43" s="249">
        <f t="shared" si="27"/>
        <v>11377.6</v>
      </c>
      <c r="V43" s="309">
        <f t="shared" si="27"/>
        <v>11648.3</v>
      </c>
      <c r="W43" s="309">
        <f t="shared" si="27"/>
        <v>11725.1</v>
      </c>
      <c r="X43" s="309">
        <f t="shared" si="27"/>
        <v>11959.900000000001</v>
      </c>
      <c r="Y43" s="249"/>
    </row>
    <row r="44" spans="1:25" s="12" customFormat="1" ht="20.100000000000001" customHeight="1">
      <c r="A44" s="58" t="s">
        <v>19</v>
      </c>
      <c r="B44" s="69">
        <f>932.068</f>
        <v>932.06799999999998</v>
      </c>
      <c r="C44" s="69">
        <f>(889155)*0.001</f>
        <v>889.15499999999997</v>
      </c>
      <c r="D44" s="69">
        <f>(680371)*0.001</f>
        <v>680.37099999999998</v>
      </c>
      <c r="E44" s="330">
        <f>(592003)*0.001</f>
        <v>592.00300000000004</v>
      </c>
      <c r="F44" s="69">
        <f>(572819)*0.001</f>
        <v>572.81899999999996</v>
      </c>
      <c r="G44" s="69">
        <f>(422858)*0.001</f>
        <v>422.858</v>
      </c>
      <c r="H44" s="69">
        <f>(329798)*0.001</f>
        <v>329.798</v>
      </c>
      <c r="I44" s="331">
        <f>(239889)*0.001</f>
        <v>239.88900000000001</v>
      </c>
      <c r="J44" s="332">
        <f>(236277)*0.001</f>
        <v>236.27700000000002</v>
      </c>
      <c r="K44" s="42">
        <v>8446.1</v>
      </c>
      <c r="L44" s="42">
        <v>7976.3</v>
      </c>
      <c r="M44" s="101">
        <v>7683.5</v>
      </c>
      <c r="N44" s="68">
        <v>7357.9</v>
      </c>
      <c r="O44" s="68">
        <v>7034.6</v>
      </c>
      <c r="P44" s="42">
        <v>5644.9</v>
      </c>
      <c r="Q44" s="250">
        <v>5379.8</v>
      </c>
      <c r="R44" s="314">
        <v>9982.1</v>
      </c>
      <c r="S44" s="314">
        <v>9752</v>
      </c>
      <c r="T44" s="314">
        <v>9530.2999999999993</v>
      </c>
      <c r="U44" s="250">
        <v>9302.7000000000007</v>
      </c>
      <c r="V44" s="314">
        <v>9056</v>
      </c>
      <c r="W44" s="314">
        <v>8808.6</v>
      </c>
      <c r="X44" s="314">
        <v>8561.9</v>
      </c>
      <c r="Y44" s="250"/>
    </row>
    <row r="45" spans="1:25" s="12" customFormat="1" ht="20.100000000000001" customHeight="1">
      <c r="A45" s="58" t="s">
        <v>88</v>
      </c>
      <c r="B45" s="42">
        <f>1360.637</f>
        <v>1360.6369999999999</v>
      </c>
      <c r="C45" s="42">
        <f>(1369593)*0.001</f>
        <v>1369.5930000000001</v>
      </c>
      <c r="D45" s="42">
        <f>(1347224)*0.001</f>
        <v>1347.2239999999999</v>
      </c>
      <c r="E45" s="90">
        <f>(1316479)*0.001</f>
        <v>1316.479</v>
      </c>
      <c r="F45" s="42">
        <f>(1370119)*0.001</f>
        <v>1370.1190000000001</v>
      </c>
      <c r="G45" s="42">
        <f>(1395972)*0.001</f>
        <v>1395.972</v>
      </c>
      <c r="H45" s="42">
        <f>(1385314)*0.001</f>
        <v>1385.3140000000001</v>
      </c>
      <c r="I45" s="90">
        <f>(1340010)*0.001</f>
        <v>1340.01</v>
      </c>
      <c r="J45" s="42">
        <f>(1396071)*0.001</f>
        <v>1396.0710000000001</v>
      </c>
      <c r="K45" s="42">
        <v>4286.8999999999996</v>
      </c>
      <c r="L45" s="42">
        <v>4302.1000000000004</v>
      </c>
      <c r="M45" s="101">
        <v>4550.2</v>
      </c>
      <c r="N45" s="68">
        <v>4470</v>
      </c>
      <c r="O45" s="68">
        <v>4582.5</v>
      </c>
      <c r="P45" s="42">
        <v>964.4</v>
      </c>
      <c r="Q45" s="250">
        <v>975.3</v>
      </c>
      <c r="R45" s="314">
        <v>2252.6</v>
      </c>
      <c r="S45" s="314">
        <v>1795.1</v>
      </c>
      <c r="T45" s="314">
        <v>1805.1</v>
      </c>
      <c r="U45" s="250">
        <v>1835.7</v>
      </c>
      <c r="V45" s="314">
        <v>964.9</v>
      </c>
      <c r="W45" s="314">
        <v>975.3</v>
      </c>
      <c r="X45" s="314">
        <v>965.2</v>
      </c>
      <c r="Y45" s="250"/>
    </row>
    <row r="46" spans="1:25" s="12" customFormat="1" ht="20.100000000000001" customHeight="1">
      <c r="A46" s="58" t="s">
        <v>20</v>
      </c>
      <c r="B46" s="69">
        <f>0.81</f>
        <v>0.81</v>
      </c>
      <c r="C46" s="69">
        <f>(741)*0.001</f>
        <v>0.74099999999999999</v>
      </c>
      <c r="D46" s="69">
        <f>(638)*0.001</f>
        <v>0.63800000000000001</v>
      </c>
      <c r="E46" s="330">
        <f>(551)*0.001</f>
        <v>0.55100000000000005</v>
      </c>
      <c r="F46" s="69">
        <f>(474)*0.001</f>
        <v>0.47400000000000003</v>
      </c>
      <c r="G46" s="69">
        <f>(424)*0.001</f>
        <v>0.42399999999999999</v>
      </c>
      <c r="H46" s="69">
        <f>(306)*0.001</f>
        <v>0.30599999999999999</v>
      </c>
      <c r="I46" s="331">
        <f>(227)*0.001</f>
        <v>0.22700000000000001</v>
      </c>
      <c r="J46" s="332">
        <f>(166)*0.001</f>
        <v>0.16600000000000001</v>
      </c>
      <c r="K46" s="41">
        <v>4.5</v>
      </c>
      <c r="L46" s="41">
        <v>7.9</v>
      </c>
      <c r="M46" s="103">
        <v>11.7</v>
      </c>
      <c r="N46" s="70">
        <v>13.4</v>
      </c>
      <c r="O46" s="70">
        <v>15.7</v>
      </c>
      <c r="P46" s="41">
        <v>21.3</v>
      </c>
      <c r="Q46" s="250">
        <v>20.9</v>
      </c>
      <c r="R46" s="305">
        <v>21.2</v>
      </c>
      <c r="S46" s="305">
        <v>23.3</v>
      </c>
      <c r="T46" s="305">
        <v>22.1</v>
      </c>
      <c r="U46" s="250">
        <v>20.9</v>
      </c>
      <c r="V46" s="305">
        <v>22.6</v>
      </c>
      <c r="W46" s="305">
        <v>21.4</v>
      </c>
      <c r="X46" s="305">
        <v>19.399999999999999</v>
      </c>
      <c r="Y46" s="250"/>
    </row>
    <row r="47" spans="1:25" s="12" customFormat="1" ht="20.100000000000001" customHeight="1">
      <c r="A47" s="58" t="s">
        <v>197</v>
      </c>
      <c r="B47" s="43">
        <f>0*($A$71)</f>
        <v>0</v>
      </c>
      <c r="C47" s="43">
        <f>0</f>
        <v>0</v>
      </c>
      <c r="D47" s="43">
        <f>0</f>
        <v>0</v>
      </c>
      <c r="E47" s="107">
        <v>0</v>
      </c>
      <c r="F47" s="43">
        <v>0</v>
      </c>
      <c r="G47" s="43">
        <f>0</f>
        <v>0</v>
      </c>
      <c r="H47" s="43">
        <v>0</v>
      </c>
      <c r="I47" s="82">
        <v>0</v>
      </c>
      <c r="J47" s="91">
        <v>0</v>
      </c>
      <c r="K47" s="41">
        <v>835.8</v>
      </c>
      <c r="L47" s="41">
        <v>730.2</v>
      </c>
      <c r="M47" s="103">
        <v>750.3</v>
      </c>
      <c r="N47" s="70">
        <v>724.4</v>
      </c>
      <c r="O47" s="70">
        <v>747.9</v>
      </c>
      <c r="P47" s="41">
        <v>645.1</v>
      </c>
      <c r="Q47" s="250">
        <v>652.79999999999995</v>
      </c>
      <c r="R47" s="305">
        <v>658</v>
      </c>
      <c r="S47" s="305">
        <v>686.7</v>
      </c>
      <c r="T47" s="305">
        <v>555.79999999999995</v>
      </c>
      <c r="U47" s="250">
        <v>574</v>
      </c>
      <c r="V47" s="305">
        <v>551</v>
      </c>
      <c r="W47" s="305">
        <v>555.4</v>
      </c>
      <c r="X47" s="305">
        <v>452.4</v>
      </c>
      <c r="Y47" s="250"/>
    </row>
    <row r="48" spans="1:25" s="12" customFormat="1" ht="20.100000000000001" customHeight="1">
      <c r="A48" s="58" t="s">
        <v>21</v>
      </c>
      <c r="B48" s="336">
        <f>87.307</f>
        <v>87.307000000000002</v>
      </c>
      <c r="C48" s="336">
        <f>(88480)*0.001</f>
        <v>88.48</v>
      </c>
      <c r="D48" s="336">
        <f>(97271)*0.001</f>
        <v>97.271000000000001</v>
      </c>
      <c r="E48" s="337">
        <f>(94258)*0.001</f>
        <v>94.257999999999996</v>
      </c>
      <c r="F48" s="336">
        <f>(93487)*0.001</f>
        <v>93.487000000000009</v>
      </c>
      <c r="G48" s="336">
        <f>(93150)*0.001</f>
        <v>93.15</v>
      </c>
      <c r="H48" s="336">
        <f>(98799)*0.001</f>
        <v>98.799000000000007</v>
      </c>
      <c r="I48" s="338">
        <f>(108066)*0.001</f>
        <v>108.066</v>
      </c>
      <c r="J48" s="339">
        <f>(95950)*0.001</f>
        <v>95.95</v>
      </c>
      <c r="K48" s="42">
        <v>1010.7</v>
      </c>
      <c r="L48" s="42">
        <v>1038.8</v>
      </c>
      <c r="M48" s="103">
        <v>908.7</v>
      </c>
      <c r="N48" s="70">
        <v>888.6</v>
      </c>
      <c r="O48" s="70">
        <v>821.1</v>
      </c>
      <c r="P48" s="42">
        <v>770.4</v>
      </c>
      <c r="Q48" s="250">
        <v>615.79999999999995</v>
      </c>
      <c r="R48" s="305">
        <v>694.4</v>
      </c>
      <c r="S48" s="305">
        <v>889.1</v>
      </c>
      <c r="T48" s="305">
        <v>923.2</v>
      </c>
      <c r="U48" s="250">
        <v>786.9</v>
      </c>
      <c r="V48" s="305">
        <v>812.3</v>
      </c>
      <c r="W48" s="305">
        <v>775.7</v>
      </c>
      <c r="X48" s="305">
        <v>771.8</v>
      </c>
      <c r="Y48" s="250"/>
    </row>
    <row r="49" spans="1:25" s="12" customFormat="1" ht="20.100000000000001" customHeight="1">
      <c r="A49" s="58" t="s">
        <v>198</v>
      </c>
      <c r="B49" s="51">
        <v>0</v>
      </c>
      <c r="C49" s="336">
        <f>(6285)*0.001</f>
        <v>6.2850000000000001</v>
      </c>
      <c r="D49" s="336">
        <f>(5716)*0.001</f>
        <v>5.7160000000000002</v>
      </c>
      <c r="E49" s="337">
        <f>(5181)*0.001</f>
        <v>5.181</v>
      </c>
      <c r="F49" s="336">
        <f>(4978)*0.001</f>
        <v>4.9779999999999998</v>
      </c>
      <c r="G49" s="336">
        <f>(4754)*0.001</f>
        <v>4.7540000000000004</v>
      </c>
      <c r="H49" s="336">
        <f>(4303)*0.001</f>
        <v>4.3029999999999999</v>
      </c>
      <c r="I49" s="338">
        <f>(4079)*0.001</f>
        <v>4.0789999999999997</v>
      </c>
      <c r="J49" s="339">
        <f>(3008)*0.001</f>
        <v>3.008</v>
      </c>
      <c r="K49" s="41">
        <v>2.8</v>
      </c>
      <c r="L49" s="41">
        <v>3.9</v>
      </c>
      <c r="M49" s="103">
        <v>4.7</v>
      </c>
      <c r="N49" s="70">
        <v>5.5</v>
      </c>
      <c r="O49" s="70">
        <v>5</v>
      </c>
      <c r="P49" s="41">
        <v>4.5</v>
      </c>
      <c r="Q49" s="250">
        <v>4.7</v>
      </c>
      <c r="R49" s="305">
        <v>22.1</v>
      </c>
      <c r="S49" s="305">
        <v>21</v>
      </c>
      <c r="T49" s="305">
        <v>20.100000000000001</v>
      </c>
      <c r="U49" s="250">
        <v>20.100000000000001</v>
      </c>
      <c r="V49" s="305">
        <v>4</v>
      </c>
      <c r="W49" s="305">
        <v>3.8</v>
      </c>
      <c r="X49" s="305">
        <v>3.4</v>
      </c>
      <c r="Y49" s="250"/>
    </row>
    <row r="50" spans="1:25" s="12" customFormat="1" ht="20.100000000000001" customHeight="1">
      <c r="A50" s="58" t="s">
        <v>22</v>
      </c>
      <c r="B50" s="336">
        <f>13.779</f>
        <v>13.779</v>
      </c>
      <c r="C50" s="336">
        <f>(17835)*0.001</f>
        <v>17.835000000000001</v>
      </c>
      <c r="D50" s="336">
        <f>(19037)*0.001</f>
        <v>19.036999999999999</v>
      </c>
      <c r="E50" s="337">
        <f>(17690)*0.001</f>
        <v>17.690000000000001</v>
      </c>
      <c r="F50" s="336">
        <f>(17684)*0.001</f>
        <v>17.684000000000001</v>
      </c>
      <c r="G50" s="336">
        <f>(10154)*0.001</f>
        <v>10.154</v>
      </c>
      <c r="H50" s="336">
        <f>(8594)*0.001</f>
        <v>8.5939999999999994</v>
      </c>
      <c r="I50" s="338">
        <f>(7915)*0.001</f>
        <v>7.915</v>
      </c>
      <c r="J50" s="339">
        <f>(7828)*0.001</f>
        <v>7.8280000000000003</v>
      </c>
      <c r="K50" s="41">
        <v>158.19999999999999</v>
      </c>
      <c r="L50" s="41">
        <v>164.6</v>
      </c>
      <c r="M50" s="103">
        <v>184.2</v>
      </c>
      <c r="N50" s="70">
        <v>167.4</v>
      </c>
      <c r="O50" s="70">
        <v>132.4</v>
      </c>
      <c r="P50" s="41">
        <v>133.1</v>
      </c>
      <c r="Q50" s="250">
        <v>124.2</v>
      </c>
      <c r="R50" s="305">
        <v>157.30000000000001</v>
      </c>
      <c r="S50" s="305">
        <v>148.9</v>
      </c>
      <c r="T50" s="305">
        <v>148.19999999999999</v>
      </c>
      <c r="U50" s="250">
        <v>130.19999999999999</v>
      </c>
      <c r="V50" s="305">
        <v>128.1</v>
      </c>
      <c r="W50" s="305">
        <v>122</v>
      </c>
      <c r="X50" s="305">
        <v>122.2</v>
      </c>
      <c r="Y50" s="250"/>
    </row>
    <row r="51" spans="1:25" s="38" customFormat="1" ht="20.100000000000001" customHeight="1" thickBot="1">
      <c r="A51" s="63" t="s">
        <v>98</v>
      </c>
      <c r="B51" s="43">
        <f>0*($A$71)</f>
        <v>0</v>
      </c>
      <c r="C51" s="43">
        <f>0</f>
        <v>0</v>
      </c>
      <c r="D51" s="43">
        <f>0</f>
        <v>0</v>
      </c>
      <c r="E51" s="107">
        <v>0</v>
      </c>
      <c r="F51" s="43">
        <v>0</v>
      </c>
      <c r="G51" s="43">
        <f>0</f>
        <v>0</v>
      </c>
      <c r="H51" s="43">
        <v>0</v>
      </c>
      <c r="I51" s="104">
        <v>0.1</v>
      </c>
      <c r="J51" s="91">
        <v>0</v>
      </c>
      <c r="K51" s="43">
        <f>0*($A$71)</f>
        <v>0</v>
      </c>
      <c r="L51" s="43">
        <f>0*($A$71)</f>
        <v>0</v>
      </c>
      <c r="M51" s="104">
        <v>40.1</v>
      </c>
      <c r="N51" s="71">
        <v>22.6</v>
      </c>
      <c r="O51" s="71">
        <v>2</v>
      </c>
      <c r="P51" s="52">
        <v>1.9</v>
      </c>
      <c r="Q51" s="250">
        <v>0</v>
      </c>
      <c r="R51" s="307">
        <v>1.1000000000000001</v>
      </c>
      <c r="S51" s="307">
        <v>0.9</v>
      </c>
      <c r="T51" s="307">
        <v>0</v>
      </c>
      <c r="U51" s="250">
        <v>0</v>
      </c>
      <c r="V51" s="307">
        <v>1.5</v>
      </c>
      <c r="W51" s="307">
        <v>1.7</v>
      </c>
      <c r="X51" s="307">
        <v>1.3</v>
      </c>
      <c r="Y51" s="250"/>
    </row>
    <row r="52" spans="1:25" s="15" customFormat="1" ht="24.95" customHeight="1" thickBot="1">
      <c r="A52" s="13" t="s">
        <v>23</v>
      </c>
      <c r="B52" s="62">
        <f t="shared" ref="B52" si="28">SUM(B44:B50)</f>
        <v>2394.6009999999997</v>
      </c>
      <c r="C52" s="62">
        <f t="shared" ref="C52" si="29">SUM(C44:C50)</f>
        <v>2372.0889999999999</v>
      </c>
      <c r="D52" s="62">
        <f t="shared" ref="D52" si="30">SUM(D44:D50)</f>
        <v>2150.2569999999996</v>
      </c>
      <c r="E52" s="84">
        <f t="shared" ref="E52:H52" si="31">SUM(E44:E50)</f>
        <v>2026.162</v>
      </c>
      <c r="F52" s="62">
        <f t="shared" si="31"/>
        <v>2059.5610000000001</v>
      </c>
      <c r="G52" s="62">
        <f t="shared" si="31"/>
        <v>1927.3119999999999</v>
      </c>
      <c r="H52" s="62">
        <f t="shared" si="31"/>
        <v>1827.1140000000003</v>
      </c>
      <c r="I52" s="62">
        <f t="shared" ref="I52:J52" si="32">SUM(I44:I50)</f>
        <v>1700.1859999999999</v>
      </c>
      <c r="J52" s="333">
        <f t="shared" si="32"/>
        <v>1739.3000000000002</v>
      </c>
      <c r="K52" s="61">
        <f t="shared" ref="K52:L52" si="33">SUM(K44:K50)</f>
        <v>14745</v>
      </c>
      <c r="L52" s="61">
        <f t="shared" si="33"/>
        <v>14223.800000000001</v>
      </c>
      <c r="M52" s="84">
        <f t="shared" ref="M52:R52" si="34">SUM(M44:M51)-M51</f>
        <v>14093.300000000003</v>
      </c>
      <c r="N52" s="62">
        <f t="shared" si="34"/>
        <v>13627.199999999999</v>
      </c>
      <c r="O52" s="62">
        <f t="shared" si="34"/>
        <v>13339.2</v>
      </c>
      <c r="P52" s="62">
        <f t="shared" si="34"/>
        <v>8183.7</v>
      </c>
      <c r="Q52" s="249">
        <f t="shared" si="34"/>
        <v>7773.5</v>
      </c>
      <c r="R52" s="309">
        <f t="shared" si="34"/>
        <v>13787.7</v>
      </c>
      <c r="S52" s="309">
        <f t="shared" ref="S52:T52" si="35">SUM(S44:S51)-S51</f>
        <v>13316.1</v>
      </c>
      <c r="T52" s="309">
        <f t="shared" si="35"/>
        <v>13004.800000000001</v>
      </c>
      <c r="U52" s="249">
        <f t="shared" ref="U52" si="36">SUM(U44:U51)-U51</f>
        <v>12670.500000000002</v>
      </c>
      <c r="V52" s="309">
        <f t="shared" ref="V52:X52" si="37">SUM(V44:V51)-V51</f>
        <v>11538.9</v>
      </c>
      <c r="W52" s="309">
        <f t="shared" si="37"/>
        <v>11262.199999999999</v>
      </c>
      <c r="X52" s="309">
        <f t="shared" si="37"/>
        <v>10896.3</v>
      </c>
      <c r="Y52" s="249"/>
    </row>
    <row r="53" spans="1:25" s="12" customFormat="1" ht="20.100000000000001" customHeight="1">
      <c r="A53" s="58" t="s">
        <v>19</v>
      </c>
      <c r="B53" s="336">
        <f>250.363</f>
        <v>250.363</v>
      </c>
      <c r="C53" s="336">
        <f>(265796)*0.001</f>
        <v>265.79599999999999</v>
      </c>
      <c r="D53" s="336">
        <f>(238676)*0.001</f>
        <v>238.67600000000002</v>
      </c>
      <c r="E53" s="337">
        <f>(275608)*0.001</f>
        <v>275.608</v>
      </c>
      <c r="F53" s="336">
        <f>(250329)*0.001</f>
        <v>250.32900000000001</v>
      </c>
      <c r="G53" s="336">
        <f>(263389)*0.001</f>
        <v>263.38900000000001</v>
      </c>
      <c r="H53" s="336">
        <f>(214673)*0.001</f>
        <v>214.673</v>
      </c>
      <c r="I53" s="338">
        <f>(245994)*0.001</f>
        <v>245.994</v>
      </c>
      <c r="J53" s="339">
        <f>(240921)*0.001</f>
        <v>240.92099999999999</v>
      </c>
      <c r="K53" s="42">
        <v>1094.3</v>
      </c>
      <c r="L53" s="42">
        <v>1365.1</v>
      </c>
      <c r="M53" s="101">
        <v>1322.6</v>
      </c>
      <c r="N53" s="68">
        <v>1543.9</v>
      </c>
      <c r="O53" s="68">
        <v>1169.9000000000001</v>
      </c>
      <c r="P53" s="42">
        <v>963.7</v>
      </c>
      <c r="Q53" s="250">
        <v>1230.9000000000001</v>
      </c>
      <c r="R53" s="314">
        <v>1593</v>
      </c>
      <c r="S53" s="314">
        <v>1251.3</v>
      </c>
      <c r="T53" s="314">
        <v>1269.4000000000001</v>
      </c>
      <c r="U53" s="250">
        <v>1270</v>
      </c>
      <c r="V53" s="314">
        <v>1286.8</v>
      </c>
      <c r="W53" s="314">
        <v>1805.9</v>
      </c>
      <c r="X53" s="314">
        <v>1824.8</v>
      </c>
      <c r="Y53" s="250"/>
    </row>
    <row r="54" spans="1:25" s="12" customFormat="1" ht="20.100000000000001" customHeight="1">
      <c r="A54" s="58" t="s">
        <v>88</v>
      </c>
      <c r="B54" s="336">
        <f>100.836</f>
        <v>100.836</v>
      </c>
      <c r="C54" s="336">
        <f>(101342)*0.001</f>
        <v>101.342</v>
      </c>
      <c r="D54" s="336">
        <f>(99687)*0.001</f>
        <v>99.686999999999998</v>
      </c>
      <c r="E54" s="337">
        <f>(97256)*0.001</f>
        <v>97.256</v>
      </c>
      <c r="F54" s="336">
        <f>(101219)*0.001</f>
        <v>101.21900000000001</v>
      </c>
      <c r="G54" s="336">
        <f>(102957)*0.001</f>
        <v>102.95700000000001</v>
      </c>
      <c r="H54" s="336">
        <f>(102171)*0.001</f>
        <v>102.17100000000001</v>
      </c>
      <c r="I54" s="338">
        <f>(98659)*0.001</f>
        <v>98.659000000000006</v>
      </c>
      <c r="J54" s="339">
        <f>(101071)*0.001</f>
        <v>101.071</v>
      </c>
      <c r="K54" s="41">
        <v>431.9</v>
      </c>
      <c r="L54" s="41">
        <v>439.1</v>
      </c>
      <c r="M54" s="103">
        <v>464.4</v>
      </c>
      <c r="N54" s="70">
        <v>462.5</v>
      </c>
      <c r="O54" s="70">
        <v>479.4</v>
      </c>
      <c r="P54" s="41">
        <v>4607.5</v>
      </c>
      <c r="Q54" s="250">
        <v>4776.7</v>
      </c>
      <c r="R54" s="305">
        <v>41.5</v>
      </c>
      <c r="S54" s="305">
        <v>42.3</v>
      </c>
      <c r="T54" s="305">
        <v>41.9</v>
      </c>
      <c r="U54" s="250">
        <v>42.4</v>
      </c>
      <c r="V54" s="305">
        <v>981.4</v>
      </c>
      <c r="W54" s="305">
        <v>42.5</v>
      </c>
      <c r="X54" s="305">
        <v>42.1</v>
      </c>
      <c r="Y54" s="250"/>
    </row>
    <row r="55" spans="1:25" s="12" customFormat="1" ht="20.100000000000001" customHeight="1">
      <c r="A55" s="58" t="s">
        <v>20</v>
      </c>
      <c r="B55" s="336">
        <f>0.237</f>
        <v>0.23699999999999999</v>
      </c>
      <c r="C55" s="336">
        <f>(243)*0.001</f>
        <v>0.24299999999999999</v>
      </c>
      <c r="D55" s="336">
        <f>(234)*0.001</f>
        <v>0.23400000000000001</v>
      </c>
      <c r="E55" s="337">
        <f>(233)*0.001</f>
        <v>0.23300000000000001</v>
      </c>
      <c r="F55" s="336">
        <f>(238)*0.001</f>
        <v>0.23800000000000002</v>
      </c>
      <c r="G55" s="336">
        <f>(247)*0.001</f>
        <v>0.247</v>
      </c>
      <c r="H55" s="336">
        <f>(240)*0.001</f>
        <v>0.24</v>
      </c>
      <c r="I55" s="338">
        <f>(236)*0.001</f>
        <v>0.23600000000000002</v>
      </c>
      <c r="J55" s="339">
        <f>(237)*0.001</f>
        <v>0.23700000000000002</v>
      </c>
      <c r="K55" s="41">
        <v>5.3</v>
      </c>
      <c r="L55" s="41">
        <v>5.8</v>
      </c>
      <c r="M55" s="103">
        <v>6.8</v>
      </c>
      <c r="N55" s="70">
        <v>2.7</v>
      </c>
      <c r="O55" s="70">
        <v>3.7</v>
      </c>
      <c r="P55" s="41">
        <v>4.3</v>
      </c>
      <c r="Q55" s="250">
        <v>4.3</v>
      </c>
      <c r="R55" s="305">
        <v>4.5</v>
      </c>
      <c r="S55" s="305">
        <v>4.9000000000000004</v>
      </c>
      <c r="T55" s="305">
        <v>4.9000000000000004</v>
      </c>
      <c r="U55" s="250">
        <v>5</v>
      </c>
      <c r="V55" s="305">
        <v>5.2</v>
      </c>
      <c r="W55" s="305">
        <v>7.6</v>
      </c>
      <c r="X55" s="305">
        <v>7</v>
      </c>
      <c r="Y55" s="250"/>
    </row>
    <row r="56" spans="1:25" s="12" customFormat="1" ht="20.100000000000001" customHeight="1">
      <c r="A56" s="58" t="s">
        <v>197</v>
      </c>
      <c r="B56" s="44">
        <v>0</v>
      </c>
      <c r="C56" s="44">
        <v>0</v>
      </c>
      <c r="D56" s="44">
        <v>0</v>
      </c>
      <c r="E56" s="96">
        <v>0</v>
      </c>
      <c r="F56" s="44">
        <v>0</v>
      </c>
      <c r="G56" s="44">
        <v>0</v>
      </c>
      <c r="H56" s="44">
        <v>0</v>
      </c>
      <c r="I56" s="80">
        <v>0</v>
      </c>
      <c r="J56" s="105">
        <v>0</v>
      </c>
      <c r="K56" s="41">
        <v>115.8</v>
      </c>
      <c r="L56" s="41">
        <v>113.9</v>
      </c>
      <c r="M56" s="103">
        <v>117.1</v>
      </c>
      <c r="N56" s="70">
        <v>113</v>
      </c>
      <c r="O56" s="70">
        <v>116.7</v>
      </c>
      <c r="P56" s="41">
        <v>115.6</v>
      </c>
      <c r="Q56" s="250">
        <v>117</v>
      </c>
      <c r="R56" s="305">
        <v>118</v>
      </c>
      <c r="S56" s="305">
        <v>123.1</v>
      </c>
      <c r="T56" s="305">
        <v>117.7</v>
      </c>
      <c r="U56" s="250">
        <v>121.5</v>
      </c>
      <c r="V56" s="305">
        <v>116.6</v>
      </c>
      <c r="W56" s="305">
        <v>117.6</v>
      </c>
      <c r="X56" s="305">
        <v>117.6</v>
      </c>
      <c r="Y56" s="250"/>
    </row>
    <row r="57" spans="1:25" s="12" customFormat="1" ht="20.100000000000001" customHeight="1">
      <c r="A57" s="58" t="s">
        <v>25</v>
      </c>
      <c r="B57" s="336">
        <f>435.427</f>
        <v>435.42700000000002</v>
      </c>
      <c r="C57" s="336">
        <f>(436188)*0.001</f>
        <v>436.18799999999999</v>
      </c>
      <c r="D57" s="336">
        <f>(441676)*0.001</f>
        <v>441.67599999999999</v>
      </c>
      <c r="E57" s="337">
        <f>(472094)*0.001</f>
        <v>472.09399999999999</v>
      </c>
      <c r="F57" s="336">
        <f>(432897)*0.001</f>
        <v>432.89699999999999</v>
      </c>
      <c r="G57" s="336">
        <f>(428004)*0.001</f>
        <v>428.00400000000002</v>
      </c>
      <c r="H57" s="336">
        <f>(390829)*0.001</f>
        <v>390.82900000000001</v>
      </c>
      <c r="I57" s="338">
        <f>(413210)*0.001</f>
        <v>413.21000000000004</v>
      </c>
      <c r="J57" s="339">
        <f>(418100)*0.001</f>
        <v>418.1</v>
      </c>
      <c r="K57" s="42">
        <v>1618.8</v>
      </c>
      <c r="L57" s="42">
        <v>1505.3</v>
      </c>
      <c r="M57" s="101">
        <v>1523</v>
      </c>
      <c r="N57" s="68">
        <v>1333.5</v>
      </c>
      <c r="O57" s="68">
        <v>1670.4</v>
      </c>
      <c r="P57" s="42">
        <v>1431.5</v>
      </c>
      <c r="Q57" s="250">
        <v>1485.4</v>
      </c>
      <c r="R57" s="314">
        <v>1711.4</v>
      </c>
      <c r="S57" s="314">
        <v>1365.9</v>
      </c>
      <c r="T57" s="314">
        <v>1338.1</v>
      </c>
      <c r="U57" s="250">
        <v>1569.5</v>
      </c>
      <c r="V57" s="314">
        <v>1337.9</v>
      </c>
      <c r="W57" s="314">
        <v>1694.4</v>
      </c>
      <c r="X57" s="314">
        <v>1397.9</v>
      </c>
      <c r="Y57" s="250"/>
    </row>
    <row r="58" spans="1:25" s="38" customFormat="1" ht="20.100000000000001" customHeight="1">
      <c r="A58" s="63" t="s">
        <v>98</v>
      </c>
      <c r="B58" s="48">
        <v>0</v>
      </c>
      <c r="C58" s="48">
        <v>0</v>
      </c>
      <c r="D58" s="48">
        <v>0</v>
      </c>
      <c r="E58" s="106">
        <v>0</v>
      </c>
      <c r="F58" s="48">
        <v>0</v>
      </c>
      <c r="G58" s="48">
        <v>0</v>
      </c>
      <c r="H58" s="48">
        <v>0</v>
      </c>
      <c r="I58" s="104">
        <v>12</v>
      </c>
      <c r="J58" s="92">
        <v>0</v>
      </c>
      <c r="K58" s="48">
        <v>0</v>
      </c>
      <c r="L58" s="48">
        <v>0</v>
      </c>
      <c r="M58" s="104">
        <v>87</v>
      </c>
      <c r="N58" s="71">
        <v>99.7</v>
      </c>
      <c r="O58" s="71">
        <v>79</v>
      </c>
      <c r="P58" s="47">
        <v>57.1</v>
      </c>
      <c r="Q58" s="442">
        <v>72.900000000000006</v>
      </c>
      <c r="R58" s="307">
        <v>25.8</v>
      </c>
      <c r="S58" s="307">
        <v>3.5</v>
      </c>
      <c r="T58" s="307">
        <v>1.8</v>
      </c>
      <c r="U58" s="442">
        <v>0</v>
      </c>
      <c r="V58" s="307">
        <v>1.5</v>
      </c>
      <c r="W58" s="307">
        <v>0.6</v>
      </c>
      <c r="X58" s="307">
        <v>0.5</v>
      </c>
      <c r="Y58" s="442"/>
    </row>
    <row r="59" spans="1:25" s="12" customFormat="1" ht="20.100000000000001" customHeight="1">
      <c r="A59" s="58" t="s">
        <v>24</v>
      </c>
      <c r="B59" s="336">
        <f>29.589</f>
        <v>29.588999999999999</v>
      </c>
      <c r="C59" s="336">
        <f>(7799)*0.001</f>
        <v>7.7990000000000004</v>
      </c>
      <c r="D59" s="336">
        <f>(6782)*0.001</f>
        <v>6.782</v>
      </c>
      <c r="E59" s="337">
        <f>(7092)*0.001</f>
        <v>7.0920000000000005</v>
      </c>
      <c r="F59" s="336">
        <f>(1990)*0.001</f>
        <v>1.99</v>
      </c>
      <c r="G59" s="336">
        <f>(6510)*0.001</f>
        <v>6.51</v>
      </c>
      <c r="H59" s="336">
        <f>(14152)*0.001</f>
        <v>14.152000000000001</v>
      </c>
      <c r="I59" s="338">
        <f>(4520)*0.001</f>
        <v>4.5200000000000005</v>
      </c>
      <c r="J59" s="339">
        <f>(12203)*0.001</f>
        <v>12.202999999999999</v>
      </c>
      <c r="K59" s="41">
        <v>43.7</v>
      </c>
      <c r="L59" s="41">
        <v>22.1</v>
      </c>
      <c r="M59" s="103">
        <v>48.028993427171699</v>
      </c>
      <c r="N59" s="70">
        <v>22.5</v>
      </c>
      <c r="O59" s="70">
        <v>132.69999999999999</v>
      </c>
      <c r="P59" s="41">
        <v>96.3</v>
      </c>
      <c r="Q59" s="250">
        <v>176.1</v>
      </c>
      <c r="R59" s="305">
        <v>29.2</v>
      </c>
      <c r="S59" s="305">
        <v>39.1</v>
      </c>
      <c r="T59" s="305">
        <v>21.967722325707697</v>
      </c>
      <c r="U59" s="250">
        <v>24.9</v>
      </c>
      <c r="V59" s="305">
        <v>4.3</v>
      </c>
      <c r="W59" s="305">
        <v>24.9</v>
      </c>
      <c r="X59" s="305">
        <v>17.5</v>
      </c>
      <c r="Y59" s="250"/>
    </row>
    <row r="60" spans="1:25" s="12" customFormat="1" ht="20.100000000000001" customHeight="1">
      <c r="A60" s="58" t="s">
        <v>45</v>
      </c>
      <c r="B60" s="336">
        <f>12.532</f>
        <v>12.532</v>
      </c>
      <c r="C60" s="336">
        <f>(12125)*0.001</f>
        <v>12.125</v>
      </c>
      <c r="D60" s="336">
        <f>(12084)*0.001</f>
        <v>12.084</v>
      </c>
      <c r="E60" s="337">
        <f>(13259)*0.001</f>
        <v>13.259</v>
      </c>
      <c r="F60" s="336">
        <f>(13182)*0.001</f>
        <v>13.182</v>
      </c>
      <c r="G60" s="336">
        <f>(12551)*0.001</f>
        <v>12.551</v>
      </c>
      <c r="H60" s="336">
        <f>(12536)*0.001</f>
        <v>12.536</v>
      </c>
      <c r="I60" s="338">
        <f>(2727)*0.001</f>
        <v>2.7269999999999999</v>
      </c>
      <c r="J60" s="339">
        <f>(2843)*0.001</f>
        <v>2.843</v>
      </c>
      <c r="K60" s="41">
        <v>2.6</v>
      </c>
      <c r="L60" s="41">
        <v>2.7</v>
      </c>
      <c r="M60" s="103">
        <v>1.4</v>
      </c>
      <c r="N60" s="70">
        <v>1.4</v>
      </c>
      <c r="O60" s="56" t="s">
        <v>63</v>
      </c>
      <c r="P60" s="56" t="s">
        <v>63</v>
      </c>
      <c r="Q60" s="251" t="s">
        <v>63</v>
      </c>
      <c r="R60" s="316" t="s">
        <v>63</v>
      </c>
      <c r="S60" s="316" t="s">
        <v>63</v>
      </c>
      <c r="T60" s="316" t="s">
        <v>63</v>
      </c>
      <c r="U60" s="251" t="s">
        <v>63</v>
      </c>
      <c r="V60" s="316" t="s">
        <v>63</v>
      </c>
      <c r="W60" s="316" t="s">
        <v>63</v>
      </c>
      <c r="X60" s="316" t="s">
        <v>63</v>
      </c>
      <c r="Y60" s="251"/>
    </row>
    <row r="61" spans="1:25" s="12" customFormat="1" ht="20.100000000000001" customHeight="1" thickBot="1">
      <c r="A61" s="58" t="s">
        <v>198</v>
      </c>
      <c r="B61" s="336">
        <f>188.402</f>
        <v>188.40199999999999</v>
      </c>
      <c r="C61" s="336">
        <f>(209950)*0.001</f>
        <v>209.95000000000002</v>
      </c>
      <c r="D61" s="336">
        <f>(210563)*0.001</f>
        <v>210.56300000000002</v>
      </c>
      <c r="E61" s="337">
        <f>(201238)*0.001</f>
        <v>201.238</v>
      </c>
      <c r="F61" s="336">
        <f>(207890)*0.001</f>
        <v>207.89000000000001</v>
      </c>
      <c r="G61" s="336">
        <f>(204442)*0.001</f>
        <v>204.44200000000001</v>
      </c>
      <c r="H61" s="336">
        <f>(210688)*0.001</f>
        <v>210.68800000000002</v>
      </c>
      <c r="I61" s="338">
        <f>(209485)*0.001</f>
        <v>209.48500000000001</v>
      </c>
      <c r="J61" s="339">
        <f>(228170)*0.001</f>
        <v>228.17000000000002</v>
      </c>
      <c r="K61" s="41">
        <v>678</v>
      </c>
      <c r="L61" s="41">
        <v>672.7</v>
      </c>
      <c r="M61" s="103">
        <v>683.9</v>
      </c>
      <c r="N61" s="70">
        <v>670.3</v>
      </c>
      <c r="O61" s="70">
        <v>672</v>
      </c>
      <c r="P61" s="41">
        <v>680.9</v>
      </c>
      <c r="Q61" s="250">
        <v>676.1</v>
      </c>
      <c r="R61" s="305">
        <v>665</v>
      </c>
      <c r="S61" s="305">
        <v>676.8</v>
      </c>
      <c r="T61" s="305">
        <v>660.84343092999995</v>
      </c>
      <c r="U61" s="250">
        <v>647.9</v>
      </c>
      <c r="V61" s="305">
        <v>633.79999999999995</v>
      </c>
      <c r="W61" s="305">
        <v>637.29999999999995</v>
      </c>
      <c r="X61" s="305">
        <v>629.5</v>
      </c>
      <c r="Y61" s="250"/>
    </row>
    <row r="62" spans="1:25" s="15" customFormat="1" ht="24.95" customHeight="1" thickBot="1">
      <c r="A62" s="13" t="s">
        <v>26</v>
      </c>
      <c r="B62" s="62">
        <f t="shared" ref="B62:L62" si="38">SUM(B53:B61)</f>
        <v>1017.386</v>
      </c>
      <c r="C62" s="62">
        <f t="shared" si="38"/>
        <v>1033.443</v>
      </c>
      <c r="D62" s="62">
        <f t="shared" si="38"/>
        <v>1009.7019999999999</v>
      </c>
      <c r="E62" s="84">
        <f t="shared" si="38"/>
        <v>1066.78</v>
      </c>
      <c r="F62" s="62">
        <f t="shared" si="38"/>
        <v>1007.745</v>
      </c>
      <c r="G62" s="62">
        <f t="shared" si="38"/>
        <v>1018.1</v>
      </c>
      <c r="H62" s="62">
        <f t="shared" si="38"/>
        <v>945.28899999999999</v>
      </c>
      <c r="I62" s="62">
        <f t="shared" si="38"/>
        <v>986.83100000000002</v>
      </c>
      <c r="J62" s="333">
        <f t="shared" si="38"/>
        <v>1003.5449999999998</v>
      </c>
      <c r="K62" s="61">
        <f t="shared" si="38"/>
        <v>3990.3999999999992</v>
      </c>
      <c r="L62" s="61">
        <f t="shared" si="38"/>
        <v>4126.7</v>
      </c>
      <c r="M62" s="84">
        <f t="shared" ref="M62:T62" si="39">SUM(M53:M61)-M58</f>
        <v>4167.2289934271712</v>
      </c>
      <c r="N62" s="62">
        <f t="shared" si="39"/>
        <v>4149.8</v>
      </c>
      <c r="O62" s="62">
        <f t="shared" si="39"/>
        <v>4244.8</v>
      </c>
      <c r="P62" s="62">
        <f t="shared" si="39"/>
        <v>7899.8</v>
      </c>
      <c r="Q62" s="249">
        <f t="shared" si="39"/>
        <v>8466.5000000000018</v>
      </c>
      <c r="R62" s="309">
        <f t="shared" si="39"/>
        <v>4162.5999999999995</v>
      </c>
      <c r="S62" s="309">
        <f t="shared" si="39"/>
        <v>3503.3999999999996</v>
      </c>
      <c r="T62" s="309">
        <f t="shared" si="39"/>
        <v>3454.8111532557077</v>
      </c>
      <c r="U62" s="249">
        <f t="shared" ref="U62" si="40">SUM(U53:U61)-U58</f>
        <v>3681.2000000000003</v>
      </c>
      <c r="V62" s="309">
        <f t="shared" ref="V62:W62" si="41">SUM(V53:V61)-V58</f>
        <v>4366</v>
      </c>
      <c r="W62" s="309">
        <f t="shared" si="41"/>
        <v>4330.2</v>
      </c>
      <c r="X62" s="309">
        <f t="shared" ref="X62" si="42">SUM(X53:X61)-X58</f>
        <v>4036.3999999999996</v>
      </c>
      <c r="Y62" s="249"/>
    </row>
    <row r="63" spans="1:25" s="15" customFormat="1" ht="24.95" customHeight="1" thickBot="1">
      <c r="A63" s="13" t="s">
        <v>27</v>
      </c>
      <c r="B63" s="62">
        <f>B52+B62</f>
        <v>3411.9869999999996</v>
      </c>
      <c r="C63" s="62">
        <f>C52+C62</f>
        <v>3405.5320000000002</v>
      </c>
      <c r="D63" s="62">
        <f>D52+D62</f>
        <v>3159.9589999999994</v>
      </c>
      <c r="E63" s="84">
        <f t="shared" ref="E63:T63" si="43">E62+E52</f>
        <v>3092.942</v>
      </c>
      <c r="F63" s="62">
        <f t="shared" si="43"/>
        <v>3067.306</v>
      </c>
      <c r="G63" s="62">
        <f t="shared" si="43"/>
        <v>2945.4119999999998</v>
      </c>
      <c r="H63" s="62">
        <f t="shared" si="43"/>
        <v>2772.4030000000002</v>
      </c>
      <c r="I63" s="62">
        <f t="shared" si="43"/>
        <v>2687.0169999999998</v>
      </c>
      <c r="J63" s="333">
        <f t="shared" si="43"/>
        <v>2742.8450000000003</v>
      </c>
      <c r="K63" s="61">
        <f t="shared" si="43"/>
        <v>18735.399999999998</v>
      </c>
      <c r="L63" s="61">
        <f t="shared" si="43"/>
        <v>18350.5</v>
      </c>
      <c r="M63" s="84">
        <f t="shared" si="43"/>
        <v>18260.528993427175</v>
      </c>
      <c r="N63" s="62">
        <f t="shared" si="43"/>
        <v>17777</v>
      </c>
      <c r="O63" s="62">
        <f t="shared" si="43"/>
        <v>17584</v>
      </c>
      <c r="P63" s="62">
        <f t="shared" si="43"/>
        <v>16083.5</v>
      </c>
      <c r="Q63" s="249">
        <f t="shared" si="43"/>
        <v>16240.000000000002</v>
      </c>
      <c r="R63" s="309">
        <f t="shared" si="43"/>
        <v>17950.3</v>
      </c>
      <c r="S63" s="309">
        <f t="shared" si="43"/>
        <v>16819.5</v>
      </c>
      <c r="T63" s="309">
        <f t="shared" si="43"/>
        <v>16459.611153255708</v>
      </c>
      <c r="U63" s="249">
        <f t="shared" ref="U63:V63" si="44">U62+U52</f>
        <v>16351.700000000003</v>
      </c>
      <c r="V63" s="309">
        <f t="shared" si="44"/>
        <v>15904.9</v>
      </c>
      <c r="W63" s="309">
        <f t="shared" ref="W63:X63" si="45">W62+W52</f>
        <v>15592.399999999998</v>
      </c>
      <c r="X63" s="309">
        <f t="shared" si="45"/>
        <v>14932.699999999999</v>
      </c>
      <c r="Y63" s="249"/>
    </row>
    <row r="64" spans="1:25" s="15" customFormat="1" ht="24.95" customHeight="1" thickBot="1">
      <c r="A64" s="65" t="s">
        <v>28</v>
      </c>
      <c r="B64" s="66">
        <f t="shared" ref="B64:T64" si="46">B63+B43</f>
        <v>5502.753999999999</v>
      </c>
      <c r="C64" s="66">
        <f t="shared" si="46"/>
        <v>5597.8010000000004</v>
      </c>
      <c r="D64" s="66">
        <f t="shared" si="46"/>
        <v>5514.8739999999998</v>
      </c>
      <c r="E64" s="97">
        <f t="shared" si="46"/>
        <v>5561.3450000000003</v>
      </c>
      <c r="F64" s="66">
        <f t="shared" si="46"/>
        <v>5629.4740000000002</v>
      </c>
      <c r="G64" s="66">
        <f t="shared" si="46"/>
        <v>5592.7070000000003</v>
      </c>
      <c r="H64" s="66">
        <f t="shared" si="46"/>
        <v>5597.9809999999998</v>
      </c>
      <c r="I64" s="334">
        <f t="shared" si="46"/>
        <v>5688.23</v>
      </c>
      <c r="J64" s="335">
        <f t="shared" si="46"/>
        <v>5851.1939999999995</v>
      </c>
      <c r="K64" s="66">
        <f t="shared" si="46"/>
        <v>27827.1</v>
      </c>
      <c r="L64" s="66">
        <f t="shared" si="46"/>
        <v>27481.200000000001</v>
      </c>
      <c r="M64" s="97">
        <f t="shared" si="46"/>
        <v>27338.728993427176</v>
      </c>
      <c r="N64" s="66">
        <f t="shared" si="46"/>
        <v>27088.9</v>
      </c>
      <c r="O64" s="66">
        <f t="shared" si="46"/>
        <v>27141.800000000003</v>
      </c>
      <c r="P64" s="66">
        <f t="shared" si="46"/>
        <v>26143.5</v>
      </c>
      <c r="Q64" s="252">
        <f t="shared" si="46"/>
        <v>26490.100000000002</v>
      </c>
      <c r="R64" s="311">
        <f t="shared" si="46"/>
        <v>28355.5</v>
      </c>
      <c r="S64" s="311">
        <f t="shared" si="46"/>
        <v>27581.1</v>
      </c>
      <c r="T64" s="311">
        <f t="shared" si="46"/>
        <v>27493.111153255708</v>
      </c>
      <c r="U64" s="252">
        <f t="shared" ref="U64:V64" si="47">U63+U43</f>
        <v>27729.300000000003</v>
      </c>
      <c r="V64" s="311">
        <f t="shared" si="47"/>
        <v>27553.199999999997</v>
      </c>
      <c r="W64" s="311">
        <f t="shared" ref="W64:X64" si="48">W63+W43</f>
        <v>27317.5</v>
      </c>
      <c r="X64" s="311">
        <f t="shared" si="48"/>
        <v>26892.6</v>
      </c>
      <c r="Y64" s="252"/>
    </row>
    <row r="65" spans="1:17" s="12" customFormat="1">
      <c r="A65" s="60"/>
      <c r="K65" s="14"/>
      <c r="L65" s="14"/>
      <c r="P65" s="14"/>
    </row>
    <row r="66" spans="1:17" s="12" customFormat="1">
      <c r="A66" s="60"/>
      <c r="K66" s="14"/>
      <c r="L66" s="14"/>
      <c r="P66" s="14"/>
    </row>
    <row r="67" spans="1:17" s="12" customFormat="1" ht="20.100000000000001" customHeight="1">
      <c r="A67" s="541" t="s">
        <v>206</v>
      </c>
      <c r="B67" s="541"/>
      <c r="C67" s="541"/>
      <c r="D67" s="541"/>
      <c r="E67" s="541"/>
      <c r="F67" s="541"/>
      <c r="G67" s="541"/>
      <c r="H67" s="541"/>
      <c r="I67" s="541"/>
      <c r="J67" s="541"/>
      <c r="K67" s="541"/>
      <c r="L67" s="541"/>
      <c r="M67" s="541"/>
      <c r="N67" s="541"/>
      <c r="O67" s="541"/>
      <c r="P67" s="541"/>
      <c r="Q67" s="541"/>
    </row>
    <row r="68" spans="1:17" s="12" customFormat="1" ht="20.100000000000001" customHeight="1">
      <c r="A68" s="541" t="s">
        <v>199</v>
      </c>
      <c r="B68" s="541"/>
      <c r="C68" s="541"/>
      <c r="D68" s="541"/>
      <c r="E68" s="541"/>
      <c r="F68" s="541"/>
      <c r="G68" s="541"/>
      <c r="H68" s="541"/>
      <c r="I68" s="541"/>
      <c r="J68" s="541"/>
      <c r="K68" s="541"/>
      <c r="L68" s="541"/>
      <c r="M68" s="541"/>
      <c r="N68" s="541"/>
      <c r="O68" s="541"/>
      <c r="P68" s="541"/>
      <c r="Q68" s="541"/>
    </row>
    <row r="69" spans="1:17" s="12" customFormat="1">
      <c r="A69" s="10"/>
      <c r="K69" s="14"/>
      <c r="L69" s="14"/>
      <c r="P69" s="14"/>
    </row>
    <row r="70" spans="1:17" s="12" customFormat="1">
      <c r="A70" s="67"/>
      <c r="K70" s="14"/>
      <c r="L70" s="14"/>
      <c r="P70" s="14"/>
    </row>
    <row r="71" spans="1:17" s="12" customFormat="1">
      <c r="A71" s="10"/>
      <c r="K71" s="14"/>
      <c r="L71" s="14"/>
      <c r="P71" s="14"/>
    </row>
    <row r="72" spans="1:17" s="12" customFormat="1">
      <c r="A72" s="10"/>
      <c r="K72" s="14"/>
      <c r="L72" s="14"/>
      <c r="P72" s="14"/>
    </row>
  </sheetData>
  <mergeCells count="8">
    <mergeCell ref="V2:Y2"/>
    <mergeCell ref="R2:U2"/>
    <mergeCell ref="A67:Q67"/>
    <mergeCell ref="A68:Q68"/>
    <mergeCell ref="B2:E2"/>
    <mergeCell ref="F2:I2"/>
    <mergeCell ref="J2:M2"/>
    <mergeCell ref="N2:Q2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31" orientation="landscape" r:id="rId1"/>
  <ignoredErrors>
    <ignoredError sqref="F28 H28 C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Z134"/>
  <sheetViews>
    <sheetView showGridLines="0" zoomScale="90" zoomScaleNormal="90" zoomScaleSheetLayoutView="110" workbookViewId="0">
      <pane xSplit="1" ySplit="3" topLeftCell="S4" activePane="bottomRight" state="frozen"/>
      <selection pane="topRight" activeCell="B1" sqref="B1"/>
      <selection pane="bottomLeft" activeCell="A4" sqref="A4"/>
      <selection pane="bottomRight" activeCell="A40" sqref="A40"/>
    </sheetView>
  </sheetViews>
  <sheetFormatPr defaultRowHeight="12.75"/>
  <cols>
    <col min="1" max="1" width="62.25" style="6" customWidth="1"/>
    <col min="2" max="2" width="13.125" style="6" customWidth="1"/>
    <col min="3" max="4" width="13" style="6" bestFit="1" customWidth="1"/>
    <col min="5" max="5" width="12.5" style="6" bestFit="1" customWidth="1"/>
    <col min="6" max="6" width="13" style="6" bestFit="1" customWidth="1"/>
    <col min="7" max="8" width="12.875" style="6" customWidth="1"/>
    <col min="9" max="9" width="12.5" style="6" customWidth="1"/>
    <col min="10" max="11" width="13" style="6" bestFit="1" customWidth="1"/>
    <col min="12" max="12" width="12.875" style="6" customWidth="1"/>
    <col min="13" max="13" width="12.5" style="6" customWidth="1"/>
    <col min="14" max="16" width="13" style="6" bestFit="1" customWidth="1"/>
    <col min="17" max="17" width="13" style="6" customWidth="1"/>
    <col min="18" max="20" width="13" style="6" bestFit="1" customWidth="1"/>
    <col min="21" max="21" width="13" style="6" customWidth="1"/>
    <col min="22" max="24" width="13" style="6" bestFit="1" customWidth="1"/>
    <col min="25" max="25" width="13" style="6" customWidth="1"/>
    <col min="26" max="61" width="9" style="10"/>
    <col min="62" max="16384" width="9" style="6"/>
  </cols>
  <sheetData>
    <row r="1" spans="1:494" s="19" customFormat="1" ht="50.25" customHeight="1" thickBot="1">
      <c r="A1" s="5" t="s">
        <v>176</v>
      </c>
      <c r="B1" s="5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  <c r="JB1" s="18"/>
      <c r="JC1" s="18"/>
      <c r="JD1" s="18"/>
      <c r="JE1" s="18"/>
      <c r="JF1" s="18"/>
      <c r="JG1" s="18"/>
      <c r="JH1" s="18"/>
      <c r="JI1" s="18"/>
      <c r="JJ1" s="18"/>
      <c r="JK1" s="18"/>
      <c r="JL1" s="18"/>
      <c r="JM1" s="18"/>
      <c r="JN1" s="18"/>
      <c r="JO1" s="18"/>
      <c r="JP1" s="18"/>
      <c r="JQ1" s="18"/>
      <c r="JR1" s="18"/>
      <c r="JS1" s="18"/>
      <c r="JT1" s="18"/>
      <c r="JU1" s="18"/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/>
      <c r="KG1" s="18"/>
      <c r="KH1" s="18"/>
      <c r="KI1" s="18"/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8"/>
      <c r="KX1" s="18"/>
      <c r="KY1" s="18"/>
      <c r="KZ1" s="18"/>
      <c r="LA1" s="18"/>
      <c r="LB1" s="18"/>
      <c r="LC1" s="18"/>
      <c r="LD1" s="18"/>
      <c r="LE1" s="18"/>
      <c r="LF1" s="18"/>
      <c r="LG1" s="18"/>
      <c r="LH1" s="18"/>
      <c r="LI1" s="18"/>
      <c r="LJ1" s="18"/>
      <c r="LK1" s="18"/>
      <c r="LL1" s="18"/>
      <c r="LM1" s="18"/>
      <c r="LN1" s="18"/>
      <c r="LO1" s="18"/>
      <c r="LP1" s="18"/>
      <c r="LQ1" s="18"/>
      <c r="LR1" s="18"/>
      <c r="LS1" s="18"/>
      <c r="LT1" s="18"/>
      <c r="LU1" s="18"/>
      <c r="LV1" s="18"/>
      <c r="LW1" s="18"/>
      <c r="LX1" s="18"/>
      <c r="LY1" s="18"/>
      <c r="LZ1" s="18"/>
      <c r="MA1" s="18"/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/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/>
      <c r="NA1" s="18"/>
      <c r="NB1" s="18"/>
      <c r="NC1" s="18"/>
      <c r="ND1" s="18"/>
      <c r="NE1" s="18"/>
      <c r="NF1" s="18"/>
      <c r="NG1" s="18"/>
      <c r="NH1" s="18"/>
      <c r="NI1" s="18"/>
      <c r="NJ1" s="18"/>
      <c r="NK1" s="18"/>
      <c r="NL1" s="18"/>
      <c r="NM1" s="18"/>
      <c r="NN1" s="18"/>
      <c r="NO1" s="18"/>
      <c r="NP1" s="18"/>
      <c r="NQ1" s="18"/>
      <c r="NR1" s="18"/>
      <c r="NS1" s="18"/>
      <c r="NT1" s="18"/>
      <c r="NU1" s="18"/>
      <c r="NV1" s="18"/>
      <c r="NW1" s="18"/>
      <c r="NX1" s="18"/>
      <c r="NY1" s="18"/>
      <c r="NZ1" s="18"/>
      <c r="OA1" s="18"/>
      <c r="OB1" s="18"/>
      <c r="OC1" s="18"/>
      <c r="OD1" s="18"/>
      <c r="OE1" s="18"/>
      <c r="OF1" s="18"/>
      <c r="OG1" s="18"/>
      <c r="OH1" s="18"/>
      <c r="OI1" s="18"/>
      <c r="OJ1" s="18"/>
      <c r="OK1" s="18"/>
      <c r="OL1" s="18"/>
      <c r="OM1" s="18"/>
      <c r="ON1" s="18"/>
      <c r="OO1" s="18"/>
      <c r="OP1" s="18"/>
      <c r="OQ1" s="18"/>
      <c r="OR1" s="18"/>
      <c r="OS1" s="18"/>
      <c r="OT1" s="18"/>
      <c r="OU1" s="18"/>
      <c r="OV1" s="18"/>
      <c r="OW1" s="18"/>
      <c r="OX1" s="18"/>
      <c r="OY1" s="18"/>
      <c r="OZ1" s="18"/>
      <c r="PA1" s="18"/>
      <c r="PB1" s="18"/>
      <c r="PC1" s="18"/>
      <c r="PD1" s="18"/>
      <c r="PE1" s="18"/>
      <c r="PF1" s="18"/>
      <c r="PG1" s="18"/>
      <c r="PH1" s="18"/>
      <c r="PI1" s="18"/>
      <c r="PJ1" s="18"/>
      <c r="PK1" s="18"/>
      <c r="PL1" s="18"/>
      <c r="PM1" s="18"/>
      <c r="PN1" s="18"/>
      <c r="PO1" s="18"/>
      <c r="PP1" s="18"/>
      <c r="PQ1" s="18"/>
      <c r="PR1" s="18"/>
      <c r="PS1" s="18"/>
      <c r="PT1" s="18"/>
      <c r="PU1" s="18"/>
      <c r="PV1" s="18"/>
      <c r="PW1" s="18"/>
      <c r="PX1" s="18"/>
      <c r="PY1" s="18"/>
      <c r="PZ1" s="18"/>
      <c r="QA1" s="18"/>
      <c r="QB1" s="18"/>
      <c r="QC1" s="18"/>
      <c r="QD1" s="18"/>
      <c r="QE1" s="18"/>
      <c r="QF1" s="18"/>
      <c r="QG1" s="18"/>
      <c r="QH1" s="18"/>
      <c r="QI1" s="18"/>
      <c r="QJ1" s="18"/>
      <c r="QK1" s="18"/>
      <c r="QL1" s="18"/>
      <c r="QM1" s="18"/>
      <c r="QN1" s="18"/>
      <c r="QO1" s="18"/>
      <c r="QP1" s="18"/>
      <c r="QQ1" s="18"/>
      <c r="QR1" s="18"/>
      <c r="QS1" s="18"/>
      <c r="QT1" s="18"/>
      <c r="QU1" s="18"/>
      <c r="QV1" s="18"/>
      <c r="QW1" s="18"/>
      <c r="QX1" s="18"/>
      <c r="QY1" s="18"/>
      <c r="QZ1" s="18"/>
      <c r="RA1" s="18"/>
      <c r="RB1" s="18"/>
      <c r="RC1" s="18"/>
      <c r="RD1" s="18"/>
      <c r="RE1" s="18"/>
      <c r="RF1" s="18"/>
      <c r="RG1" s="18"/>
      <c r="RH1" s="18"/>
      <c r="RI1" s="18"/>
      <c r="RJ1" s="18"/>
      <c r="RK1" s="18"/>
      <c r="RL1" s="18"/>
      <c r="RM1" s="18"/>
      <c r="RN1" s="18"/>
      <c r="RO1" s="18"/>
      <c r="RP1" s="18"/>
      <c r="RQ1" s="18"/>
      <c r="RR1" s="18"/>
      <c r="RS1" s="18"/>
      <c r="RT1" s="18"/>
      <c r="RU1" s="18"/>
      <c r="RV1" s="18"/>
      <c r="RW1" s="18"/>
      <c r="RX1" s="18"/>
      <c r="RY1" s="18"/>
      <c r="RZ1" s="18"/>
    </row>
    <row r="2" spans="1:494" s="19" customFormat="1" ht="24.95" customHeight="1">
      <c r="A2" s="8" t="s">
        <v>130</v>
      </c>
      <c r="B2" s="539">
        <v>2012</v>
      </c>
      <c r="C2" s="539"/>
      <c r="D2" s="539"/>
      <c r="E2" s="540"/>
      <c r="F2" s="538">
        <v>2013</v>
      </c>
      <c r="G2" s="539"/>
      <c r="H2" s="539"/>
      <c r="I2" s="540"/>
      <c r="J2" s="539">
        <v>2014</v>
      </c>
      <c r="K2" s="539"/>
      <c r="L2" s="539"/>
      <c r="M2" s="539"/>
      <c r="N2" s="544">
        <v>2015</v>
      </c>
      <c r="O2" s="542"/>
      <c r="P2" s="542"/>
      <c r="Q2" s="543"/>
      <c r="R2" s="538">
        <v>2016</v>
      </c>
      <c r="S2" s="539"/>
      <c r="T2" s="539"/>
      <c r="U2" s="540"/>
      <c r="V2" s="538">
        <v>2017</v>
      </c>
      <c r="W2" s="539"/>
      <c r="X2" s="539"/>
      <c r="Y2" s="540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</row>
    <row r="3" spans="1:494" ht="34.5" customHeight="1" thickBot="1">
      <c r="A3" s="9" t="s">
        <v>103</v>
      </c>
      <c r="B3" s="108" t="s">
        <v>125</v>
      </c>
      <c r="C3" s="108" t="s">
        <v>126</v>
      </c>
      <c r="D3" s="108" t="s">
        <v>127</v>
      </c>
      <c r="E3" s="110" t="s">
        <v>128</v>
      </c>
      <c r="F3" s="109" t="s">
        <v>125</v>
      </c>
      <c r="G3" s="108" t="s">
        <v>126</v>
      </c>
      <c r="H3" s="108" t="s">
        <v>127</v>
      </c>
      <c r="I3" s="110" t="s">
        <v>128</v>
      </c>
      <c r="J3" s="108" t="s">
        <v>125</v>
      </c>
      <c r="K3" s="108" t="s">
        <v>126</v>
      </c>
      <c r="L3" s="108" t="s">
        <v>127</v>
      </c>
      <c r="M3" s="111" t="s">
        <v>128</v>
      </c>
      <c r="N3" s="109" t="s">
        <v>125</v>
      </c>
      <c r="O3" s="108" t="s">
        <v>126</v>
      </c>
      <c r="P3" s="108" t="s">
        <v>127</v>
      </c>
      <c r="Q3" s="242" t="s">
        <v>128</v>
      </c>
      <c r="R3" s="109" t="s">
        <v>125</v>
      </c>
      <c r="S3" s="108" t="s">
        <v>126</v>
      </c>
      <c r="T3" s="108" t="s">
        <v>127</v>
      </c>
      <c r="U3" s="242" t="s">
        <v>128</v>
      </c>
      <c r="V3" s="109" t="s">
        <v>125</v>
      </c>
      <c r="W3" s="108" t="s">
        <v>126</v>
      </c>
      <c r="X3" s="108" t="s">
        <v>127</v>
      </c>
      <c r="Y3" s="242" t="s">
        <v>128</v>
      </c>
    </row>
    <row r="4" spans="1:494" s="10" customFormat="1" ht="20.100000000000001" customHeight="1" thickBot="1">
      <c r="A4" s="235" t="s">
        <v>129</v>
      </c>
      <c r="B4" s="254">
        <v>205.10900000000001</v>
      </c>
      <c r="C4" s="254">
        <v>304.61200000000002</v>
      </c>
      <c r="D4" s="254">
        <v>476.67400000000004</v>
      </c>
      <c r="E4" s="350">
        <v>598.298</v>
      </c>
      <c r="F4" s="253">
        <v>95.105000000000004</v>
      </c>
      <c r="G4" s="254">
        <v>175.85</v>
      </c>
      <c r="H4" s="254">
        <v>352.30099999999999</v>
      </c>
      <c r="I4" s="350">
        <v>525.44500000000005</v>
      </c>
      <c r="J4" s="254">
        <v>98.171999999999997</v>
      </c>
      <c r="K4" s="254">
        <f>'Skonsolidowany P&amp;L'!L25+'Skonsolidowany P&amp;L'!M25</f>
        <v>230.29999999999967</v>
      </c>
      <c r="L4" s="254">
        <v>278.5</v>
      </c>
      <c r="M4" s="265">
        <v>292.5</v>
      </c>
      <c r="N4" s="253">
        <v>170.8</v>
      </c>
      <c r="O4" s="254">
        <v>475.29999999999984</v>
      </c>
      <c r="P4" s="254">
        <f>SUM('Skonsolidowany P&amp;L'!Q25:S25)</f>
        <v>977.7999999999995</v>
      </c>
      <c r="Q4" s="255">
        <f>SUM('Skonsolidowany P&amp;L'!U25)</f>
        <v>1163.3999999999994</v>
      </c>
      <c r="R4" s="253">
        <f>'Skonsolidowany P&amp;L'!V25</f>
        <v>178.50000000000006</v>
      </c>
      <c r="S4" s="254">
        <f>'Skonsolidowany P&amp;L'!V25+'Skonsolidowany P&amp;L'!W25</f>
        <v>409.4000000000002</v>
      </c>
      <c r="T4" s="254">
        <f>S4+'Skonsolidowany P&amp;L'!X25</f>
        <v>679.20000000000061</v>
      </c>
      <c r="U4" s="255">
        <f>'Skonsolidowany P&amp;L'!Z25</f>
        <v>1021.0000000000001</v>
      </c>
      <c r="V4" s="253">
        <f>'Skonsolidowany P&amp;L'!AA25</f>
        <v>271.40000000000032</v>
      </c>
      <c r="W4" s="254">
        <f>'Skonsolidowany P&amp;L'!AB25+'Skonsolidowany P&amp;L'!AA25</f>
        <v>553.10000000000025</v>
      </c>
      <c r="X4" s="254">
        <v>788</v>
      </c>
      <c r="Y4" s="255"/>
    </row>
    <row r="5" spans="1:494" s="10" customFormat="1" ht="20.100000000000001" customHeight="1" thickBot="1">
      <c r="A5" s="235" t="s">
        <v>29</v>
      </c>
      <c r="B5" s="351">
        <f t="shared" ref="B5:X5" si="0">SUM(B6:B23)</f>
        <v>28.31799999999998</v>
      </c>
      <c r="C5" s="351">
        <f t="shared" si="0"/>
        <v>110.99899999999997</v>
      </c>
      <c r="D5" s="351">
        <f t="shared" si="0"/>
        <v>152.09600000000003</v>
      </c>
      <c r="E5" s="350">
        <f t="shared" si="0"/>
        <v>244.9200000000001</v>
      </c>
      <c r="F5" s="253">
        <f t="shared" si="0"/>
        <v>70.556999999999988</v>
      </c>
      <c r="G5" s="254">
        <f t="shared" si="0"/>
        <v>176.07799999999997</v>
      </c>
      <c r="H5" s="254">
        <f t="shared" si="0"/>
        <v>195.94299999999996</v>
      </c>
      <c r="I5" s="350">
        <f t="shared" si="0"/>
        <v>334.28999999999991</v>
      </c>
      <c r="J5" s="254">
        <f t="shared" si="0"/>
        <v>86.532000000000011</v>
      </c>
      <c r="K5" s="254">
        <f t="shared" si="0"/>
        <v>505.40000000000015</v>
      </c>
      <c r="L5" s="254">
        <f t="shared" si="0"/>
        <v>1145.4000000000003</v>
      </c>
      <c r="M5" s="265">
        <f t="shared" si="0"/>
        <v>1825.2999999999997</v>
      </c>
      <c r="N5" s="253">
        <f t="shared" si="0"/>
        <v>282.2000000000001</v>
      </c>
      <c r="O5" s="254">
        <f t="shared" si="0"/>
        <v>852.69999999999982</v>
      </c>
      <c r="P5" s="254">
        <f t="shared" si="0"/>
        <v>1195.6999999999994</v>
      </c>
      <c r="Q5" s="255">
        <f t="shared" si="0"/>
        <v>1821.6999999999998</v>
      </c>
      <c r="R5" s="253">
        <f t="shared" si="0"/>
        <v>405.9</v>
      </c>
      <c r="S5" s="254">
        <f t="shared" si="0"/>
        <v>1140</v>
      </c>
      <c r="T5" s="254">
        <f t="shared" si="0"/>
        <v>1678.3000000000002</v>
      </c>
      <c r="U5" s="255">
        <f t="shared" si="0"/>
        <v>2130.5</v>
      </c>
      <c r="V5" s="253">
        <f t="shared" si="0"/>
        <v>509.29999999999995</v>
      </c>
      <c r="W5" s="254">
        <f t="shared" si="0"/>
        <v>1062.8</v>
      </c>
      <c r="X5" s="254">
        <f t="shared" si="0"/>
        <v>1457.6999999999998</v>
      </c>
      <c r="Y5" s="255"/>
    </row>
    <row r="6" spans="1:494" s="10" customFormat="1" ht="20.100000000000001" customHeight="1">
      <c r="A6" s="236" t="s">
        <v>75</v>
      </c>
      <c r="B6" s="257">
        <v>54.433</v>
      </c>
      <c r="C6" s="257">
        <v>111.117</v>
      </c>
      <c r="D6" s="257">
        <v>171.35499999999999</v>
      </c>
      <c r="E6" s="352">
        <v>243.066</v>
      </c>
      <c r="F6" s="256">
        <v>60.698</v>
      </c>
      <c r="G6" s="257">
        <v>122.961</v>
      </c>
      <c r="H6" s="257">
        <v>187.82599999999999</v>
      </c>
      <c r="I6" s="352">
        <v>256.416</v>
      </c>
      <c r="J6" s="266">
        <v>62.434000000000005</v>
      </c>
      <c r="K6" s="266">
        <v>373.8</v>
      </c>
      <c r="L6" s="266">
        <v>852.1</v>
      </c>
      <c r="M6" s="267">
        <v>1295.9000000000001</v>
      </c>
      <c r="N6" s="256">
        <v>467.9</v>
      </c>
      <c r="O6" s="257">
        <v>861.4</v>
      </c>
      <c r="P6" s="257">
        <v>1262.5999999999999</v>
      </c>
      <c r="Q6" s="258">
        <v>1699.3</v>
      </c>
      <c r="R6" s="256">
        <v>423.7</v>
      </c>
      <c r="S6" s="257">
        <v>951.2</v>
      </c>
      <c r="T6" s="257">
        <v>1459.1</v>
      </c>
      <c r="U6" s="258">
        <v>1971.5</v>
      </c>
      <c r="V6" s="256">
        <v>472.3</v>
      </c>
      <c r="W6" s="257">
        <v>919</v>
      </c>
      <c r="X6" s="257">
        <v>1348.2</v>
      </c>
      <c r="Y6" s="258"/>
    </row>
    <row r="7" spans="1:494" s="10" customFormat="1" ht="20.100000000000001" customHeight="1">
      <c r="A7" s="236" t="s">
        <v>50</v>
      </c>
      <c r="B7" s="257">
        <v>-29.711000000000002</v>
      </c>
      <c r="C7" s="257">
        <v>-88.683000000000007</v>
      </c>
      <c r="D7" s="257">
        <v>-140.589</v>
      </c>
      <c r="E7" s="352">
        <v>-177.86799999999999</v>
      </c>
      <c r="F7" s="256">
        <v>-44.32</v>
      </c>
      <c r="G7" s="257">
        <v>-122.45100000000001</v>
      </c>
      <c r="H7" s="257">
        <v>-189.477</v>
      </c>
      <c r="I7" s="352">
        <v>-222.45600000000002</v>
      </c>
      <c r="J7" s="266">
        <v>-109.42100000000001</v>
      </c>
      <c r="K7" s="266">
        <v>-148.9</v>
      </c>
      <c r="L7" s="266">
        <v>-224.7</v>
      </c>
      <c r="M7" s="267">
        <v>-306.8</v>
      </c>
      <c r="N7" s="256">
        <v>-41.5</v>
      </c>
      <c r="O7" s="257">
        <v>-115.2</v>
      </c>
      <c r="P7" s="257">
        <v>-195.4</v>
      </c>
      <c r="Q7" s="258">
        <v>-238.1</v>
      </c>
      <c r="R7" s="256">
        <v>-58.1</v>
      </c>
      <c r="S7" s="257">
        <v>-119</v>
      </c>
      <c r="T7" s="257">
        <v>-189.6</v>
      </c>
      <c r="U7" s="258">
        <v>-246.5</v>
      </c>
      <c r="V7" s="256">
        <v>-33.299999999999997</v>
      </c>
      <c r="W7" s="257">
        <v>-94.2</v>
      </c>
      <c r="X7" s="257">
        <v>-246.2</v>
      </c>
      <c r="Y7" s="258"/>
    </row>
    <row r="8" spans="1:494" s="10" customFormat="1" ht="20.100000000000001" customHeight="1">
      <c r="A8" s="236" t="s">
        <v>51</v>
      </c>
      <c r="B8" s="257">
        <v>46.908999999999999</v>
      </c>
      <c r="C8" s="257">
        <v>99.832000000000008</v>
      </c>
      <c r="D8" s="257">
        <v>145.40600000000001</v>
      </c>
      <c r="E8" s="352">
        <v>194.52100000000002</v>
      </c>
      <c r="F8" s="256">
        <v>46.048999999999999</v>
      </c>
      <c r="G8" s="257">
        <v>102.423</v>
      </c>
      <c r="H8" s="257">
        <v>162.63200000000001</v>
      </c>
      <c r="I8" s="352">
        <v>220.37100000000001</v>
      </c>
      <c r="J8" s="266">
        <v>40.084000000000003</v>
      </c>
      <c r="K8" s="266">
        <v>85.1</v>
      </c>
      <c r="L8" s="266">
        <v>162.19999999999999</v>
      </c>
      <c r="M8" s="267">
        <v>224.4</v>
      </c>
      <c r="N8" s="256">
        <v>43.7</v>
      </c>
      <c r="O8" s="257">
        <v>90.5</v>
      </c>
      <c r="P8" s="257">
        <v>149.9</v>
      </c>
      <c r="Q8" s="258">
        <v>212.6</v>
      </c>
      <c r="R8" s="256">
        <v>49.1</v>
      </c>
      <c r="S8" s="257">
        <v>125.3</v>
      </c>
      <c r="T8" s="257">
        <v>173.5</v>
      </c>
      <c r="U8" s="258">
        <v>230.7</v>
      </c>
      <c r="V8" s="256">
        <v>48.5</v>
      </c>
      <c r="W8" s="257">
        <v>102.7</v>
      </c>
      <c r="X8" s="257">
        <v>166.1</v>
      </c>
      <c r="Y8" s="258"/>
    </row>
    <row r="9" spans="1:494" s="10" customFormat="1" ht="20.100000000000001" customHeight="1">
      <c r="A9" s="236" t="s">
        <v>90</v>
      </c>
      <c r="B9" s="257">
        <v>-1.0999999999999999E-2</v>
      </c>
      <c r="C9" s="257">
        <v>-0.25700000000000001</v>
      </c>
      <c r="D9" s="257">
        <v>-0.48299999999999998</v>
      </c>
      <c r="E9" s="352">
        <v>-0.111</v>
      </c>
      <c r="F9" s="256">
        <v>5.8000000000000003E-2</v>
      </c>
      <c r="G9" s="257">
        <v>7.2999999999999995E-2</v>
      </c>
      <c r="H9" s="257">
        <v>-38.896000000000001</v>
      </c>
      <c r="I9" s="352">
        <v>-35.765000000000001</v>
      </c>
      <c r="J9" s="266">
        <v>-5.2999999999999999E-2</v>
      </c>
      <c r="K9" s="266">
        <v>-0.7</v>
      </c>
      <c r="L9" s="266">
        <v>-2.4</v>
      </c>
      <c r="M9" s="267">
        <v>-2.9</v>
      </c>
      <c r="N9" s="256">
        <v>-0.4</v>
      </c>
      <c r="O9" s="257">
        <v>-4.8</v>
      </c>
      <c r="P9" s="257">
        <v>-5.7</v>
      </c>
      <c r="Q9" s="258">
        <v>-6.9</v>
      </c>
      <c r="R9" s="360" t="s">
        <v>63</v>
      </c>
      <c r="S9" s="361" t="s">
        <v>63</v>
      </c>
      <c r="T9" s="361" t="s">
        <v>63</v>
      </c>
      <c r="U9" s="434" t="s">
        <v>63</v>
      </c>
      <c r="V9" s="360" t="s">
        <v>63</v>
      </c>
      <c r="W9" s="361" t="s">
        <v>63</v>
      </c>
      <c r="X9" s="361" t="s">
        <v>63</v>
      </c>
      <c r="Y9" s="434"/>
    </row>
    <row r="10" spans="1:494" s="10" customFormat="1" ht="20.100000000000001" customHeight="1">
      <c r="A10" s="236" t="s">
        <v>52</v>
      </c>
      <c r="B10" s="257">
        <v>2.3109999999999999</v>
      </c>
      <c r="C10" s="257">
        <v>4.6020000000000003</v>
      </c>
      <c r="D10" s="257">
        <v>6.1379999999999999</v>
      </c>
      <c r="E10" s="352">
        <v>9.2439999999999998</v>
      </c>
      <c r="F10" s="256">
        <v>3.504</v>
      </c>
      <c r="G10" s="257">
        <v>5.843</v>
      </c>
      <c r="H10" s="257">
        <v>6.3049999999999997</v>
      </c>
      <c r="I10" s="352">
        <v>6.407</v>
      </c>
      <c r="J10" s="266">
        <v>4.1000000000000002E-2</v>
      </c>
      <c r="K10" s="266">
        <v>0.1</v>
      </c>
      <c r="L10" s="266">
        <v>30.4</v>
      </c>
      <c r="M10" s="267">
        <v>30.5</v>
      </c>
      <c r="N10" s="256">
        <v>0.1</v>
      </c>
      <c r="O10" s="257">
        <v>0.5</v>
      </c>
      <c r="P10" s="257">
        <v>0.5</v>
      </c>
      <c r="Q10" s="258">
        <v>1.4</v>
      </c>
      <c r="R10" s="360" t="s">
        <v>63</v>
      </c>
      <c r="S10" s="361" t="s">
        <v>63</v>
      </c>
      <c r="T10" s="361" t="s">
        <v>63</v>
      </c>
      <c r="U10" s="434" t="s">
        <v>63</v>
      </c>
      <c r="V10" s="360" t="s">
        <v>63</v>
      </c>
      <c r="W10" s="361" t="s">
        <v>63</v>
      </c>
      <c r="X10" s="361" t="s">
        <v>63</v>
      </c>
      <c r="Y10" s="434"/>
    </row>
    <row r="11" spans="1:494" s="10" customFormat="1" ht="20.100000000000001" customHeight="1">
      <c r="A11" s="236" t="s">
        <v>30</v>
      </c>
      <c r="B11" s="257">
        <v>52.017000000000003</v>
      </c>
      <c r="C11" s="257">
        <v>105.822</v>
      </c>
      <c r="D11" s="257">
        <v>156.893</v>
      </c>
      <c r="E11" s="352">
        <v>205.185</v>
      </c>
      <c r="F11" s="256">
        <v>46.368000000000002</v>
      </c>
      <c r="G11" s="257">
        <v>93.388999999999996</v>
      </c>
      <c r="H11" s="257">
        <v>140.42699999999999</v>
      </c>
      <c r="I11" s="352">
        <v>183.81100000000001</v>
      </c>
      <c r="J11" s="266">
        <v>90.381</v>
      </c>
      <c r="K11" s="266">
        <v>248.5</v>
      </c>
      <c r="L11" s="266">
        <v>421.4</v>
      </c>
      <c r="M11" s="267">
        <v>603.70000000000005</v>
      </c>
      <c r="N11" s="256">
        <v>177.4</v>
      </c>
      <c r="O11" s="257">
        <v>348.5</v>
      </c>
      <c r="P11" s="257">
        <v>581.29999999999995</v>
      </c>
      <c r="Q11" s="258">
        <v>763.6</v>
      </c>
      <c r="R11" s="256">
        <v>144.69999999999999</v>
      </c>
      <c r="S11" s="257">
        <v>285.89999999999998</v>
      </c>
      <c r="T11" s="257">
        <v>417.4</v>
      </c>
      <c r="U11" s="258">
        <v>541.9</v>
      </c>
      <c r="V11" s="256">
        <v>114.5</v>
      </c>
      <c r="W11" s="257">
        <v>228.7</v>
      </c>
      <c r="X11" s="257">
        <v>331.1</v>
      </c>
      <c r="Y11" s="258"/>
    </row>
    <row r="12" spans="1:494" s="10" customFormat="1" ht="20.100000000000001" customHeight="1">
      <c r="A12" s="236" t="s">
        <v>31</v>
      </c>
      <c r="B12" s="257">
        <v>-7.2490000000000006</v>
      </c>
      <c r="C12" s="257">
        <v>-7.3810000000000002</v>
      </c>
      <c r="D12" s="257">
        <v>1.093</v>
      </c>
      <c r="E12" s="352">
        <v>16.173000000000002</v>
      </c>
      <c r="F12" s="256">
        <v>11.273</v>
      </c>
      <c r="G12" s="257">
        <v>4.4740000000000002</v>
      </c>
      <c r="H12" s="257">
        <v>5.9119999999999999</v>
      </c>
      <c r="I12" s="352">
        <v>14.839</v>
      </c>
      <c r="J12" s="266">
        <v>-16.302</v>
      </c>
      <c r="K12" s="266">
        <v>-41.8</v>
      </c>
      <c r="L12" s="266">
        <v>-14.7</v>
      </c>
      <c r="M12" s="267">
        <v>0.5</v>
      </c>
      <c r="N12" s="256">
        <v>48.6</v>
      </c>
      <c r="O12" s="257">
        <v>45.6</v>
      </c>
      <c r="P12" s="257">
        <v>43.3</v>
      </c>
      <c r="Q12" s="258">
        <v>26.4</v>
      </c>
      <c r="R12" s="256">
        <v>21.5</v>
      </c>
      <c r="S12" s="257">
        <v>11.7</v>
      </c>
      <c r="T12" s="257">
        <v>0.7</v>
      </c>
      <c r="U12" s="258">
        <v>3</v>
      </c>
      <c r="V12" s="256">
        <v>41.5</v>
      </c>
      <c r="W12" s="257">
        <v>-0.3</v>
      </c>
      <c r="X12" s="257">
        <v>-16.899999999999999</v>
      </c>
      <c r="Y12" s="258"/>
    </row>
    <row r="13" spans="1:494" s="10" customFormat="1" ht="20.100000000000001" customHeight="1">
      <c r="A13" s="236" t="s">
        <v>32</v>
      </c>
      <c r="B13" s="257">
        <v>-48.496000000000002</v>
      </c>
      <c r="C13" s="257">
        <v>-85.073000000000008</v>
      </c>
      <c r="D13" s="257">
        <v>-90.59</v>
      </c>
      <c r="E13" s="352">
        <v>-106.816</v>
      </c>
      <c r="F13" s="256">
        <v>-18.654</v>
      </c>
      <c r="G13" s="257">
        <v>-16.358000000000001</v>
      </c>
      <c r="H13" s="257">
        <v>16.681000000000001</v>
      </c>
      <c r="I13" s="352">
        <v>60.908000000000001</v>
      </c>
      <c r="J13" s="266">
        <v>-5.1610000000000005</v>
      </c>
      <c r="K13" s="266">
        <v>-29.2</v>
      </c>
      <c r="L13" s="266">
        <v>-87.6</v>
      </c>
      <c r="M13" s="267">
        <v>-191.9</v>
      </c>
      <c r="N13" s="256">
        <v>-211.8</v>
      </c>
      <c r="O13" s="257">
        <v>-581.20000000000005</v>
      </c>
      <c r="P13" s="257">
        <v>-349.3</v>
      </c>
      <c r="Q13" s="258">
        <v>-478.2</v>
      </c>
      <c r="R13" s="256">
        <v>-33.9</v>
      </c>
      <c r="S13" s="257">
        <v>-105.3</v>
      </c>
      <c r="T13" s="257">
        <v>-164.6</v>
      </c>
      <c r="U13" s="258">
        <v>-329.9</v>
      </c>
      <c r="V13" s="256">
        <v>21.5</v>
      </c>
      <c r="W13" s="257">
        <v>-112.7</v>
      </c>
      <c r="X13" s="257">
        <v>-224.5</v>
      </c>
      <c r="Y13" s="258"/>
    </row>
    <row r="14" spans="1:494" s="10" customFormat="1" ht="20.100000000000001" customHeight="1">
      <c r="A14" s="236" t="s">
        <v>64</v>
      </c>
      <c r="B14" s="257">
        <v>53.564</v>
      </c>
      <c r="C14" s="257">
        <v>51.881</v>
      </c>
      <c r="D14" s="257">
        <v>66.406999999999996</v>
      </c>
      <c r="E14" s="352">
        <v>67.872</v>
      </c>
      <c r="F14" s="256">
        <v>-36.840000000000003</v>
      </c>
      <c r="G14" s="257">
        <v>-56.231999999999999</v>
      </c>
      <c r="H14" s="257">
        <v>-85.896000000000001</v>
      </c>
      <c r="I14" s="352">
        <v>-104.93900000000001</v>
      </c>
      <c r="J14" s="266">
        <v>31.469000000000001</v>
      </c>
      <c r="K14" s="266">
        <v>-73.8</v>
      </c>
      <c r="L14" s="266">
        <v>-175.9</v>
      </c>
      <c r="M14" s="267">
        <v>-277.7</v>
      </c>
      <c r="N14" s="256">
        <v>-216.1</v>
      </c>
      <c r="O14" s="257">
        <v>69.3</v>
      </c>
      <c r="P14" s="257">
        <v>-184.3</v>
      </c>
      <c r="Q14" s="258">
        <v>-118</v>
      </c>
      <c r="R14" s="256">
        <v>-205.9</v>
      </c>
      <c r="S14" s="257">
        <v>-106.7</v>
      </c>
      <c r="T14" s="257">
        <v>-141.30000000000001</v>
      </c>
      <c r="U14" s="258">
        <v>-33.299999999999997</v>
      </c>
      <c r="V14" s="256">
        <v>-181.5</v>
      </c>
      <c r="W14" s="257">
        <v>-112.9</v>
      </c>
      <c r="X14" s="257">
        <v>-90.1</v>
      </c>
      <c r="Y14" s="258"/>
    </row>
    <row r="15" spans="1:494" s="10" customFormat="1" ht="20.100000000000001" customHeight="1">
      <c r="A15" s="236" t="s">
        <v>53</v>
      </c>
      <c r="B15" s="257">
        <v>-0.186</v>
      </c>
      <c r="C15" s="257">
        <v>4.0730000000000004</v>
      </c>
      <c r="D15" s="257">
        <v>0.502</v>
      </c>
      <c r="E15" s="352">
        <v>2.093</v>
      </c>
      <c r="F15" s="256">
        <v>-1.048</v>
      </c>
      <c r="G15" s="257">
        <v>2.4170000000000003</v>
      </c>
      <c r="H15" s="257">
        <v>-3.5390000000000001</v>
      </c>
      <c r="I15" s="352">
        <v>6.4770000000000003</v>
      </c>
      <c r="J15" s="266">
        <v>-13.309000000000001</v>
      </c>
      <c r="K15" s="266">
        <v>-1.5</v>
      </c>
      <c r="L15" s="266">
        <v>-17.399999999999999</v>
      </c>
      <c r="M15" s="267">
        <v>-4.9000000000000004</v>
      </c>
      <c r="N15" s="256">
        <v>-11.7</v>
      </c>
      <c r="O15" s="257">
        <v>-7.6</v>
      </c>
      <c r="P15" s="257">
        <v>-17.7</v>
      </c>
      <c r="Q15" s="258">
        <v>-3.9</v>
      </c>
      <c r="R15" s="256">
        <v>-11.1</v>
      </c>
      <c r="S15" s="257">
        <v>1</v>
      </c>
      <c r="T15" s="257">
        <v>-5.6</v>
      </c>
      <c r="U15" s="258">
        <v>-6.1</v>
      </c>
      <c r="V15" s="360" t="s">
        <v>63</v>
      </c>
      <c r="W15" s="257">
        <v>9.4</v>
      </c>
      <c r="X15" s="257">
        <v>1.4</v>
      </c>
      <c r="Y15" s="258"/>
    </row>
    <row r="16" spans="1:494" s="10" customFormat="1" ht="20.100000000000001" customHeight="1">
      <c r="A16" s="236" t="s">
        <v>54</v>
      </c>
      <c r="B16" s="257">
        <v>-9.7880000000000003</v>
      </c>
      <c r="C16" s="257">
        <v>-10.354000000000001</v>
      </c>
      <c r="D16" s="257">
        <v>-21.978000000000002</v>
      </c>
      <c r="E16" s="352">
        <v>-31.345000000000002</v>
      </c>
      <c r="F16" s="256">
        <v>3.66</v>
      </c>
      <c r="G16" s="257">
        <v>9.0690000000000008</v>
      </c>
      <c r="H16" s="257">
        <v>11.329000000000001</v>
      </c>
      <c r="I16" s="352">
        <v>14.404</v>
      </c>
      <c r="J16" s="266">
        <v>11.066000000000001</v>
      </c>
      <c r="K16" s="266">
        <v>11.1</v>
      </c>
      <c r="L16" s="266">
        <v>-0.2</v>
      </c>
      <c r="M16" s="267">
        <v>-3.9</v>
      </c>
      <c r="N16" s="256">
        <v>-0.6</v>
      </c>
      <c r="O16" s="257">
        <v>5.3</v>
      </c>
      <c r="P16" s="257">
        <v>4.8</v>
      </c>
      <c r="Q16" s="258">
        <v>6.6</v>
      </c>
      <c r="R16" s="256">
        <v>2.5</v>
      </c>
      <c r="S16" s="257">
        <v>4.7</v>
      </c>
      <c r="T16" s="257">
        <v>7.3</v>
      </c>
      <c r="U16" s="258">
        <v>9.8000000000000007</v>
      </c>
      <c r="V16" s="360" t="s">
        <v>63</v>
      </c>
      <c r="W16" s="361" t="s">
        <v>63</v>
      </c>
      <c r="X16" s="361" t="s">
        <v>63</v>
      </c>
      <c r="Y16" s="258"/>
    </row>
    <row r="17" spans="1:25" s="10" customFormat="1" ht="20.100000000000001" customHeight="1">
      <c r="A17" s="236" t="s">
        <v>96</v>
      </c>
      <c r="B17" s="257">
        <v>-0.73</v>
      </c>
      <c r="C17" s="257">
        <v>-1.5010000000000001</v>
      </c>
      <c r="D17" s="257">
        <v>-2.044</v>
      </c>
      <c r="E17" s="352">
        <v>-2.8970000000000002</v>
      </c>
      <c r="F17" s="256">
        <v>-0.76200000000000001</v>
      </c>
      <c r="G17" s="257">
        <v>-1.58</v>
      </c>
      <c r="H17" s="257">
        <v>-2.3290000000000002</v>
      </c>
      <c r="I17" s="352">
        <v>-2.9239999999999999</v>
      </c>
      <c r="J17" s="266">
        <v>-0.63300000000000001</v>
      </c>
      <c r="K17" s="266">
        <v>-1.3</v>
      </c>
      <c r="L17" s="266">
        <v>-2</v>
      </c>
      <c r="M17" s="267">
        <v>-2.6</v>
      </c>
      <c r="N17" s="256">
        <v>-0.5</v>
      </c>
      <c r="O17" s="257">
        <v>-1.4</v>
      </c>
      <c r="P17" s="257">
        <v>-1.9</v>
      </c>
      <c r="Q17" s="258">
        <v>-2.6</v>
      </c>
      <c r="R17" s="256">
        <v>-0.8</v>
      </c>
      <c r="S17" s="257">
        <v>0</v>
      </c>
      <c r="T17" s="257">
        <v>0</v>
      </c>
      <c r="U17" s="258">
        <v>0</v>
      </c>
      <c r="V17" s="360" t="s">
        <v>63</v>
      </c>
      <c r="W17" s="361" t="s">
        <v>63</v>
      </c>
      <c r="X17" s="361" t="s">
        <v>63</v>
      </c>
      <c r="Y17" s="258"/>
    </row>
    <row r="18" spans="1:25" s="10" customFormat="1" ht="20.100000000000001" customHeight="1">
      <c r="A18" s="236" t="s">
        <v>61</v>
      </c>
      <c r="B18" s="257">
        <v>-87.786000000000001</v>
      </c>
      <c r="C18" s="257">
        <v>-51.798000000000002</v>
      </c>
      <c r="D18" s="257">
        <v>-102.06700000000001</v>
      </c>
      <c r="E18" s="352">
        <v>-111.07600000000001</v>
      </c>
      <c r="F18" s="256">
        <v>25.975999999999999</v>
      </c>
      <c r="G18" s="257">
        <v>77.412999999999997</v>
      </c>
      <c r="H18" s="257">
        <v>39.252000000000002</v>
      </c>
      <c r="I18" s="352">
        <v>16.294</v>
      </c>
      <c r="J18" s="266">
        <v>10.337</v>
      </c>
      <c r="K18" s="266">
        <v>8.8000000000000007</v>
      </c>
      <c r="L18" s="266">
        <v>164.9</v>
      </c>
      <c r="M18" s="267">
        <v>369.9</v>
      </c>
      <c r="N18" s="256">
        <v>37.1</v>
      </c>
      <c r="O18" s="257">
        <v>99.2</v>
      </c>
      <c r="P18" s="257">
        <v>135.80000000000001</v>
      </c>
      <c r="Q18" s="258">
        <v>222</v>
      </c>
      <c r="R18" s="256">
        <v>250.2</v>
      </c>
      <c r="S18" s="257">
        <v>276.10000000000002</v>
      </c>
      <c r="T18" s="257">
        <v>258.3</v>
      </c>
      <c r="U18" s="258">
        <v>270.89999999999998</v>
      </c>
      <c r="V18" s="256">
        <v>-28.4</v>
      </c>
      <c r="W18" s="257">
        <v>-27.4</v>
      </c>
      <c r="X18" s="257">
        <v>-15.1</v>
      </c>
      <c r="Y18" s="258"/>
    </row>
    <row r="19" spans="1:25" s="10" customFormat="1" ht="20.100000000000001" customHeight="1">
      <c r="A19" s="236" t="s">
        <v>33</v>
      </c>
      <c r="B19" s="257">
        <v>41.158999999999999</v>
      </c>
      <c r="C19" s="257">
        <v>54.56</v>
      </c>
      <c r="D19" s="257">
        <v>80.768000000000001</v>
      </c>
      <c r="E19" s="352">
        <v>97.349000000000004</v>
      </c>
      <c r="F19" s="256">
        <v>14.031000000000001</v>
      </c>
      <c r="G19" s="257">
        <v>27.457000000000001</v>
      </c>
      <c r="H19" s="257">
        <v>51.835000000000001</v>
      </c>
      <c r="I19" s="352">
        <v>67.376000000000005</v>
      </c>
      <c r="J19" s="266">
        <v>14.384</v>
      </c>
      <c r="K19" s="266">
        <v>31.1</v>
      </c>
      <c r="L19" s="266">
        <v>32.200000000000003</v>
      </c>
      <c r="M19" s="267">
        <v>21.7</v>
      </c>
      <c r="N19" s="256">
        <v>26</v>
      </c>
      <c r="O19" s="257">
        <v>71.900000000000006</v>
      </c>
      <c r="P19" s="257">
        <v>182.7</v>
      </c>
      <c r="Q19" s="258">
        <v>169</v>
      </c>
      <c r="R19" s="256">
        <v>27.2</v>
      </c>
      <c r="S19" s="257">
        <v>48.4</v>
      </c>
      <c r="T19" s="257">
        <v>113.5</v>
      </c>
      <c r="U19" s="258">
        <v>12.4</v>
      </c>
      <c r="V19" s="256">
        <v>30.8</v>
      </c>
      <c r="W19" s="257">
        <v>138.4</v>
      </c>
      <c r="X19" s="257">
        <v>192.6</v>
      </c>
      <c r="Y19" s="258"/>
    </row>
    <row r="20" spans="1:25" s="10" customFormat="1" ht="20.100000000000001" customHeight="1">
      <c r="A20" s="236" t="s">
        <v>65</v>
      </c>
      <c r="B20" s="257">
        <v>-38.363</v>
      </c>
      <c r="C20" s="257">
        <v>-76.626000000000005</v>
      </c>
      <c r="D20" s="257">
        <v>-120.02500000000001</v>
      </c>
      <c r="E20" s="352">
        <v>-164.00800000000001</v>
      </c>
      <c r="F20" s="256">
        <v>-40.92</v>
      </c>
      <c r="G20" s="257">
        <v>-81.858999999999995</v>
      </c>
      <c r="H20" s="257">
        <v>-116.813</v>
      </c>
      <c r="I20" s="352">
        <v>-158.85900000000001</v>
      </c>
      <c r="J20" s="266">
        <v>-30.564</v>
      </c>
      <c r="K20" s="266">
        <v>-65.3</v>
      </c>
      <c r="L20" s="266">
        <v>-142.1</v>
      </c>
      <c r="M20" s="267">
        <v>-193.1</v>
      </c>
      <c r="N20" s="256">
        <v>-43.6</v>
      </c>
      <c r="O20" s="257">
        <v>-72.2</v>
      </c>
      <c r="P20" s="257">
        <v>-96.7</v>
      </c>
      <c r="Q20" s="258">
        <v>-134.69999999999999</v>
      </c>
      <c r="R20" s="256">
        <v>-31.1</v>
      </c>
      <c r="S20" s="257">
        <v>-71.2</v>
      </c>
      <c r="T20" s="257">
        <v>-111</v>
      </c>
      <c r="U20" s="258">
        <v>-153</v>
      </c>
      <c r="V20" s="256">
        <v>-33.1</v>
      </c>
      <c r="W20" s="257">
        <v>-65.599999999999994</v>
      </c>
      <c r="X20" s="257">
        <v>-97.4</v>
      </c>
      <c r="Y20" s="258"/>
    </row>
    <row r="21" spans="1:25" s="10" customFormat="1" ht="25.5">
      <c r="A21" s="441" t="s">
        <v>218</v>
      </c>
      <c r="B21" s="271">
        <v>0</v>
      </c>
      <c r="C21" s="271">
        <v>0</v>
      </c>
      <c r="D21" s="271">
        <v>0</v>
      </c>
      <c r="E21" s="272">
        <v>0</v>
      </c>
      <c r="F21" s="273">
        <v>0</v>
      </c>
      <c r="G21" s="271">
        <v>0</v>
      </c>
      <c r="H21" s="271">
        <v>0</v>
      </c>
      <c r="I21" s="272">
        <v>0</v>
      </c>
      <c r="J21" s="274">
        <v>0</v>
      </c>
      <c r="K21" s="266">
        <v>82.1</v>
      </c>
      <c r="L21" s="266">
        <v>82.1</v>
      </c>
      <c r="M21" s="267">
        <v>82.1</v>
      </c>
      <c r="N21" s="256">
        <v>0</v>
      </c>
      <c r="O21" s="257">
        <v>0</v>
      </c>
      <c r="P21" s="276">
        <v>-371.4</v>
      </c>
      <c r="Q21" s="258">
        <v>-371.4</v>
      </c>
      <c r="R21" s="256">
        <v>0</v>
      </c>
      <c r="S21" s="257">
        <v>0</v>
      </c>
      <c r="T21" s="257">
        <v>0</v>
      </c>
      <c r="U21" s="258">
        <v>0</v>
      </c>
      <c r="V21" s="256">
        <v>58.7</v>
      </c>
      <c r="W21" s="257">
        <v>58.7</v>
      </c>
      <c r="X21" s="257">
        <v>58.7</v>
      </c>
      <c r="Y21" s="258"/>
    </row>
    <row r="22" spans="1:25" s="10" customFormat="1" ht="20.100000000000001" customHeight="1">
      <c r="A22" s="236" t="s">
        <v>217</v>
      </c>
      <c r="B22" s="271">
        <v>0</v>
      </c>
      <c r="C22" s="271">
        <v>0</v>
      </c>
      <c r="D22" s="271">
        <v>0</v>
      </c>
      <c r="E22" s="272">
        <v>0</v>
      </c>
      <c r="F22" s="273">
        <v>0</v>
      </c>
      <c r="G22" s="271">
        <v>0</v>
      </c>
      <c r="H22" s="271">
        <v>0</v>
      </c>
      <c r="I22" s="272">
        <v>0</v>
      </c>
      <c r="J22" s="274">
        <v>0</v>
      </c>
      <c r="K22" s="266">
        <v>16.5</v>
      </c>
      <c r="L22" s="266">
        <v>55.4</v>
      </c>
      <c r="M22" s="267">
        <v>84.3</v>
      </c>
      <c r="N22" s="256">
        <v>10.6</v>
      </c>
      <c r="O22" s="257">
        <v>33.9</v>
      </c>
      <c r="P22" s="257">
        <v>37.6</v>
      </c>
      <c r="Q22" s="258">
        <v>53</v>
      </c>
      <c r="R22" s="256">
        <v>-174.6</v>
      </c>
      <c r="S22" s="257">
        <v>-160.19999999999999</v>
      </c>
      <c r="T22" s="257">
        <v>-161.9</v>
      </c>
      <c r="U22" s="258">
        <v>-164.9</v>
      </c>
      <c r="V22" s="256">
        <v>-0.1</v>
      </c>
      <c r="W22" s="257">
        <v>0.9</v>
      </c>
      <c r="X22" s="257">
        <v>-1.3</v>
      </c>
      <c r="Y22" s="258"/>
    </row>
    <row r="23" spans="1:25" s="10" customFormat="1" ht="20.100000000000001" customHeight="1" thickBot="1">
      <c r="A23" s="236" t="s">
        <v>34</v>
      </c>
      <c r="B23" s="257">
        <v>0.245</v>
      </c>
      <c r="C23" s="257">
        <v>0.78500000000000003</v>
      </c>
      <c r="D23" s="257">
        <v>1.31</v>
      </c>
      <c r="E23" s="352">
        <v>3.5380000000000003</v>
      </c>
      <c r="F23" s="256">
        <v>1.484</v>
      </c>
      <c r="G23" s="276">
        <f>4.197+4.842</f>
        <v>9.0389999999999997</v>
      </c>
      <c r="H23" s="276">
        <f>5.852+4.842</f>
        <v>10.693999999999999</v>
      </c>
      <c r="I23" s="352">
        <v>11.93</v>
      </c>
      <c r="J23" s="266">
        <v>1.7790000000000001</v>
      </c>
      <c r="K23" s="266">
        <v>10.8</v>
      </c>
      <c r="L23" s="266">
        <v>11.7</v>
      </c>
      <c r="M23" s="267">
        <v>96.1</v>
      </c>
      <c r="N23" s="256">
        <v>-3</v>
      </c>
      <c r="O23" s="257">
        <v>9</v>
      </c>
      <c r="P23" s="257">
        <v>19.600000000000001</v>
      </c>
      <c r="Q23" s="258">
        <v>21.6</v>
      </c>
      <c r="R23" s="256">
        <v>2.5</v>
      </c>
      <c r="S23" s="257">
        <v>-1.9</v>
      </c>
      <c r="T23" s="257">
        <v>22.5</v>
      </c>
      <c r="U23" s="258">
        <v>24</v>
      </c>
      <c r="V23" s="256">
        <v>-2.1</v>
      </c>
      <c r="W23" s="257">
        <v>18.100000000000001</v>
      </c>
      <c r="X23" s="257">
        <v>51.1</v>
      </c>
      <c r="Y23" s="258"/>
    </row>
    <row r="24" spans="1:25" s="10" customFormat="1" ht="20.100000000000001" customHeight="1" thickBot="1">
      <c r="A24" s="235" t="s">
        <v>37</v>
      </c>
      <c r="B24" s="254">
        <f t="shared" ref="B24:V24" si="1">B4+B5</f>
        <v>233.42699999999999</v>
      </c>
      <c r="C24" s="254">
        <f t="shared" si="1"/>
        <v>415.61099999999999</v>
      </c>
      <c r="D24" s="254">
        <f t="shared" si="1"/>
        <v>628.7700000000001</v>
      </c>
      <c r="E24" s="350">
        <f t="shared" si="1"/>
        <v>843.21800000000007</v>
      </c>
      <c r="F24" s="253">
        <f t="shared" si="1"/>
        <v>165.66199999999998</v>
      </c>
      <c r="G24" s="254">
        <f t="shared" si="1"/>
        <v>351.928</v>
      </c>
      <c r="H24" s="254">
        <f t="shared" si="1"/>
        <v>548.24399999999991</v>
      </c>
      <c r="I24" s="350">
        <f t="shared" si="1"/>
        <v>859.7349999999999</v>
      </c>
      <c r="J24" s="254">
        <f t="shared" si="1"/>
        <v>184.70400000000001</v>
      </c>
      <c r="K24" s="254">
        <f t="shared" si="1"/>
        <v>735.69999999999982</v>
      </c>
      <c r="L24" s="254">
        <f t="shared" si="1"/>
        <v>1423.9000000000003</v>
      </c>
      <c r="M24" s="265">
        <f t="shared" si="1"/>
        <v>2117.7999999999997</v>
      </c>
      <c r="N24" s="253">
        <f t="shared" si="1"/>
        <v>453.00000000000011</v>
      </c>
      <c r="O24" s="254">
        <f t="shared" si="1"/>
        <v>1327.9999999999995</v>
      </c>
      <c r="P24" s="254">
        <f t="shared" si="1"/>
        <v>2173.4999999999991</v>
      </c>
      <c r="Q24" s="255">
        <f t="shared" si="1"/>
        <v>2985.0999999999995</v>
      </c>
      <c r="R24" s="253">
        <f t="shared" si="1"/>
        <v>584.40000000000009</v>
      </c>
      <c r="S24" s="254">
        <f t="shared" si="1"/>
        <v>1549.4</v>
      </c>
      <c r="T24" s="254">
        <f t="shared" si="1"/>
        <v>2357.5000000000009</v>
      </c>
      <c r="U24" s="255">
        <f t="shared" si="1"/>
        <v>3151.5</v>
      </c>
      <c r="V24" s="253">
        <f t="shared" si="1"/>
        <v>780.70000000000027</v>
      </c>
      <c r="W24" s="254">
        <f>W4+W5</f>
        <v>1615.9</v>
      </c>
      <c r="X24" s="254">
        <f>X4+X5</f>
        <v>2245.6999999999998</v>
      </c>
      <c r="Y24" s="255"/>
    </row>
    <row r="25" spans="1:25" s="10" customFormat="1" ht="20.100000000000001" customHeight="1">
      <c r="A25" s="236" t="s">
        <v>35</v>
      </c>
      <c r="B25" s="257">
        <v>-12.561</v>
      </c>
      <c r="C25" s="257">
        <v>-47.188000000000002</v>
      </c>
      <c r="D25" s="257">
        <v>-59.765999999999998</v>
      </c>
      <c r="E25" s="352">
        <v>-78.733000000000004</v>
      </c>
      <c r="F25" s="256">
        <v>-13.763</v>
      </c>
      <c r="G25" s="257">
        <v>-26.318999999999999</v>
      </c>
      <c r="H25" s="257">
        <v>-37.451999999999998</v>
      </c>
      <c r="I25" s="352">
        <v>-67.486000000000004</v>
      </c>
      <c r="J25" s="266">
        <v>-17.809000000000001</v>
      </c>
      <c r="K25" s="266">
        <v>-99.5</v>
      </c>
      <c r="L25" s="266">
        <v>-135.19999999999999</v>
      </c>
      <c r="M25" s="267">
        <v>-189.1</v>
      </c>
      <c r="N25" s="256">
        <v>-48.5</v>
      </c>
      <c r="O25" s="257">
        <v>-44.2</v>
      </c>
      <c r="P25" s="257">
        <v>-94.2</v>
      </c>
      <c r="Q25" s="258">
        <v>-136.19999999999999</v>
      </c>
      <c r="R25" s="256">
        <v>-145.69999999999999</v>
      </c>
      <c r="S25" s="257">
        <v>-186.5</v>
      </c>
      <c r="T25" s="257">
        <v>-236.1</v>
      </c>
      <c r="U25" s="258">
        <v>-292.7</v>
      </c>
      <c r="V25" s="256">
        <v>-43.5</v>
      </c>
      <c r="W25" s="257">
        <v>-112.5</v>
      </c>
      <c r="X25" s="257">
        <v>-181.5</v>
      </c>
      <c r="Y25" s="258"/>
    </row>
    <row r="26" spans="1:25" s="10" customFormat="1" ht="20.100000000000001" customHeight="1" thickBot="1">
      <c r="A26" s="236" t="s">
        <v>36</v>
      </c>
      <c r="B26" s="257">
        <v>3.843</v>
      </c>
      <c r="C26" s="257">
        <v>8.1440000000000001</v>
      </c>
      <c r="D26" s="257">
        <v>12.96</v>
      </c>
      <c r="E26" s="352">
        <v>16.882000000000001</v>
      </c>
      <c r="F26" s="256">
        <v>3.544</v>
      </c>
      <c r="G26" s="257">
        <v>6.1040000000000001</v>
      </c>
      <c r="H26" s="257">
        <v>8.5630000000000006</v>
      </c>
      <c r="I26" s="352">
        <v>10.41</v>
      </c>
      <c r="J26" s="266">
        <v>2.165</v>
      </c>
      <c r="K26" s="266">
        <v>13.4</v>
      </c>
      <c r="L26" s="266">
        <v>33.1</v>
      </c>
      <c r="M26" s="267">
        <v>45.2</v>
      </c>
      <c r="N26" s="256">
        <v>13.2</v>
      </c>
      <c r="O26" s="257">
        <v>20.5</v>
      </c>
      <c r="P26" s="257">
        <v>30.5</v>
      </c>
      <c r="Q26" s="258">
        <v>38.799999999999997</v>
      </c>
      <c r="R26" s="256">
        <v>8.1</v>
      </c>
      <c r="S26" s="257">
        <v>13.1</v>
      </c>
      <c r="T26" s="257">
        <v>19.5</v>
      </c>
      <c r="U26" s="258">
        <v>25.9</v>
      </c>
      <c r="V26" s="256">
        <v>14.5</v>
      </c>
      <c r="W26" s="257">
        <v>16</v>
      </c>
      <c r="X26" s="257">
        <v>23.5</v>
      </c>
      <c r="Y26" s="258"/>
    </row>
    <row r="27" spans="1:25" s="10" customFormat="1" ht="24.95" customHeight="1" thickBot="1">
      <c r="A27" s="13" t="s">
        <v>66</v>
      </c>
      <c r="B27" s="260">
        <f t="shared" ref="B27:Q27" si="2">SUM(B24:B26)</f>
        <v>224.70899999999997</v>
      </c>
      <c r="C27" s="260">
        <f t="shared" si="2"/>
        <v>376.56700000000001</v>
      </c>
      <c r="D27" s="260">
        <f t="shared" si="2"/>
        <v>581.96400000000017</v>
      </c>
      <c r="E27" s="249">
        <f t="shared" si="2"/>
        <v>781.36700000000008</v>
      </c>
      <c r="F27" s="259">
        <f t="shared" si="2"/>
        <v>155.44299999999998</v>
      </c>
      <c r="G27" s="260">
        <f t="shared" si="2"/>
        <v>331.71299999999997</v>
      </c>
      <c r="H27" s="260">
        <f t="shared" si="2"/>
        <v>519.3549999999999</v>
      </c>
      <c r="I27" s="249">
        <f t="shared" si="2"/>
        <v>802.65899999999988</v>
      </c>
      <c r="J27" s="260">
        <f t="shared" si="2"/>
        <v>169.06</v>
      </c>
      <c r="K27" s="260">
        <f t="shared" si="2"/>
        <v>649.5999999999998</v>
      </c>
      <c r="L27" s="260">
        <f t="shared" si="2"/>
        <v>1321.8000000000002</v>
      </c>
      <c r="M27" s="268">
        <f t="shared" si="2"/>
        <v>1973.8999999999999</v>
      </c>
      <c r="N27" s="259">
        <f t="shared" si="2"/>
        <v>417.7000000000001</v>
      </c>
      <c r="O27" s="260">
        <f t="shared" si="2"/>
        <v>1304.2999999999995</v>
      </c>
      <c r="P27" s="260">
        <f t="shared" si="2"/>
        <v>2109.7999999999993</v>
      </c>
      <c r="Q27" s="261">
        <f t="shared" si="2"/>
        <v>2887.7</v>
      </c>
      <c r="R27" s="259">
        <f t="shared" ref="R27" si="3">SUM(R24:R26)</f>
        <v>446.80000000000013</v>
      </c>
      <c r="S27" s="260">
        <f t="shared" ref="S27:T27" si="4">SUM(S24:S26)</f>
        <v>1376</v>
      </c>
      <c r="T27" s="260">
        <f t="shared" si="4"/>
        <v>2140.900000000001</v>
      </c>
      <c r="U27" s="261">
        <f t="shared" ref="U27:X27" si="5">SUM(U24:U26)</f>
        <v>2884.7000000000003</v>
      </c>
      <c r="V27" s="259">
        <f t="shared" si="5"/>
        <v>751.70000000000027</v>
      </c>
      <c r="W27" s="260">
        <f t="shared" si="5"/>
        <v>1519.4</v>
      </c>
      <c r="X27" s="260">
        <f t="shared" si="5"/>
        <v>2087.6999999999998</v>
      </c>
      <c r="Y27" s="261"/>
    </row>
    <row r="28" spans="1:25" s="10" customFormat="1" ht="20.100000000000001" customHeight="1">
      <c r="A28" s="236" t="s">
        <v>39</v>
      </c>
      <c r="B28" s="257">
        <v>-13.759</v>
      </c>
      <c r="C28" s="257">
        <v>-28.18</v>
      </c>
      <c r="D28" s="257">
        <v>-40.478000000000002</v>
      </c>
      <c r="E28" s="352">
        <v>-54.936999999999998</v>
      </c>
      <c r="F28" s="256">
        <v>-21.702999999999999</v>
      </c>
      <c r="G28" s="257">
        <v>-40.633000000000003</v>
      </c>
      <c r="H28" s="257">
        <v>-53.000999999999998</v>
      </c>
      <c r="I28" s="352">
        <v>-60.844999999999999</v>
      </c>
      <c r="J28" s="266">
        <v>-19.433</v>
      </c>
      <c r="K28" s="266">
        <v>-93</v>
      </c>
      <c r="L28" s="266">
        <v>-180</v>
      </c>
      <c r="M28" s="267">
        <v>-263.60000000000002</v>
      </c>
      <c r="N28" s="256">
        <v>-137.6</v>
      </c>
      <c r="O28" s="257">
        <v>-187</v>
      </c>
      <c r="P28" s="257">
        <v>-323.2</v>
      </c>
      <c r="Q28" s="258">
        <v>-417.8</v>
      </c>
      <c r="R28" s="256">
        <v>-98.4</v>
      </c>
      <c r="S28" s="257">
        <v>-179.5</v>
      </c>
      <c r="T28" s="257">
        <v>-301.2</v>
      </c>
      <c r="U28" s="258">
        <v>-436.2</v>
      </c>
      <c r="V28" s="256">
        <v>-138.9</v>
      </c>
      <c r="W28" s="257">
        <v>-268.8</v>
      </c>
      <c r="X28" s="257">
        <v>-418.9</v>
      </c>
      <c r="Y28" s="258"/>
    </row>
    <row r="29" spans="1:25" s="10" customFormat="1" ht="20.100000000000001" customHeight="1">
      <c r="A29" s="236" t="s">
        <v>38</v>
      </c>
      <c r="B29" s="257">
        <v>-7.0449999999999999</v>
      </c>
      <c r="C29" s="257">
        <v>-11.33</v>
      </c>
      <c r="D29" s="257">
        <v>-23.225000000000001</v>
      </c>
      <c r="E29" s="352">
        <v>-36.24</v>
      </c>
      <c r="F29" s="256">
        <v>-13.377000000000001</v>
      </c>
      <c r="G29" s="257">
        <v>-20.378</v>
      </c>
      <c r="H29" s="257">
        <v>-45.453000000000003</v>
      </c>
      <c r="I29" s="352">
        <v>-62.041000000000004</v>
      </c>
      <c r="J29" s="266">
        <v>-19.987000000000002</v>
      </c>
      <c r="K29" s="266">
        <v>-46.6</v>
      </c>
      <c r="L29" s="266">
        <v>-57.4</v>
      </c>
      <c r="M29" s="267">
        <v>-71.8</v>
      </c>
      <c r="N29" s="256">
        <v>-19.100000000000001</v>
      </c>
      <c r="O29" s="257">
        <v>-90.7</v>
      </c>
      <c r="P29" s="257">
        <v>-111.1</v>
      </c>
      <c r="Q29" s="258">
        <v>-165.3</v>
      </c>
      <c r="R29" s="256">
        <v>-20.3</v>
      </c>
      <c r="S29" s="257">
        <v>-61.3</v>
      </c>
      <c r="T29" s="257">
        <v>-94.6</v>
      </c>
      <c r="U29" s="258">
        <v>-154.19999999999999</v>
      </c>
      <c r="V29" s="256">
        <v>-33.200000000000003</v>
      </c>
      <c r="W29" s="257">
        <v>-114.2</v>
      </c>
      <c r="X29" s="257">
        <v>-137.30000000000001</v>
      </c>
      <c r="Y29" s="258"/>
    </row>
    <row r="30" spans="1:25" s="10" customFormat="1" ht="20.100000000000001" customHeight="1">
      <c r="A30" s="236" t="s">
        <v>205</v>
      </c>
      <c r="B30" s="257"/>
      <c r="C30" s="257"/>
      <c r="D30" s="257"/>
      <c r="E30" s="352"/>
      <c r="F30" s="256"/>
      <c r="G30" s="257"/>
      <c r="H30" s="257"/>
      <c r="I30" s="352"/>
      <c r="J30" s="266"/>
      <c r="K30" s="266"/>
      <c r="L30" s="266"/>
      <c r="M30" s="267"/>
      <c r="N30" s="256"/>
      <c r="O30" s="257"/>
      <c r="P30" s="257"/>
      <c r="Q30" s="258"/>
      <c r="R30" s="256"/>
      <c r="S30" s="257">
        <v>-323.60000000000002</v>
      </c>
      <c r="T30" s="257">
        <v>-323.60000000000002</v>
      </c>
      <c r="U30" s="258">
        <v>-323.60000000000002</v>
      </c>
      <c r="V30" s="256">
        <v>0</v>
      </c>
      <c r="W30" s="257">
        <v>0</v>
      </c>
      <c r="X30" s="257">
        <v>0</v>
      </c>
      <c r="Y30" s="258"/>
    </row>
    <row r="31" spans="1:25" s="10" customFormat="1" ht="20.100000000000001" customHeight="1">
      <c r="A31" s="236" t="s">
        <v>95</v>
      </c>
      <c r="B31" s="271">
        <v>0</v>
      </c>
      <c r="C31" s="271">
        <v>0</v>
      </c>
      <c r="D31" s="271">
        <v>0</v>
      </c>
      <c r="E31" s="272">
        <v>0</v>
      </c>
      <c r="F31" s="273">
        <v>0</v>
      </c>
      <c r="G31" s="271">
        <v>0</v>
      </c>
      <c r="H31" s="271">
        <v>0</v>
      </c>
      <c r="I31" s="272">
        <v>0</v>
      </c>
      <c r="J31" s="273">
        <v>0</v>
      </c>
      <c r="K31" s="257">
        <v>0</v>
      </c>
      <c r="L31" s="257">
        <v>-482.3</v>
      </c>
      <c r="M31" s="267">
        <v>-482.3</v>
      </c>
      <c r="N31" s="256">
        <v>0</v>
      </c>
      <c r="O31" s="257">
        <v>0</v>
      </c>
      <c r="P31" s="257">
        <v>-118.7</v>
      </c>
      <c r="Q31" s="258">
        <v>-118.7</v>
      </c>
      <c r="R31" s="256">
        <v>-147.69999999999999</v>
      </c>
      <c r="S31" s="257">
        <v>-147.69999999999999</v>
      </c>
      <c r="T31" s="257">
        <v>-268.5</v>
      </c>
      <c r="U31" s="258">
        <v>-268.5</v>
      </c>
      <c r="V31" s="256">
        <v>0</v>
      </c>
      <c r="W31" s="257">
        <v>0</v>
      </c>
      <c r="X31" s="257">
        <v>-120.7</v>
      </c>
      <c r="Y31" s="258"/>
    </row>
    <row r="32" spans="1:25" s="10" customFormat="1" ht="20.100000000000001" customHeight="1">
      <c r="A32" s="236" t="s">
        <v>69</v>
      </c>
      <c r="B32" s="257">
        <v>-2.3290000000000002</v>
      </c>
      <c r="C32" s="257">
        <v>-45.099000000000004</v>
      </c>
      <c r="D32" s="257">
        <v>-45.329000000000001</v>
      </c>
      <c r="E32" s="352">
        <v>-45.710999999999999</v>
      </c>
      <c r="F32" s="256">
        <v>-0.153</v>
      </c>
      <c r="G32" s="257">
        <v>-0.26800000000000002</v>
      </c>
      <c r="H32" s="257">
        <v>-64.186999999999998</v>
      </c>
      <c r="I32" s="352">
        <v>-64.266000000000005</v>
      </c>
      <c r="J32" s="274">
        <v>0</v>
      </c>
      <c r="K32" s="266">
        <v>1800.4</v>
      </c>
      <c r="L32" s="266">
        <v>1800.4</v>
      </c>
      <c r="M32" s="267">
        <v>1800.4</v>
      </c>
      <c r="N32" s="256">
        <v>-4.2</v>
      </c>
      <c r="O32" s="257">
        <v>-29.5</v>
      </c>
      <c r="P32" s="257">
        <v>-29.5</v>
      </c>
      <c r="Q32" s="258">
        <v>-29.5</v>
      </c>
      <c r="R32" s="256">
        <v>262.2</v>
      </c>
      <c r="S32" s="257">
        <v>-145.30000000000001</v>
      </c>
      <c r="T32" s="257">
        <v>-144.4</v>
      </c>
      <c r="U32" s="258">
        <v>-144.4</v>
      </c>
      <c r="V32" s="256">
        <v>0</v>
      </c>
      <c r="W32" s="257">
        <v>0</v>
      </c>
      <c r="X32" s="257">
        <v>1.6</v>
      </c>
      <c r="Y32" s="258"/>
    </row>
    <row r="33" spans="1:25" s="10" customFormat="1" ht="20.100000000000001" customHeight="1">
      <c r="A33" s="236" t="s">
        <v>202</v>
      </c>
      <c r="B33" s="271">
        <v>0</v>
      </c>
      <c r="C33" s="271">
        <v>0</v>
      </c>
      <c r="D33" s="271">
        <v>0</v>
      </c>
      <c r="E33" s="272">
        <v>0</v>
      </c>
      <c r="F33" s="273">
        <v>0</v>
      </c>
      <c r="G33" s="271">
        <v>0</v>
      </c>
      <c r="H33" s="257">
        <v>48.219000000000001</v>
      </c>
      <c r="I33" s="352">
        <v>48.736000000000004</v>
      </c>
      <c r="J33" s="274">
        <v>0</v>
      </c>
      <c r="K33" s="266">
        <v>0</v>
      </c>
      <c r="L33" s="266">
        <v>0</v>
      </c>
      <c r="M33" s="267">
        <v>0</v>
      </c>
      <c r="N33" s="256">
        <v>0</v>
      </c>
      <c r="O33" s="257">
        <v>0</v>
      </c>
      <c r="P33" s="257">
        <v>0</v>
      </c>
      <c r="Q33" s="258">
        <v>0</v>
      </c>
      <c r="R33" s="256">
        <v>0</v>
      </c>
      <c r="S33" s="276">
        <v>0.2</v>
      </c>
      <c r="T33" s="276">
        <v>0.2</v>
      </c>
      <c r="U33" s="258">
        <v>0</v>
      </c>
      <c r="V33" s="256">
        <v>0</v>
      </c>
      <c r="W33" s="276">
        <v>0</v>
      </c>
      <c r="X33" s="276">
        <v>0</v>
      </c>
      <c r="Y33" s="258"/>
    </row>
    <row r="34" spans="1:25" s="10" customFormat="1" ht="20.100000000000001" customHeight="1">
      <c r="A34" s="236" t="s">
        <v>47</v>
      </c>
      <c r="B34" s="257">
        <v>0.09</v>
      </c>
      <c r="C34" s="257">
        <v>0.121</v>
      </c>
      <c r="D34" s="257">
        <v>0.69000000000000006</v>
      </c>
      <c r="E34" s="352">
        <v>0.751</v>
      </c>
      <c r="F34" s="256">
        <v>0.35000000000000003</v>
      </c>
      <c r="G34" s="257">
        <v>0.41000000000000003</v>
      </c>
      <c r="H34" s="257">
        <v>1.756</v>
      </c>
      <c r="I34" s="352">
        <v>2.0640000000000001</v>
      </c>
      <c r="J34" s="274">
        <v>0.33700000000000002</v>
      </c>
      <c r="K34" s="266">
        <v>1.6</v>
      </c>
      <c r="L34" s="266">
        <v>4</v>
      </c>
      <c r="M34" s="267">
        <v>4.0999999999999996</v>
      </c>
      <c r="N34" s="256">
        <v>0.2</v>
      </c>
      <c r="O34" s="257">
        <v>13.3</v>
      </c>
      <c r="P34" s="257">
        <v>15.1</v>
      </c>
      <c r="Q34" s="258">
        <v>16.899999999999999</v>
      </c>
      <c r="R34" s="256">
        <v>3.5</v>
      </c>
      <c r="S34" s="257">
        <v>5</v>
      </c>
      <c r="T34" s="257">
        <v>6.3</v>
      </c>
      <c r="U34" s="258">
        <v>9.5</v>
      </c>
      <c r="V34" s="256">
        <v>12.8</v>
      </c>
      <c r="W34" s="257">
        <v>16</v>
      </c>
      <c r="X34" s="257">
        <v>15.8</v>
      </c>
      <c r="Y34" s="258"/>
    </row>
    <row r="35" spans="1:25" s="10" customFormat="1" ht="20.100000000000001" customHeight="1">
      <c r="A35" s="236" t="s">
        <v>92</v>
      </c>
      <c r="B35" s="271">
        <v>0</v>
      </c>
      <c r="C35" s="271">
        <v>0</v>
      </c>
      <c r="D35" s="271">
        <v>0</v>
      </c>
      <c r="E35" s="272">
        <v>0</v>
      </c>
      <c r="F35" s="273">
        <v>0</v>
      </c>
      <c r="G35" s="271">
        <v>0</v>
      </c>
      <c r="H35" s="271">
        <v>0</v>
      </c>
      <c r="I35" s="272">
        <v>0</v>
      </c>
      <c r="J35" s="274">
        <v>0</v>
      </c>
      <c r="K35" s="266">
        <v>-270</v>
      </c>
      <c r="L35" s="266">
        <v>-30</v>
      </c>
      <c r="M35" s="267">
        <v>0</v>
      </c>
      <c r="N35" s="256">
        <v>-42.7</v>
      </c>
      <c r="O35" s="257">
        <v>-42.7</v>
      </c>
      <c r="P35" s="257">
        <v>0</v>
      </c>
      <c r="Q35" s="258">
        <v>0</v>
      </c>
      <c r="R35" s="256">
        <v>-12.4</v>
      </c>
      <c r="S35" s="257">
        <v>0</v>
      </c>
      <c r="T35" s="257">
        <v>0</v>
      </c>
      <c r="U35" s="258">
        <v>0</v>
      </c>
      <c r="V35" s="256">
        <v>0</v>
      </c>
      <c r="W35" s="257">
        <v>0</v>
      </c>
      <c r="X35" s="257">
        <v>0</v>
      </c>
      <c r="Y35" s="258"/>
    </row>
    <row r="36" spans="1:25" s="10" customFormat="1" ht="20.100000000000001" customHeight="1">
      <c r="A36" s="236" t="s">
        <v>46</v>
      </c>
      <c r="B36" s="257">
        <v>-1.1000000000000001</v>
      </c>
      <c r="C36" s="257">
        <v>-1.1000000000000001</v>
      </c>
      <c r="D36" s="257">
        <v>-1.1000000000000001</v>
      </c>
      <c r="E36" s="352">
        <v>-1.1000000000000001</v>
      </c>
      <c r="F36" s="273">
        <v>0</v>
      </c>
      <c r="G36" s="271">
        <v>0</v>
      </c>
      <c r="H36" s="271">
        <v>0</v>
      </c>
      <c r="I36" s="272">
        <v>0</v>
      </c>
      <c r="J36" s="274">
        <v>0</v>
      </c>
      <c r="K36" s="266">
        <v>-5.8</v>
      </c>
      <c r="L36" s="266">
        <v>-20.399999999999999</v>
      </c>
      <c r="M36" s="267">
        <v>-23.1</v>
      </c>
      <c r="N36" s="256">
        <v>-6</v>
      </c>
      <c r="O36" s="257">
        <v>-8.9</v>
      </c>
      <c r="P36" s="257">
        <v>-12.1</v>
      </c>
      <c r="Q36" s="258">
        <v>-16.100000000000001</v>
      </c>
      <c r="R36" s="256">
        <v>-6.8</v>
      </c>
      <c r="S36" s="257">
        <v>-9.5</v>
      </c>
      <c r="T36" s="257">
        <v>-10.5</v>
      </c>
      <c r="U36" s="258">
        <v>-11.6</v>
      </c>
      <c r="V36" s="256">
        <v>0</v>
      </c>
      <c r="W36" s="257">
        <v>0</v>
      </c>
      <c r="X36" s="257">
        <v>-28.6</v>
      </c>
      <c r="Y36" s="258"/>
    </row>
    <row r="37" spans="1:25" s="10" customFormat="1" ht="20.100000000000001" customHeight="1">
      <c r="A37" s="236" t="s">
        <v>48</v>
      </c>
      <c r="B37" s="257">
        <v>0</v>
      </c>
      <c r="C37" s="257">
        <v>1.1000000000000001</v>
      </c>
      <c r="D37" s="257">
        <v>1.1000000000000001</v>
      </c>
      <c r="E37" s="352">
        <v>1.1000000000000001</v>
      </c>
      <c r="F37" s="273">
        <v>0</v>
      </c>
      <c r="G37" s="271">
        <v>0</v>
      </c>
      <c r="H37" s="271">
        <v>0</v>
      </c>
      <c r="I37" s="272">
        <v>0</v>
      </c>
      <c r="J37" s="274">
        <v>0</v>
      </c>
      <c r="K37" s="266">
        <v>0</v>
      </c>
      <c r="L37" s="266">
        <v>0</v>
      </c>
      <c r="M37" s="267">
        <v>0</v>
      </c>
      <c r="N37" s="256">
        <v>0</v>
      </c>
      <c r="O37" s="257">
        <v>0</v>
      </c>
      <c r="P37" s="257">
        <v>0</v>
      </c>
      <c r="Q37" s="258">
        <v>0</v>
      </c>
      <c r="R37" s="256">
        <v>0</v>
      </c>
      <c r="S37" s="257">
        <v>0</v>
      </c>
      <c r="T37" s="257">
        <v>0</v>
      </c>
      <c r="U37" s="258">
        <v>0.1</v>
      </c>
      <c r="V37" s="256">
        <v>0</v>
      </c>
      <c r="W37" s="257">
        <v>0</v>
      </c>
      <c r="X37" s="257">
        <v>25</v>
      </c>
      <c r="Y37" s="258"/>
    </row>
    <row r="38" spans="1:25" s="10" customFormat="1" ht="20.100000000000001" customHeight="1">
      <c r="A38" s="236" t="s">
        <v>91</v>
      </c>
      <c r="B38" s="271">
        <v>0</v>
      </c>
      <c r="C38" s="271">
        <v>0</v>
      </c>
      <c r="D38" s="271">
        <v>0</v>
      </c>
      <c r="E38" s="272">
        <v>0</v>
      </c>
      <c r="F38" s="273">
        <v>0</v>
      </c>
      <c r="G38" s="271">
        <v>0</v>
      </c>
      <c r="H38" s="271">
        <v>0</v>
      </c>
      <c r="I38" s="272">
        <v>0</v>
      </c>
      <c r="J38" s="274">
        <v>0</v>
      </c>
      <c r="K38" s="266">
        <v>5</v>
      </c>
      <c r="L38" s="266">
        <v>5.5</v>
      </c>
      <c r="M38" s="267">
        <v>6.6</v>
      </c>
      <c r="N38" s="256">
        <v>1.2</v>
      </c>
      <c r="O38" s="257">
        <v>-2.1</v>
      </c>
      <c r="P38" s="257">
        <v>3.2</v>
      </c>
      <c r="Q38" s="258">
        <v>3.9</v>
      </c>
      <c r="R38" s="256">
        <v>-5</v>
      </c>
      <c r="S38" s="257">
        <v>-4</v>
      </c>
      <c r="T38" s="257">
        <v>-3.5</v>
      </c>
      <c r="U38" s="258">
        <v>-1.6</v>
      </c>
      <c r="V38" s="256">
        <v>-1.1000000000000001</v>
      </c>
      <c r="W38" s="257">
        <v>0</v>
      </c>
      <c r="X38" s="361" t="s">
        <v>247</v>
      </c>
      <c r="Y38" s="258"/>
    </row>
    <row r="39" spans="1:25" s="10" customFormat="1" ht="20.100000000000001" customHeight="1">
      <c r="A39" s="236" t="s">
        <v>76</v>
      </c>
      <c r="B39" s="271">
        <v>0</v>
      </c>
      <c r="C39" s="257">
        <v>1.258</v>
      </c>
      <c r="D39" s="257">
        <v>1.258</v>
      </c>
      <c r="E39" s="352">
        <v>2.706</v>
      </c>
      <c r="F39" s="256">
        <v>0</v>
      </c>
      <c r="G39" s="257">
        <v>2.5150000000000001</v>
      </c>
      <c r="H39" s="257">
        <v>2.5150000000000001</v>
      </c>
      <c r="I39" s="352">
        <v>2.5150000000000001</v>
      </c>
      <c r="J39" s="266">
        <v>2.5300000000000002</v>
      </c>
      <c r="K39" s="266">
        <v>2.5</v>
      </c>
      <c r="L39" s="266">
        <v>2.5</v>
      </c>
      <c r="M39" s="267">
        <v>2.5</v>
      </c>
      <c r="N39" s="256">
        <v>0</v>
      </c>
      <c r="O39" s="257">
        <v>0</v>
      </c>
      <c r="P39" s="257">
        <v>0</v>
      </c>
      <c r="Q39" s="258">
        <v>0</v>
      </c>
      <c r="R39" s="256">
        <v>0</v>
      </c>
      <c r="S39" s="257">
        <v>0</v>
      </c>
      <c r="T39" s="257">
        <v>0</v>
      </c>
      <c r="U39" s="258">
        <v>0</v>
      </c>
      <c r="V39" s="256">
        <v>0</v>
      </c>
      <c r="W39" s="257">
        <v>0</v>
      </c>
      <c r="X39" s="257">
        <v>0</v>
      </c>
      <c r="Y39" s="258"/>
    </row>
    <row r="40" spans="1:25" s="10" customFormat="1" ht="20.100000000000001" customHeight="1" thickBot="1">
      <c r="A40" s="236" t="s">
        <v>254</v>
      </c>
      <c r="B40" s="271">
        <v>0</v>
      </c>
      <c r="C40" s="271">
        <v>0</v>
      </c>
      <c r="D40" s="271">
        <v>0</v>
      </c>
      <c r="E40" s="272">
        <v>0</v>
      </c>
      <c r="F40" s="273">
        <v>0</v>
      </c>
      <c r="G40" s="271">
        <v>0</v>
      </c>
      <c r="H40" s="271">
        <v>0</v>
      </c>
      <c r="I40" s="272">
        <v>0</v>
      </c>
      <c r="J40" s="274">
        <v>0</v>
      </c>
      <c r="K40" s="266">
        <v>0</v>
      </c>
      <c r="L40" s="266">
        <v>0</v>
      </c>
      <c r="M40" s="267">
        <v>0</v>
      </c>
      <c r="N40" s="256">
        <v>0</v>
      </c>
      <c r="O40" s="257">
        <v>0</v>
      </c>
      <c r="P40" s="257">
        <v>0</v>
      </c>
      <c r="Q40" s="258">
        <v>0</v>
      </c>
      <c r="R40" s="256">
        <v>0</v>
      </c>
      <c r="S40" s="257">
        <v>1</v>
      </c>
      <c r="T40" s="257">
        <v>1</v>
      </c>
      <c r="U40" s="258">
        <v>3.5</v>
      </c>
      <c r="V40" s="256">
        <v>1.2</v>
      </c>
      <c r="W40" s="276">
        <v>-0.5</v>
      </c>
      <c r="X40" s="257">
        <v>5.9</v>
      </c>
      <c r="Y40" s="258"/>
    </row>
    <row r="41" spans="1:25" s="10" customFormat="1" ht="24.95" customHeight="1" thickBot="1">
      <c r="A41" s="13" t="s">
        <v>67</v>
      </c>
      <c r="B41" s="260">
        <f t="shared" ref="B41:X41" si="6">SUM(B28:B40)</f>
        <v>-24.143000000000004</v>
      </c>
      <c r="C41" s="260">
        <f t="shared" si="6"/>
        <v>-83.230000000000018</v>
      </c>
      <c r="D41" s="260">
        <f t="shared" si="6"/>
        <v>-107.08400000000002</v>
      </c>
      <c r="E41" s="249">
        <f t="shared" si="6"/>
        <v>-133.43099999999998</v>
      </c>
      <c r="F41" s="259">
        <f t="shared" si="6"/>
        <v>-34.882999999999996</v>
      </c>
      <c r="G41" s="260">
        <f t="shared" si="6"/>
        <v>-58.354000000000006</v>
      </c>
      <c r="H41" s="260">
        <f t="shared" si="6"/>
        <v>-110.15100000000002</v>
      </c>
      <c r="I41" s="249">
        <f t="shared" si="6"/>
        <v>-133.83700000000002</v>
      </c>
      <c r="J41" s="259">
        <f t="shared" si="6"/>
        <v>-36.552999999999997</v>
      </c>
      <c r="K41" s="260">
        <f t="shared" si="6"/>
        <v>1394.1000000000001</v>
      </c>
      <c r="L41" s="260">
        <f t="shared" si="6"/>
        <v>1042.3</v>
      </c>
      <c r="M41" s="268">
        <f t="shared" si="6"/>
        <v>972.80000000000007</v>
      </c>
      <c r="N41" s="259">
        <f t="shared" si="6"/>
        <v>-208.2</v>
      </c>
      <c r="O41" s="260">
        <f t="shared" si="6"/>
        <v>-347.59999999999997</v>
      </c>
      <c r="P41" s="260">
        <f t="shared" si="6"/>
        <v>-576.29999999999995</v>
      </c>
      <c r="Q41" s="261">
        <f t="shared" si="6"/>
        <v>-726.60000000000014</v>
      </c>
      <c r="R41" s="259">
        <f t="shared" si="6"/>
        <v>-24.899999999999988</v>
      </c>
      <c r="S41" s="260">
        <f t="shared" si="6"/>
        <v>-864.7</v>
      </c>
      <c r="T41" s="260">
        <f t="shared" si="6"/>
        <v>-1138.8</v>
      </c>
      <c r="U41" s="261">
        <f t="shared" si="6"/>
        <v>-1327</v>
      </c>
      <c r="V41" s="259">
        <f t="shared" si="6"/>
        <v>-159.20000000000002</v>
      </c>
      <c r="W41" s="260">
        <f t="shared" si="6"/>
        <v>-367.5</v>
      </c>
      <c r="X41" s="260">
        <f t="shared" si="6"/>
        <v>-657.20000000000016</v>
      </c>
      <c r="Y41" s="261"/>
    </row>
    <row r="42" spans="1:25" s="10" customFormat="1" ht="20.100000000000001" customHeight="1">
      <c r="A42" s="236" t="s">
        <v>43</v>
      </c>
      <c r="B42" s="257">
        <v>-26.754999999999999</v>
      </c>
      <c r="C42" s="257">
        <v>-155.76300000000001</v>
      </c>
      <c r="D42" s="257">
        <v>-397.57499999999999</v>
      </c>
      <c r="E42" s="352">
        <v>-453.32400000000001</v>
      </c>
      <c r="F42" s="256">
        <v>-49.813000000000002</v>
      </c>
      <c r="G42" s="257">
        <v>-192.59</v>
      </c>
      <c r="H42" s="257">
        <v>-366.16200000000003</v>
      </c>
      <c r="I42" s="352">
        <v>-431.11700000000002</v>
      </c>
      <c r="J42" s="266">
        <v>-37.393999999999998</v>
      </c>
      <c r="K42" s="266">
        <v>-547.1</v>
      </c>
      <c r="L42" s="266">
        <v>-747.1</v>
      </c>
      <c r="M42" s="267">
        <v>-1087.0999999999999</v>
      </c>
      <c r="N42" s="256">
        <v>-157</v>
      </c>
      <c r="O42" s="257">
        <v>-954.2</v>
      </c>
      <c r="P42" s="257">
        <v>-9222.2000000000007</v>
      </c>
      <c r="Q42" s="258">
        <v>-9222.2000000000007</v>
      </c>
      <c r="R42" s="256">
        <v>-916.1</v>
      </c>
      <c r="S42" s="257">
        <v>-1498.9</v>
      </c>
      <c r="T42" s="257">
        <v>-1706.9</v>
      </c>
      <c r="U42" s="258">
        <v>-1940.9</v>
      </c>
      <c r="V42" s="256">
        <v>-234</v>
      </c>
      <c r="W42" s="257">
        <v>-568</v>
      </c>
      <c r="X42" s="257">
        <v>-802</v>
      </c>
      <c r="Y42" s="258"/>
    </row>
    <row r="43" spans="1:25" s="10" customFormat="1" ht="20.100000000000001" customHeight="1">
      <c r="A43" s="236" t="s">
        <v>100</v>
      </c>
      <c r="B43" s="271">
        <v>0</v>
      </c>
      <c r="C43" s="271">
        <v>0</v>
      </c>
      <c r="D43" s="271">
        <v>0</v>
      </c>
      <c r="E43" s="272">
        <v>0</v>
      </c>
      <c r="F43" s="273">
        <v>0</v>
      </c>
      <c r="G43" s="271">
        <v>0</v>
      </c>
      <c r="H43" s="271">
        <v>0</v>
      </c>
      <c r="I43" s="272">
        <v>0</v>
      </c>
      <c r="J43" s="274">
        <v>0</v>
      </c>
      <c r="K43" s="266">
        <v>2800</v>
      </c>
      <c r="L43" s="266">
        <v>2800</v>
      </c>
      <c r="M43" s="267">
        <v>2800</v>
      </c>
      <c r="N43" s="256">
        <v>50</v>
      </c>
      <c r="O43" s="257">
        <v>120</v>
      </c>
      <c r="P43" s="257">
        <v>6820</v>
      </c>
      <c r="Q43" s="258">
        <v>6820</v>
      </c>
      <c r="R43" s="256">
        <v>5500</v>
      </c>
      <c r="S43" s="257">
        <v>5500</v>
      </c>
      <c r="T43" s="257">
        <v>5500</v>
      </c>
      <c r="U43" s="258">
        <v>5500</v>
      </c>
      <c r="V43" s="256">
        <v>0</v>
      </c>
      <c r="W43" s="257">
        <v>600</v>
      </c>
      <c r="X43" s="257">
        <v>600</v>
      </c>
      <c r="Y43" s="258"/>
    </row>
    <row r="44" spans="1:25" s="10" customFormat="1" ht="20.100000000000001" customHeight="1">
      <c r="A44" s="236" t="s">
        <v>203</v>
      </c>
      <c r="B44" s="271">
        <v>0</v>
      </c>
      <c r="C44" s="271">
        <v>0</v>
      </c>
      <c r="D44" s="271">
        <v>0</v>
      </c>
      <c r="E44" s="272">
        <v>0</v>
      </c>
      <c r="F44" s="273">
        <v>0</v>
      </c>
      <c r="G44" s="271">
        <v>0</v>
      </c>
      <c r="H44" s="271">
        <v>0</v>
      </c>
      <c r="I44" s="272">
        <v>0</v>
      </c>
      <c r="J44" s="274">
        <v>0</v>
      </c>
      <c r="K44" s="266">
        <v>-2275.9</v>
      </c>
      <c r="L44" s="266">
        <v>-2275.9</v>
      </c>
      <c r="M44" s="267">
        <v>-2275.9</v>
      </c>
      <c r="N44" s="256">
        <v>0</v>
      </c>
      <c r="O44" s="257">
        <v>0</v>
      </c>
      <c r="P44" s="257">
        <v>1000</v>
      </c>
      <c r="Q44" s="258">
        <v>1000</v>
      </c>
      <c r="R44" s="256">
        <v>-4483.8</v>
      </c>
      <c r="S44" s="257">
        <v>-4483.8</v>
      </c>
      <c r="T44" s="257">
        <v>-4483.8</v>
      </c>
      <c r="U44" s="258">
        <v>-4484</v>
      </c>
      <c r="V44" s="256">
        <v>0</v>
      </c>
      <c r="W44" s="257">
        <v>-886.7</v>
      </c>
      <c r="X44" s="257">
        <v>-886.7</v>
      </c>
      <c r="Y44" s="258"/>
    </row>
    <row r="45" spans="1:25" s="10" customFormat="1" ht="20.100000000000001" customHeight="1">
      <c r="A45" s="236" t="s">
        <v>178</v>
      </c>
      <c r="B45" s="271"/>
      <c r="C45" s="271"/>
      <c r="D45" s="271"/>
      <c r="E45" s="272"/>
      <c r="F45" s="273"/>
      <c r="G45" s="271"/>
      <c r="H45" s="271"/>
      <c r="I45" s="272"/>
      <c r="J45" s="274"/>
      <c r="K45" s="266"/>
      <c r="L45" s="266"/>
      <c r="M45" s="267"/>
      <c r="N45" s="256"/>
      <c r="O45" s="257"/>
      <c r="P45" s="257"/>
      <c r="Q45" s="258"/>
      <c r="R45" s="256">
        <v>-262.10000000000002</v>
      </c>
      <c r="S45" s="257">
        <v>-262.10000000000002</v>
      </c>
      <c r="T45" s="257">
        <v>-262.10000000000002</v>
      </c>
      <c r="U45" s="258">
        <v>-262.10000000000002</v>
      </c>
      <c r="V45" s="256">
        <v>0</v>
      </c>
      <c r="W45" s="257">
        <v>-58.7</v>
      </c>
      <c r="X45" s="257">
        <v>-58.7</v>
      </c>
      <c r="Y45" s="258"/>
    </row>
    <row r="46" spans="1:25" s="10" customFormat="1" ht="20.100000000000001" customHeight="1">
      <c r="A46" s="236" t="s">
        <v>179</v>
      </c>
      <c r="B46" s="271"/>
      <c r="C46" s="271"/>
      <c r="D46" s="271"/>
      <c r="E46" s="272"/>
      <c r="F46" s="273"/>
      <c r="G46" s="271"/>
      <c r="H46" s="271"/>
      <c r="I46" s="272"/>
      <c r="J46" s="274"/>
      <c r="K46" s="266"/>
      <c r="L46" s="266"/>
      <c r="M46" s="267"/>
      <c r="N46" s="256"/>
      <c r="O46" s="257"/>
      <c r="P46" s="257"/>
      <c r="Q46" s="258"/>
      <c r="R46" s="256">
        <v>175.4</v>
      </c>
      <c r="S46" s="257">
        <v>175.4</v>
      </c>
      <c r="T46" s="257">
        <v>175.4</v>
      </c>
      <c r="U46" s="258">
        <v>175.4</v>
      </c>
      <c r="V46" s="256">
        <v>0</v>
      </c>
      <c r="W46" s="257">
        <v>0</v>
      </c>
      <c r="X46" s="257">
        <v>0</v>
      </c>
      <c r="Y46" s="258"/>
    </row>
    <row r="47" spans="1:25" s="10" customFormat="1" ht="27.75">
      <c r="A47" s="237" t="s">
        <v>204</v>
      </c>
      <c r="B47" s="257">
        <v>-26.132999999999999</v>
      </c>
      <c r="C47" s="257">
        <f>(-103258-821)*0.001</f>
        <v>-104.07900000000001</v>
      </c>
      <c r="D47" s="257">
        <f>(-125824-2250)*0.001</f>
        <v>-128.07400000000001</v>
      </c>
      <c r="E47" s="352">
        <f>(-195934-3683)*0.001</f>
        <v>-199.61699999999999</v>
      </c>
      <c r="F47" s="256">
        <f>(-15811-1035)*0.001</f>
        <v>-16.846</v>
      </c>
      <c r="G47" s="257">
        <f>(-84439-1241)*0.001</f>
        <v>-85.68</v>
      </c>
      <c r="H47" s="257">
        <f>(-96215-1689)*0.001</f>
        <v>-97.903999999999996</v>
      </c>
      <c r="I47" s="352">
        <v>-165.017</v>
      </c>
      <c r="J47" s="266">
        <v>-9.0950000000000006</v>
      </c>
      <c r="K47" s="266">
        <v>-348.3</v>
      </c>
      <c r="L47" s="266">
        <v>-733.5</v>
      </c>
      <c r="M47" s="267">
        <v>-872.2</v>
      </c>
      <c r="N47" s="256">
        <v>-357.9</v>
      </c>
      <c r="O47" s="257">
        <v>-472.3</v>
      </c>
      <c r="P47" s="257">
        <v>-804.1</v>
      </c>
      <c r="Q47" s="258">
        <v>-978.9</v>
      </c>
      <c r="R47" s="256">
        <v>-383.2</v>
      </c>
      <c r="S47" s="257">
        <v>-507.9</v>
      </c>
      <c r="T47" s="257">
        <v>-631.70000000000005</v>
      </c>
      <c r="U47" s="258">
        <v>-729.6</v>
      </c>
      <c r="V47" s="256">
        <v>-112.5</v>
      </c>
      <c r="W47" s="257">
        <v>-206</v>
      </c>
      <c r="X47" s="257">
        <v>-319.60000000000002</v>
      </c>
      <c r="Y47" s="258"/>
    </row>
    <row r="48" spans="1:25" s="10" customFormat="1" ht="20.100000000000001" customHeight="1">
      <c r="A48" s="236" t="s">
        <v>248</v>
      </c>
      <c r="B48" s="271">
        <v>0</v>
      </c>
      <c r="C48" s="271">
        <v>0</v>
      </c>
      <c r="D48" s="271">
        <v>0</v>
      </c>
      <c r="E48" s="272">
        <v>0</v>
      </c>
      <c r="F48" s="273">
        <v>0</v>
      </c>
      <c r="G48" s="271">
        <v>0</v>
      </c>
      <c r="H48" s="271">
        <v>0</v>
      </c>
      <c r="I48" s="272">
        <v>0</v>
      </c>
      <c r="J48" s="274">
        <v>0</v>
      </c>
      <c r="K48" s="266">
        <v>-102.9</v>
      </c>
      <c r="L48" s="266">
        <v>-102.9</v>
      </c>
      <c r="M48" s="267">
        <v>-102.9</v>
      </c>
      <c r="N48" s="256">
        <v>0</v>
      </c>
      <c r="O48" s="257">
        <v>0</v>
      </c>
      <c r="P48" s="257">
        <v>0</v>
      </c>
      <c r="Q48" s="258">
        <v>0</v>
      </c>
      <c r="R48" s="256">
        <v>0</v>
      </c>
      <c r="S48" s="257">
        <v>0</v>
      </c>
      <c r="T48" s="257">
        <v>0</v>
      </c>
      <c r="U48" s="258">
        <v>0</v>
      </c>
      <c r="V48" s="256">
        <v>0</v>
      </c>
      <c r="W48" s="257">
        <v>0</v>
      </c>
      <c r="X48" s="257">
        <v>-204.7</v>
      </c>
      <c r="Y48" s="258"/>
    </row>
    <row r="49" spans="1:25" s="10" customFormat="1" ht="20.100000000000001" customHeight="1">
      <c r="A49" s="236" t="s">
        <v>219</v>
      </c>
      <c r="B49" s="257">
        <v>-8.4000000000000005E-2</v>
      </c>
      <c r="C49" s="257">
        <v>-0.23899999999999999</v>
      </c>
      <c r="D49" s="257">
        <v>-0.315</v>
      </c>
      <c r="E49" s="352">
        <v>-0.40600000000000003</v>
      </c>
      <c r="F49" s="256">
        <v>-7.8E-2</v>
      </c>
      <c r="G49" s="257">
        <v>-0.16800000000000001</v>
      </c>
      <c r="H49" s="257">
        <v>-0.25600000000000001</v>
      </c>
      <c r="I49" s="352">
        <v>-0.33</v>
      </c>
      <c r="J49" s="266">
        <v>-6.2E-2</v>
      </c>
      <c r="K49" s="266">
        <v>-0.3</v>
      </c>
      <c r="L49" s="266">
        <v>-0.7</v>
      </c>
      <c r="M49" s="267">
        <v>-0.9</v>
      </c>
      <c r="N49" s="256">
        <v>-2.5</v>
      </c>
      <c r="O49" s="257">
        <v>-3.5</v>
      </c>
      <c r="P49" s="257">
        <v>-4.5</v>
      </c>
      <c r="Q49" s="258">
        <v>-5.6</v>
      </c>
      <c r="R49" s="256">
        <v>-2.1</v>
      </c>
      <c r="S49" s="257">
        <v>-2.7</v>
      </c>
      <c r="T49" s="257">
        <v>-4.4000000000000004</v>
      </c>
      <c r="U49" s="258">
        <v>-6</v>
      </c>
      <c r="V49" s="256">
        <f>-0.3-1.4</f>
        <v>-1.7</v>
      </c>
      <c r="W49" s="257">
        <v>-2.9</v>
      </c>
      <c r="X49" s="257">
        <v>-4.3</v>
      </c>
      <c r="Y49" s="258"/>
    </row>
    <row r="50" spans="1:25" s="10" customFormat="1" ht="20.100000000000001" customHeight="1" thickBot="1">
      <c r="A50" s="236" t="s">
        <v>93</v>
      </c>
      <c r="B50" s="275">
        <v>0</v>
      </c>
      <c r="C50" s="275">
        <v>0</v>
      </c>
      <c r="D50" s="275">
        <v>0</v>
      </c>
      <c r="E50" s="272">
        <v>0</v>
      </c>
      <c r="F50" s="273">
        <v>0</v>
      </c>
      <c r="G50" s="271">
        <v>0</v>
      </c>
      <c r="H50" s="271">
        <v>0</v>
      </c>
      <c r="I50" s="272">
        <v>0</v>
      </c>
      <c r="J50" s="274">
        <v>0</v>
      </c>
      <c r="K50" s="266">
        <v>-3.8</v>
      </c>
      <c r="L50" s="266">
        <v>-3.9</v>
      </c>
      <c r="M50" s="267">
        <v>-3.9</v>
      </c>
      <c r="N50" s="256">
        <v>0</v>
      </c>
      <c r="O50" s="257">
        <v>0</v>
      </c>
      <c r="P50" s="257">
        <v>0</v>
      </c>
      <c r="Q50" s="258">
        <v>0</v>
      </c>
      <c r="R50" s="256">
        <v>0</v>
      </c>
      <c r="S50" s="257">
        <v>0</v>
      </c>
      <c r="T50" s="257">
        <v>0</v>
      </c>
      <c r="U50" s="258">
        <v>0</v>
      </c>
      <c r="V50" s="256">
        <v>0</v>
      </c>
      <c r="W50" s="257">
        <v>0</v>
      </c>
      <c r="X50" s="257">
        <v>0</v>
      </c>
      <c r="Y50" s="258"/>
    </row>
    <row r="51" spans="1:25" s="10" customFormat="1" ht="20.100000000000001" customHeight="1" thickBot="1">
      <c r="A51" s="13" t="s">
        <v>68</v>
      </c>
      <c r="B51" s="260">
        <f t="shared" ref="B51:W51" si="7">SUM(B42:B50)</f>
        <v>-52.972000000000001</v>
      </c>
      <c r="C51" s="260">
        <f t="shared" si="7"/>
        <v>-260.08099999999996</v>
      </c>
      <c r="D51" s="260">
        <f t="shared" si="7"/>
        <v>-525.96400000000006</v>
      </c>
      <c r="E51" s="249">
        <f t="shared" si="7"/>
        <v>-653.34699999999998</v>
      </c>
      <c r="F51" s="259">
        <f t="shared" si="7"/>
        <v>-66.737000000000009</v>
      </c>
      <c r="G51" s="260">
        <f t="shared" si="7"/>
        <v>-278.43799999999999</v>
      </c>
      <c r="H51" s="260">
        <f t="shared" si="7"/>
        <v>-464.322</v>
      </c>
      <c r="I51" s="249">
        <f t="shared" si="7"/>
        <v>-596.46400000000006</v>
      </c>
      <c r="J51" s="259">
        <f t="shared" si="7"/>
        <v>-46.550999999999995</v>
      </c>
      <c r="K51" s="260">
        <f t="shared" si="7"/>
        <v>-478.30000000000007</v>
      </c>
      <c r="L51" s="260">
        <f t="shared" si="7"/>
        <v>-1064.0000000000002</v>
      </c>
      <c r="M51" s="268">
        <f t="shared" si="7"/>
        <v>-1542.9000000000003</v>
      </c>
      <c r="N51" s="259">
        <f t="shared" si="7"/>
        <v>-467.4</v>
      </c>
      <c r="O51" s="260">
        <f t="shared" si="7"/>
        <v>-1310</v>
      </c>
      <c r="P51" s="260">
        <f t="shared" si="7"/>
        <v>-2210.8000000000006</v>
      </c>
      <c r="Q51" s="261">
        <f t="shared" si="7"/>
        <v>-2386.7000000000007</v>
      </c>
      <c r="R51" s="259">
        <f t="shared" si="7"/>
        <v>-371.90000000000055</v>
      </c>
      <c r="S51" s="260">
        <f t="shared" si="7"/>
        <v>-1080.0000000000002</v>
      </c>
      <c r="T51" s="260">
        <f t="shared" si="7"/>
        <v>-1413.5000000000005</v>
      </c>
      <c r="U51" s="261">
        <f t="shared" si="7"/>
        <v>-1747.2</v>
      </c>
      <c r="V51" s="259">
        <f t="shared" si="7"/>
        <v>-348.2</v>
      </c>
      <c r="W51" s="260">
        <f t="shared" si="7"/>
        <v>-1122.3000000000002</v>
      </c>
      <c r="X51" s="260">
        <f>SUM(X42:X50)</f>
        <v>-1676</v>
      </c>
      <c r="Y51" s="261"/>
    </row>
    <row r="52" spans="1:25" s="11" customFormat="1" ht="20.100000000000001" customHeight="1" thickBot="1">
      <c r="A52" s="13" t="s">
        <v>40</v>
      </c>
      <c r="B52" s="260">
        <f>B27+B41+B51</f>
        <v>147.59399999999997</v>
      </c>
      <c r="C52" s="260">
        <f t="shared" ref="C52:W52" si="8">C51+C41+C27</f>
        <v>33.256000000000029</v>
      </c>
      <c r="D52" s="260">
        <f t="shared" si="8"/>
        <v>-51.083999999999946</v>
      </c>
      <c r="E52" s="249">
        <f t="shared" si="8"/>
        <v>-5.4109999999999445</v>
      </c>
      <c r="F52" s="259">
        <f t="shared" si="8"/>
        <v>53.822999999999979</v>
      </c>
      <c r="G52" s="260">
        <f t="shared" si="8"/>
        <v>-5.0790000000000077</v>
      </c>
      <c r="H52" s="260">
        <f t="shared" si="8"/>
        <v>-55.118000000000166</v>
      </c>
      <c r="I52" s="249">
        <f t="shared" si="8"/>
        <v>72.357999999999834</v>
      </c>
      <c r="J52" s="260">
        <f t="shared" si="8"/>
        <v>85.956000000000017</v>
      </c>
      <c r="K52" s="260">
        <f t="shared" si="8"/>
        <v>1565.3999999999999</v>
      </c>
      <c r="L52" s="260">
        <f t="shared" si="8"/>
        <v>1300.0999999999999</v>
      </c>
      <c r="M52" s="268">
        <f t="shared" si="8"/>
        <v>1403.7999999999997</v>
      </c>
      <c r="N52" s="259">
        <f t="shared" si="8"/>
        <v>-257.89999999999981</v>
      </c>
      <c r="O52" s="260">
        <f t="shared" si="8"/>
        <v>-353.30000000000041</v>
      </c>
      <c r="P52" s="260">
        <f t="shared" si="8"/>
        <v>-677.30000000000109</v>
      </c>
      <c r="Q52" s="261">
        <f t="shared" si="8"/>
        <v>-225.60000000000127</v>
      </c>
      <c r="R52" s="259">
        <f t="shared" si="8"/>
        <v>49.999999999999602</v>
      </c>
      <c r="S52" s="260">
        <f t="shared" si="8"/>
        <v>-568.70000000000027</v>
      </c>
      <c r="T52" s="260">
        <f t="shared" si="8"/>
        <v>-411.39999999999918</v>
      </c>
      <c r="U52" s="261">
        <f t="shared" si="8"/>
        <v>-189.49999999999955</v>
      </c>
      <c r="V52" s="259">
        <f t="shared" si="8"/>
        <v>244.3000000000003</v>
      </c>
      <c r="W52" s="260">
        <f t="shared" si="8"/>
        <v>29.599999999999909</v>
      </c>
      <c r="X52" s="260">
        <f t="shared" ref="X52" si="9">X51+X41+X27</f>
        <v>-245.50000000000045</v>
      </c>
      <c r="Y52" s="261"/>
    </row>
    <row r="53" spans="1:25" s="11" customFormat="1" ht="20.100000000000001" customHeight="1">
      <c r="A53" s="238" t="s">
        <v>41</v>
      </c>
      <c r="B53" s="263">
        <v>277.53399999999999</v>
      </c>
      <c r="C53" s="263">
        <v>277.53399999999999</v>
      </c>
      <c r="D53" s="263">
        <v>277.53399999999999</v>
      </c>
      <c r="E53" s="353">
        <v>277.53399999999999</v>
      </c>
      <c r="F53" s="262">
        <v>270.35399999999998</v>
      </c>
      <c r="G53" s="263">
        <v>270.35399999999998</v>
      </c>
      <c r="H53" s="263">
        <v>270.35399999999998</v>
      </c>
      <c r="I53" s="353">
        <v>270.35399999999998</v>
      </c>
      <c r="J53" s="263">
        <v>342.25100000000003</v>
      </c>
      <c r="K53" s="263">
        <v>342.2</v>
      </c>
      <c r="L53" s="263">
        <v>342.2</v>
      </c>
      <c r="M53" s="269">
        <v>342.2</v>
      </c>
      <c r="N53" s="262">
        <v>1747.9</v>
      </c>
      <c r="O53" s="263">
        <v>1747.9</v>
      </c>
      <c r="P53" s="263">
        <v>1747.9</v>
      </c>
      <c r="Q53" s="264">
        <v>1747.9</v>
      </c>
      <c r="R53" s="262">
        <f>$Q$55</f>
        <v>1523.6999999999989</v>
      </c>
      <c r="S53" s="263">
        <f t="shared" ref="S53:U53" si="10">$Q$55</f>
        <v>1523.6999999999989</v>
      </c>
      <c r="T53" s="263">
        <f t="shared" si="10"/>
        <v>1523.6999999999989</v>
      </c>
      <c r="U53" s="264">
        <f t="shared" si="10"/>
        <v>1523.6999999999989</v>
      </c>
      <c r="V53" s="262">
        <f>U55</f>
        <v>1336.6999999999994</v>
      </c>
      <c r="W53" s="263">
        <f>U55</f>
        <v>1336.6999999999994</v>
      </c>
      <c r="X53" s="263">
        <f>U55</f>
        <v>1336.6999999999994</v>
      </c>
      <c r="Y53" s="264"/>
    </row>
    <row r="54" spans="1:25" s="10" customFormat="1" ht="20.100000000000001" customHeight="1" thickBot="1">
      <c r="A54" s="236" t="s">
        <v>42</v>
      </c>
      <c r="B54" s="257">
        <v>-2.5009999999999999</v>
      </c>
      <c r="C54" s="257">
        <v>-1.2710000000000001</v>
      </c>
      <c r="D54" s="257">
        <v>-1.339</v>
      </c>
      <c r="E54" s="352">
        <v>-1.7690000000000001</v>
      </c>
      <c r="F54" s="256">
        <v>0.161</v>
      </c>
      <c r="G54" s="257">
        <v>0.52800000000000002</v>
      </c>
      <c r="H54" s="257">
        <v>0.16</v>
      </c>
      <c r="I54" s="352">
        <v>-0.46100000000000002</v>
      </c>
      <c r="J54" s="266">
        <v>-1.7000000000000001E-2</v>
      </c>
      <c r="K54" s="266">
        <v>-0.7</v>
      </c>
      <c r="L54" s="266">
        <v>0.9</v>
      </c>
      <c r="M54" s="270">
        <v>1.9</v>
      </c>
      <c r="N54" s="256">
        <v>1.6</v>
      </c>
      <c r="O54" s="257">
        <v>2</v>
      </c>
      <c r="P54" s="257">
        <v>1.4</v>
      </c>
      <c r="Q54" s="258">
        <v>1.4</v>
      </c>
      <c r="R54" s="256">
        <v>-3.7</v>
      </c>
      <c r="S54" s="257">
        <v>0.4</v>
      </c>
      <c r="T54" s="257">
        <v>-2.1</v>
      </c>
      <c r="U54" s="258">
        <v>2.5</v>
      </c>
      <c r="V54" s="256">
        <v>-3.7</v>
      </c>
      <c r="W54" s="257">
        <v>-3.7</v>
      </c>
      <c r="X54" s="257">
        <v>-2.8</v>
      </c>
      <c r="Y54" s="258"/>
    </row>
    <row r="55" spans="1:25" s="10" customFormat="1" ht="13.5" thickBot="1">
      <c r="A55" s="13" t="s">
        <v>99</v>
      </c>
      <c r="B55" s="260">
        <f>B52+B53+B54</f>
        <v>422.62699999999995</v>
      </c>
      <c r="C55" s="260">
        <f t="shared" ref="C55:Q55" si="11">C53+C52+C54</f>
        <v>309.51900000000001</v>
      </c>
      <c r="D55" s="260">
        <f t="shared" si="11"/>
        <v>225.11100000000005</v>
      </c>
      <c r="E55" s="249">
        <f t="shared" si="11"/>
        <v>270.35400000000004</v>
      </c>
      <c r="F55" s="259">
        <f t="shared" si="11"/>
        <v>324.33799999999997</v>
      </c>
      <c r="G55" s="260">
        <f t="shared" si="11"/>
        <v>265.803</v>
      </c>
      <c r="H55" s="260">
        <f t="shared" si="11"/>
        <v>215.39599999999982</v>
      </c>
      <c r="I55" s="249">
        <f t="shared" si="11"/>
        <v>342.25099999999981</v>
      </c>
      <c r="J55" s="260">
        <f t="shared" si="11"/>
        <v>428.19000000000005</v>
      </c>
      <c r="K55" s="260">
        <f t="shared" si="11"/>
        <v>1906.8999999999999</v>
      </c>
      <c r="L55" s="260">
        <f t="shared" si="11"/>
        <v>1643.2</v>
      </c>
      <c r="M55" s="268">
        <f t="shared" si="11"/>
        <v>1747.8999999999999</v>
      </c>
      <c r="N55" s="259">
        <f t="shared" si="11"/>
        <v>1491.6000000000001</v>
      </c>
      <c r="O55" s="260">
        <f t="shared" si="11"/>
        <v>1396.5999999999997</v>
      </c>
      <c r="P55" s="260">
        <f t="shared" si="11"/>
        <v>1071.9999999999991</v>
      </c>
      <c r="Q55" s="249">
        <f t="shared" si="11"/>
        <v>1523.6999999999989</v>
      </c>
      <c r="R55" s="259">
        <f t="shared" ref="R55:X55" si="12">R53+R52+R54</f>
        <v>1569.9999999999984</v>
      </c>
      <c r="S55" s="260">
        <f t="shared" si="12"/>
        <v>955.39999999999861</v>
      </c>
      <c r="T55" s="260">
        <f t="shared" si="12"/>
        <v>1110.1999999999998</v>
      </c>
      <c r="U55" s="249">
        <f t="shared" si="12"/>
        <v>1336.6999999999994</v>
      </c>
      <c r="V55" s="259">
        <f t="shared" si="12"/>
        <v>1577.2999999999995</v>
      </c>
      <c r="W55" s="260">
        <f t="shared" si="12"/>
        <v>1362.5999999999992</v>
      </c>
      <c r="X55" s="260">
        <f t="shared" si="12"/>
        <v>1088.399999999999</v>
      </c>
      <c r="Y55" s="249"/>
    </row>
    <row r="56" spans="1:25" s="10" customFormat="1">
      <c r="M56" s="54"/>
    </row>
    <row r="57" spans="1:25" s="10" customFormat="1">
      <c r="A57" s="10" t="s">
        <v>223</v>
      </c>
      <c r="M57" s="54"/>
    </row>
    <row r="58" spans="1:25" s="10" customFormat="1">
      <c r="A58" s="10" t="s">
        <v>201</v>
      </c>
      <c r="M58" s="54"/>
    </row>
    <row r="59" spans="1:25" s="10" customFormat="1">
      <c r="A59" s="10" t="s">
        <v>220</v>
      </c>
      <c r="M59" s="54"/>
    </row>
    <row r="60" spans="1:25" s="10" customFormat="1">
      <c r="A60" s="10" t="s">
        <v>253</v>
      </c>
      <c r="M60" s="54"/>
    </row>
    <row r="61" spans="1:25" s="10" customFormat="1">
      <c r="M61" s="54"/>
    </row>
    <row r="62" spans="1:25" s="10" customFormat="1">
      <c r="M62" s="54"/>
    </row>
    <row r="63" spans="1:25" s="10" customFormat="1">
      <c r="M63" s="54"/>
    </row>
    <row r="64" spans="1:25" s="10" customFormat="1">
      <c r="M64" s="54"/>
    </row>
    <row r="65" spans="13:13" s="10" customFormat="1">
      <c r="M65" s="54"/>
    </row>
    <row r="66" spans="13:13" s="10" customFormat="1">
      <c r="M66" s="54"/>
    </row>
    <row r="67" spans="13:13" s="10" customFormat="1">
      <c r="M67" s="54"/>
    </row>
    <row r="68" spans="13:13" s="10" customFormat="1">
      <c r="M68" s="54"/>
    </row>
    <row r="69" spans="13:13" s="10" customFormat="1">
      <c r="M69" s="54"/>
    </row>
    <row r="70" spans="13:13" s="10" customFormat="1">
      <c r="M70" s="54"/>
    </row>
    <row r="71" spans="13:13" s="10" customFormat="1">
      <c r="M71" s="54"/>
    </row>
    <row r="72" spans="13:13" s="10" customFormat="1">
      <c r="M72" s="54"/>
    </row>
    <row r="73" spans="13:13" s="10" customFormat="1">
      <c r="M73" s="54"/>
    </row>
    <row r="74" spans="13:13" s="10" customFormat="1">
      <c r="M74" s="54"/>
    </row>
    <row r="75" spans="13:13" s="10" customFormat="1">
      <c r="M75" s="54"/>
    </row>
    <row r="76" spans="13:13" s="10" customFormat="1">
      <c r="M76" s="54"/>
    </row>
    <row r="77" spans="13:13" s="10" customFormat="1">
      <c r="M77" s="54"/>
    </row>
    <row r="78" spans="13:13" s="10" customFormat="1">
      <c r="M78" s="54"/>
    </row>
    <row r="79" spans="13:13" s="10" customFormat="1">
      <c r="M79" s="54"/>
    </row>
    <row r="80" spans="13:13" s="10" customFormat="1">
      <c r="M80" s="54"/>
    </row>
    <row r="81" spans="13:13" s="10" customFormat="1">
      <c r="M81" s="54"/>
    </row>
    <row r="82" spans="13:13" s="10" customFormat="1">
      <c r="M82" s="54"/>
    </row>
    <row r="83" spans="13:13" s="10" customFormat="1">
      <c r="M83" s="54"/>
    </row>
    <row r="84" spans="13:13" s="10" customFormat="1">
      <c r="M84" s="54"/>
    </row>
    <row r="85" spans="13:13" s="10" customFormat="1">
      <c r="M85" s="54"/>
    </row>
    <row r="86" spans="13:13" s="10" customFormat="1">
      <c r="M86" s="54"/>
    </row>
    <row r="87" spans="13:13" s="10" customFormat="1">
      <c r="M87" s="54"/>
    </row>
    <row r="88" spans="13:13" s="10" customFormat="1">
      <c r="M88" s="54"/>
    </row>
    <row r="89" spans="13:13" s="10" customFormat="1">
      <c r="M89" s="54"/>
    </row>
    <row r="90" spans="13:13" s="10" customFormat="1">
      <c r="M90" s="54"/>
    </row>
    <row r="91" spans="13:13" s="10" customFormat="1">
      <c r="M91" s="54"/>
    </row>
    <row r="92" spans="13:13" s="10" customFormat="1">
      <c r="M92" s="54"/>
    </row>
    <row r="93" spans="13:13" s="10" customFormat="1">
      <c r="M93" s="54"/>
    </row>
    <row r="94" spans="13:13" s="10" customFormat="1">
      <c r="M94" s="54"/>
    </row>
    <row r="95" spans="13:13" s="10" customFormat="1"/>
    <row r="96" spans="13:13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pans="1:25" s="10" customFormat="1"/>
    <row r="130" spans="1:25" s="10" customFormat="1"/>
    <row r="131" spans="1:25" s="10" customFormat="1"/>
    <row r="132" spans="1:25" s="10" customFormat="1"/>
    <row r="133" spans="1:25" s="10" customFormat="1"/>
    <row r="134" spans="1: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</sheetData>
  <mergeCells count="6">
    <mergeCell ref="V2:Y2"/>
    <mergeCell ref="B2:E2"/>
    <mergeCell ref="F2:I2"/>
    <mergeCell ref="J2:M2"/>
    <mergeCell ref="N2:Q2"/>
    <mergeCell ref="R2:U2"/>
  </mergeCells>
  <pageMargins left="0.70866141732283505" right="0.70866141732283505" top="0.74803149606299202" bottom="0.74803149606299202" header="0.31496062992126" footer="0.31496062992126"/>
  <pageSetup paperSize="9" scale="4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5"/>
  <sheetViews>
    <sheetView showGridLines="0" zoomScaleNormal="100" zoomScaleSheetLayoutView="85" workbookViewId="0">
      <pane xSplit="1" ySplit="4" topLeftCell="U5" activePane="bottomRight" state="frozen"/>
      <selection pane="topRight" activeCell="B1" sqref="B1"/>
      <selection pane="bottomLeft" activeCell="A5" sqref="A5"/>
      <selection pane="bottomRight" activeCell="O2" sqref="O2"/>
    </sheetView>
  </sheetViews>
  <sheetFormatPr defaultRowHeight="28.5" customHeight="1"/>
  <cols>
    <col min="1" max="1" width="40.625" style="1" customWidth="1"/>
    <col min="2" max="13" width="10.625" style="2" customWidth="1"/>
    <col min="14" max="14" width="9" style="2"/>
    <col min="15" max="16" width="10.625" style="2" customWidth="1"/>
    <col min="17" max="17" width="9" style="2"/>
    <col min="18" max="19" width="9" style="4"/>
    <col min="20" max="21" width="10.625" style="2" customWidth="1"/>
    <col min="22" max="24" width="9" style="2"/>
    <col min="25" max="26" width="10.625" style="2" customWidth="1"/>
    <col min="27" max="29" width="9" style="2"/>
    <col min="30" max="31" width="10.625" style="2" customWidth="1"/>
    <col min="32" max="36" width="9" style="212"/>
    <col min="37" max="16384" width="9" style="2"/>
  </cols>
  <sheetData>
    <row r="1" spans="1:31" s="18" customFormat="1" ht="27" customHeight="1">
      <c r="A1" s="5" t="s">
        <v>176</v>
      </c>
      <c r="B1" s="5"/>
    </row>
    <row r="2" spans="1:31" s="212" customFormat="1" ht="106.5" customHeight="1" thickBot="1">
      <c r="A2" s="545" t="s">
        <v>249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R2" s="213"/>
      <c r="S2" s="213"/>
    </row>
    <row r="3" spans="1:31" ht="20.100000000000001" customHeight="1" thickBot="1">
      <c r="A3" s="546" t="s">
        <v>131</v>
      </c>
      <c r="B3" s="548">
        <v>2012</v>
      </c>
      <c r="C3" s="549"/>
      <c r="D3" s="549"/>
      <c r="E3" s="549"/>
      <c r="F3" s="550">
        <v>2012</v>
      </c>
      <c r="G3" s="548">
        <v>2013</v>
      </c>
      <c r="H3" s="549"/>
      <c r="I3" s="549"/>
      <c r="J3" s="549"/>
      <c r="K3" s="550">
        <v>2013</v>
      </c>
      <c r="L3" s="548">
        <v>2014</v>
      </c>
      <c r="M3" s="549"/>
      <c r="N3" s="549"/>
      <c r="O3" s="549"/>
      <c r="P3" s="550">
        <v>2014</v>
      </c>
      <c r="Q3" s="548">
        <v>2015</v>
      </c>
      <c r="R3" s="549"/>
      <c r="S3" s="549"/>
      <c r="T3" s="549"/>
      <c r="U3" s="550">
        <v>2015</v>
      </c>
      <c r="V3" s="548">
        <v>2016</v>
      </c>
      <c r="W3" s="549"/>
      <c r="X3" s="549"/>
      <c r="Y3" s="549"/>
      <c r="Z3" s="550">
        <v>2016</v>
      </c>
      <c r="AA3" s="548">
        <v>2017</v>
      </c>
      <c r="AB3" s="549"/>
      <c r="AC3" s="549"/>
      <c r="AD3" s="549"/>
      <c r="AE3" s="550">
        <v>2017</v>
      </c>
    </row>
    <row r="4" spans="1:31" ht="20.100000000000001" customHeight="1" thickBot="1">
      <c r="A4" s="547"/>
      <c r="B4" s="112" t="s">
        <v>132</v>
      </c>
      <c r="C4" s="113" t="s">
        <v>133</v>
      </c>
      <c r="D4" s="113" t="s">
        <v>134</v>
      </c>
      <c r="E4" s="113" t="s">
        <v>135</v>
      </c>
      <c r="F4" s="551"/>
      <c r="G4" s="112" t="s">
        <v>132</v>
      </c>
      <c r="H4" s="113" t="s">
        <v>133</v>
      </c>
      <c r="I4" s="113" t="s">
        <v>134</v>
      </c>
      <c r="J4" s="113" t="s">
        <v>135</v>
      </c>
      <c r="K4" s="551"/>
      <c r="L4" s="114" t="s">
        <v>132</v>
      </c>
      <c r="M4" s="113" t="s">
        <v>133</v>
      </c>
      <c r="N4" s="113" t="s">
        <v>134</v>
      </c>
      <c r="O4" s="115" t="s">
        <v>135</v>
      </c>
      <c r="P4" s="551"/>
      <c r="Q4" s="114" t="s">
        <v>132</v>
      </c>
      <c r="R4" s="113" t="s">
        <v>133</v>
      </c>
      <c r="S4" s="113" t="s">
        <v>134</v>
      </c>
      <c r="T4" s="115" t="s">
        <v>135</v>
      </c>
      <c r="U4" s="551"/>
      <c r="V4" s="114" t="s">
        <v>132</v>
      </c>
      <c r="W4" s="357" t="s">
        <v>133</v>
      </c>
      <c r="X4" s="357" t="s">
        <v>134</v>
      </c>
      <c r="Y4" s="115" t="s">
        <v>135</v>
      </c>
      <c r="Z4" s="551"/>
      <c r="AA4" s="114" t="s">
        <v>132</v>
      </c>
      <c r="AB4" s="357" t="s">
        <v>133</v>
      </c>
      <c r="AC4" s="357" t="s">
        <v>134</v>
      </c>
      <c r="AD4" s="115" t="s">
        <v>135</v>
      </c>
      <c r="AE4" s="551"/>
    </row>
    <row r="5" spans="1:31" ht="20.100000000000001" customHeight="1" thickBot="1">
      <c r="A5" s="116" t="s">
        <v>136</v>
      </c>
      <c r="B5" s="117" t="s">
        <v>137</v>
      </c>
      <c r="C5" s="118" t="s">
        <v>137</v>
      </c>
      <c r="D5" s="118" t="s">
        <v>137</v>
      </c>
      <c r="E5" s="118" t="s">
        <v>137</v>
      </c>
      <c r="F5" s="119" t="s">
        <v>137</v>
      </c>
      <c r="G5" s="120">
        <f t="shared" ref="G5:N5" si="0">G7+G23</f>
        <v>16348336</v>
      </c>
      <c r="H5" s="121">
        <f t="shared" si="0"/>
        <v>16434266</v>
      </c>
      <c r="I5" s="121">
        <f t="shared" si="0"/>
        <v>16627551</v>
      </c>
      <c r="J5" s="121">
        <f t="shared" si="0"/>
        <v>16447334</v>
      </c>
      <c r="K5" s="119">
        <f t="shared" si="0"/>
        <v>16447334</v>
      </c>
      <c r="L5" s="120">
        <f t="shared" si="0"/>
        <v>16333003</v>
      </c>
      <c r="M5" s="121">
        <f t="shared" si="0"/>
        <v>16250497</v>
      </c>
      <c r="N5" s="121">
        <f t="shared" si="0"/>
        <v>16449992</v>
      </c>
      <c r="O5" s="121">
        <f>O7+O23</f>
        <v>16482031</v>
      </c>
      <c r="P5" s="119">
        <f>P7+P23</f>
        <v>16482031</v>
      </c>
      <c r="Q5" s="120">
        <f t="shared" ref="Q5:U5" si="1">Q7+Q23</f>
        <v>16429469</v>
      </c>
      <c r="R5" s="121">
        <f t="shared" si="1"/>
        <v>16349090</v>
      </c>
      <c r="S5" s="121">
        <f t="shared" si="1"/>
        <v>16395514</v>
      </c>
      <c r="T5" s="121">
        <f t="shared" si="1"/>
        <v>16469696</v>
      </c>
      <c r="U5" s="367">
        <f t="shared" si="1"/>
        <v>16469696</v>
      </c>
      <c r="V5" s="120">
        <f t="shared" ref="V5" si="2">V7+V23</f>
        <v>16531833</v>
      </c>
      <c r="W5" s="121">
        <f>W7+W23</f>
        <v>16711541</v>
      </c>
      <c r="X5" s="121">
        <f>X7+X23</f>
        <v>16545653</v>
      </c>
      <c r="Y5" s="121">
        <f t="shared" ref="Y5:AC5" si="3">Y7+Y23</f>
        <v>16524936</v>
      </c>
      <c r="Z5" s="367">
        <f t="shared" si="3"/>
        <v>16524936</v>
      </c>
      <c r="AA5" s="120">
        <f t="shared" si="3"/>
        <v>16216128</v>
      </c>
      <c r="AB5" s="121">
        <f t="shared" si="3"/>
        <v>16273840</v>
      </c>
      <c r="AC5" s="121">
        <f t="shared" si="3"/>
        <v>16410325</v>
      </c>
      <c r="AD5" s="121"/>
      <c r="AE5" s="367"/>
    </row>
    <row r="6" spans="1:31" ht="20.100000000000001" customHeight="1">
      <c r="A6" s="122" t="s">
        <v>138</v>
      </c>
      <c r="B6" s="123"/>
      <c r="C6" s="124"/>
      <c r="D6" s="124"/>
      <c r="E6" s="124"/>
      <c r="F6" s="125"/>
      <c r="G6" s="126"/>
      <c r="H6" s="124"/>
      <c r="I6" s="124"/>
      <c r="J6" s="124"/>
      <c r="K6" s="125"/>
      <c r="L6" s="127"/>
      <c r="M6" s="124"/>
      <c r="N6" s="124"/>
      <c r="O6" s="124"/>
      <c r="P6" s="128"/>
      <c r="Q6" s="127"/>
      <c r="R6" s="124"/>
      <c r="S6" s="124"/>
      <c r="T6" s="124"/>
      <c r="U6" s="128"/>
      <c r="V6" s="127"/>
      <c r="W6" s="354"/>
      <c r="X6" s="354"/>
      <c r="Y6" s="124"/>
      <c r="Z6" s="128"/>
      <c r="AA6" s="127"/>
      <c r="AB6" s="354"/>
      <c r="AC6" s="354"/>
      <c r="AD6" s="124"/>
      <c r="AE6" s="128"/>
    </row>
    <row r="7" spans="1:31" ht="20.100000000000001" customHeight="1">
      <c r="A7" s="129" t="s">
        <v>139</v>
      </c>
      <c r="B7" s="130">
        <f>B8+B10+B11</f>
        <v>11532547</v>
      </c>
      <c r="C7" s="131">
        <f t="shared" ref="C7:M7" si="4">C8+C10+C11</f>
        <v>11516833</v>
      </c>
      <c r="D7" s="131">
        <f t="shared" si="4"/>
        <v>11605099</v>
      </c>
      <c r="E7" s="131">
        <f t="shared" si="4"/>
        <v>11735100</v>
      </c>
      <c r="F7" s="132">
        <f>SUM(F8,F10:F11)</f>
        <v>11735100</v>
      </c>
      <c r="G7" s="130">
        <f t="shared" si="4"/>
        <v>11799951</v>
      </c>
      <c r="H7" s="131">
        <f t="shared" si="4"/>
        <v>11868947</v>
      </c>
      <c r="I7" s="131">
        <f t="shared" si="4"/>
        <v>11908422</v>
      </c>
      <c r="J7" s="131">
        <f t="shared" si="4"/>
        <v>11978807</v>
      </c>
      <c r="K7" s="132">
        <f>SUM(K8,K10:K11)</f>
        <v>11978807</v>
      </c>
      <c r="L7" s="130">
        <f t="shared" si="4"/>
        <v>11982678</v>
      </c>
      <c r="M7" s="131">
        <f t="shared" si="4"/>
        <v>12023369</v>
      </c>
      <c r="N7" s="131">
        <f>N8+N10+N11</f>
        <v>12230798</v>
      </c>
      <c r="O7" s="131">
        <f>O8+O10+O11</f>
        <v>12347828</v>
      </c>
      <c r="P7" s="133">
        <f>P8+P10+P11</f>
        <v>12347828</v>
      </c>
      <c r="Q7" s="130">
        <f t="shared" ref="Q7:U7" si="5">Q8+Q10+Q11</f>
        <v>12394712</v>
      </c>
      <c r="R7" s="131">
        <f t="shared" si="5"/>
        <v>12377021</v>
      </c>
      <c r="S7" s="131">
        <f t="shared" si="5"/>
        <v>12418707</v>
      </c>
      <c r="T7" s="131">
        <f t="shared" si="5"/>
        <v>12614703</v>
      </c>
      <c r="U7" s="133">
        <f t="shared" si="5"/>
        <v>12614703</v>
      </c>
      <c r="V7" s="130">
        <f t="shared" ref="V7:AC7" si="6">V8+V10+V11</f>
        <v>12744166</v>
      </c>
      <c r="W7" s="131">
        <f t="shared" si="6"/>
        <v>12880725</v>
      </c>
      <c r="X7" s="131">
        <f t="shared" si="6"/>
        <v>13017749</v>
      </c>
      <c r="Y7" s="131">
        <f t="shared" si="6"/>
        <v>13254598</v>
      </c>
      <c r="Z7" s="133">
        <f t="shared" si="6"/>
        <v>13254598</v>
      </c>
      <c r="AA7" s="130">
        <f t="shared" si="6"/>
        <v>13337038</v>
      </c>
      <c r="AB7" s="131">
        <f t="shared" si="6"/>
        <v>13419539</v>
      </c>
      <c r="AC7" s="131">
        <f t="shared" si="6"/>
        <v>13530164</v>
      </c>
      <c r="AD7" s="131"/>
      <c r="AE7" s="133"/>
    </row>
    <row r="8" spans="1:31" ht="20.100000000000001" customHeight="1">
      <c r="A8" s="134" t="s">
        <v>140</v>
      </c>
      <c r="B8" s="135">
        <v>3885022</v>
      </c>
      <c r="C8" s="136">
        <v>3868733</v>
      </c>
      <c r="D8" s="136">
        <v>3921673</v>
      </c>
      <c r="E8" s="136">
        <v>3994875</v>
      </c>
      <c r="F8" s="137">
        <f>E8</f>
        <v>3994875</v>
      </c>
      <c r="G8" s="135">
        <v>4047592</v>
      </c>
      <c r="H8" s="136">
        <v>4127560</v>
      </c>
      <c r="I8" s="136">
        <v>4160343</v>
      </c>
      <c r="J8" s="136">
        <v>4212323</v>
      </c>
      <c r="K8" s="137">
        <f>J8</f>
        <v>4212323</v>
      </c>
      <c r="L8" s="135">
        <v>4236986</v>
      </c>
      <c r="M8" s="136">
        <v>4255544</v>
      </c>
      <c r="N8" s="138">
        <v>4344773</v>
      </c>
      <c r="O8" s="136">
        <v>4391702</v>
      </c>
      <c r="P8" s="139">
        <v>4391702</v>
      </c>
      <c r="Q8" s="135">
        <v>4405464</v>
      </c>
      <c r="R8" s="136">
        <v>4374517</v>
      </c>
      <c r="S8" s="136">
        <v>4396361</v>
      </c>
      <c r="T8" s="136">
        <v>4503320</v>
      </c>
      <c r="U8" s="139">
        <f t="shared" ref="U8:U12" si="7">T8</f>
        <v>4503320</v>
      </c>
      <c r="V8" s="135">
        <v>4560267</v>
      </c>
      <c r="W8" s="136">
        <v>4632246</v>
      </c>
      <c r="X8" s="136">
        <v>4679114</v>
      </c>
      <c r="Y8" s="136">
        <v>4766429</v>
      </c>
      <c r="Z8" s="139">
        <f t="shared" ref="Z8:Z12" si="8">Y8</f>
        <v>4766429</v>
      </c>
      <c r="AA8" s="135">
        <v>4785947</v>
      </c>
      <c r="AB8" s="136">
        <v>4835534</v>
      </c>
      <c r="AC8" s="136">
        <v>4882505</v>
      </c>
      <c r="AD8" s="136"/>
      <c r="AE8" s="139"/>
    </row>
    <row r="9" spans="1:31" ht="20.100000000000001" customHeight="1">
      <c r="A9" s="140" t="s">
        <v>141</v>
      </c>
      <c r="B9" s="141">
        <v>394001</v>
      </c>
      <c r="C9" s="142">
        <v>416027</v>
      </c>
      <c r="D9" s="142">
        <v>470578</v>
      </c>
      <c r="E9" s="142">
        <v>510617</v>
      </c>
      <c r="F9" s="143">
        <f t="shared" ref="F9:F11" si="9">E9</f>
        <v>510617</v>
      </c>
      <c r="G9" s="141">
        <v>559997</v>
      </c>
      <c r="H9" s="142">
        <v>633475</v>
      </c>
      <c r="I9" s="142">
        <v>680316</v>
      </c>
      <c r="J9" s="142">
        <v>719935</v>
      </c>
      <c r="K9" s="143">
        <f>J9</f>
        <v>719935</v>
      </c>
      <c r="L9" s="141">
        <v>749319</v>
      </c>
      <c r="M9" s="142">
        <v>771481</v>
      </c>
      <c r="N9" s="144">
        <v>806064</v>
      </c>
      <c r="O9" s="142">
        <v>844809</v>
      </c>
      <c r="P9" s="145">
        <v>844809</v>
      </c>
      <c r="Q9" s="141">
        <v>872628</v>
      </c>
      <c r="R9" s="142">
        <v>886305</v>
      </c>
      <c r="S9" s="142">
        <v>901271</v>
      </c>
      <c r="T9" s="142">
        <v>936307</v>
      </c>
      <c r="U9" s="145">
        <f t="shared" si="7"/>
        <v>936307</v>
      </c>
      <c r="V9" s="141">
        <v>957952</v>
      </c>
      <c r="W9" s="142">
        <v>972771</v>
      </c>
      <c r="X9" s="142">
        <v>982068</v>
      </c>
      <c r="Y9" s="142">
        <v>1021720</v>
      </c>
      <c r="Z9" s="145">
        <f t="shared" si="8"/>
        <v>1021720</v>
      </c>
      <c r="AA9" s="141">
        <v>1031294</v>
      </c>
      <c r="AB9" s="142">
        <v>1058982</v>
      </c>
      <c r="AC9" s="142">
        <v>1072513</v>
      </c>
      <c r="AD9" s="142"/>
      <c r="AE9" s="145"/>
    </row>
    <row r="10" spans="1:31" ht="20.100000000000001" customHeight="1">
      <c r="A10" s="134" t="s">
        <v>142</v>
      </c>
      <c r="B10" s="135">
        <v>6985015</v>
      </c>
      <c r="C10" s="136">
        <v>6978192</v>
      </c>
      <c r="D10" s="136">
        <v>6976594</v>
      </c>
      <c r="E10" s="136">
        <v>6979590</v>
      </c>
      <c r="F10" s="137">
        <f t="shared" si="9"/>
        <v>6979590</v>
      </c>
      <c r="G10" s="135">
        <v>6941638</v>
      </c>
      <c r="H10" s="136">
        <v>6891314</v>
      </c>
      <c r="I10" s="136">
        <v>6834719</v>
      </c>
      <c r="J10" s="136">
        <v>6778675</v>
      </c>
      <c r="K10" s="137">
        <f t="shared" ref="K10:K11" si="10">J10</f>
        <v>6778675</v>
      </c>
      <c r="L10" s="135">
        <v>6713629</v>
      </c>
      <c r="M10" s="136">
        <v>6644687</v>
      </c>
      <c r="N10" s="138">
        <v>6617382</v>
      </c>
      <c r="O10" s="136">
        <v>6587915</v>
      </c>
      <c r="P10" s="139">
        <v>6587915</v>
      </c>
      <c r="Q10" s="135">
        <v>6552365</v>
      </c>
      <c r="R10" s="136">
        <v>6519311</v>
      </c>
      <c r="S10" s="136">
        <v>6505016</v>
      </c>
      <c r="T10" s="136">
        <v>6516643</v>
      </c>
      <c r="U10" s="139">
        <f t="shared" si="7"/>
        <v>6516643</v>
      </c>
      <c r="V10" s="135">
        <v>6536366</v>
      </c>
      <c r="W10" s="136">
        <v>6559223</v>
      </c>
      <c r="X10" s="136">
        <v>6616579</v>
      </c>
      <c r="Y10" s="136">
        <v>6730427</v>
      </c>
      <c r="Z10" s="139">
        <f t="shared" si="8"/>
        <v>6730427</v>
      </c>
      <c r="AA10" s="135">
        <v>6785002</v>
      </c>
      <c r="AB10" s="136">
        <v>6810999</v>
      </c>
      <c r="AC10" s="136">
        <v>6864787</v>
      </c>
      <c r="AD10" s="136"/>
      <c r="AE10" s="139"/>
    </row>
    <row r="11" spans="1:31" ht="20.100000000000001" customHeight="1">
      <c r="A11" s="134" t="s">
        <v>143</v>
      </c>
      <c r="B11" s="135">
        <v>662510</v>
      </c>
      <c r="C11" s="136">
        <v>669908</v>
      </c>
      <c r="D11" s="136">
        <v>706832</v>
      </c>
      <c r="E11" s="136">
        <v>760635</v>
      </c>
      <c r="F11" s="137">
        <f t="shared" si="9"/>
        <v>760635</v>
      </c>
      <c r="G11" s="135">
        <v>810721</v>
      </c>
      <c r="H11" s="136">
        <v>850073</v>
      </c>
      <c r="I11" s="136">
        <v>913360</v>
      </c>
      <c r="J11" s="136">
        <v>987809</v>
      </c>
      <c r="K11" s="137">
        <f t="shared" si="10"/>
        <v>987809</v>
      </c>
      <c r="L11" s="147">
        <v>1032063</v>
      </c>
      <c r="M11" s="148">
        <v>1123138</v>
      </c>
      <c r="N11" s="138">
        <v>1268643</v>
      </c>
      <c r="O11" s="2">
        <v>1368211</v>
      </c>
      <c r="P11" s="139">
        <v>1368211</v>
      </c>
      <c r="Q11" s="147">
        <v>1436883</v>
      </c>
      <c r="R11" s="148">
        <v>1483193</v>
      </c>
      <c r="S11" s="148">
        <v>1517330</v>
      </c>
      <c r="T11" s="136">
        <v>1594740</v>
      </c>
      <c r="U11" s="139">
        <f t="shared" si="7"/>
        <v>1594740</v>
      </c>
      <c r="V11" s="147">
        <v>1647533</v>
      </c>
      <c r="W11" s="148">
        <v>1689256</v>
      </c>
      <c r="X11" s="148">
        <v>1722056</v>
      </c>
      <c r="Y11" s="136">
        <v>1757742</v>
      </c>
      <c r="Z11" s="139">
        <f t="shared" si="8"/>
        <v>1757742</v>
      </c>
      <c r="AA11" s="147">
        <v>1766089</v>
      </c>
      <c r="AB11" s="148">
        <v>1773006</v>
      </c>
      <c r="AC11" s="148">
        <v>1782872</v>
      </c>
      <c r="AD11" s="136"/>
      <c r="AE11" s="139"/>
    </row>
    <row r="12" spans="1:31" ht="20.100000000000001" customHeight="1" thickBot="1">
      <c r="A12" s="149" t="s">
        <v>144</v>
      </c>
      <c r="B12" s="150">
        <v>6282300</v>
      </c>
      <c r="C12" s="151">
        <v>6264412</v>
      </c>
      <c r="D12" s="151">
        <v>6281184</v>
      </c>
      <c r="E12" s="151">
        <v>6313423</v>
      </c>
      <c r="F12" s="152">
        <f>E12</f>
        <v>6313423</v>
      </c>
      <c r="G12" s="150">
        <v>6318321</v>
      </c>
      <c r="H12" s="151">
        <v>6306877</v>
      </c>
      <c r="I12" s="151">
        <v>6285607</v>
      </c>
      <c r="J12" s="151">
        <v>6287658</v>
      </c>
      <c r="K12" s="152">
        <f>J12</f>
        <v>6287658</v>
      </c>
      <c r="L12" s="150">
        <v>6260662</v>
      </c>
      <c r="M12" s="151">
        <v>6221111</v>
      </c>
      <c r="N12" s="153">
        <v>6184775</v>
      </c>
      <c r="O12" s="151">
        <v>6137531</v>
      </c>
      <c r="P12" s="154">
        <v>6137531</v>
      </c>
      <c r="Q12" s="150">
        <v>6068839</v>
      </c>
      <c r="R12" s="151">
        <v>5990051</v>
      </c>
      <c r="S12" s="151">
        <v>5937768</v>
      </c>
      <c r="T12" s="151">
        <v>5916103</v>
      </c>
      <c r="U12" s="154">
        <f t="shared" si="7"/>
        <v>5916103</v>
      </c>
      <c r="V12" s="150">
        <v>5893225</v>
      </c>
      <c r="W12" s="151">
        <v>5862310</v>
      </c>
      <c r="X12" s="151">
        <v>5860884</v>
      </c>
      <c r="Y12" s="151">
        <v>5882804</v>
      </c>
      <c r="Z12" s="154">
        <f t="shared" si="8"/>
        <v>5882804</v>
      </c>
      <c r="AA12" s="150">
        <v>5847401</v>
      </c>
      <c r="AB12" s="151">
        <v>5819386</v>
      </c>
      <c r="AC12" s="151">
        <v>5791841</v>
      </c>
      <c r="AD12" s="151"/>
      <c r="AE12" s="154"/>
    </row>
    <row r="13" spans="1:31" ht="20.100000000000001" customHeight="1">
      <c r="A13" s="155" t="s">
        <v>145</v>
      </c>
      <c r="B13" s="156">
        <v>92.5</v>
      </c>
      <c r="C13" s="157">
        <v>94.4</v>
      </c>
      <c r="D13" s="157">
        <v>93.8</v>
      </c>
      <c r="E13" s="157">
        <v>93.8</v>
      </c>
      <c r="F13" s="158">
        <v>93.6</v>
      </c>
      <c r="G13" s="156">
        <v>89.1</v>
      </c>
      <c r="H13" s="157">
        <v>90.3</v>
      </c>
      <c r="I13" s="157">
        <v>87.6</v>
      </c>
      <c r="J13" s="157">
        <v>87.1</v>
      </c>
      <c r="K13" s="158">
        <v>88.5</v>
      </c>
      <c r="L13" s="156">
        <v>84.8</v>
      </c>
      <c r="M13" s="157">
        <v>85.3</v>
      </c>
      <c r="N13" s="159">
        <v>86.5</v>
      </c>
      <c r="O13" s="157">
        <v>87.2</v>
      </c>
      <c r="P13" s="160">
        <v>85.9</v>
      </c>
      <c r="Q13" s="156">
        <v>85.8</v>
      </c>
      <c r="R13" s="157">
        <v>87</v>
      </c>
      <c r="S13" s="157">
        <v>88.1</v>
      </c>
      <c r="T13" s="157">
        <v>88.3</v>
      </c>
      <c r="U13" s="160">
        <v>87.3</v>
      </c>
      <c r="V13" s="156">
        <v>87</v>
      </c>
      <c r="W13" s="157">
        <v>88.4</v>
      </c>
      <c r="X13" s="157">
        <v>88.6</v>
      </c>
      <c r="Y13" s="157">
        <v>90.7</v>
      </c>
      <c r="Z13" s="160">
        <v>88.7</v>
      </c>
      <c r="AA13" s="156">
        <v>89.1</v>
      </c>
      <c r="AB13" s="157">
        <v>89.6</v>
      </c>
      <c r="AC13" s="157">
        <v>88.4</v>
      </c>
      <c r="AD13" s="157"/>
      <c r="AE13" s="160"/>
    </row>
    <row r="14" spans="1:31" ht="20.100000000000001" customHeight="1">
      <c r="A14" s="161" t="s">
        <v>146</v>
      </c>
      <c r="B14" s="162" t="s">
        <v>137</v>
      </c>
      <c r="C14" s="163" t="s">
        <v>137</v>
      </c>
      <c r="D14" s="163" t="s">
        <v>137</v>
      </c>
      <c r="E14" s="164">
        <v>8.4252884188563901E-2</v>
      </c>
      <c r="F14" s="165">
        <f>E14</f>
        <v>8.4252884188563901E-2</v>
      </c>
      <c r="G14" s="166">
        <v>8.6500864834109098E-2</v>
      </c>
      <c r="H14" s="164">
        <v>8.7995678097648605E-2</v>
      </c>
      <c r="I14" s="164">
        <v>8.95665783401738E-2</v>
      </c>
      <c r="J14" s="164">
        <v>9.1612274770678806E-2</v>
      </c>
      <c r="K14" s="165">
        <f>J14</f>
        <v>9.1612274770678806E-2</v>
      </c>
      <c r="L14" s="166">
        <v>9.0641340484564806E-2</v>
      </c>
      <c r="M14" s="164">
        <v>8.7627794752018207E-2</v>
      </c>
      <c r="N14" s="167">
        <f>8.8%</f>
        <v>8.8000000000000009E-2</v>
      </c>
      <c r="O14" s="164">
        <v>9.0976359886998898E-2</v>
      </c>
      <c r="P14" s="168">
        <v>9.0999999999999998E-2</v>
      </c>
      <c r="Q14" s="166">
        <v>9.5000000000000001E-2</v>
      </c>
      <c r="R14" s="164">
        <v>0.10100000000000001</v>
      </c>
      <c r="S14" s="164">
        <v>0.10199999999999999</v>
      </c>
      <c r="T14" s="164">
        <v>0.1</v>
      </c>
      <c r="U14" s="168">
        <v>0.1</v>
      </c>
      <c r="V14" s="166">
        <v>9.8000000000000004E-2</v>
      </c>
      <c r="W14" s="164">
        <v>0.09</v>
      </c>
      <c r="X14" s="164">
        <v>8.5000000000000006E-2</v>
      </c>
      <c r="Y14" s="164">
        <v>8.3000000000000004E-2</v>
      </c>
      <c r="Z14" s="168">
        <v>8.3000000000000004E-2</v>
      </c>
      <c r="AA14" s="166">
        <v>8.5000000000000006E-2</v>
      </c>
      <c r="AB14" s="164">
        <v>8.5999999999999993E-2</v>
      </c>
      <c r="AC14" s="164">
        <v>8.7999999999999995E-2</v>
      </c>
      <c r="AD14" s="164"/>
      <c r="AE14" s="168"/>
    </row>
    <row r="15" spans="1:31" ht="20.100000000000001" customHeight="1" thickBot="1">
      <c r="A15" s="161" t="s">
        <v>147</v>
      </c>
      <c r="B15" s="169">
        <f t="shared" ref="B15:M15" si="11">B7/B12</f>
        <v>1.8357205163713926</v>
      </c>
      <c r="C15" s="170">
        <f t="shared" si="11"/>
        <v>1.838453952262399</v>
      </c>
      <c r="D15" s="170">
        <f t="shared" si="11"/>
        <v>1.8475973638091163</v>
      </c>
      <c r="E15" s="170">
        <f t="shared" si="11"/>
        <v>1.858753959619053</v>
      </c>
      <c r="F15" s="171">
        <f t="shared" si="11"/>
        <v>1.858753959619053</v>
      </c>
      <c r="G15" s="169">
        <f t="shared" si="11"/>
        <v>1.8675770034475931</v>
      </c>
      <c r="H15" s="170">
        <f t="shared" si="11"/>
        <v>1.8819055770391591</v>
      </c>
      <c r="I15" s="170">
        <f t="shared" si="11"/>
        <v>1.8945540184106324</v>
      </c>
      <c r="J15" s="170">
        <f t="shared" si="11"/>
        <v>1.9051301772456453</v>
      </c>
      <c r="K15" s="171">
        <f t="shared" si="11"/>
        <v>1.9051301772456453</v>
      </c>
      <c r="L15" s="169">
        <f t="shared" si="11"/>
        <v>1.9139634115369908</v>
      </c>
      <c r="M15" s="170">
        <f t="shared" si="11"/>
        <v>1.9326723152825918</v>
      </c>
      <c r="N15" s="172">
        <v>1.98</v>
      </c>
      <c r="O15" s="170">
        <v>2.0099999999999998</v>
      </c>
      <c r="P15" s="171">
        <v>2.0099999999999998</v>
      </c>
      <c r="Q15" s="169">
        <f t="shared" ref="Q15" si="12">Q7/Q12</f>
        <v>2.0423530760990696</v>
      </c>
      <c r="R15" s="170">
        <v>2.0699999999999998</v>
      </c>
      <c r="S15" s="170">
        <v>2.09</v>
      </c>
      <c r="T15" s="170">
        <v>2.13</v>
      </c>
      <c r="U15" s="171">
        <v>2.13</v>
      </c>
      <c r="V15" s="169">
        <v>2.16</v>
      </c>
      <c r="W15" s="170">
        <v>2.2000000000000002</v>
      </c>
      <c r="X15" s="170">
        <v>2.2200000000000002</v>
      </c>
      <c r="Y15" s="170">
        <v>2.25</v>
      </c>
      <c r="Z15" s="171">
        <f>Y15</f>
        <v>2.25</v>
      </c>
      <c r="AA15" s="169">
        <v>2.2799999999999998</v>
      </c>
      <c r="AB15" s="170">
        <v>2.31</v>
      </c>
      <c r="AC15" s="170">
        <v>2.34</v>
      </c>
      <c r="AD15" s="170"/>
      <c r="AE15" s="171"/>
    </row>
    <row r="16" spans="1:31" ht="20.100000000000001" customHeight="1">
      <c r="A16" s="173" t="s">
        <v>148</v>
      </c>
      <c r="B16" s="174">
        <f>B17+B19+B20</f>
        <v>11497022</v>
      </c>
      <c r="C16" s="175">
        <f t="shared" ref="C16:M16" si="13">C17+C19+C20</f>
        <v>11521707</v>
      </c>
      <c r="D16" s="175">
        <f t="shared" si="13"/>
        <v>11558288</v>
      </c>
      <c r="E16" s="175">
        <f t="shared" si="13"/>
        <v>11659474</v>
      </c>
      <c r="F16" s="132">
        <f t="shared" si="13"/>
        <v>11559122.75</v>
      </c>
      <c r="G16" s="174">
        <f t="shared" si="13"/>
        <v>11772318</v>
      </c>
      <c r="H16" s="175">
        <f t="shared" si="13"/>
        <v>11846507</v>
      </c>
      <c r="I16" s="175">
        <f t="shared" si="13"/>
        <v>11884574</v>
      </c>
      <c r="J16" s="175">
        <f t="shared" si="13"/>
        <v>11924710</v>
      </c>
      <c r="K16" s="132">
        <f t="shared" si="13"/>
        <v>11857027.25</v>
      </c>
      <c r="L16" s="174">
        <f t="shared" si="13"/>
        <v>11986199</v>
      </c>
      <c r="M16" s="175">
        <f t="shared" si="13"/>
        <v>11981389</v>
      </c>
      <c r="N16" s="175">
        <f>N17+N19+N20</f>
        <v>12125363</v>
      </c>
      <c r="O16" s="175">
        <f>O17+O19+O20</f>
        <v>12272311</v>
      </c>
      <c r="P16" s="133">
        <f>P17+P19+P20</f>
        <v>12091316</v>
      </c>
      <c r="Q16" s="174">
        <f t="shared" ref="Q16:U16" si="14">Q17+Q19+Q20</f>
        <v>12376603</v>
      </c>
      <c r="R16" s="175">
        <f t="shared" si="14"/>
        <v>12391326</v>
      </c>
      <c r="S16" s="175">
        <f t="shared" si="14"/>
        <v>12378586</v>
      </c>
      <c r="T16" s="175">
        <f t="shared" si="14"/>
        <v>12496080</v>
      </c>
      <c r="U16" s="133">
        <f t="shared" si="14"/>
        <v>12410649</v>
      </c>
      <c r="V16" s="174">
        <f t="shared" ref="V16:AC16" si="15">V17+V19+V20</f>
        <v>12675864</v>
      </c>
      <c r="W16" s="175">
        <f t="shared" si="15"/>
        <v>12809438</v>
      </c>
      <c r="X16" s="175">
        <f t="shared" si="15"/>
        <v>12940680</v>
      </c>
      <c r="Y16" s="175">
        <f t="shared" si="15"/>
        <v>13119033</v>
      </c>
      <c r="Z16" s="133">
        <f t="shared" si="15"/>
        <v>12886254</v>
      </c>
      <c r="AA16" s="174">
        <f t="shared" si="15"/>
        <v>13313971</v>
      </c>
      <c r="AB16" s="175">
        <f t="shared" si="15"/>
        <v>13379081</v>
      </c>
      <c r="AC16" s="175">
        <f t="shared" si="15"/>
        <v>13467835</v>
      </c>
      <c r="AD16" s="175"/>
      <c r="AE16" s="133"/>
    </row>
    <row r="17" spans="1:31" ht="20.100000000000001" customHeight="1">
      <c r="A17" s="134" t="s">
        <v>140</v>
      </c>
      <c r="B17" s="135">
        <v>3858338</v>
      </c>
      <c r="C17" s="136">
        <v>3879834</v>
      </c>
      <c r="D17" s="136">
        <v>3894623</v>
      </c>
      <c r="E17" s="136">
        <v>3955082</v>
      </c>
      <c r="F17" s="137">
        <f>AVERAGE(B17:E17)</f>
        <v>3896969.25</v>
      </c>
      <c r="G17" s="135">
        <v>4018307</v>
      </c>
      <c r="H17" s="136">
        <v>4098051</v>
      </c>
      <c r="I17" s="136">
        <v>4144131</v>
      </c>
      <c r="J17" s="136">
        <v>4175145</v>
      </c>
      <c r="K17" s="137">
        <f>AVERAGE(G17:J17)</f>
        <v>4108908.5</v>
      </c>
      <c r="L17" s="135">
        <v>4227450</v>
      </c>
      <c r="M17" s="136">
        <v>4243880</v>
      </c>
      <c r="N17" s="138">
        <v>4301558</v>
      </c>
      <c r="O17" s="136">
        <v>4361890</v>
      </c>
      <c r="P17" s="139">
        <v>4283695</v>
      </c>
      <c r="Q17" s="135">
        <v>4403541</v>
      </c>
      <c r="R17" s="136">
        <v>4397999</v>
      </c>
      <c r="S17" s="136">
        <v>4376405</v>
      </c>
      <c r="T17" s="136">
        <v>4441918</v>
      </c>
      <c r="U17" s="139">
        <v>4404966</v>
      </c>
      <c r="V17" s="135">
        <v>4532806</v>
      </c>
      <c r="W17" s="136">
        <v>4595313</v>
      </c>
      <c r="X17" s="136">
        <v>4654591</v>
      </c>
      <c r="Y17" s="136">
        <v>4712813</v>
      </c>
      <c r="Z17" s="139">
        <v>4623881</v>
      </c>
      <c r="AA17" s="135">
        <v>4781680</v>
      </c>
      <c r="AB17" s="136">
        <v>4817543</v>
      </c>
      <c r="AC17" s="136">
        <v>4856979</v>
      </c>
      <c r="AD17" s="136"/>
      <c r="AE17" s="139"/>
    </row>
    <row r="18" spans="1:31" ht="20.100000000000001" customHeight="1">
      <c r="A18" s="140" t="s">
        <v>141</v>
      </c>
      <c r="B18" s="141">
        <v>358652</v>
      </c>
      <c r="C18" s="142">
        <v>406943</v>
      </c>
      <c r="D18" s="146">
        <v>443743.5</v>
      </c>
      <c r="E18" s="142">
        <v>494506</v>
      </c>
      <c r="F18" s="143">
        <f>AVERAGE(B18:E18)</f>
        <v>425961.125</v>
      </c>
      <c r="G18" s="141">
        <v>535271</v>
      </c>
      <c r="H18" s="142">
        <v>600411</v>
      </c>
      <c r="I18" s="142">
        <v>658475</v>
      </c>
      <c r="J18" s="142">
        <v>697978</v>
      </c>
      <c r="K18" s="143">
        <f t="shared" ref="K18:K20" si="16">AVERAGE(G18:J18)</f>
        <v>623033.75</v>
      </c>
      <c r="L18" s="176">
        <v>736315</v>
      </c>
      <c r="M18" s="142">
        <v>759922</v>
      </c>
      <c r="N18" s="144">
        <v>787736</v>
      </c>
      <c r="O18" s="142">
        <v>822568</v>
      </c>
      <c r="P18" s="145">
        <v>776635</v>
      </c>
      <c r="Q18" s="176">
        <v>860827</v>
      </c>
      <c r="R18" s="142">
        <v>881296</v>
      </c>
      <c r="S18" s="142">
        <v>893001</v>
      </c>
      <c r="T18" s="142">
        <v>915940</v>
      </c>
      <c r="U18" s="145">
        <v>887766</v>
      </c>
      <c r="V18" s="176">
        <v>948366</v>
      </c>
      <c r="W18" s="355">
        <v>964197</v>
      </c>
      <c r="X18" s="355">
        <v>977142</v>
      </c>
      <c r="Y18" s="142">
        <v>995820</v>
      </c>
      <c r="Z18" s="145">
        <v>971381</v>
      </c>
      <c r="AA18" s="176">
        <v>1029294</v>
      </c>
      <c r="AB18" s="136">
        <v>1051692</v>
      </c>
      <c r="AC18" s="355">
        <v>1064544</v>
      </c>
      <c r="AD18" s="142"/>
      <c r="AE18" s="145"/>
    </row>
    <row r="19" spans="1:31" ht="20.100000000000001" customHeight="1">
      <c r="A19" s="134" t="s">
        <v>142</v>
      </c>
      <c r="B19" s="135">
        <v>6986951</v>
      </c>
      <c r="C19" s="136">
        <v>6977393</v>
      </c>
      <c r="D19" s="136">
        <v>6978772</v>
      </c>
      <c r="E19" s="136">
        <v>6974525</v>
      </c>
      <c r="F19" s="137">
        <f t="shared" ref="F19:F20" si="17">AVERAGE(B19:E19)</f>
        <v>6979410.25</v>
      </c>
      <c r="G19" s="135">
        <v>6965606</v>
      </c>
      <c r="H19" s="136">
        <v>6917102</v>
      </c>
      <c r="I19" s="136">
        <v>6862047</v>
      </c>
      <c r="J19" s="136">
        <v>6801845</v>
      </c>
      <c r="K19" s="137">
        <f t="shared" si="16"/>
        <v>6886650</v>
      </c>
      <c r="L19" s="177">
        <v>6749396</v>
      </c>
      <c r="M19" s="136">
        <v>6670820</v>
      </c>
      <c r="N19" s="138">
        <v>6628199</v>
      </c>
      <c r="O19" s="136">
        <v>6597742</v>
      </c>
      <c r="P19" s="139">
        <v>6661539</v>
      </c>
      <c r="Q19" s="177">
        <v>6570344</v>
      </c>
      <c r="R19" s="136">
        <v>6532488</v>
      </c>
      <c r="S19" s="136">
        <v>6508391</v>
      </c>
      <c r="T19" s="136">
        <v>6502872</v>
      </c>
      <c r="U19" s="139">
        <v>6528524</v>
      </c>
      <c r="V19" s="177">
        <v>6523316</v>
      </c>
      <c r="W19" s="356">
        <v>6546774</v>
      </c>
      <c r="X19" s="356">
        <v>6579908</v>
      </c>
      <c r="Y19" s="136">
        <v>6667869</v>
      </c>
      <c r="Z19" s="139">
        <v>6579467</v>
      </c>
      <c r="AA19" s="177">
        <v>6769379</v>
      </c>
      <c r="AB19" s="136">
        <v>6790804</v>
      </c>
      <c r="AC19" s="356">
        <v>6836282</v>
      </c>
      <c r="AD19" s="136"/>
      <c r="AE19" s="139"/>
    </row>
    <row r="20" spans="1:31" ht="20.100000000000001" customHeight="1">
      <c r="A20" s="134" t="s">
        <v>143</v>
      </c>
      <c r="B20" s="135">
        <v>651733</v>
      </c>
      <c r="C20" s="136">
        <v>664480</v>
      </c>
      <c r="D20" s="136">
        <v>684893</v>
      </c>
      <c r="E20" s="136">
        <v>729867</v>
      </c>
      <c r="F20" s="137">
        <f t="shared" si="17"/>
        <v>682743.25</v>
      </c>
      <c r="G20" s="135">
        <v>788405</v>
      </c>
      <c r="H20" s="136">
        <v>831354</v>
      </c>
      <c r="I20" s="136">
        <v>878396</v>
      </c>
      <c r="J20" s="136">
        <v>947720</v>
      </c>
      <c r="K20" s="137">
        <f t="shared" si="16"/>
        <v>861468.75</v>
      </c>
      <c r="L20" s="177">
        <v>1009353</v>
      </c>
      <c r="M20" s="136">
        <v>1066689</v>
      </c>
      <c r="N20" s="138">
        <v>1195606</v>
      </c>
      <c r="O20" s="136">
        <v>1312679</v>
      </c>
      <c r="P20" s="139">
        <v>1146082</v>
      </c>
      <c r="Q20" s="177">
        <v>1402718</v>
      </c>
      <c r="R20" s="136">
        <v>1460839</v>
      </c>
      <c r="S20" s="136">
        <v>1493790</v>
      </c>
      <c r="T20" s="136">
        <v>1551290</v>
      </c>
      <c r="U20" s="139">
        <v>1477159</v>
      </c>
      <c r="V20" s="177">
        <v>1619742</v>
      </c>
      <c r="W20" s="356">
        <v>1667351</v>
      </c>
      <c r="X20" s="356">
        <v>1706181</v>
      </c>
      <c r="Y20" s="136">
        <v>1738351</v>
      </c>
      <c r="Z20" s="139">
        <v>1682906</v>
      </c>
      <c r="AA20" s="177">
        <v>1762912</v>
      </c>
      <c r="AB20" s="136">
        <v>1770734</v>
      </c>
      <c r="AC20" s="356">
        <v>1774574</v>
      </c>
      <c r="AD20" s="136"/>
      <c r="AE20" s="139"/>
    </row>
    <row r="21" spans="1:31" ht="20.100000000000001" customHeight="1" thickBot="1">
      <c r="A21" s="178" t="s">
        <v>149</v>
      </c>
      <c r="B21" s="179">
        <v>6288609</v>
      </c>
      <c r="C21" s="180">
        <v>6272029</v>
      </c>
      <c r="D21" s="180">
        <v>6271838</v>
      </c>
      <c r="E21" s="180">
        <v>6291791</v>
      </c>
      <c r="F21" s="181">
        <f>AVERAGE(B21:E21)</f>
        <v>6281066.75</v>
      </c>
      <c r="G21" s="182">
        <v>6316275</v>
      </c>
      <c r="H21" s="180">
        <v>6317333</v>
      </c>
      <c r="I21" s="180">
        <v>6293472</v>
      </c>
      <c r="J21" s="180">
        <v>6279979</v>
      </c>
      <c r="K21" s="181">
        <f>AVERAGE(G21:J21)</f>
        <v>6301764.75</v>
      </c>
      <c r="L21" s="182">
        <v>6274951</v>
      </c>
      <c r="M21" s="180">
        <v>6242450</v>
      </c>
      <c r="N21" s="153">
        <v>6201335</v>
      </c>
      <c r="O21" s="180">
        <v>6159902.666666667</v>
      </c>
      <c r="P21" s="183">
        <v>6219660</v>
      </c>
      <c r="Q21" s="182">
        <v>6105250</v>
      </c>
      <c r="R21" s="180">
        <v>6031638</v>
      </c>
      <c r="S21" s="180">
        <v>5960463</v>
      </c>
      <c r="T21" s="180">
        <v>5922397</v>
      </c>
      <c r="U21" s="183">
        <v>6004937</v>
      </c>
      <c r="V21" s="182">
        <v>5902526</v>
      </c>
      <c r="W21" s="180">
        <v>5876458</v>
      </c>
      <c r="X21" s="180">
        <v>5858477</v>
      </c>
      <c r="Y21" s="180">
        <v>5868541</v>
      </c>
      <c r="Z21" s="183">
        <v>5876500</v>
      </c>
      <c r="AA21" s="182">
        <v>5872517</v>
      </c>
      <c r="AB21" s="151">
        <v>5828405</v>
      </c>
      <c r="AC21" s="180">
        <v>5803517</v>
      </c>
      <c r="AD21" s="180"/>
      <c r="AE21" s="183"/>
    </row>
    <row r="22" spans="1:31" ht="20.100000000000001" customHeight="1">
      <c r="A22" s="184" t="s">
        <v>150</v>
      </c>
      <c r="B22" s="185"/>
      <c r="C22" s="186"/>
      <c r="D22" s="186"/>
      <c r="E22" s="186"/>
      <c r="F22" s="187"/>
      <c r="G22" s="188"/>
      <c r="H22" s="189"/>
      <c r="I22" s="189"/>
      <c r="J22" s="189"/>
      <c r="K22" s="187"/>
      <c r="L22" s="188"/>
      <c r="M22" s="190"/>
      <c r="N22" s="190"/>
      <c r="O22" s="189"/>
      <c r="P22" s="187"/>
      <c r="Q22" s="188"/>
      <c r="R22" s="190"/>
      <c r="S22" s="190"/>
      <c r="T22" s="189"/>
      <c r="U22" s="187"/>
      <c r="V22" s="188"/>
      <c r="W22" s="189"/>
      <c r="X22" s="189"/>
      <c r="Y22" s="189"/>
      <c r="Z22" s="187"/>
      <c r="AA22" s="188"/>
      <c r="AB22" s="189"/>
      <c r="AC22" s="189"/>
      <c r="AD22" s="189"/>
      <c r="AE22" s="187"/>
    </row>
    <row r="23" spans="1:31" ht="20.100000000000001" customHeight="1">
      <c r="A23" s="129" t="s">
        <v>139</v>
      </c>
      <c r="B23" s="191" t="s">
        <v>137</v>
      </c>
      <c r="C23" s="192" t="s">
        <v>137</v>
      </c>
      <c r="D23" s="192" t="s">
        <v>137</v>
      </c>
      <c r="E23" s="192" t="s">
        <v>137</v>
      </c>
      <c r="F23" s="133" t="s">
        <v>137</v>
      </c>
      <c r="G23" s="130">
        <f>SUM(G24:G26)</f>
        <v>4548385</v>
      </c>
      <c r="H23" s="131">
        <f t="shared" ref="H23:M23" si="18">SUM(H24:H26)</f>
        <v>4565319</v>
      </c>
      <c r="I23" s="131">
        <f t="shared" si="18"/>
        <v>4719129</v>
      </c>
      <c r="J23" s="131">
        <f t="shared" si="18"/>
        <v>4468527</v>
      </c>
      <c r="K23" s="132">
        <f t="shared" si="18"/>
        <v>4468527</v>
      </c>
      <c r="L23" s="130">
        <f t="shared" si="18"/>
        <v>4350325</v>
      </c>
      <c r="M23" s="131">
        <f t="shared" si="18"/>
        <v>4227128</v>
      </c>
      <c r="N23" s="131">
        <f>SUM(N24:N26)</f>
        <v>4219194</v>
      </c>
      <c r="O23" s="131">
        <f>SUM(O24:O26)</f>
        <v>4134203</v>
      </c>
      <c r="P23" s="133">
        <f>SUM(P24:P26)</f>
        <v>4134203</v>
      </c>
      <c r="Q23" s="130">
        <f t="shared" ref="Q23:U23" si="19">SUM(Q24:Q26)</f>
        <v>4034757</v>
      </c>
      <c r="R23" s="131">
        <f t="shared" si="19"/>
        <v>3972069</v>
      </c>
      <c r="S23" s="131">
        <f t="shared" si="19"/>
        <v>3976807</v>
      </c>
      <c r="T23" s="131">
        <f t="shared" si="19"/>
        <v>3854993</v>
      </c>
      <c r="U23" s="133">
        <f t="shared" si="19"/>
        <v>3854993</v>
      </c>
      <c r="V23" s="130">
        <f t="shared" ref="V23:AC23" si="20">SUM(V24:V26)</f>
        <v>3787667</v>
      </c>
      <c r="W23" s="131">
        <f t="shared" si="20"/>
        <v>3830816</v>
      </c>
      <c r="X23" s="131">
        <f t="shared" si="20"/>
        <v>3527904</v>
      </c>
      <c r="Y23" s="131">
        <f t="shared" si="20"/>
        <v>3270338</v>
      </c>
      <c r="Z23" s="133">
        <f t="shared" si="20"/>
        <v>3270338</v>
      </c>
      <c r="AA23" s="130">
        <f t="shared" si="20"/>
        <v>2879090</v>
      </c>
      <c r="AB23" s="131">
        <f t="shared" si="20"/>
        <v>2854301</v>
      </c>
      <c r="AC23" s="131">
        <f t="shared" si="20"/>
        <v>2880161</v>
      </c>
      <c r="AD23" s="131"/>
      <c r="AE23" s="133"/>
    </row>
    <row r="24" spans="1:31" ht="20.100000000000001" customHeight="1">
      <c r="A24" s="134" t="s">
        <v>151</v>
      </c>
      <c r="B24" s="162" t="s">
        <v>137</v>
      </c>
      <c r="C24" s="163" t="s">
        <v>137</v>
      </c>
      <c r="D24" s="163" t="s">
        <v>137</v>
      </c>
      <c r="E24" s="163" t="s">
        <v>137</v>
      </c>
      <c r="F24" s="139" t="s">
        <v>137</v>
      </c>
      <c r="G24" s="135">
        <v>85574</v>
      </c>
      <c r="H24" s="136">
        <v>81441</v>
      </c>
      <c r="I24" s="136">
        <v>84538</v>
      </c>
      <c r="J24" s="136">
        <v>77771</v>
      </c>
      <c r="K24" s="139">
        <f>J24</f>
        <v>77771</v>
      </c>
      <c r="L24" s="135">
        <v>81619</v>
      </c>
      <c r="M24" s="136">
        <v>66578</v>
      </c>
      <c r="N24" s="138">
        <v>98136</v>
      </c>
      <c r="O24" s="136">
        <v>122787</v>
      </c>
      <c r="P24" s="139">
        <v>122787</v>
      </c>
      <c r="Q24" s="135">
        <v>66163</v>
      </c>
      <c r="R24" s="136">
        <v>41517</v>
      </c>
      <c r="S24" s="136">
        <v>60471</v>
      </c>
      <c r="T24" s="136">
        <v>31972</v>
      </c>
      <c r="U24" s="139">
        <f>T24</f>
        <v>31972</v>
      </c>
      <c r="V24" s="135">
        <v>35754</v>
      </c>
      <c r="W24" s="136">
        <v>73544</v>
      </c>
      <c r="X24" s="136">
        <v>44913</v>
      </c>
      <c r="Y24" s="136">
        <v>79306</v>
      </c>
      <c r="Z24" s="139">
        <f>Y24</f>
        <v>79306</v>
      </c>
      <c r="AA24" s="135">
        <v>48224</v>
      </c>
      <c r="AB24" s="136">
        <v>57183</v>
      </c>
      <c r="AC24" s="136">
        <v>63627</v>
      </c>
      <c r="AD24" s="136"/>
      <c r="AE24" s="139"/>
    </row>
    <row r="25" spans="1:31" ht="20.100000000000001" customHeight="1">
      <c r="A25" s="134" t="s">
        <v>142</v>
      </c>
      <c r="B25" s="162" t="s">
        <v>137</v>
      </c>
      <c r="C25" s="163" t="s">
        <v>137</v>
      </c>
      <c r="D25" s="163" t="s">
        <v>137</v>
      </c>
      <c r="E25" s="163" t="s">
        <v>137</v>
      </c>
      <c r="F25" s="139" t="s">
        <v>137</v>
      </c>
      <c r="G25" s="135">
        <v>4385742</v>
      </c>
      <c r="H25" s="136">
        <v>4379630</v>
      </c>
      <c r="I25" s="136">
        <v>4475541</v>
      </c>
      <c r="J25" s="136">
        <v>4171810</v>
      </c>
      <c r="K25" s="139">
        <f>J25</f>
        <v>4171810</v>
      </c>
      <c r="L25" s="135">
        <v>4042605</v>
      </c>
      <c r="M25" s="136">
        <v>3923778</v>
      </c>
      <c r="N25" s="138">
        <v>3855669</v>
      </c>
      <c r="O25" s="136">
        <v>3792978</v>
      </c>
      <c r="P25" s="139">
        <v>3792978</v>
      </c>
      <c r="Q25" s="135">
        <v>3775976</v>
      </c>
      <c r="R25" s="136">
        <v>3737282</v>
      </c>
      <c r="S25" s="136">
        <v>3685092</v>
      </c>
      <c r="T25" s="136">
        <v>3591736</v>
      </c>
      <c r="U25" s="139">
        <f t="shared" ref="U25:U26" si="21">T25</f>
        <v>3591736</v>
      </c>
      <c r="V25" s="135">
        <v>3495733</v>
      </c>
      <c r="W25" s="136">
        <v>3473228</v>
      </c>
      <c r="X25" s="136">
        <v>3223224</v>
      </c>
      <c r="Y25" s="136">
        <v>2972443</v>
      </c>
      <c r="Z25" s="139">
        <f t="shared" ref="Z25:Z26" si="22">Y25</f>
        <v>2972443</v>
      </c>
      <c r="AA25" s="135">
        <v>2646477</v>
      </c>
      <c r="AB25" s="136">
        <v>2616592</v>
      </c>
      <c r="AC25" s="136">
        <v>2623950</v>
      </c>
      <c r="AD25" s="136"/>
      <c r="AE25" s="139"/>
    </row>
    <row r="26" spans="1:31" ht="20.100000000000001" customHeight="1" thickBot="1">
      <c r="A26" s="134" t="s">
        <v>152</v>
      </c>
      <c r="B26" s="193" t="s">
        <v>137</v>
      </c>
      <c r="C26" s="194" t="s">
        <v>137</v>
      </c>
      <c r="D26" s="194" t="s">
        <v>137</v>
      </c>
      <c r="E26" s="194" t="s">
        <v>137</v>
      </c>
      <c r="F26" s="139" t="s">
        <v>137</v>
      </c>
      <c r="G26" s="135">
        <v>77069</v>
      </c>
      <c r="H26" s="136">
        <v>104248</v>
      </c>
      <c r="I26" s="136">
        <v>159050</v>
      </c>
      <c r="J26" s="136">
        <v>218946</v>
      </c>
      <c r="K26" s="139">
        <f>J26</f>
        <v>218946</v>
      </c>
      <c r="L26" s="135">
        <v>226101</v>
      </c>
      <c r="M26" s="136">
        <v>236772</v>
      </c>
      <c r="N26" s="138">
        <v>265389</v>
      </c>
      <c r="O26" s="136">
        <v>218438</v>
      </c>
      <c r="P26" s="139">
        <v>218438</v>
      </c>
      <c r="Q26" s="135">
        <v>192618</v>
      </c>
      <c r="R26" s="136">
        <v>193270</v>
      </c>
      <c r="S26" s="136">
        <v>231244</v>
      </c>
      <c r="T26" s="136">
        <v>231285</v>
      </c>
      <c r="U26" s="139">
        <f t="shared" si="21"/>
        <v>231285</v>
      </c>
      <c r="V26" s="135">
        <v>256180</v>
      </c>
      <c r="W26" s="136">
        <v>284044</v>
      </c>
      <c r="X26" s="136">
        <v>259767</v>
      </c>
      <c r="Y26" s="136">
        <v>218589</v>
      </c>
      <c r="Z26" s="139">
        <f t="shared" si="22"/>
        <v>218589</v>
      </c>
      <c r="AA26" s="135">
        <v>184389</v>
      </c>
      <c r="AB26" s="136">
        <v>180526</v>
      </c>
      <c r="AC26" s="136">
        <v>192584</v>
      </c>
      <c r="AD26" s="136"/>
      <c r="AE26" s="139"/>
    </row>
    <row r="27" spans="1:31" ht="20.100000000000001" customHeight="1" thickBot="1">
      <c r="A27" s="195" t="s">
        <v>153</v>
      </c>
      <c r="B27" s="196" t="s">
        <v>137</v>
      </c>
      <c r="C27" s="197" t="s">
        <v>137</v>
      </c>
      <c r="D27" s="197" t="s">
        <v>137</v>
      </c>
      <c r="E27" s="197" t="s">
        <v>137</v>
      </c>
      <c r="F27" s="198" t="s">
        <v>137</v>
      </c>
      <c r="G27" s="199">
        <v>18</v>
      </c>
      <c r="H27" s="200">
        <v>19.2</v>
      </c>
      <c r="I27" s="200">
        <v>18.2</v>
      </c>
      <c r="J27" s="200">
        <v>17.5</v>
      </c>
      <c r="K27" s="201">
        <v>18.2</v>
      </c>
      <c r="L27" s="199">
        <v>16.5</v>
      </c>
      <c r="M27" s="200">
        <v>17.899999999999999</v>
      </c>
      <c r="N27" s="202">
        <v>18.3</v>
      </c>
      <c r="O27" s="200">
        <v>18.2</v>
      </c>
      <c r="P27" s="201">
        <v>17.7</v>
      </c>
      <c r="Q27" s="199">
        <v>17.3</v>
      </c>
      <c r="R27" s="200">
        <v>18.3</v>
      </c>
      <c r="S27" s="200">
        <v>19</v>
      </c>
      <c r="T27" s="200">
        <v>18.5</v>
      </c>
      <c r="U27" s="201">
        <v>18.3</v>
      </c>
      <c r="V27" s="199">
        <v>17.7</v>
      </c>
      <c r="W27" s="200">
        <v>18.899999999999999</v>
      </c>
      <c r="X27" s="200">
        <v>18.7</v>
      </c>
      <c r="Y27" s="200">
        <v>19.2</v>
      </c>
      <c r="Z27" s="201">
        <v>18.600000000000001</v>
      </c>
      <c r="AA27" s="199">
        <v>18.7</v>
      </c>
      <c r="AB27" s="200">
        <v>20.5</v>
      </c>
      <c r="AC27" s="200">
        <v>20.2</v>
      </c>
      <c r="AD27" s="200"/>
      <c r="AE27" s="201"/>
    </row>
    <row r="28" spans="1:31" ht="20.100000000000001" customHeight="1">
      <c r="A28" s="203" t="s">
        <v>148</v>
      </c>
      <c r="B28" s="204" t="s">
        <v>137</v>
      </c>
      <c r="C28" s="205" t="s">
        <v>137</v>
      </c>
      <c r="D28" s="205" t="s">
        <v>137</v>
      </c>
      <c r="E28" s="205" t="s">
        <v>137</v>
      </c>
      <c r="F28" s="206" t="s">
        <v>137</v>
      </c>
      <c r="G28" s="174">
        <f>SUM(G29:G31)</f>
        <v>4549031</v>
      </c>
      <c r="H28" s="175">
        <f t="shared" ref="H28:M28" si="23">SUM(H29:H31)</f>
        <v>4532090</v>
      </c>
      <c r="I28" s="175">
        <f t="shared" si="23"/>
        <v>4635182</v>
      </c>
      <c r="J28" s="175">
        <f t="shared" si="23"/>
        <v>4599374</v>
      </c>
      <c r="K28" s="206">
        <f t="shared" si="23"/>
        <v>4578919.25</v>
      </c>
      <c r="L28" s="174">
        <f t="shared" si="23"/>
        <v>4398038</v>
      </c>
      <c r="M28" s="175">
        <f t="shared" si="23"/>
        <v>4285747</v>
      </c>
      <c r="N28" s="175">
        <f>SUM(N29:N31)</f>
        <v>4212274</v>
      </c>
      <c r="O28" s="175">
        <f>SUM(O29:O31)</f>
        <v>4172129</v>
      </c>
      <c r="P28" s="206">
        <f>SUM(P29:P31)</f>
        <v>4267047</v>
      </c>
      <c r="Q28" s="174">
        <f t="shared" ref="Q28:U28" si="24">SUM(Q29:Q31)</f>
        <v>4068646</v>
      </c>
      <c r="R28" s="175">
        <f t="shared" si="24"/>
        <v>4006108</v>
      </c>
      <c r="S28" s="175">
        <f t="shared" si="24"/>
        <v>3970091</v>
      </c>
      <c r="T28" s="175">
        <f t="shared" si="24"/>
        <v>3917979</v>
      </c>
      <c r="U28" s="206">
        <f t="shared" si="24"/>
        <v>3990706</v>
      </c>
      <c r="V28" s="174">
        <f t="shared" ref="V28:AC28" si="25">SUM(V29:V31)</f>
        <v>3801870</v>
      </c>
      <c r="W28" s="175">
        <f t="shared" si="25"/>
        <v>3794613</v>
      </c>
      <c r="X28" s="175">
        <f t="shared" si="25"/>
        <v>3713417</v>
      </c>
      <c r="Y28" s="175">
        <f t="shared" si="25"/>
        <v>3341220</v>
      </c>
      <c r="Z28" s="206">
        <f t="shared" si="25"/>
        <v>3662780</v>
      </c>
      <c r="AA28" s="174">
        <f t="shared" si="25"/>
        <v>3050604</v>
      </c>
      <c r="AB28" s="175">
        <f t="shared" si="25"/>
        <v>2882155</v>
      </c>
      <c r="AC28" s="175">
        <f t="shared" si="25"/>
        <v>2863783</v>
      </c>
      <c r="AD28" s="175"/>
      <c r="AE28" s="206"/>
    </row>
    <row r="29" spans="1:31" ht="20.100000000000001" customHeight="1">
      <c r="A29" s="134" t="s">
        <v>151</v>
      </c>
      <c r="B29" s="162" t="s">
        <v>137</v>
      </c>
      <c r="C29" s="163" t="s">
        <v>137</v>
      </c>
      <c r="D29" s="163" t="s">
        <v>137</v>
      </c>
      <c r="E29" s="163" t="s">
        <v>137</v>
      </c>
      <c r="F29" s="139" t="s">
        <v>137</v>
      </c>
      <c r="G29" s="135">
        <v>78707</v>
      </c>
      <c r="H29" s="136">
        <v>73828</v>
      </c>
      <c r="I29" s="136">
        <v>68740</v>
      </c>
      <c r="J29" s="136">
        <v>77953</v>
      </c>
      <c r="K29" s="139">
        <f>AVERAGE(G29:J29)</f>
        <v>74807</v>
      </c>
      <c r="L29" s="135">
        <v>77779</v>
      </c>
      <c r="M29" s="136">
        <v>79253</v>
      </c>
      <c r="N29" s="138">
        <v>69522</v>
      </c>
      <c r="O29" s="136">
        <v>129021</v>
      </c>
      <c r="P29" s="139">
        <v>88894</v>
      </c>
      <c r="Q29" s="135">
        <v>67972</v>
      </c>
      <c r="R29" s="136">
        <v>61165</v>
      </c>
      <c r="S29" s="136">
        <v>41313</v>
      </c>
      <c r="T29" s="136">
        <v>56743</v>
      </c>
      <c r="U29" s="139">
        <v>56798</v>
      </c>
      <c r="V29" s="135">
        <v>36255</v>
      </c>
      <c r="W29" s="136">
        <v>52114</v>
      </c>
      <c r="X29" s="136">
        <v>42971</v>
      </c>
      <c r="Y29" s="136">
        <v>54083</v>
      </c>
      <c r="Z29" s="139">
        <v>46356</v>
      </c>
      <c r="AA29" s="135">
        <v>48659</v>
      </c>
      <c r="AB29" s="136">
        <v>69132</v>
      </c>
      <c r="AC29" s="136">
        <v>54950</v>
      </c>
      <c r="AD29" s="136"/>
      <c r="AE29" s="139"/>
    </row>
    <row r="30" spans="1:31" ht="20.100000000000001" customHeight="1">
      <c r="A30" s="134" t="s">
        <v>142</v>
      </c>
      <c r="B30" s="162" t="s">
        <v>137</v>
      </c>
      <c r="C30" s="163" t="s">
        <v>137</v>
      </c>
      <c r="D30" s="163" t="s">
        <v>137</v>
      </c>
      <c r="E30" s="163" t="s">
        <v>137</v>
      </c>
      <c r="F30" s="139" t="s">
        <v>137</v>
      </c>
      <c r="G30" s="135">
        <v>4397976</v>
      </c>
      <c r="H30" s="136">
        <v>4370181</v>
      </c>
      <c r="I30" s="136">
        <v>4431149</v>
      </c>
      <c r="J30" s="136">
        <v>4338987</v>
      </c>
      <c r="K30" s="139">
        <f t="shared" ref="K30:K31" si="26">AVERAGE(G30:J30)</f>
        <v>4384573.25</v>
      </c>
      <c r="L30" s="135">
        <v>4091609</v>
      </c>
      <c r="M30" s="136">
        <v>3975410</v>
      </c>
      <c r="N30" s="138">
        <v>3893375</v>
      </c>
      <c r="O30" s="136">
        <v>3798701</v>
      </c>
      <c r="P30" s="139">
        <v>3939774</v>
      </c>
      <c r="Q30" s="135">
        <v>3797423</v>
      </c>
      <c r="R30" s="136">
        <v>3755130</v>
      </c>
      <c r="S30" s="136">
        <v>3713656</v>
      </c>
      <c r="T30" s="136">
        <v>3630863</v>
      </c>
      <c r="U30" s="139">
        <v>3724268</v>
      </c>
      <c r="V30" s="135">
        <v>3529840</v>
      </c>
      <c r="W30" s="136">
        <v>3473104</v>
      </c>
      <c r="X30" s="136">
        <v>3386794</v>
      </c>
      <c r="Y30" s="136">
        <v>3058691</v>
      </c>
      <c r="Z30" s="139">
        <v>3362107</v>
      </c>
      <c r="AA30" s="135">
        <v>2800366</v>
      </c>
      <c r="AB30" s="136">
        <v>2631773</v>
      </c>
      <c r="AC30" s="136">
        <v>2620575</v>
      </c>
      <c r="AD30" s="136"/>
      <c r="AE30" s="139"/>
    </row>
    <row r="31" spans="1:31" ht="20.100000000000001" customHeight="1" thickBot="1">
      <c r="A31" s="207" t="s">
        <v>152</v>
      </c>
      <c r="B31" s="193" t="s">
        <v>137</v>
      </c>
      <c r="C31" s="194" t="s">
        <v>137</v>
      </c>
      <c r="D31" s="194" t="s">
        <v>137</v>
      </c>
      <c r="E31" s="194" t="s">
        <v>137</v>
      </c>
      <c r="F31" s="208" t="s">
        <v>137</v>
      </c>
      <c r="G31" s="209">
        <v>72348</v>
      </c>
      <c r="H31" s="210">
        <v>88081</v>
      </c>
      <c r="I31" s="210">
        <v>135293</v>
      </c>
      <c r="J31" s="210">
        <v>182434</v>
      </c>
      <c r="K31" s="208">
        <f t="shared" si="26"/>
        <v>119539</v>
      </c>
      <c r="L31" s="209">
        <v>228650</v>
      </c>
      <c r="M31" s="210">
        <v>231084</v>
      </c>
      <c r="N31" s="211">
        <v>249377</v>
      </c>
      <c r="O31" s="210">
        <v>244407</v>
      </c>
      <c r="P31" s="208">
        <v>238379</v>
      </c>
      <c r="Q31" s="209">
        <v>203251</v>
      </c>
      <c r="R31" s="210">
        <v>189813</v>
      </c>
      <c r="S31" s="210">
        <v>215122</v>
      </c>
      <c r="T31" s="210">
        <v>230373</v>
      </c>
      <c r="U31" s="208">
        <v>209640</v>
      </c>
      <c r="V31" s="209">
        <v>235775</v>
      </c>
      <c r="W31" s="210">
        <v>269395</v>
      </c>
      <c r="X31" s="210">
        <v>283652</v>
      </c>
      <c r="Y31" s="210">
        <v>228446</v>
      </c>
      <c r="Z31" s="208">
        <v>254317</v>
      </c>
      <c r="AA31" s="209">
        <v>201579</v>
      </c>
      <c r="AB31" s="210">
        <v>181250</v>
      </c>
      <c r="AC31" s="210">
        <v>188258</v>
      </c>
      <c r="AD31" s="210"/>
      <c r="AE31" s="208"/>
    </row>
    <row r="32" spans="1:31" s="212" customFormat="1" ht="20.100000000000001" customHeight="1">
      <c r="A32" s="213"/>
      <c r="R32" s="213"/>
      <c r="S32" s="213"/>
    </row>
    <row r="33" spans="1:31" s="212" customFormat="1" ht="20.100000000000001" customHeight="1">
      <c r="A33" s="214" t="s">
        <v>154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4"/>
      <c r="S33" s="214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</row>
    <row r="34" spans="1:31" s="212" customFormat="1" ht="20.100000000000001" customHeight="1">
      <c r="A34" s="214" t="s">
        <v>155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4"/>
      <c r="S34" s="214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</row>
    <row r="35" spans="1:31" s="212" customFormat="1" ht="20.100000000000001" customHeight="1">
      <c r="A35" s="553" t="s">
        <v>156</v>
      </c>
      <c r="B35" s="552"/>
      <c r="C35" s="552"/>
      <c r="D35" s="552"/>
      <c r="E35" s="552"/>
      <c r="F35" s="552"/>
      <c r="G35" s="552"/>
      <c r="H35" s="552"/>
      <c r="I35" s="552"/>
      <c r="J35" s="215"/>
      <c r="K35" s="215"/>
      <c r="L35" s="215"/>
      <c r="M35" s="215"/>
      <c r="N35" s="215"/>
      <c r="O35" s="215"/>
      <c r="P35" s="215"/>
      <c r="Q35" s="215"/>
      <c r="R35" s="214"/>
      <c r="S35" s="214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</row>
    <row r="36" spans="1:31" s="212" customFormat="1" ht="30" customHeight="1">
      <c r="A36" s="553" t="s">
        <v>157</v>
      </c>
      <c r="B36" s="553"/>
      <c r="C36" s="553"/>
      <c r="D36" s="553"/>
      <c r="E36" s="553"/>
      <c r="F36" s="553"/>
      <c r="G36" s="553"/>
      <c r="H36" s="553"/>
      <c r="I36" s="553"/>
      <c r="J36" s="553"/>
      <c r="K36" s="553"/>
      <c r="L36" s="553"/>
      <c r="M36" s="553"/>
      <c r="N36" s="553"/>
      <c r="O36" s="553"/>
      <c r="P36" s="553"/>
      <c r="Q36" s="553"/>
      <c r="R36" s="553"/>
      <c r="S36" s="553"/>
      <c r="T36" s="213"/>
      <c r="Y36" s="213"/>
      <c r="AD36" s="213"/>
    </row>
    <row r="37" spans="1:31" s="212" customFormat="1" ht="20.100000000000001" customHeight="1">
      <c r="A37" s="552" t="s">
        <v>158</v>
      </c>
      <c r="B37" s="552"/>
      <c r="C37" s="552"/>
      <c r="D37" s="552"/>
      <c r="E37" s="552"/>
      <c r="F37" s="552"/>
      <c r="G37" s="552"/>
      <c r="H37" s="552"/>
      <c r="I37" s="552"/>
      <c r="J37" s="552"/>
      <c r="K37" s="552"/>
      <c r="L37" s="552"/>
      <c r="M37" s="552"/>
      <c r="N37" s="215"/>
      <c r="O37" s="215"/>
      <c r="P37" s="215"/>
      <c r="Q37" s="215"/>
      <c r="R37" s="214"/>
      <c r="S37" s="214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</row>
    <row r="38" spans="1:31" s="212" customFormat="1" ht="20.100000000000001" customHeight="1">
      <c r="A38" s="213"/>
      <c r="R38" s="213"/>
      <c r="S38" s="213"/>
    </row>
    <row r="39" spans="1:31" ht="20.100000000000001" customHeight="1"/>
    <row r="40" spans="1:31" ht="20.100000000000001" customHeight="1"/>
    <row r="41" spans="1:31" ht="20.100000000000001" customHeight="1"/>
    <row r="42" spans="1:31" ht="20.100000000000001" customHeight="1"/>
    <row r="43" spans="1:31" ht="20.100000000000001" customHeight="1"/>
    <row r="44" spans="1:31" ht="20.100000000000001" customHeight="1"/>
    <row r="45" spans="1:31" ht="20.100000000000001" customHeight="1"/>
    <row r="46" spans="1:31" ht="20.100000000000001" customHeight="1"/>
    <row r="47" spans="1:31" ht="20.100000000000001" customHeight="1"/>
    <row r="48" spans="1:31" ht="20.100000000000001" customHeight="1"/>
    <row r="49" spans="2:36" ht="20.100000000000001" customHeight="1"/>
    <row r="50" spans="2:36" s="1" customFormat="1" ht="20.100000000000001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4"/>
      <c r="S50" s="4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13"/>
      <c r="AG50" s="213"/>
      <c r="AH50" s="213"/>
      <c r="AI50" s="213"/>
      <c r="AJ50" s="213"/>
    </row>
    <row r="51" spans="2:36" s="1" customFormat="1" ht="20.100000000000001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4"/>
      <c r="S51" s="4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13"/>
      <c r="AG51" s="213"/>
      <c r="AH51" s="213"/>
      <c r="AI51" s="213"/>
      <c r="AJ51" s="213"/>
    </row>
    <row r="52" spans="2:36" s="1" customFormat="1" ht="20.100000000000001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4"/>
      <c r="S52" s="4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13"/>
      <c r="AG52" s="213"/>
      <c r="AH52" s="213"/>
      <c r="AI52" s="213"/>
      <c r="AJ52" s="213"/>
    </row>
    <row r="53" spans="2:36" s="1" customFormat="1" ht="20.100000000000001" customHeigh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4"/>
      <c r="S53" s="4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13"/>
      <c r="AG53" s="213"/>
      <c r="AH53" s="213"/>
      <c r="AI53" s="213"/>
      <c r="AJ53" s="213"/>
    </row>
    <row r="54" spans="2:36" s="1" customFormat="1" ht="20.100000000000001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4"/>
      <c r="S54" s="4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13"/>
      <c r="AG54" s="213"/>
      <c r="AH54" s="213"/>
      <c r="AI54" s="213"/>
      <c r="AJ54" s="213"/>
    </row>
    <row r="55" spans="2:36" s="1" customFormat="1" ht="20.100000000000001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4"/>
      <c r="S55" s="4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13"/>
      <c r="AG55" s="213"/>
      <c r="AH55" s="213"/>
      <c r="AI55" s="213"/>
      <c r="AJ55" s="213"/>
    </row>
  </sheetData>
  <mergeCells count="17">
    <mergeCell ref="AA3:AD3"/>
    <mergeCell ref="AE3:AE4"/>
    <mergeCell ref="Z3:Z4"/>
    <mergeCell ref="V3:Y3"/>
    <mergeCell ref="A37:M37"/>
    <mergeCell ref="A36:S36"/>
    <mergeCell ref="U3:U4"/>
    <mergeCell ref="Q3:T3"/>
    <mergeCell ref="P3:P4"/>
    <mergeCell ref="A35:I35"/>
    <mergeCell ref="A2:N2"/>
    <mergeCell ref="A3:A4"/>
    <mergeCell ref="B3:E3"/>
    <mergeCell ref="F3:F4"/>
    <mergeCell ref="G3:J3"/>
    <mergeCell ref="K3:K4"/>
    <mergeCell ref="L3:O3"/>
  </mergeCells>
  <pageMargins left="0.7" right="0.7" top="0.75" bottom="0.75" header="0.3" footer="0.3"/>
  <pageSetup paperSize="9" scale="53" orientation="landscape" horizontalDpi="4294967294" r:id="rId1"/>
  <ignoredErrors>
    <ignoredError sqref="F7 K7" formula="1"/>
    <ignoredError sqref="L23:T23 G23:J23 V23:Y23 AA23:AC2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showGridLines="0" zoomScale="85" zoomScaleNormal="85" workbookViewId="0">
      <selection activeCell="G33" sqref="G33"/>
    </sheetView>
  </sheetViews>
  <sheetFormatPr defaultRowHeight="14.25"/>
  <cols>
    <col min="1" max="1" width="1.625" style="16" customWidth="1"/>
    <col min="2" max="2" width="30.75" customWidth="1"/>
    <col min="3" max="8" width="12.625" customWidth="1"/>
    <col min="9" max="13" width="9" style="16"/>
  </cols>
  <sheetData>
    <row r="1" spans="2:9" s="16" customFormat="1" ht="50.25" customHeight="1" thickBot="1">
      <c r="B1" s="3" t="s">
        <v>101</v>
      </c>
    </row>
    <row r="2" spans="2:9" ht="20.25" customHeight="1" thickBot="1">
      <c r="B2" s="557" t="s">
        <v>109</v>
      </c>
      <c r="C2" s="531" t="s">
        <v>250</v>
      </c>
      <c r="D2" s="532"/>
      <c r="E2" s="533"/>
      <c r="F2" s="531" t="s">
        <v>251</v>
      </c>
      <c r="G2" s="532"/>
      <c r="H2" s="533"/>
    </row>
    <row r="3" spans="2:9" ht="20.25" customHeight="1" thickBot="1">
      <c r="B3" s="558"/>
      <c r="C3" s="239">
        <v>2017</v>
      </c>
      <c r="D3" s="240">
        <v>2016</v>
      </c>
      <c r="E3" s="241" t="s">
        <v>225</v>
      </c>
      <c r="F3" s="239">
        <v>2017</v>
      </c>
      <c r="G3" s="240">
        <v>2016</v>
      </c>
      <c r="H3" s="241" t="s">
        <v>225</v>
      </c>
      <c r="I3" s="216"/>
    </row>
    <row r="4" spans="2:9" ht="25.5" customHeight="1">
      <c r="B4" s="217" t="s">
        <v>159</v>
      </c>
      <c r="C4" s="218">
        <f>C5+C6</f>
        <v>0.24430000000000002</v>
      </c>
      <c r="D4" s="221">
        <f>D5+D6</f>
        <v>0.245</v>
      </c>
      <c r="E4" s="503">
        <f>IFERROR((C4-D4)*100,"n/d")</f>
        <v>-6.9999999999997842E-2</v>
      </c>
      <c r="F4" s="218">
        <f t="shared" ref="F4:G4" si="0">F5+F6</f>
        <v>0.24480000000000002</v>
      </c>
      <c r="G4" s="221">
        <f t="shared" si="0"/>
        <v>0.24679999999999999</v>
      </c>
      <c r="H4" s="503">
        <f t="shared" ref="H4:H32" si="1">IFERROR((F4-G4)*100,"n/d")</f>
        <v>-0.1999999999999974</v>
      </c>
      <c r="I4" s="216"/>
    </row>
    <row r="5" spans="2:9" ht="25.5" customHeight="1">
      <c r="B5" s="219" t="s">
        <v>160</v>
      </c>
      <c r="C5" s="220">
        <v>0.1196</v>
      </c>
      <c r="D5" s="221">
        <v>0.12909999999999999</v>
      </c>
      <c r="E5" s="504">
        <f t="shared" ref="E5:E32" si="2">IFERROR((C5-D5)*100,"n/d")</f>
        <v>-0.94999999999999951</v>
      </c>
      <c r="F5" s="220">
        <v>0.1245</v>
      </c>
      <c r="G5" s="221">
        <v>0.13089999999999999</v>
      </c>
      <c r="H5" s="504">
        <f t="shared" si="1"/>
        <v>-0.6399999999999989</v>
      </c>
      <c r="I5" s="216"/>
    </row>
    <row r="6" spans="2:9" ht="25.5" customHeight="1">
      <c r="B6" s="219" t="s">
        <v>224</v>
      </c>
      <c r="C6" s="220">
        <v>0.12470000000000001</v>
      </c>
      <c r="D6" s="221">
        <v>0.1159</v>
      </c>
      <c r="E6" s="504">
        <f t="shared" si="2"/>
        <v>0.88000000000000023</v>
      </c>
      <c r="F6" s="220">
        <v>0.1203</v>
      </c>
      <c r="G6" s="221">
        <v>0.1159</v>
      </c>
      <c r="H6" s="504">
        <f t="shared" si="1"/>
        <v>0.44000000000000011</v>
      </c>
      <c r="I6" s="216"/>
    </row>
    <row r="7" spans="2:9" ht="18" customHeight="1">
      <c r="B7" s="502" t="s">
        <v>180</v>
      </c>
      <c r="C7" s="222">
        <v>3.8899999999999997E-2</v>
      </c>
      <c r="D7" s="223">
        <v>3.2899999999999999E-2</v>
      </c>
      <c r="E7" s="505">
        <f t="shared" si="2"/>
        <v>0.59999999999999987</v>
      </c>
      <c r="F7" s="222">
        <v>3.9899999999999998E-2</v>
      </c>
      <c r="G7" s="223">
        <v>3.5299999999999998E-2</v>
      </c>
      <c r="H7" s="505">
        <f t="shared" si="1"/>
        <v>0.45999999999999996</v>
      </c>
      <c r="I7" s="216"/>
    </row>
    <row r="8" spans="2:9" ht="18" customHeight="1">
      <c r="B8" s="502" t="s">
        <v>181</v>
      </c>
      <c r="C8" s="222">
        <v>1.5599999999999999E-2</v>
      </c>
      <c r="D8" s="223">
        <v>1.72E-2</v>
      </c>
      <c r="E8" s="505">
        <f t="shared" si="2"/>
        <v>-0.16000000000000009</v>
      </c>
      <c r="F8" s="222">
        <v>1.6E-2</v>
      </c>
      <c r="G8" s="223">
        <v>1.7500000000000002E-2</v>
      </c>
      <c r="H8" s="505">
        <f t="shared" si="1"/>
        <v>-0.15000000000000013</v>
      </c>
      <c r="I8" s="216"/>
    </row>
    <row r="9" spans="2:9" ht="18" customHeight="1">
      <c r="B9" s="502" t="s">
        <v>182</v>
      </c>
      <c r="C9" s="222">
        <v>1.4999999999999999E-2</v>
      </c>
      <c r="D9" s="223">
        <v>1.6199999999999999E-2</v>
      </c>
      <c r="E9" s="505">
        <f t="shared" si="2"/>
        <v>-0.11999999999999997</v>
      </c>
      <c r="F9" s="222">
        <v>1.4200000000000001E-2</v>
      </c>
      <c r="G9" s="223">
        <v>1.4500000000000001E-2</v>
      </c>
      <c r="H9" s="505">
        <f t="shared" si="1"/>
        <v>-2.9999999999999992E-2</v>
      </c>
      <c r="I9" s="216"/>
    </row>
    <row r="10" spans="2:9" ht="18" customHeight="1">
      <c r="B10" s="502" t="s">
        <v>226</v>
      </c>
      <c r="C10" s="222">
        <v>9.7000000000000003E-3</v>
      </c>
      <c r="D10" s="515">
        <v>0</v>
      </c>
      <c r="E10" s="505">
        <f t="shared" si="2"/>
        <v>0.97</v>
      </c>
      <c r="F10" s="222">
        <v>3.7000000000000002E-3</v>
      </c>
      <c r="G10" s="515">
        <v>0</v>
      </c>
      <c r="H10" s="505">
        <f t="shared" si="1"/>
        <v>0.37</v>
      </c>
      <c r="I10" s="216"/>
    </row>
    <row r="11" spans="2:9" ht="18" customHeight="1">
      <c r="B11" s="502" t="s">
        <v>164</v>
      </c>
      <c r="C11" s="222">
        <v>7.7000000000000002E-3</v>
      </c>
      <c r="D11" s="223">
        <v>7.7000000000000002E-3</v>
      </c>
      <c r="E11" s="505">
        <f t="shared" si="2"/>
        <v>0</v>
      </c>
      <c r="F11" s="222">
        <v>7.7000000000000002E-3</v>
      </c>
      <c r="G11" s="223">
        <v>7.9000000000000008E-3</v>
      </c>
      <c r="H11" s="505">
        <f t="shared" si="1"/>
        <v>-2.0000000000000052E-2</v>
      </c>
      <c r="I11" s="216"/>
    </row>
    <row r="12" spans="2:9" ht="18" customHeight="1">
      <c r="B12" s="502" t="s">
        <v>161</v>
      </c>
      <c r="C12" s="222">
        <v>8.9999999999999993E-3</v>
      </c>
      <c r="D12" s="223">
        <v>9.2999999999999992E-3</v>
      </c>
      <c r="E12" s="505">
        <f t="shared" si="2"/>
        <v>-2.9999999999999992E-2</v>
      </c>
      <c r="F12" s="222">
        <v>7.7999999999999996E-3</v>
      </c>
      <c r="G12" s="223">
        <v>8.0000000000000002E-3</v>
      </c>
      <c r="H12" s="505">
        <f t="shared" si="1"/>
        <v>-2.0000000000000052E-2</v>
      </c>
      <c r="I12" s="216"/>
    </row>
    <row r="13" spans="2:9" ht="18" customHeight="1">
      <c r="B13" s="502" t="s">
        <v>166</v>
      </c>
      <c r="C13" s="222">
        <v>6.3E-3</v>
      </c>
      <c r="D13" s="223">
        <v>6.7000000000000002E-3</v>
      </c>
      <c r="E13" s="505">
        <f t="shared" si="2"/>
        <v>-4.0000000000000022E-2</v>
      </c>
      <c r="F13" s="222">
        <v>5.8999999999999999E-3</v>
      </c>
      <c r="G13" s="223">
        <v>6.7999999999999996E-3</v>
      </c>
      <c r="H13" s="505">
        <f t="shared" si="1"/>
        <v>-8.9999999999999969E-2</v>
      </c>
      <c r="I13" s="216"/>
    </row>
    <row r="14" spans="2:9" ht="18" customHeight="1">
      <c r="B14" s="502" t="s">
        <v>165</v>
      </c>
      <c r="C14" s="222">
        <v>4.1999999999999997E-3</v>
      </c>
      <c r="D14" s="223">
        <v>4.5999999999999999E-3</v>
      </c>
      <c r="E14" s="505">
        <f t="shared" si="2"/>
        <v>-4.0000000000000022E-2</v>
      </c>
      <c r="F14" s="222">
        <v>4.1999999999999997E-3</v>
      </c>
      <c r="G14" s="223">
        <v>3.8E-3</v>
      </c>
      <c r="H14" s="505">
        <f t="shared" si="1"/>
        <v>3.9999999999999973E-2</v>
      </c>
      <c r="I14" s="216"/>
    </row>
    <row r="15" spans="2:9" ht="18" customHeight="1">
      <c r="B15" s="502" t="s">
        <v>162</v>
      </c>
      <c r="C15" s="222">
        <v>4.4999999999999997E-3</v>
      </c>
      <c r="D15" s="223">
        <v>3.5999999999999999E-3</v>
      </c>
      <c r="E15" s="505">
        <f t="shared" si="2"/>
        <v>8.9999999999999969E-2</v>
      </c>
      <c r="F15" s="222">
        <v>3.7000000000000002E-3</v>
      </c>
      <c r="G15" s="223">
        <v>4.8999999999999998E-3</v>
      </c>
      <c r="H15" s="505">
        <f t="shared" si="1"/>
        <v>-0.11999999999999997</v>
      </c>
      <c r="I15" s="216"/>
    </row>
    <row r="16" spans="2:9" ht="18" customHeight="1">
      <c r="B16" s="502" t="s">
        <v>184</v>
      </c>
      <c r="C16" s="222">
        <v>2.5000000000000001E-3</v>
      </c>
      <c r="D16" s="223">
        <v>3.2000000000000002E-3</v>
      </c>
      <c r="E16" s="505">
        <f t="shared" si="2"/>
        <v>-7.0000000000000007E-2</v>
      </c>
      <c r="F16" s="222">
        <v>2.0999999999999999E-3</v>
      </c>
      <c r="G16" s="223">
        <v>2.7000000000000001E-3</v>
      </c>
      <c r="H16" s="505">
        <f t="shared" si="1"/>
        <v>-6.0000000000000026E-2</v>
      </c>
      <c r="I16" s="216"/>
    </row>
    <row r="17" spans="2:9" ht="18" customHeight="1">
      <c r="B17" s="502" t="s">
        <v>167</v>
      </c>
      <c r="C17" s="222">
        <v>2.3E-3</v>
      </c>
      <c r="D17" s="223">
        <v>1.6999999999999999E-3</v>
      </c>
      <c r="E17" s="505">
        <f t="shared" si="2"/>
        <v>6.0000000000000005E-2</v>
      </c>
      <c r="F17" s="222">
        <v>1.8E-3</v>
      </c>
      <c r="G17" s="223">
        <v>1.4E-3</v>
      </c>
      <c r="H17" s="505">
        <f t="shared" si="1"/>
        <v>3.9999999999999994E-2</v>
      </c>
      <c r="I17" s="216"/>
    </row>
    <row r="18" spans="2:9" ht="18" customHeight="1">
      <c r="B18" s="502" t="s">
        <v>183</v>
      </c>
      <c r="C18" s="222">
        <v>1.5E-3</v>
      </c>
      <c r="D18" s="223">
        <v>2.2000000000000001E-3</v>
      </c>
      <c r="E18" s="505">
        <f t="shared" si="2"/>
        <v>-7.0000000000000007E-2</v>
      </c>
      <c r="F18" s="222">
        <v>1.6000000000000001E-3</v>
      </c>
      <c r="G18" s="223">
        <v>2.3E-3</v>
      </c>
      <c r="H18" s="505">
        <f t="shared" si="1"/>
        <v>-6.9999999999999993E-2</v>
      </c>
      <c r="I18" s="216"/>
    </row>
    <row r="19" spans="2:9" ht="18" customHeight="1">
      <c r="B19" s="502" t="s">
        <v>168</v>
      </c>
      <c r="C19" s="222">
        <v>1.5E-3</v>
      </c>
      <c r="D19" s="223">
        <v>1.6000000000000001E-3</v>
      </c>
      <c r="E19" s="505">
        <f t="shared" si="2"/>
        <v>-1.0000000000000005E-2</v>
      </c>
      <c r="F19" s="222">
        <v>1.5E-3</v>
      </c>
      <c r="G19" s="223">
        <v>1.2999999999999999E-3</v>
      </c>
      <c r="H19" s="505">
        <f t="shared" si="1"/>
        <v>2.0000000000000011E-2</v>
      </c>
      <c r="I19" s="216"/>
    </row>
    <row r="20" spans="2:9" ht="18" customHeight="1">
      <c r="B20" s="502" t="s">
        <v>185</v>
      </c>
      <c r="C20" s="222">
        <v>8.0000000000000004E-4</v>
      </c>
      <c r="D20" s="223">
        <v>1.2999999999999999E-3</v>
      </c>
      <c r="E20" s="505">
        <f t="shared" si="2"/>
        <v>-4.9999999999999989E-2</v>
      </c>
      <c r="F20" s="222">
        <v>1.1000000000000001E-3</v>
      </c>
      <c r="G20" s="223">
        <v>1E-3</v>
      </c>
      <c r="H20" s="505">
        <f t="shared" si="1"/>
        <v>1.0000000000000005E-2</v>
      </c>
      <c r="I20" s="216"/>
    </row>
    <row r="21" spans="2:9" ht="18" customHeight="1">
      <c r="B21" s="502" t="s">
        <v>170</v>
      </c>
      <c r="C21" s="222">
        <v>1.4E-3</v>
      </c>
      <c r="D21" s="223">
        <v>1.6999999999999999E-3</v>
      </c>
      <c r="E21" s="505">
        <f t="shared" si="2"/>
        <v>-2.9999999999999992E-2</v>
      </c>
      <c r="F21" s="222">
        <v>1.1999999999999999E-3</v>
      </c>
      <c r="G21" s="223">
        <v>1.6000000000000001E-3</v>
      </c>
      <c r="H21" s="505">
        <f t="shared" si="1"/>
        <v>-4.0000000000000022E-2</v>
      </c>
      <c r="I21" s="216"/>
    </row>
    <row r="22" spans="2:9" ht="18" customHeight="1">
      <c r="B22" s="502" t="s">
        <v>163</v>
      </c>
      <c r="C22" s="222">
        <v>1.2999999999999999E-3</v>
      </c>
      <c r="D22" s="223">
        <v>6.9999999999999999E-4</v>
      </c>
      <c r="E22" s="505">
        <f t="shared" si="2"/>
        <v>0.06</v>
      </c>
      <c r="F22" s="222">
        <v>1E-3</v>
      </c>
      <c r="G22" s="223">
        <v>8.9999999999999998E-4</v>
      </c>
      <c r="H22" s="505">
        <f t="shared" si="1"/>
        <v>1.0000000000000005E-2</v>
      </c>
      <c r="I22" s="216"/>
    </row>
    <row r="23" spans="2:9" ht="18" customHeight="1">
      <c r="B23" s="502" t="s">
        <v>186</v>
      </c>
      <c r="C23" s="222">
        <v>5.0000000000000001E-4</v>
      </c>
      <c r="D23" s="223">
        <v>8.0000000000000004E-4</v>
      </c>
      <c r="E23" s="505">
        <f t="shared" si="2"/>
        <v>-3.0000000000000002E-2</v>
      </c>
      <c r="F23" s="222">
        <v>8.0000000000000004E-4</v>
      </c>
      <c r="G23" s="223">
        <v>8.0000000000000004E-4</v>
      </c>
      <c r="H23" s="505">
        <f t="shared" si="1"/>
        <v>0</v>
      </c>
      <c r="I23" s="216"/>
    </row>
    <row r="24" spans="2:9" ht="18" customHeight="1">
      <c r="B24" s="502" t="s">
        <v>227</v>
      </c>
      <c r="C24" s="222">
        <v>5.9999999999999995E-4</v>
      </c>
      <c r="D24" s="223">
        <v>2.9999999999999997E-4</v>
      </c>
      <c r="E24" s="505">
        <f t="shared" si="2"/>
        <v>0.03</v>
      </c>
      <c r="F24" s="222">
        <v>4.0000000000000002E-4</v>
      </c>
      <c r="G24" s="223">
        <v>2.0000000000000001E-4</v>
      </c>
      <c r="H24" s="505">
        <f t="shared" si="1"/>
        <v>0.02</v>
      </c>
      <c r="I24" s="216"/>
    </row>
    <row r="25" spans="2:9" ht="18" customHeight="1">
      <c r="B25" s="502" t="s">
        <v>228</v>
      </c>
      <c r="C25" s="222">
        <v>5.9999999999999995E-4</v>
      </c>
      <c r="D25" s="515">
        <v>0</v>
      </c>
      <c r="E25" s="505">
        <f t="shared" si="2"/>
        <v>0.06</v>
      </c>
      <c r="F25" s="222">
        <v>4.0000000000000002E-4</v>
      </c>
      <c r="G25" s="515">
        <v>0</v>
      </c>
      <c r="H25" s="505">
        <f t="shared" si="1"/>
        <v>0.04</v>
      </c>
      <c r="I25" s="216"/>
    </row>
    <row r="26" spans="2:9" ht="18" customHeight="1">
      <c r="B26" s="502" t="s">
        <v>229</v>
      </c>
      <c r="C26" s="222">
        <v>4.0000000000000002E-4</v>
      </c>
      <c r="D26" s="515">
        <v>0</v>
      </c>
      <c r="E26" s="505">
        <f t="shared" si="2"/>
        <v>0.04</v>
      </c>
      <c r="F26" s="222">
        <v>4.0000000000000002E-4</v>
      </c>
      <c r="G26" s="515">
        <v>0</v>
      </c>
      <c r="H26" s="505">
        <f t="shared" si="1"/>
        <v>0.04</v>
      </c>
      <c r="I26" s="216"/>
    </row>
    <row r="27" spans="2:9" ht="18" customHeight="1">
      <c r="B27" s="502" t="s">
        <v>230</v>
      </c>
      <c r="C27" s="222">
        <v>4.0000000000000002E-4</v>
      </c>
      <c r="D27" s="515">
        <v>0</v>
      </c>
      <c r="E27" s="505">
        <f t="shared" si="2"/>
        <v>0.04</v>
      </c>
      <c r="F27" s="222">
        <v>2.9999999999999997E-4</v>
      </c>
      <c r="G27" s="515">
        <v>0</v>
      </c>
      <c r="H27" s="505">
        <f t="shared" si="1"/>
        <v>0.03</v>
      </c>
      <c r="I27" s="216"/>
    </row>
    <row r="28" spans="2:9" ht="18" customHeight="1">
      <c r="B28" s="502" t="s">
        <v>169</v>
      </c>
      <c r="C28" s="222">
        <v>2.0000000000000001E-4</v>
      </c>
      <c r="D28" s="363">
        <v>2.9999999999999997E-4</v>
      </c>
      <c r="E28" s="505">
        <f t="shared" si="2"/>
        <v>-9.9999999999999967E-3</v>
      </c>
      <c r="F28" s="222">
        <v>2.0000000000000001E-4</v>
      </c>
      <c r="G28" s="363">
        <v>2.9999999999999997E-4</v>
      </c>
      <c r="H28" s="505">
        <f t="shared" si="1"/>
        <v>-9.9999999999999967E-3</v>
      </c>
      <c r="I28" s="216"/>
    </row>
    <row r="29" spans="2:9" ht="18" customHeight="1">
      <c r="B29" s="502" t="s">
        <v>231</v>
      </c>
      <c r="C29" s="516">
        <v>0</v>
      </c>
      <c r="D29" s="223">
        <v>2.8999999999999998E-3</v>
      </c>
      <c r="E29" s="505">
        <f t="shared" si="2"/>
        <v>-0.28999999999999998</v>
      </c>
      <c r="F29" s="516">
        <v>0</v>
      </c>
      <c r="G29" s="223">
        <v>3.7000000000000002E-3</v>
      </c>
      <c r="H29" s="505">
        <f t="shared" si="1"/>
        <v>-0.37</v>
      </c>
      <c r="I29" s="216"/>
    </row>
    <row r="30" spans="2:9" ht="18" customHeight="1">
      <c r="B30" s="502" t="s">
        <v>232</v>
      </c>
      <c r="C30" s="516">
        <v>0</v>
      </c>
      <c r="D30" s="223">
        <v>1E-3</v>
      </c>
      <c r="E30" s="505">
        <f t="shared" si="2"/>
        <v>-0.1</v>
      </c>
      <c r="F30" s="516">
        <v>0</v>
      </c>
      <c r="G30" s="223">
        <v>1E-3</v>
      </c>
      <c r="H30" s="505">
        <f t="shared" si="1"/>
        <v>-0.1</v>
      </c>
      <c r="I30" s="216"/>
    </row>
    <row r="31" spans="2:9" ht="18" customHeight="1" thickBot="1">
      <c r="B31" s="502" t="s">
        <v>233</v>
      </c>
      <c r="C31" s="513" t="s">
        <v>137</v>
      </c>
      <c r="D31" s="514" t="s">
        <v>137</v>
      </c>
      <c r="E31" s="505" t="str">
        <f t="shared" si="2"/>
        <v>n/d</v>
      </c>
      <c r="F31" s="435" t="s">
        <v>137</v>
      </c>
      <c r="G31" s="436" t="s">
        <v>137</v>
      </c>
      <c r="H31" s="505" t="str">
        <f t="shared" si="1"/>
        <v>n/d</v>
      </c>
      <c r="I31" s="216"/>
    </row>
    <row r="32" spans="2:9" s="509" customFormat="1" ht="30" customHeight="1" thickBot="1">
      <c r="B32" s="517" t="s">
        <v>234</v>
      </c>
      <c r="C32" s="518">
        <v>0.28599999999999998</v>
      </c>
      <c r="D32" s="519">
        <v>0.27300000000000002</v>
      </c>
      <c r="E32" s="520">
        <f t="shared" si="2"/>
        <v>1.2999999999999956</v>
      </c>
      <c r="F32" s="518">
        <v>0.27200000000000002</v>
      </c>
      <c r="G32" s="519">
        <v>0.26600000000000001</v>
      </c>
      <c r="H32" s="520">
        <f t="shared" si="1"/>
        <v>0.60000000000000053</v>
      </c>
      <c r="I32" s="510"/>
    </row>
    <row r="33" spans="2:9" s="16" customFormat="1" ht="10.5" customHeight="1">
      <c r="I33" s="216"/>
    </row>
    <row r="34" spans="2:9" s="16" customFormat="1" ht="148.5" customHeight="1">
      <c r="B34" s="554" t="s">
        <v>252</v>
      </c>
      <c r="C34" s="554"/>
      <c r="D34" s="554"/>
      <c r="E34" s="554"/>
      <c r="F34" s="554"/>
      <c r="G34" s="554"/>
      <c r="H34" s="554"/>
      <c r="I34" s="216"/>
    </row>
    <row r="35" spans="2:9" s="16" customFormat="1" ht="14.25" customHeight="1">
      <c r="B35" s="224"/>
    </row>
    <row r="36" spans="2:9" s="16" customFormat="1" ht="15" thickBot="1"/>
    <row r="37" spans="2:9" ht="20.25" customHeight="1" thickBot="1">
      <c r="B37" s="559" t="s">
        <v>171</v>
      </c>
      <c r="C37" s="531" t="s">
        <v>250</v>
      </c>
      <c r="D37" s="532"/>
      <c r="E37" s="533"/>
      <c r="F37" s="531" t="s">
        <v>251</v>
      </c>
      <c r="G37" s="532"/>
      <c r="H37" s="533"/>
    </row>
    <row r="38" spans="2:9" ht="20.25" customHeight="1" thickBot="1">
      <c r="B38" s="560"/>
      <c r="C38" s="239">
        <v>2017</v>
      </c>
      <c r="D38" s="240">
        <v>2016</v>
      </c>
      <c r="E38" s="241" t="s">
        <v>225</v>
      </c>
      <c r="F38" s="239">
        <v>2017</v>
      </c>
      <c r="G38" s="240">
        <v>2016</v>
      </c>
      <c r="H38" s="241" t="s">
        <v>225</v>
      </c>
    </row>
    <row r="39" spans="2:9" ht="18" customHeight="1">
      <c r="B39" s="317" t="s">
        <v>172</v>
      </c>
      <c r="C39" s="319">
        <v>1</v>
      </c>
      <c r="D39" s="243">
        <v>0.999</v>
      </c>
      <c r="E39" s="507">
        <f>IFERROR((C39-D39)*100,"n/d")</f>
        <v>0.10000000000000009</v>
      </c>
      <c r="F39" s="319">
        <v>1</v>
      </c>
      <c r="G39" s="243">
        <v>0.999</v>
      </c>
      <c r="H39" s="507">
        <f t="shared" ref="H39:H64" si="3">IFERROR((F39-G39)*100,"n/d")</f>
        <v>0.10000000000000009</v>
      </c>
    </row>
    <row r="40" spans="2:9" ht="18" customHeight="1">
      <c r="B40" s="318" t="s">
        <v>180</v>
      </c>
      <c r="C40" s="319">
        <v>1</v>
      </c>
      <c r="D40" s="243">
        <v>0.998</v>
      </c>
      <c r="E40" s="507">
        <f t="shared" ref="E40:E64" si="4">IFERROR((C40-D40)*100,"n/d")</f>
        <v>0.20000000000000018</v>
      </c>
      <c r="F40" s="319">
        <v>0.999</v>
      </c>
      <c r="G40" s="243">
        <v>0.999</v>
      </c>
      <c r="H40" s="507">
        <f t="shared" si="3"/>
        <v>0</v>
      </c>
    </row>
    <row r="41" spans="2:9" ht="18" customHeight="1">
      <c r="B41" s="506" t="s">
        <v>221</v>
      </c>
      <c r="C41" s="319">
        <v>0.96799999999999997</v>
      </c>
      <c r="D41" s="515">
        <v>0</v>
      </c>
      <c r="E41" s="507">
        <f t="shared" si="4"/>
        <v>96.8</v>
      </c>
      <c r="F41" s="319">
        <v>0.96399999999999997</v>
      </c>
      <c r="G41" s="515">
        <v>0</v>
      </c>
      <c r="H41" s="507">
        <f t="shared" si="3"/>
        <v>96.399999999999991</v>
      </c>
    </row>
    <row r="42" spans="2:9" ht="18" customHeight="1">
      <c r="B42" s="318" t="s">
        <v>181</v>
      </c>
      <c r="C42" s="319">
        <v>0.95599999999999996</v>
      </c>
      <c r="D42" s="243">
        <v>0.95</v>
      </c>
      <c r="E42" s="507">
        <f t="shared" si="4"/>
        <v>0.60000000000000053</v>
      </c>
      <c r="F42" s="319">
        <v>0.95599999999999996</v>
      </c>
      <c r="G42" s="243">
        <v>0.94499999999999995</v>
      </c>
      <c r="H42" s="507">
        <f t="shared" si="3"/>
        <v>1.100000000000001</v>
      </c>
    </row>
    <row r="43" spans="2:9" ht="18" customHeight="1">
      <c r="B43" s="318" t="s">
        <v>182</v>
      </c>
      <c r="C43" s="319">
        <v>0.63300000000000001</v>
      </c>
      <c r="D43" s="243">
        <v>0.63400000000000001</v>
      </c>
      <c r="E43" s="507">
        <f t="shared" si="4"/>
        <v>-0.10000000000000009</v>
      </c>
      <c r="F43" s="319">
        <v>0.63200000000000001</v>
      </c>
      <c r="G43" s="243">
        <v>0.63100000000000001</v>
      </c>
      <c r="H43" s="507">
        <f t="shared" si="3"/>
        <v>0.10000000000000009</v>
      </c>
    </row>
    <row r="44" spans="2:9" ht="18" customHeight="1">
      <c r="B44" s="318" t="s">
        <v>186</v>
      </c>
      <c r="C44" s="319">
        <v>0.58199999999999996</v>
      </c>
      <c r="D44" s="243">
        <v>0.56399999999999995</v>
      </c>
      <c r="E44" s="507">
        <f t="shared" si="4"/>
        <v>1.8000000000000016</v>
      </c>
      <c r="F44" s="319">
        <v>0.57799999999999996</v>
      </c>
      <c r="G44" s="243">
        <v>0.55800000000000005</v>
      </c>
      <c r="H44" s="507">
        <f t="shared" si="3"/>
        <v>1.9999999999999907</v>
      </c>
    </row>
    <row r="45" spans="2:9" ht="18" customHeight="1">
      <c r="B45" s="318" t="s">
        <v>161</v>
      </c>
      <c r="C45" s="319">
        <v>0.56699999999999995</v>
      </c>
      <c r="D45" s="243">
        <v>0.55700000000000005</v>
      </c>
      <c r="E45" s="507">
        <f t="shared" si="4"/>
        <v>0.99999999999998979</v>
      </c>
      <c r="F45" s="319">
        <v>0.56399999999999995</v>
      </c>
      <c r="G45" s="243">
        <v>0.55800000000000005</v>
      </c>
      <c r="H45" s="507">
        <f t="shared" si="3"/>
        <v>0.59999999999998943</v>
      </c>
    </row>
    <row r="46" spans="2:9" ht="18" customHeight="1">
      <c r="B46" s="318" t="s">
        <v>165</v>
      </c>
      <c r="C46" s="319">
        <v>0.56100000000000005</v>
      </c>
      <c r="D46" s="243">
        <v>0.55000000000000004</v>
      </c>
      <c r="E46" s="507">
        <f t="shared" si="4"/>
        <v>1.100000000000001</v>
      </c>
      <c r="F46" s="319">
        <v>0.56000000000000005</v>
      </c>
      <c r="G46" s="243">
        <v>0.55000000000000004</v>
      </c>
      <c r="H46" s="507">
        <f t="shared" si="3"/>
        <v>1.0000000000000009</v>
      </c>
    </row>
    <row r="47" spans="2:9" ht="18" customHeight="1">
      <c r="B47" s="318" t="s">
        <v>164</v>
      </c>
      <c r="C47" s="319">
        <v>0.52800000000000002</v>
      </c>
      <c r="D47" s="243">
        <v>0.51500000000000001</v>
      </c>
      <c r="E47" s="507">
        <f t="shared" si="4"/>
        <v>1.3000000000000012</v>
      </c>
      <c r="F47" s="319">
        <v>0.52700000000000002</v>
      </c>
      <c r="G47" s="243">
        <v>0.51200000000000001</v>
      </c>
      <c r="H47" s="507">
        <f t="shared" si="3"/>
        <v>1.5000000000000013</v>
      </c>
    </row>
    <row r="48" spans="2:9" ht="18" customHeight="1">
      <c r="B48" s="318" t="s">
        <v>166</v>
      </c>
      <c r="C48" s="319">
        <v>0.51200000000000001</v>
      </c>
      <c r="D48" s="243">
        <v>0.49</v>
      </c>
      <c r="E48" s="507">
        <f t="shared" si="4"/>
        <v>2.200000000000002</v>
      </c>
      <c r="F48" s="319">
        <v>0.50800000000000001</v>
      </c>
      <c r="G48" s="243">
        <v>0.48699999999999999</v>
      </c>
      <c r="H48" s="507">
        <f t="shared" si="3"/>
        <v>2.1000000000000019</v>
      </c>
    </row>
    <row r="49" spans="2:8" ht="18" customHeight="1">
      <c r="B49" s="318" t="s">
        <v>168</v>
      </c>
      <c r="C49" s="319">
        <v>0.48499999999999999</v>
      </c>
      <c r="D49" s="243">
        <v>0.48199999999999998</v>
      </c>
      <c r="E49" s="507">
        <f t="shared" si="4"/>
        <v>0.30000000000000027</v>
      </c>
      <c r="F49" s="319">
        <v>0.47399999999999998</v>
      </c>
      <c r="G49" s="243">
        <v>0.41899999999999998</v>
      </c>
      <c r="H49" s="507">
        <f t="shared" si="3"/>
        <v>5.4999999999999991</v>
      </c>
    </row>
    <row r="50" spans="2:8" ht="18" customHeight="1">
      <c r="B50" s="318" t="s">
        <v>184</v>
      </c>
      <c r="C50" s="319">
        <v>0.48699999999999999</v>
      </c>
      <c r="D50" s="243">
        <v>0.46200000000000002</v>
      </c>
      <c r="E50" s="507">
        <f t="shared" si="4"/>
        <v>2.4999999999999964</v>
      </c>
      <c r="F50" s="319">
        <v>0.48199999999999998</v>
      </c>
      <c r="G50" s="243">
        <v>0.46</v>
      </c>
      <c r="H50" s="507">
        <f t="shared" si="3"/>
        <v>2.1999999999999966</v>
      </c>
    </row>
    <row r="51" spans="2:8" ht="18" customHeight="1">
      <c r="B51" s="318" t="s">
        <v>162</v>
      </c>
      <c r="C51" s="319">
        <v>0.47299999999999998</v>
      </c>
      <c r="D51" s="243">
        <v>0.48</v>
      </c>
      <c r="E51" s="507">
        <f t="shared" si="4"/>
        <v>-0.70000000000000062</v>
      </c>
      <c r="F51" s="319">
        <v>0.47399999999999998</v>
      </c>
      <c r="G51" s="243">
        <v>0.48399999999999999</v>
      </c>
      <c r="H51" s="507">
        <f t="shared" si="3"/>
        <v>-1.0000000000000009</v>
      </c>
    </row>
    <row r="52" spans="2:8" ht="18" customHeight="1">
      <c r="B52" s="318" t="s">
        <v>170</v>
      </c>
      <c r="C52" s="319">
        <v>0.48399999999999999</v>
      </c>
      <c r="D52" s="243">
        <v>0.45100000000000001</v>
      </c>
      <c r="E52" s="507">
        <f t="shared" si="4"/>
        <v>3.2999999999999972</v>
      </c>
      <c r="F52" s="319">
        <v>0.47399999999999998</v>
      </c>
      <c r="G52" s="243">
        <v>0.45800000000000002</v>
      </c>
      <c r="H52" s="507">
        <f t="shared" si="3"/>
        <v>1.5999999999999959</v>
      </c>
    </row>
    <row r="53" spans="2:8" ht="18" customHeight="1">
      <c r="B53" s="318" t="s">
        <v>183</v>
      </c>
      <c r="C53" s="319">
        <v>0.45800000000000002</v>
      </c>
      <c r="D53" s="243">
        <v>0.44600000000000001</v>
      </c>
      <c r="E53" s="507">
        <f t="shared" si="4"/>
        <v>1.2000000000000011</v>
      </c>
      <c r="F53" s="319">
        <v>0.45700000000000002</v>
      </c>
      <c r="G53" s="243">
        <v>0.443</v>
      </c>
      <c r="H53" s="507">
        <f t="shared" si="3"/>
        <v>1.4000000000000012</v>
      </c>
    </row>
    <row r="54" spans="2:8" ht="18" customHeight="1">
      <c r="B54" s="318" t="s">
        <v>185</v>
      </c>
      <c r="C54" s="319">
        <v>0.42899999999999999</v>
      </c>
      <c r="D54" s="243">
        <v>0.433</v>
      </c>
      <c r="E54" s="507">
        <f t="shared" si="4"/>
        <v>-0.40000000000000036</v>
      </c>
      <c r="F54" s="319">
        <v>0.438</v>
      </c>
      <c r="G54" s="243">
        <v>0.372</v>
      </c>
      <c r="H54" s="507">
        <f t="shared" si="3"/>
        <v>6.6000000000000005</v>
      </c>
    </row>
    <row r="55" spans="2:8" ht="18" customHeight="1">
      <c r="B55" s="318" t="s">
        <v>169</v>
      </c>
      <c r="C55" s="319">
        <v>0.433</v>
      </c>
      <c r="D55" s="243">
        <v>0.41799999999999998</v>
      </c>
      <c r="E55" s="507">
        <f t="shared" si="4"/>
        <v>1.5000000000000013</v>
      </c>
      <c r="F55" s="319">
        <v>0.438</v>
      </c>
      <c r="G55" s="243">
        <v>0.34499999999999997</v>
      </c>
      <c r="H55" s="507">
        <f t="shared" si="3"/>
        <v>9.3000000000000025</v>
      </c>
    </row>
    <row r="56" spans="2:8" ht="18" customHeight="1">
      <c r="B56" s="506" t="s">
        <v>235</v>
      </c>
      <c r="C56" s="319">
        <v>0.46</v>
      </c>
      <c r="D56" s="243">
        <v>0.41199999999999998</v>
      </c>
      <c r="E56" s="507">
        <f t="shared" si="4"/>
        <v>4.8000000000000043</v>
      </c>
      <c r="F56" s="319">
        <v>0.436</v>
      </c>
      <c r="G56" s="243">
        <v>0.40500000000000003</v>
      </c>
      <c r="H56" s="507">
        <f t="shared" si="3"/>
        <v>3.099999999999997</v>
      </c>
    </row>
    <row r="57" spans="2:8" ht="18" customHeight="1">
      <c r="B57" s="318" t="s">
        <v>167</v>
      </c>
      <c r="C57" s="319">
        <v>0.40799999999999997</v>
      </c>
      <c r="D57" s="243">
        <v>0.39600000000000002</v>
      </c>
      <c r="E57" s="507">
        <f t="shared" si="4"/>
        <v>1.1999999999999955</v>
      </c>
      <c r="F57" s="319">
        <v>0.40600000000000003</v>
      </c>
      <c r="G57" s="243">
        <v>0.39100000000000001</v>
      </c>
      <c r="H57" s="507">
        <f t="shared" si="3"/>
        <v>1.5000000000000013</v>
      </c>
    </row>
    <row r="58" spans="2:8" ht="18" customHeight="1">
      <c r="B58" s="318" t="s">
        <v>163</v>
      </c>
      <c r="C58" s="319">
        <v>0.36199999999999999</v>
      </c>
      <c r="D58" s="243">
        <v>0.35399999999999998</v>
      </c>
      <c r="E58" s="507">
        <f t="shared" si="4"/>
        <v>0.80000000000000071</v>
      </c>
      <c r="F58" s="319">
        <v>0.36199999999999999</v>
      </c>
      <c r="G58" s="243">
        <v>0.35799999999999998</v>
      </c>
      <c r="H58" s="507">
        <f t="shared" si="3"/>
        <v>0.40000000000000036</v>
      </c>
    </row>
    <row r="59" spans="2:8" ht="18" customHeight="1">
      <c r="B59" s="506" t="s">
        <v>236</v>
      </c>
      <c r="C59" s="319">
        <v>0.28599999999999998</v>
      </c>
      <c r="D59" s="515">
        <v>0</v>
      </c>
      <c r="E59" s="507">
        <f t="shared" si="4"/>
        <v>28.599999999999998</v>
      </c>
      <c r="F59" s="319">
        <v>0.27700000000000002</v>
      </c>
      <c r="G59" s="515">
        <v>0</v>
      </c>
      <c r="H59" s="507">
        <f t="shared" si="3"/>
        <v>27.700000000000003</v>
      </c>
    </row>
    <row r="60" spans="2:8" ht="18" customHeight="1">
      <c r="B60" s="506" t="s">
        <v>237</v>
      </c>
      <c r="C60" s="319">
        <v>0.23499999999999999</v>
      </c>
      <c r="D60" s="515">
        <v>0</v>
      </c>
      <c r="E60" s="507">
        <f t="shared" si="4"/>
        <v>23.5</v>
      </c>
      <c r="F60" s="319">
        <v>0.22700000000000001</v>
      </c>
      <c r="G60" s="515">
        <v>0</v>
      </c>
      <c r="H60" s="507">
        <f t="shared" si="3"/>
        <v>22.7</v>
      </c>
    </row>
    <row r="61" spans="2:8" ht="18" customHeight="1">
      <c r="B61" s="506" t="s">
        <v>238</v>
      </c>
      <c r="C61" s="319">
        <v>0.123</v>
      </c>
      <c r="D61" s="515">
        <v>0</v>
      </c>
      <c r="E61" s="507">
        <f t="shared" si="4"/>
        <v>12.3</v>
      </c>
      <c r="F61" s="319">
        <v>0.11799999999999999</v>
      </c>
      <c r="G61" s="515">
        <v>0</v>
      </c>
      <c r="H61" s="507">
        <f t="shared" si="3"/>
        <v>11.799999999999999</v>
      </c>
    </row>
    <row r="62" spans="2:8" ht="18" customHeight="1">
      <c r="B62" s="506" t="s">
        <v>239</v>
      </c>
      <c r="C62" s="516">
        <v>0</v>
      </c>
      <c r="D62" s="365">
        <v>0.95</v>
      </c>
      <c r="E62" s="507">
        <f t="shared" si="4"/>
        <v>-95</v>
      </c>
      <c r="F62" s="516">
        <v>0</v>
      </c>
      <c r="G62" s="365">
        <v>0.94599999999999995</v>
      </c>
      <c r="H62" s="507">
        <f t="shared" si="3"/>
        <v>-94.6</v>
      </c>
    </row>
    <row r="63" spans="2:8" ht="18" customHeight="1">
      <c r="B63" s="511" t="s">
        <v>240</v>
      </c>
      <c r="C63" s="516">
        <v>0</v>
      </c>
      <c r="D63" s="365">
        <v>0.25600000000000001</v>
      </c>
      <c r="E63" s="507">
        <f t="shared" si="4"/>
        <v>-25.6</v>
      </c>
      <c r="F63" s="516">
        <v>0</v>
      </c>
      <c r="G63" s="365">
        <v>0.252</v>
      </c>
      <c r="H63" s="507">
        <f t="shared" si="3"/>
        <v>-25.2</v>
      </c>
    </row>
    <row r="64" spans="2:8" ht="18" customHeight="1" thickBot="1">
      <c r="B64" s="512" t="s">
        <v>241</v>
      </c>
      <c r="C64" s="364" t="s">
        <v>137</v>
      </c>
      <c r="D64" s="366" t="s">
        <v>137</v>
      </c>
      <c r="E64" s="508" t="str">
        <f t="shared" si="4"/>
        <v>n/d</v>
      </c>
      <c r="F64" s="364" t="s">
        <v>137</v>
      </c>
      <c r="G64" s="366" t="s">
        <v>137</v>
      </c>
      <c r="H64" s="508" t="str">
        <f t="shared" si="3"/>
        <v>n/d</v>
      </c>
    </row>
    <row r="65" spans="2:8" s="16" customFormat="1" ht="10.5" customHeight="1"/>
    <row r="66" spans="2:8" s="16" customFormat="1" ht="113.25" customHeight="1">
      <c r="B66" s="561" t="s">
        <v>242</v>
      </c>
      <c r="C66" s="561"/>
      <c r="D66" s="561"/>
      <c r="E66" s="561"/>
      <c r="F66" s="561"/>
      <c r="G66" s="561"/>
      <c r="H66" s="561"/>
    </row>
    <row r="67" spans="2:8" s="16" customFormat="1">
      <c r="B67" s="556"/>
      <c r="C67" s="556"/>
      <c r="D67" s="556"/>
      <c r="E67" s="556"/>
    </row>
    <row r="68" spans="2:8" s="225" customFormat="1" ht="27.75" customHeight="1">
      <c r="B68" s="554"/>
      <c r="C68" s="554"/>
      <c r="D68" s="554"/>
      <c r="E68" s="554"/>
    </row>
    <row r="69" spans="2:8" s="16" customFormat="1">
      <c r="B69" s="556"/>
      <c r="C69" s="556"/>
      <c r="D69" s="556"/>
      <c r="E69" s="556"/>
    </row>
    <row r="70" spans="2:8" s="16" customFormat="1" ht="14.25" customHeight="1">
      <c r="B70" s="554"/>
      <c r="C70" s="554"/>
      <c r="D70" s="554"/>
      <c r="E70" s="554"/>
    </row>
    <row r="71" spans="2:8" s="16" customFormat="1" ht="14.25" customHeight="1">
      <c r="B71" s="554"/>
      <c r="C71" s="554"/>
      <c r="D71" s="554"/>
      <c r="E71" s="554"/>
    </row>
    <row r="72" spans="2:8" s="16" customFormat="1">
      <c r="B72" s="226"/>
      <c r="C72" s="226"/>
      <c r="D72" s="226"/>
      <c r="E72" s="226"/>
      <c r="F72" s="444"/>
      <c r="G72" s="444"/>
      <c r="H72" s="444"/>
    </row>
    <row r="73" spans="2:8" s="16" customFormat="1">
      <c r="B73" s="226"/>
      <c r="C73" s="227"/>
      <c r="D73" s="227"/>
      <c r="E73" s="227"/>
      <c r="F73" s="227"/>
      <c r="G73" s="227"/>
      <c r="H73" s="227"/>
    </row>
    <row r="74" spans="2:8" s="16" customFormat="1">
      <c r="B74" s="555"/>
      <c r="C74" s="555"/>
      <c r="D74" s="555"/>
    </row>
    <row r="75" spans="2:8" s="16" customFormat="1" ht="18" customHeight="1">
      <c r="B75" s="555"/>
      <c r="C75" s="555"/>
      <c r="D75" s="555"/>
    </row>
    <row r="76" spans="2:8" s="16" customFormat="1"/>
    <row r="77" spans="2:8" s="16" customFormat="1"/>
    <row r="78" spans="2:8" s="16" customFormat="1"/>
    <row r="79" spans="2:8" s="16" customFormat="1"/>
    <row r="80" spans="2:8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</sheetData>
  <mergeCells count="15">
    <mergeCell ref="F2:H2"/>
    <mergeCell ref="F37:H37"/>
    <mergeCell ref="B34:H34"/>
    <mergeCell ref="B74:D74"/>
    <mergeCell ref="B75:D75"/>
    <mergeCell ref="B67:E67"/>
    <mergeCell ref="B68:E68"/>
    <mergeCell ref="B69:E69"/>
    <mergeCell ref="B70:E70"/>
    <mergeCell ref="B71:E71"/>
    <mergeCell ref="B2:B3"/>
    <mergeCell ref="C2:E2"/>
    <mergeCell ref="B37:B38"/>
    <mergeCell ref="C37:E37"/>
    <mergeCell ref="B66:H66"/>
  </mergeCells>
  <pageMargins left="0.7" right="0.7" top="0.75" bottom="0.75" header="0.3" footer="0.3"/>
  <pageSetup paperSize="9" scale="56" orientation="portrait" horizontalDpi="4294967294" r:id="rId1"/>
  <ignoredErrors>
    <ignoredError sqref="E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8</vt:i4>
      </vt:variant>
    </vt:vector>
  </HeadingPairs>
  <TitlesOfParts>
    <vt:vector size="14" baseType="lpstr">
      <vt:lpstr>Skonsolidowany P&amp;L</vt:lpstr>
      <vt:lpstr>Segmenty</vt:lpstr>
      <vt:lpstr>Skonsolidowant bilans</vt:lpstr>
      <vt:lpstr>Skonsolidowany CF</vt:lpstr>
      <vt:lpstr>KPI_segment B2B&amp;B2C</vt:lpstr>
      <vt:lpstr>KPI - segment TV</vt:lpstr>
      <vt:lpstr>'KPI - segment TV'!_Toc377043859</vt:lpstr>
      <vt:lpstr>'KPI - segment TV'!_Toc377043860</vt:lpstr>
      <vt:lpstr>'KPI - segment TV'!Obszar_wydruku</vt:lpstr>
      <vt:lpstr>'KPI_segment B2B&amp;B2C'!Obszar_wydruku</vt:lpstr>
      <vt:lpstr>'Skonsolidowant bilans'!Obszar_wydruku</vt:lpstr>
      <vt:lpstr>'Skonsolidowany CF'!Obszar_wydruku</vt:lpstr>
      <vt:lpstr>'Skonsolidowany P&amp;L'!Obszar_wydruku</vt:lpstr>
      <vt:lpstr>'Skonsolidowany CF'!OLE_LINK3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egieniusz</cp:lastModifiedBy>
  <cp:lastPrinted>2015-11-10T12:34:56Z</cp:lastPrinted>
  <dcterms:created xsi:type="dcterms:W3CDTF">2008-08-25T12:12:22Z</dcterms:created>
  <dcterms:modified xsi:type="dcterms:W3CDTF">2017-11-08T06:21:08Z</dcterms:modified>
</cp:coreProperties>
</file>