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985" yWindow="45" windowWidth="12030" windowHeight="8595"/>
  </bookViews>
  <sheets>
    <sheet name="Skonsolidowany RZiS" sheetId="9" r:id="rId1"/>
    <sheet name="Segmenty" sheetId="13" r:id="rId2"/>
    <sheet name="Skonsolidowant bilans" sheetId="4" r:id="rId3"/>
    <sheet name="Skonsolidowany CF" sheetId="6" r:id="rId4"/>
    <sheet name="KPI_segment B2B&amp;B2C" sheetId="14" r:id="rId5"/>
    <sheet name="KPI - segment TV" sheetId="15" r:id="rId6"/>
  </sheets>
  <definedNames>
    <definedName name="_Toc377043859" localSheetId="5">'KPI - segment TV'!$C$36</definedName>
    <definedName name="_Toc377043860" localSheetId="5">'KPI - segment TV'!$D$36</definedName>
    <definedName name="_Toc377043862" localSheetId="5">'KPI - segment TV'!#REF!</definedName>
    <definedName name="_Toc377043863" localSheetId="5">'KPI - segment TV'!#REF!</definedName>
    <definedName name="_xlnm.Print_Area" localSheetId="5">'KPI - segment TV'!$A$1:$E$63</definedName>
    <definedName name="_xlnm.Print_Area" localSheetId="4">'KPI_segment B2B&amp;B2C'!$A$1:$S$37</definedName>
    <definedName name="_xlnm.Print_Area" localSheetId="2">'Skonsolidowant bilans'!$A$1:$Q$73</definedName>
    <definedName name="_xlnm.Print_Area" localSheetId="3">'Skonsolidowany CF'!$A$1:$Q$59</definedName>
    <definedName name="_xlnm.Print_Area" localSheetId="0">'Skonsolidowany RZiS'!$A$1:$S$32</definedName>
    <definedName name="OLE_LINK3" localSheetId="3">'Skonsolidowany CF'!$A$18</definedName>
  </definedNames>
  <calcPr calcId="145621"/>
</workbook>
</file>

<file path=xl/calcChain.xml><?xml version="1.0" encoding="utf-8"?>
<calcChain xmlns="http://schemas.openxmlformats.org/spreadsheetml/2006/main">
  <c r="F27" i="9" l="1"/>
  <c r="E27" i="9"/>
  <c r="D27" i="9"/>
  <c r="C27" i="9"/>
  <c r="B27" i="9"/>
  <c r="I27" i="9"/>
  <c r="H27" i="9"/>
  <c r="G27" i="9"/>
  <c r="J27" i="9" l="1"/>
  <c r="K27" i="9"/>
  <c r="P27" i="9"/>
  <c r="L27" i="9" l="1"/>
  <c r="M27" i="9" l="1"/>
  <c r="G23" i="6" l="1"/>
  <c r="H23" i="6"/>
  <c r="R27" i="9"/>
  <c r="Q27" i="9"/>
  <c r="O27" i="9"/>
  <c r="N27" i="9"/>
  <c r="S27" i="9"/>
  <c r="B26" i="9"/>
  <c r="H56" i="15" l="1"/>
  <c r="E56" i="15"/>
  <c r="H55" i="15"/>
  <c r="E55" i="15"/>
  <c r="H54" i="15"/>
  <c r="E54" i="15"/>
  <c r="H53" i="15"/>
  <c r="E53" i="15"/>
  <c r="H52" i="15"/>
  <c r="E52" i="15"/>
  <c r="H51" i="15"/>
  <c r="E51" i="15"/>
  <c r="H50" i="15"/>
  <c r="E50" i="15"/>
  <c r="H49" i="15"/>
  <c r="E49" i="15"/>
  <c r="H48" i="15"/>
  <c r="E48" i="15"/>
  <c r="H47" i="15"/>
  <c r="E47" i="15"/>
  <c r="H46" i="15"/>
  <c r="E46" i="15"/>
  <c r="H45" i="15"/>
  <c r="E45" i="15"/>
  <c r="H44" i="15"/>
  <c r="E44" i="15"/>
  <c r="H43" i="15"/>
  <c r="E43" i="15"/>
  <c r="H42" i="15"/>
  <c r="E42" i="15"/>
  <c r="H41" i="15"/>
  <c r="E41" i="15"/>
  <c r="H40" i="15"/>
  <c r="E40" i="15"/>
  <c r="H39" i="15"/>
  <c r="E39" i="15"/>
  <c r="H38" i="15"/>
  <c r="E38" i="15"/>
  <c r="H37" i="15"/>
  <c r="E37" i="15"/>
  <c r="H36" i="15"/>
  <c r="E36" i="15"/>
  <c r="H35" i="15"/>
  <c r="E35" i="15"/>
  <c r="H27" i="15"/>
  <c r="E27" i="15"/>
  <c r="H26" i="15"/>
  <c r="E26" i="15"/>
  <c r="H25" i="15"/>
  <c r="E25" i="15"/>
  <c r="H24" i="15"/>
  <c r="E24" i="15"/>
  <c r="H23" i="15"/>
  <c r="E23" i="15"/>
  <c r="H22" i="15"/>
  <c r="E22" i="15"/>
  <c r="H21" i="15"/>
  <c r="E21" i="15"/>
  <c r="H20" i="15"/>
  <c r="E20" i="15"/>
  <c r="H19" i="15"/>
  <c r="E19" i="15"/>
  <c r="H18" i="15"/>
  <c r="E18" i="15"/>
  <c r="H17" i="15"/>
  <c r="E17" i="15"/>
  <c r="H16" i="15"/>
  <c r="E16" i="15"/>
  <c r="H15" i="15"/>
  <c r="E15" i="15"/>
  <c r="H14" i="15"/>
  <c r="E14" i="15"/>
  <c r="H13" i="15"/>
  <c r="E13" i="15"/>
  <c r="H12" i="15"/>
  <c r="E12" i="15"/>
  <c r="H11" i="15"/>
  <c r="E11" i="15"/>
  <c r="H10" i="15"/>
  <c r="E10" i="15"/>
  <c r="H9" i="15"/>
  <c r="E9" i="15"/>
  <c r="H8" i="15"/>
  <c r="E8" i="15"/>
  <c r="H7" i="15"/>
  <c r="E7" i="15"/>
  <c r="H6" i="15"/>
  <c r="E6" i="15"/>
  <c r="H5" i="15"/>
  <c r="E5" i="15"/>
  <c r="H4" i="15"/>
  <c r="E4" i="15"/>
  <c r="K31" i="14" l="1"/>
  <c r="K30" i="14"/>
  <c r="K29" i="14"/>
  <c r="S28" i="14"/>
  <c r="R28" i="14"/>
  <c r="Q28" i="14"/>
  <c r="P28" i="14"/>
  <c r="O28" i="14"/>
  <c r="N28" i="14"/>
  <c r="M28" i="14"/>
  <c r="L28" i="14"/>
  <c r="K28" i="14"/>
  <c r="J28" i="14"/>
  <c r="I28" i="14"/>
  <c r="H28" i="14"/>
  <c r="G28" i="14"/>
  <c r="K26" i="14"/>
  <c r="K25" i="14"/>
  <c r="K24" i="14"/>
  <c r="S23" i="14"/>
  <c r="S5" i="14" s="1"/>
  <c r="R23" i="14"/>
  <c r="Q23" i="14"/>
  <c r="P23" i="14"/>
  <c r="O23" i="14"/>
  <c r="O5" i="14" s="1"/>
  <c r="N23" i="14"/>
  <c r="M23" i="14"/>
  <c r="L23" i="14"/>
  <c r="K23" i="14"/>
  <c r="J23" i="14"/>
  <c r="I23" i="14"/>
  <c r="H23" i="14"/>
  <c r="G23" i="14"/>
  <c r="K21" i="14"/>
  <c r="F21" i="14"/>
  <c r="K20" i="14"/>
  <c r="F20" i="14"/>
  <c r="K19" i="14"/>
  <c r="F19" i="14"/>
  <c r="K18" i="14"/>
  <c r="F18" i="14"/>
  <c r="K17" i="14"/>
  <c r="F17" i="14"/>
  <c r="S16" i="14"/>
  <c r="R16" i="14"/>
  <c r="Q16" i="14"/>
  <c r="P16" i="14"/>
  <c r="O16" i="14"/>
  <c r="N16" i="14"/>
  <c r="M16" i="14"/>
  <c r="L16" i="14"/>
  <c r="K16" i="14"/>
  <c r="J16" i="14"/>
  <c r="I16" i="14"/>
  <c r="H16" i="14"/>
  <c r="G16" i="14"/>
  <c r="F16" i="14"/>
  <c r="E16" i="14"/>
  <c r="D16" i="14"/>
  <c r="C16" i="14"/>
  <c r="B16" i="14"/>
  <c r="L15" i="14"/>
  <c r="K15" i="14"/>
  <c r="H15" i="14"/>
  <c r="G15" i="14"/>
  <c r="D15" i="14"/>
  <c r="C15" i="14"/>
  <c r="N14" i="14"/>
  <c r="K14" i="14"/>
  <c r="F14" i="14"/>
  <c r="K12" i="14"/>
  <c r="F12" i="14"/>
  <c r="K11" i="14"/>
  <c r="F11" i="14"/>
  <c r="K10" i="14"/>
  <c r="F10" i="14"/>
  <c r="K9" i="14"/>
  <c r="F9" i="14"/>
  <c r="K8" i="14"/>
  <c r="F8" i="14"/>
  <c r="S7" i="14"/>
  <c r="R7" i="14"/>
  <c r="R5" i="14" s="1"/>
  <c r="Q7" i="14"/>
  <c r="Q15" i="14" s="1"/>
  <c r="P7" i="14"/>
  <c r="O7" i="14"/>
  <c r="N7" i="14"/>
  <c r="N5" i="14" s="1"/>
  <c r="M7" i="14"/>
  <c r="M15" i="14" s="1"/>
  <c r="L7" i="14"/>
  <c r="K7" i="14"/>
  <c r="K5" i="14" s="1"/>
  <c r="J7" i="14"/>
  <c r="J15" i="14" s="1"/>
  <c r="I7" i="14"/>
  <c r="I15" i="14" s="1"/>
  <c r="H7" i="14"/>
  <c r="G7" i="14"/>
  <c r="G5" i="14" s="1"/>
  <c r="F7" i="14"/>
  <c r="F15" i="14" s="1"/>
  <c r="E7" i="14"/>
  <c r="E15" i="14" s="1"/>
  <c r="D7" i="14"/>
  <c r="C7" i="14"/>
  <c r="B7" i="14"/>
  <c r="B15" i="14" s="1"/>
  <c r="Q5" i="14"/>
  <c r="P5" i="14"/>
  <c r="M5" i="14"/>
  <c r="L5" i="14"/>
  <c r="I5" i="14"/>
  <c r="H5" i="14"/>
  <c r="J5" i="14" l="1"/>
  <c r="B50" i="6" l="1"/>
  <c r="I50" i="6"/>
  <c r="J50" i="6"/>
  <c r="K50" i="6"/>
  <c r="L50" i="6"/>
  <c r="M50" i="6"/>
  <c r="N50" i="6"/>
  <c r="O50" i="6"/>
  <c r="P50" i="6"/>
  <c r="J60" i="4"/>
  <c r="I60" i="4"/>
  <c r="H60" i="4"/>
  <c r="G60" i="4"/>
  <c r="F60" i="4"/>
  <c r="E60" i="4"/>
  <c r="D60" i="4"/>
  <c r="C60" i="4"/>
  <c r="J59" i="4"/>
  <c r="I59" i="4"/>
  <c r="H59" i="4"/>
  <c r="G59" i="4"/>
  <c r="F59" i="4"/>
  <c r="E59" i="4"/>
  <c r="D59" i="4"/>
  <c r="C59" i="4"/>
  <c r="J58" i="4"/>
  <c r="I58" i="4"/>
  <c r="H58" i="4"/>
  <c r="G58" i="4"/>
  <c r="F58" i="4"/>
  <c r="E58" i="4"/>
  <c r="D58" i="4"/>
  <c r="C58" i="4"/>
  <c r="J56" i="4"/>
  <c r="I56" i="4"/>
  <c r="H56" i="4"/>
  <c r="G56" i="4"/>
  <c r="F56" i="4"/>
  <c r="E56" i="4"/>
  <c r="D56" i="4"/>
  <c r="C56" i="4"/>
  <c r="J54" i="4"/>
  <c r="I54" i="4"/>
  <c r="H54" i="4"/>
  <c r="G54" i="4"/>
  <c r="F54" i="4"/>
  <c r="E54" i="4"/>
  <c r="D54" i="4"/>
  <c r="C54" i="4"/>
  <c r="J53" i="4"/>
  <c r="I53" i="4"/>
  <c r="H53" i="4"/>
  <c r="G53" i="4"/>
  <c r="F53" i="4"/>
  <c r="E53" i="4"/>
  <c r="D53" i="4"/>
  <c r="C53" i="4"/>
  <c r="J52" i="4"/>
  <c r="I52" i="4"/>
  <c r="H52" i="4"/>
  <c r="G52" i="4"/>
  <c r="F52" i="4"/>
  <c r="E52" i="4"/>
  <c r="D52" i="4"/>
  <c r="C52" i="4"/>
  <c r="J49" i="4"/>
  <c r="I49" i="4"/>
  <c r="H49" i="4"/>
  <c r="G49" i="4"/>
  <c r="F49" i="4"/>
  <c r="E49" i="4"/>
  <c r="D49" i="4"/>
  <c r="C49" i="4"/>
  <c r="J48" i="4"/>
  <c r="I48" i="4"/>
  <c r="H48" i="4"/>
  <c r="G48" i="4"/>
  <c r="F48" i="4"/>
  <c r="E48" i="4"/>
  <c r="D48" i="4"/>
  <c r="C48" i="4"/>
  <c r="J47" i="4"/>
  <c r="I47" i="4"/>
  <c r="H47" i="4"/>
  <c r="G47" i="4"/>
  <c r="F47" i="4"/>
  <c r="E47" i="4"/>
  <c r="D47" i="4"/>
  <c r="C47" i="4"/>
  <c r="J45" i="4"/>
  <c r="I45" i="4"/>
  <c r="H45" i="4"/>
  <c r="G45" i="4"/>
  <c r="F45" i="4"/>
  <c r="E45" i="4"/>
  <c r="D45" i="4"/>
  <c r="C45" i="4"/>
  <c r="J44" i="4"/>
  <c r="I44" i="4"/>
  <c r="H44" i="4"/>
  <c r="G44" i="4"/>
  <c r="F44" i="4"/>
  <c r="E44" i="4"/>
  <c r="D44" i="4"/>
  <c r="C44" i="4"/>
  <c r="J43" i="4"/>
  <c r="I43" i="4"/>
  <c r="H43" i="4"/>
  <c r="G43" i="4"/>
  <c r="F43" i="4"/>
  <c r="E43" i="4"/>
  <c r="D43" i="4"/>
  <c r="C43" i="4"/>
  <c r="J39" i="4"/>
  <c r="I39" i="4"/>
  <c r="H39" i="4"/>
  <c r="G39" i="4"/>
  <c r="F39" i="4"/>
  <c r="E39" i="4"/>
  <c r="D39" i="4"/>
  <c r="C39" i="4"/>
  <c r="I38" i="4"/>
  <c r="H38" i="4"/>
  <c r="G38" i="4"/>
  <c r="F38" i="4"/>
  <c r="E38" i="4"/>
  <c r="D38" i="4"/>
  <c r="C38" i="4"/>
  <c r="J35" i="4"/>
  <c r="I35" i="4"/>
  <c r="H35" i="4"/>
  <c r="G35" i="4"/>
  <c r="F35" i="4"/>
  <c r="E35" i="4"/>
  <c r="D35" i="4"/>
  <c r="C35" i="4"/>
  <c r="J32" i="4"/>
  <c r="I32" i="4"/>
  <c r="H32" i="4"/>
  <c r="G32" i="4"/>
  <c r="F32" i="4"/>
  <c r="E32" i="4"/>
  <c r="D32" i="4"/>
  <c r="C32" i="4"/>
  <c r="J27" i="4"/>
  <c r="I27" i="4"/>
  <c r="H27" i="4"/>
  <c r="G27" i="4"/>
  <c r="F27" i="4"/>
  <c r="E27" i="4"/>
  <c r="D27" i="4"/>
  <c r="C27" i="4"/>
  <c r="J24" i="4"/>
  <c r="I24" i="4"/>
  <c r="H24" i="4"/>
  <c r="G24" i="4"/>
  <c r="F24" i="4"/>
  <c r="E24" i="4"/>
  <c r="D24" i="4"/>
  <c r="C24" i="4"/>
  <c r="J23" i="4"/>
  <c r="I23" i="4"/>
  <c r="H23" i="4"/>
  <c r="G23" i="4"/>
  <c r="F23" i="4"/>
  <c r="E23" i="4"/>
  <c r="D23" i="4"/>
  <c r="C23" i="4"/>
  <c r="J22" i="4"/>
  <c r="I22" i="4"/>
  <c r="H22" i="4"/>
  <c r="G22" i="4"/>
  <c r="F22" i="4"/>
  <c r="E22" i="4"/>
  <c r="D22" i="4"/>
  <c r="C22" i="4"/>
  <c r="J21" i="4"/>
  <c r="I21" i="4"/>
  <c r="H21" i="4"/>
  <c r="G21" i="4"/>
  <c r="F21" i="4"/>
  <c r="E21" i="4"/>
  <c r="D21" i="4"/>
  <c r="C21" i="4"/>
  <c r="J19" i="4"/>
  <c r="I19" i="4"/>
  <c r="H19" i="4"/>
  <c r="G19" i="4"/>
  <c r="F19" i="4"/>
  <c r="E19" i="4"/>
  <c r="D19" i="4"/>
  <c r="C19" i="4"/>
  <c r="J18" i="4"/>
  <c r="I18" i="4"/>
  <c r="H18" i="4"/>
  <c r="G18" i="4"/>
  <c r="F18" i="4"/>
  <c r="E18" i="4"/>
  <c r="D18" i="4"/>
  <c r="C18" i="4"/>
  <c r="J16" i="4"/>
  <c r="I16" i="4"/>
  <c r="H16" i="4"/>
  <c r="G16" i="4"/>
  <c r="F16" i="4"/>
  <c r="E16" i="4"/>
  <c r="D16" i="4"/>
  <c r="C16" i="4"/>
  <c r="J14" i="4"/>
  <c r="I14" i="4"/>
  <c r="H14" i="4"/>
  <c r="G14" i="4"/>
  <c r="F14" i="4"/>
  <c r="E14" i="4"/>
  <c r="D14" i="4"/>
  <c r="C14"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G29" i="4"/>
  <c r="H28" i="4"/>
  <c r="H26" i="4"/>
  <c r="H25" i="4"/>
  <c r="H20" i="4"/>
  <c r="G50" i="4"/>
  <c r="G46" i="4"/>
  <c r="G20" i="4"/>
  <c r="F28" i="4"/>
  <c r="F26" i="4"/>
  <c r="F25" i="4"/>
  <c r="F20" i="4"/>
  <c r="E25" i="4"/>
  <c r="E20" i="4"/>
  <c r="D50" i="4"/>
  <c r="D46" i="4"/>
  <c r="D28" i="4"/>
  <c r="D20" i="4"/>
  <c r="C50" i="4"/>
  <c r="C46" i="4"/>
  <c r="C28" i="4"/>
  <c r="C26" i="4"/>
  <c r="C25" i="4"/>
  <c r="C20" i="4"/>
  <c r="B60" i="4"/>
  <c r="B59" i="4"/>
  <c r="B58" i="4"/>
  <c r="B56" i="4"/>
  <c r="B54" i="4"/>
  <c r="B53" i="4"/>
  <c r="B52" i="4"/>
  <c r="L50" i="4"/>
  <c r="K50" i="4"/>
  <c r="B50" i="4"/>
  <c r="B49" i="4"/>
  <c r="B47" i="4"/>
  <c r="B46" i="4"/>
  <c r="B51" i="4" s="1"/>
  <c r="B45" i="4"/>
  <c r="B44" i="4"/>
  <c r="B43" i="4"/>
  <c r="B39" i="4"/>
  <c r="B37" i="4"/>
  <c r="B36" i="4"/>
  <c r="B34" i="4"/>
  <c r="B33" i="4"/>
  <c r="B32" i="4"/>
  <c r="B27" i="4"/>
  <c r="B24" i="4"/>
  <c r="B22" i="4"/>
  <c r="B29" i="4" s="1"/>
  <c r="B21" i="4"/>
  <c r="B20" i="4"/>
  <c r="B19" i="4"/>
  <c r="B18" i="4"/>
  <c r="B16" i="4"/>
  <c r="B14" i="4"/>
  <c r="B12" i="4"/>
  <c r="B11" i="4"/>
  <c r="B10" i="4"/>
  <c r="B9" i="4"/>
  <c r="B8" i="4"/>
  <c r="B7" i="4"/>
  <c r="B6" i="4"/>
  <c r="B5" i="4"/>
  <c r="K29" i="4"/>
  <c r="L29" i="4"/>
  <c r="O29" i="4"/>
  <c r="P29" i="4"/>
  <c r="L25" i="4"/>
  <c r="K25" i="4"/>
  <c r="S14" i="13"/>
  <c r="R14" i="13"/>
  <c r="T14" i="13" s="1"/>
  <c r="Q14" i="13"/>
  <c r="L14" i="13"/>
  <c r="G14" i="13"/>
  <c r="S13" i="13"/>
  <c r="R13" i="13"/>
  <c r="T13" i="13" s="1"/>
  <c r="Q13" i="13"/>
  <c r="L13" i="13"/>
  <c r="G13" i="13"/>
  <c r="Q12" i="13"/>
  <c r="S11" i="13"/>
  <c r="R11" i="13"/>
  <c r="T11" i="13" s="1"/>
  <c r="Q11" i="13"/>
  <c r="L11" i="13"/>
  <c r="G11" i="13"/>
  <c r="S10" i="13"/>
  <c r="M10" i="13"/>
  <c r="R10" i="13" s="1"/>
  <c r="T10" i="13" s="1"/>
  <c r="L10" i="13"/>
  <c r="G10" i="13"/>
  <c r="S9" i="13"/>
  <c r="R9" i="13"/>
  <c r="T9" i="13" s="1"/>
  <c r="Q9" i="13"/>
  <c r="L9" i="13"/>
  <c r="G9" i="13"/>
  <c r="T8" i="13"/>
  <c r="S8" i="13"/>
  <c r="R8" i="13"/>
  <c r="Q8" i="13"/>
  <c r="L8" i="13"/>
  <c r="G8" i="13"/>
  <c r="S7" i="13"/>
  <c r="R7" i="13"/>
  <c r="T7" i="13" s="1"/>
  <c r="Q7" i="13"/>
  <c r="L7" i="13"/>
  <c r="G7" i="13"/>
  <c r="T6" i="13"/>
  <c r="S6" i="13"/>
  <c r="R6" i="13"/>
  <c r="Q6" i="13"/>
  <c r="L6" i="13"/>
  <c r="G6" i="13"/>
  <c r="S5" i="13"/>
  <c r="R5" i="13"/>
  <c r="T5" i="13" s="1"/>
  <c r="Q5" i="13"/>
  <c r="L5" i="13"/>
  <c r="G5" i="13"/>
  <c r="J29" i="4" l="1"/>
  <c r="I29" i="4"/>
  <c r="H29" i="4"/>
  <c r="F29" i="4"/>
  <c r="E29" i="4"/>
  <c r="D29" i="4"/>
  <c r="C29" i="4"/>
  <c r="Q10" i="13"/>
  <c r="P40" i="6" l="1"/>
  <c r="P5" i="6"/>
  <c r="P62" i="4"/>
  <c r="P51" i="4"/>
  <c r="P40" i="4"/>
  <c r="P42" i="4" s="1"/>
  <c r="P17" i="4"/>
  <c r="P63" i="4" l="1"/>
  <c r="P64" i="4" s="1"/>
  <c r="P30" i="4"/>
  <c r="S9" i="9" l="1"/>
  <c r="S4" i="9"/>
  <c r="S19" i="9" l="1"/>
  <c r="S23" i="9" s="1"/>
  <c r="S25" i="9" s="1"/>
  <c r="S26" i="9" s="1"/>
  <c r="O40" i="6"/>
  <c r="O5" i="6"/>
  <c r="O24" i="6" s="1"/>
  <c r="O27" i="6" s="1"/>
  <c r="O51" i="4"/>
  <c r="O62" i="4"/>
  <c r="O40" i="4"/>
  <c r="O42" i="4" s="1"/>
  <c r="O17" i="4"/>
  <c r="R9" i="9"/>
  <c r="R4" i="9"/>
  <c r="N62" i="4"/>
  <c r="M62" i="4"/>
  <c r="N51" i="4"/>
  <c r="M51" i="4"/>
  <c r="N17" i="4"/>
  <c r="M17" i="4"/>
  <c r="N40" i="6"/>
  <c r="N5" i="6"/>
  <c r="N24" i="6" s="1"/>
  <c r="N27" i="6" s="1"/>
  <c r="N40" i="4"/>
  <c r="N42" i="4" s="1"/>
  <c r="Q9" i="9"/>
  <c r="Q4" i="9"/>
  <c r="O63" i="4" l="1"/>
  <c r="S29" i="9"/>
  <c r="S30" i="9" s="1"/>
  <c r="O51" i="6"/>
  <c r="O54" i="6" s="1"/>
  <c r="R19" i="9"/>
  <c r="R23" i="9" s="1"/>
  <c r="R25" i="9" s="1"/>
  <c r="R26" i="9" s="1"/>
  <c r="O30" i="4"/>
  <c r="N51" i="6"/>
  <c r="N54" i="6" s="1"/>
  <c r="N63" i="4"/>
  <c r="Q19" i="9"/>
  <c r="Q23" i="9" s="1"/>
  <c r="Q25" i="9" s="1"/>
  <c r="Q26" i="9" s="1"/>
  <c r="M40" i="6"/>
  <c r="M5" i="6"/>
  <c r="M40" i="4"/>
  <c r="M42" i="4" s="1"/>
  <c r="O9" i="9"/>
  <c r="O4" i="9"/>
  <c r="P24" i="9"/>
  <c r="P22" i="9"/>
  <c r="P21" i="9"/>
  <c r="P20" i="9"/>
  <c r="P18" i="9"/>
  <c r="P17" i="9"/>
  <c r="P16" i="9"/>
  <c r="P15" i="9"/>
  <c r="P14" i="9"/>
  <c r="P13" i="9"/>
  <c r="P12" i="9"/>
  <c r="P11" i="9"/>
  <c r="P10" i="9"/>
  <c r="P8" i="9"/>
  <c r="P7" i="9"/>
  <c r="P6" i="9"/>
  <c r="P5" i="9"/>
  <c r="O64" i="4" l="1"/>
  <c r="R29" i="9"/>
  <c r="R30" i="9" s="1"/>
  <c r="P4" i="6"/>
  <c r="P24" i="6" s="1"/>
  <c r="P27" i="6" s="1"/>
  <c r="P51" i="6" s="1"/>
  <c r="P54" i="6" s="1"/>
  <c r="N64" i="4"/>
  <c r="Q29" i="9"/>
  <c r="Q30" i="9" s="1"/>
  <c r="M63" i="4"/>
  <c r="O19" i="9"/>
  <c r="O29" i="9" s="1"/>
  <c r="O30" i="9" s="1"/>
  <c r="P4" i="9"/>
  <c r="P9" i="9"/>
  <c r="N9" i="9"/>
  <c r="N4" i="9"/>
  <c r="L40" i="6"/>
  <c r="L5" i="6"/>
  <c r="L62" i="4"/>
  <c r="L51" i="4"/>
  <c r="L40" i="4"/>
  <c r="L42" i="4" s="1"/>
  <c r="L17" i="4"/>
  <c r="F12" i="9"/>
  <c r="K12" i="9"/>
  <c r="F13" i="9"/>
  <c r="K13" i="9"/>
  <c r="F15" i="9"/>
  <c r="K15" i="9"/>
  <c r="F16" i="9"/>
  <c r="K16" i="9"/>
  <c r="M64" i="4" l="1"/>
  <c r="N19" i="9"/>
  <c r="N29" i="9" s="1"/>
  <c r="N30" i="9" s="1"/>
  <c r="O23" i="9"/>
  <c r="O25" i="9" s="1"/>
  <c r="O26" i="9" s="1"/>
  <c r="P19" i="9"/>
  <c r="L24" i="6"/>
  <c r="L27" i="6" s="1"/>
  <c r="L51" i="6" s="1"/>
  <c r="L54" i="6" s="1"/>
  <c r="L63" i="4"/>
  <c r="L30" i="4"/>
  <c r="L64" i="4" l="1"/>
  <c r="P29" i="9"/>
  <c r="N23" i="9"/>
  <c r="N25" i="9" s="1"/>
  <c r="N26" i="9" s="1"/>
  <c r="P23" i="9"/>
  <c r="P30" i="9" l="1"/>
  <c r="P25" i="9"/>
  <c r="P26" i="9" s="1"/>
  <c r="M4" i="6" l="1"/>
  <c r="M24" i="6" s="1"/>
  <c r="D5" i="6"/>
  <c r="C5" i="6"/>
  <c r="B5" i="6"/>
  <c r="H46" i="6"/>
  <c r="H50" i="6" s="1"/>
  <c r="G46" i="6"/>
  <c r="G50" i="6" s="1"/>
  <c r="F46" i="6"/>
  <c r="F50" i="6" s="1"/>
  <c r="E46" i="6"/>
  <c r="E50" i="6" s="1"/>
  <c r="D46" i="6"/>
  <c r="D50" i="6" s="1"/>
  <c r="C46" i="6"/>
  <c r="C50" i="6" s="1"/>
  <c r="M27" i="6" l="1"/>
  <c r="I41" i="4"/>
  <c r="J41" i="4"/>
  <c r="H41" i="4"/>
  <c r="B40" i="6"/>
  <c r="C40" i="6"/>
  <c r="D40" i="6"/>
  <c r="E40" i="6"/>
  <c r="F40" i="6"/>
  <c r="G40" i="6"/>
  <c r="H40" i="6"/>
  <c r="I40" i="6"/>
  <c r="J40" i="6"/>
  <c r="K40" i="6"/>
  <c r="N20" i="4" l="1"/>
  <c r="N29" i="4" s="1"/>
  <c r="M20" i="4"/>
  <c r="M26" i="4"/>
  <c r="M51" i="6"/>
  <c r="K5" i="6"/>
  <c r="K62" i="4"/>
  <c r="K51" i="4"/>
  <c r="K40" i="4"/>
  <c r="K42" i="4" s="1"/>
  <c r="K17"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29" i="4" l="1"/>
  <c r="H40" i="4"/>
  <c r="H42" i="4" s="1"/>
  <c r="D62" i="4"/>
  <c r="C51" i="4"/>
  <c r="I62" i="4"/>
  <c r="G40" i="4"/>
  <c r="G42" i="4" s="1"/>
  <c r="H51" i="4"/>
  <c r="I40" i="4"/>
  <c r="I42" i="4" s="1"/>
  <c r="C62" i="4"/>
  <c r="E62" i="4"/>
  <c r="I51" i="4"/>
  <c r="F40" i="4"/>
  <c r="F42" i="4" s="1"/>
  <c r="D40" i="4"/>
  <c r="D42" i="4" s="1"/>
  <c r="J62" i="4"/>
  <c r="E51" i="4"/>
  <c r="B40" i="4"/>
  <c r="B42" i="4" s="1"/>
  <c r="D51" i="4"/>
  <c r="G62" i="4"/>
  <c r="F62" i="4"/>
  <c r="J51" i="4"/>
  <c r="G51" i="4"/>
  <c r="B62" i="4"/>
  <c r="E40" i="4"/>
  <c r="E42" i="4" s="1"/>
  <c r="J17" i="4"/>
  <c r="H62" i="4"/>
  <c r="F51" i="4"/>
  <c r="C40" i="4"/>
  <c r="C42" i="4" s="1"/>
  <c r="J40" i="4"/>
  <c r="J42" i="4" s="1"/>
  <c r="M54" i="6"/>
  <c r="F9" i="9"/>
  <c r="L9" i="9"/>
  <c r="L4" i="9"/>
  <c r="F17" i="4"/>
  <c r="E17" i="4"/>
  <c r="G17" i="4"/>
  <c r="B17" i="4"/>
  <c r="H17" i="4"/>
  <c r="I17" i="4"/>
  <c r="D17" i="4"/>
  <c r="C17" i="4"/>
  <c r="K30" i="4"/>
  <c r="K63" i="4"/>
  <c r="K9" i="9"/>
  <c r="B19" i="9"/>
  <c r="D63" i="4" l="1"/>
  <c r="H63" i="4"/>
  <c r="H64" i="4" s="1"/>
  <c r="B63" i="4"/>
  <c r="B64" i="4" s="1"/>
  <c r="J63" i="4"/>
  <c r="J64" i="4" s="1"/>
  <c r="I63" i="4"/>
  <c r="I64" i="4" s="1"/>
  <c r="F30" i="4"/>
  <c r="E63" i="4"/>
  <c r="E64" i="4" s="1"/>
  <c r="C63" i="4"/>
  <c r="C64" i="4" s="1"/>
  <c r="D64" i="4"/>
  <c r="G63" i="4"/>
  <c r="G64" i="4" s="1"/>
  <c r="I30" i="4"/>
  <c r="N30" i="4"/>
  <c r="F63" i="4"/>
  <c r="F64" i="4" s="1"/>
  <c r="G30" i="4"/>
  <c r="M30" i="4"/>
  <c r="D30" i="4"/>
  <c r="B23" i="9"/>
  <c r="B29" i="9"/>
  <c r="B30" i="9" s="1"/>
  <c r="C30" i="4"/>
  <c r="K64" i="4"/>
  <c r="B30" i="4"/>
  <c r="E30" i="4"/>
  <c r="J30" i="4"/>
  <c r="H30" i="4"/>
  <c r="M19" i="9" l="1"/>
  <c r="M29" i="9" s="1"/>
  <c r="L19" i="9"/>
  <c r="L29" i="9" s="1"/>
  <c r="J19" i="9"/>
  <c r="J29" i="9" s="1"/>
  <c r="I19" i="9"/>
  <c r="I29" i="9" s="1"/>
  <c r="H19" i="9"/>
  <c r="H29" i="9" s="1"/>
  <c r="G19" i="9"/>
  <c r="G29" i="9" s="1"/>
  <c r="E19" i="9"/>
  <c r="E29" i="9" s="1"/>
  <c r="D19" i="9"/>
  <c r="D29" i="9" s="1"/>
  <c r="C19" i="9"/>
  <c r="C29" i="9" s="1"/>
  <c r="B25" i="9"/>
  <c r="K4" i="9"/>
  <c r="F4" i="9"/>
  <c r="F19" i="9" s="1"/>
  <c r="F29" i="9" s="1"/>
  <c r="D23" i="9" l="1"/>
  <c r="D25" i="9" s="1"/>
  <c r="D26" i="9" s="1"/>
  <c r="D30" i="9"/>
  <c r="L23" i="9"/>
  <c r="L25" i="9" s="1"/>
  <c r="L26" i="9" s="1"/>
  <c r="L30" i="9"/>
  <c r="G30" i="9"/>
  <c r="G23" i="9"/>
  <c r="G25" i="9" s="1"/>
  <c r="G26" i="9" s="1"/>
  <c r="J30" i="9"/>
  <c r="J23" i="9"/>
  <c r="J25" i="9" s="1"/>
  <c r="J26" i="9" s="1"/>
  <c r="H23" i="9"/>
  <c r="H25" i="9" s="1"/>
  <c r="H26" i="9" s="1"/>
  <c r="H30" i="9"/>
  <c r="C23" i="9"/>
  <c r="C25" i="9" s="1"/>
  <c r="C26" i="9" s="1"/>
  <c r="C30" i="9"/>
  <c r="E30" i="9"/>
  <c r="E23" i="9"/>
  <c r="E25" i="9" s="1"/>
  <c r="E26" i="9" s="1"/>
  <c r="I23" i="9"/>
  <c r="I25" i="9" s="1"/>
  <c r="I26" i="9" s="1"/>
  <c r="I30" i="9"/>
  <c r="M23" i="9"/>
  <c r="M25" i="9" s="1"/>
  <c r="M26" i="9" s="1"/>
  <c r="M30" i="9"/>
  <c r="K19" i="9"/>
  <c r="F23" i="9"/>
  <c r="F25" i="9" s="1"/>
  <c r="F26" i="9" s="1"/>
  <c r="F30" i="9"/>
  <c r="K23" i="9" l="1"/>
  <c r="K25" i="9" s="1"/>
  <c r="K26" i="9" s="1"/>
  <c r="K29" i="9"/>
  <c r="K30" i="9" s="1"/>
  <c r="K4" i="6"/>
  <c r="K24" i="6" s="1"/>
  <c r="K27" i="6" s="1"/>
  <c r="K51" i="6" s="1"/>
  <c r="K54" i="6" s="1"/>
  <c r="C24" i="6" l="1"/>
  <c r="C27" i="6" s="1"/>
  <c r="C51" i="6" l="1"/>
  <c r="C54" i="6" s="1"/>
  <c r="E5" i="6" l="1"/>
  <c r="E24" i="6" s="1"/>
  <c r="E27" i="6" s="1"/>
  <c r="E51" i="6" s="1"/>
  <c r="E54" i="6" s="1"/>
  <c r="J5" i="6"/>
  <c r="J24" i="6" s="1"/>
  <c r="J27" i="6" s="1"/>
  <c r="J51" i="6" s="1"/>
  <c r="J54" i="6" s="1"/>
  <c r="B24" i="6"/>
  <c r="B27" i="6" s="1"/>
  <c r="B51" i="6" s="1"/>
  <c r="B54" i="6" s="1"/>
  <c r="F5" i="6"/>
  <c r="F24" i="6" s="1"/>
  <c r="F27" i="6" s="1"/>
  <c r="F51" i="6" s="1"/>
  <c r="F54" i="6" s="1"/>
  <c r="G5" i="6"/>
  <c r="G24" i="6" s="1"/>
  <c r="G27" i="6" s="1"/>
  <c r="G51" i="6" s="1"/>
  <c r="G54" i="6" s="1"/>
  <c r="D24" i="6"/>
  <c r="D27" i="6" s="1"/>
  <c r="D51" i="6" s="1"/>
  <c r="D54" i="6" s="1"/>
  <c r="I5" i="6"/>
  <c r="I24" i="6" s="1"/>
  <c r="I27" i="6" s="1"/>
  <c r="I51" i="6" s="1"/>
  <c r="I54" i="6" s="1"/>
  <c r="H5" i="6"/>
  <c r="H24" i="6" s="1"/>
  <c r="H27" i="6" s="1"/>
  <c r="H51" i="6" s="1"/>
  <c r="H54" i="6" s="1"/>
</calcChain>
</file>

<file path=xl/sharedStrings.xml><?xml version="1.0" encoding="utf-8"?>
<sst xmlns="http://schemas.openxmlformats.org/spreadsheetml/2006/main" count="411" uniqueCount="248">
  <si>
    <t>EBITDA</t>
  </si>
  <si>
    <t>Wynagrodzenia i świadczenia na rzecz pracowników</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</si>
  <si>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</si>
  <si>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</si>
  <si>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</si>
  <si>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</si>
  <si>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</si>
  <si>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</si>
  <si>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</si>
  <si>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</si>
  <si>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</si>
  <si>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</si>
  <si>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</si>
  <si>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</si>
  <si>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PASYWA</t>
  </si>
  <si>
    <t>Kapitał zakładowy</t>
  </si>
  <si>
    <t>Kapitał zapasowy</t>
  </si>
  <si>
    <t>Kapitał rezerwowy</t>
  </si>
  <si>
    <t>Kapitał własny razem</t>
  </si>
  <si>
    <t>Zobowiązania z tytułu kredytów i pożyczek</t>
  </si>
  <si>
    <t>Zobowiązania z tytułu leasingu finansowego</t>
  </si>
  <si>
    <t>Zobowiązania z tytułu odroczonego podatku dochodowego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</si>
  <si>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</si>
  <si>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</si>
  <si>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</si>
  <si>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</si>
  <si>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</si>
  <si>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</si>
  <si>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PASYWA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</si>
  <si>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</si>
  <si>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</si>
  <si>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</si>
  <si>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</si>
  <si>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</si>
  <si>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</si>
  <si>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</si>
  <si>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</si>
  <si>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Środki pieniężne z działalności operacyjnej</t>
  </si>
  <si>
    <t>Nabycie wartości niematerialnych</t>
  </si>
  <si>
    <t>Nabycie rzeczowych aktywów trwałych</t>
  </si>
  <si>
    <t>Spłata zobowiązań z tytułu leasingu finansowego</t>
  </si>
  <si>
    <t>Inne wydatki</t>
  </si>
  <si>
    <t>Zmiana netto środków pieniężnych i ich ekwiwalentów</t>
  </si>
  <si>
    <t>Środki pieniężne i ich ekwiwalenty na początek okresu</t>
  </si>
  <si>
    <t>Zmiana stanu środków pieniężnych z tytułu różnic kursowych</t>
  </si>
  <si>
    <t>Zobowiązania związane z aktywami trwałymi przeznaczonymi do sprzedaży</t>
  </si>
  <si>
    <t>Wypłacone dywidendy</t>
  </si>
  <si>
    <t>Spłata otrzymanych kredytów i pożyczek</t>
  </si>
  <si>
    <t>Środki pieniężne o ograniczonej możliwości dysponowania</t>
  </si>
  <si>
    <t>Kaucje otrzymane za wydany sprzęt</t>
  </si>
  <si>
    <t>Udzielone pożyczki</t>
  </si>
  <si>
    <t>Wpływy ze zbycia niefinansowych aktywów trwałych</t>
  </si>
  <si>
    <t>Spłata udzielonych pożyczek</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</si>
  <si>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</si>
  <si>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</si>
  <si>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</si>
  <si>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</si>
  <si>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</si>
  <si>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</si>
  <si>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Emisja obligacji</t>
  </si>
  <si>
    <t>Marki</t>
  </si>
  <si>
    <t>Długoterminowe aktywa programowe</t>
  </si>
  <si>
    <t>Krótkoterminowe aktywa programowe</t>
  </si>
  <si>
    <t>Kapitał z aktualizacji wyceny instrumentów zabezpieczających</t>
  </si>
  <si>
    <t>Różnice kursowe z przeliczenia jednostek działających za granicą</t>
  </si>
  <si>
    <t xml:space="preserve">Inne wartości niematerialne </t>
  </si>
  <si>
    <t>(Zyski) / straty z tytułu różnic kursowych, netto</t>
  </si>
  <si>
    <t>3)</t>
  </si>
  <si>
    <t>Pożyczki udzielone jednostkom powiązanym</t>
  </si>
  <si>
    <t>1)</t>
  </si>
  <si>
    <t>2)</t>
  </si>
  <si>
    <t>Zmiana stanu zobowiązań, rezerw i przychodów przyszłych okresów</t>
  </si>
  <si>
    <t>Zwiększenie netto wartości zestawów odbiorczych w leasingu operacyjnym</t>
  </si>
  <si>
    <t>Środki pieniężne netto z działalności operacyjnej</t>
  </si>
  <si>
    <t>Środki pieniężne netto z działalności inwestycyjnej</t>
  </si>
  <si>
    <t>Środki pieniężne netto z działalności finansowej</t>
  </si>
  <si>
    <t>Nabycie udziałów w jednostkach zależnych pomniejszone o przejęte środki pieniężne</t>
  </si>
  <si>
    <t>Pozostałe wpływy</t>
  </si>
  <si>
    <t>Zysk / (strata) netto za okres</t>
  </si>
  <si>
    <t>Zysk / (strata) brutto za okres</t>
  </si>
  <si>
    <t>Koszty operacyjne</t>
  </si>
  <si>
    <t>Przychody ze sprzedaży usług, produktów, towarów i materiałów</t>
  </si>
  <si>
    <t>Zyski/(straty) zatrzymane</t>
  </si>
  <si>
    <t>Należności z tytułu podatku dochodowego</t>
  </si>
  <si>
    <t>Udziały niekontrolujące</t>
  </si>
  <si>
    <t>Wpływy ze zbycia jednostek zależnych</t>
  </si>
  <si>
    <t>Kapitał przypadający na akcjonariuszy Jednostki Dominującej</t>
  </si>
  <si>
    <t>Amortyzacja, utrata wartości i likwidacja</t>
  </si>
  <si>
    <t>Otrzymane dywidendy</t>
  </si>
  <si>
    <t>Przychody detaliczne od klientów indywidualnych i biznesowych</t>
  </si>
  <si>
    <t>Przychody hurtowe</t>
  </si>
  <si>
    <t>Przychody ze sprzedaży sprzętu</t>
  </si>
  <si>
    <t>Pozostałe przychody ze sprzedaży</t>
  </si>
  <si>
    <t>Koszty kontentu</t>
  </si>
  <si>
    <t>Koszty dystrybucji, marketingu, obsługi i utrzymania klienta</t>
  </si>
  <si>
    <t>Koszty techniczne i rozliczeń międzyoperatorskich</t>
  </si>
  <si>
    <t>Koszt własny sprzedanego sprzętu</t>
  </si>
  <si>
    <t>Koszty windykacji, odpisów aktualizujących wartość należności i koszt spisanych należności</t>
  </si>
  <si>
    <t>Inne koszty</t>
  </si>
  <si>
    <t>Pozostałe przychody / koszty operacyjne, netto</t>
  </si>
  <si>
    <t xml:space="preserve">Koszty finansowe </t>
  </si>
  <si>
    <t xml:space="preserve">Zobowiązania z tytułu obligacji </t>
  </si>
  <si>
    <t>Lokaty krótkoterminowe</t>
  </si>
  <si>
    <t>(Zysk)/strata ze sprzedaży rzeczowych aktywów trwałych i wartości niematerialnych</t>
  </si>
  <si>
    <t>Strata na instrumentach pochodnych, netto</t>
  </si>
  <si>
    <t>Wpływy z tytułu realizacji instrumentaów pochodnych</t>
  </si>
  <si>
    <t xml:space="preserve">Lokaty krótkoterminowe </t>
  </si>
  <si>
    <t>Zapłata za usługi doradcze związane z emisją akcji</t>
  </si>
  <si>
    <t>Spłata obligacji</t>
  </si>
  <si>
    <t>6)</t>
  </si>
  <si>
    <t>Zysk/(strata) z działalności operacyjnej</t>
  </si>
  <si>
    <t>Płatności z tytułu koncesji</t>
  </si>
  <si>
    <t>Udział w zysku wspólnego przedsięwzięcia wycenianego metodą praw własności</t>
  </si>
  <si>
    <t>w tym aktywa z tytułu instrumentów pochodnych</t>
  </si>
  <si>
    <t>w tym zobowiązania z tytułu instrumentów pochodnych</t>
  </si>
  <si>
    <t>Środki pieniężne i ich ekwiwalenty na koniec okresu</t>
  </si>
  <si>
    <t>Zaciągnięcie kredytów</t>
  </si>
  <si>
    <t>GRUPA KAPITAŁOWA CYFROWY POLSAT S.A.</t>
  </si>
  <si>
    <t>SKONSOLIDOWANY RACHUNEK ZYSKÓW I STRAT</t>
  </si>
  <si>
    <t>(w mln PLN)</t>
  </si>
  <si>
    <r>
      <t>Zyski i straty z działalności inwestycyjnej, netto</t>
    </r>
    <r>
      <rPr>
        <vertAlign val="superscript"/>
        <sz val="10"/>
        <color indexed="8"/>
        <rFont val="Calibri"/>
        <family val="2"/>
        <charset val="238"/>
      </rPr>
      <t xml:space="preserve"> </t>
    </r>
  </si>
  <si>
    <t>Q1</t>
  </si>
  <si>
    <t>Q2</t>
  </si>
  <si>
    <t>Q3</t>
  </si>
  <si>
    <t>Q4</t>
  </si>
  <si>
    <t>SEGMENT USŁUG ŚWIADCZONYCH KLIENTOM INDYWIDUALNYM I BIZNESOWYM</t>
  </si>
  <si>
    <t>SEGMENT NADAWANIA I PRODUKCJI TELEWIZYJNEJ</t>
  </si>
  <si>
    <t>WYŁĄCZENIA I KOREKTY KONSOLIDACYJNE</t>
  </si>
  <si>
    <t>RAZEM</t>
  </si>
  <si>
    <t>za okres 9 miesięcy zakończony</t>
  </si>
  <si>
    <t>30 września 2015</t>
  </si>
  <si>
    <t>30 września 2014</t>
  </si>
  <si>
    <t>Zmiana</t>
  </si>
  <si>
    <t>Sprzedaż do stron trzecich</t>
  </si>
  <si>
    <t>Sprzedaż pomiędzy segmentami</t>
  </si>
  <si>
    <t>Przychody ze sprzedaży</t>
  </si>
  <si>
    <t xml:space="preserve">Nabycie rzeczowych aktywów trwałych, zestawów odbiorczych i innych wartości niematerialnych </t>
  </si>
  <si>
    <t>Na dzień 30 września</t>
  </si>
  <si>
    <t>Aktywa segmentu, w tym:</t>
  </si>
  <si>
    <t>Inwestycje we wspólne przedsięwzięcia</t>
  </si>
  <si>
    <r>
      <rPr>
        <vertAlign val="superscript"/>
        <sz val="9"/>
        <color theme="1"/>
        <rFont val="Calibri"/>
        <family val="2"/>
        <charset val="238"/>
        <scheme val="minor"/>
      </rPr>
      <t>1</t>
    </r>
    <r>
      <rPr>
        <sz val="9"/>
        <color theme="1"/>
        <rFont val="Calibri"/>
        <family val="2"/>
        <charset val="238"/>
        <scheme val="minor"/>
      </rPr>
      <t xml:space="preserve"> Pozycja ta obejmuje także nabycie zestawów odbiorczych w leasingu operacyjnym.</t>
    </r>
  </si>
  <si>
    <r>
      <rPr>
        <vertAlign val="superscript"/>
        <sz val="9"/>
        <color theme="1"/>
        <rFont val="Calibri"/>
        <family val="2"/>
        <charset val="238"/>
        <scheme val="minor"/>
      </rPr>
      <t>2</t>
    </r>
    <r>
      <rPr>
        <sz val="9"/>
        <color theme="1"/>
        <rFont val="Calibri"/>
        <family val="2"/>
        <charset val="238"/>
        <scheme val="minor"/>
      </rPr>
      <t xml:space="preserve"> Pozycja ta obejmuje także aktywa trwałe zlokalizowane poza granicami Polski w wysokości 22,3 mln zł</t>
    </r>
  </si>
  <si>
    <r>
      <rPr>
        <vertAlign val="superscript"/>
        <sz val="9"/>
        <color theme="1"/>
        <rFont val="Calibri"/>
        <family val="2"/>
        <charset val="238"/>
        <scheme val="minor"/>
      </rPr>
      <t>3</t>
    </r>
    <r>
      <rPr>
        <sz val="9"/>
        <color theme="1"/>
        <rFont val="Calibri"/>
        <family val="2"/>
        <charset val="238"/>
        <scheme val="minor"/>
      </rPr>
      <t xml:space="preserve"> Pozycja ta obejmuje także aktywa trwałe zlokalizowane poza granicami Polski w wysokości 82,1 mln zł.</t>
    </r>
  </si>
  <si>
    <t>SKONSOLIDOWANY BILANS</t>
  </si>
  <si>
    <t xml:space="preserve">31 marca </t>
  </si>
  <si>
    <t xml:space="preserve">30 czerwca </t>
  </si>
  <si>
    <t xml:space="preserve">30 września </t>
  </si>
  <si>
    <t xml:space="preserve">31 grudnia </t>
  </si>
  <si>
    <r>
      <t xml:space="preserve">31 grudnia przekształcony </t>
    </r>
    <r>
      <rPr>
        <b/>
        <vertAlign val="superscript"/>
        <sz val="10"/>
        <color indexed="8"/>
        <rFont val="Calibri"/>
        <family val="2"/>
        <charset val="238"/>
      </rPr>
      <t>5)</t>
    </r>
  </si>
  <si>
    <r>
      <t>Relacje z klientami</t>
    </r>
    <r>
      <rPr>
        <vertAlign val="superscript"/>
        <sz val="10"/>
        <color indexed="8"/>
        <rFont val="Calibri"/>
        <family val="2"/>
        <charset val="238"/>
      </rPr>
      <t>4)</t>
    </r>
  </si>
  <si>
    <r>
      <t>Długoterminowe prowizje dla dystrybutorów rozliczane w czasie</t>
    </r>
    <r>
      <rPr>
        <vertAlign val="superscript"/>
        <sz val="10"/>
        <color indexed="8"/>
        <rFont val="Calibri"/>
        <family val="2"/>
        <charset val="238"/>
      </rPr>
      <t>1)</t>
    </r>
  </si>
  <si>
    <r>
      <t>Inne aktywa długoterminowe</t>
    </r>
    <r>
      <rPr>
        <vertAlign val="superscript"/>
        <sz val="10"/>
        <color indexed="8"/>
        <rFont val="Calibri"/>
        <family val="2"/>
        <charset val="238"/>
      </rPr>
      <t>1)</t>
    </r>
  </si>
  <si>
    <r>
      <t>Należności z tytułu dostaw i usług oraz pozostałe należności</t>
    </r>
    <r>
      <rPr>
        <vertAlign val="superscript"/>
        <sz val="10"/>
        <color indexed="8"/>
        <rFont val="Calibri"/>
        <family val="2"/>
        <charset val="238"/>
      </rPr>
      <t>2)</t>
    </r>
  </si>
  <si>
    <r>
      <t>Krótkoterminowe prowizje dla dystrybutorów rozliczane w czasie</t>
    </r>
    <r>
      <rPr>
        <vertAlign val="superscript"/>
        <sz val="10"/>
        <color indexed="8"/>
        <rFont val="Calibri"/>
        <family val="2"/>
        <charset val="238"/>
      </rPr>
      <t>1)</t>
    </r>
  </si>
  <si>
    <r>
      <t>Pozostałe aktywa obrotowe</t>
    </r>
    <r>
      <rPr>
        <vertAlign val="superscript"/>
        <sz val="10"/>
        <color indexed="8"/>
        <rFont val="Calibri"/>
        <family val="2"/>
        <charset val="238"/>
      </rPr>
      <t>1)</t>
    </r>
  </si>
  <si>
    <r>
      <t>Nadwyżka wartości emisyjnej akcji powyżej ich wartości nominalnej</t>
    </r>
    <r>
      <rPr>
        <vertAlign val="superscript"/>
        <sz val="10"/>
        <color indexed="8"/>
        <rFont val="Calibri"/>
        <family val="2"/>
        <charset val="238"/>
      </rPr>
      <t>3)</t>
    </r>
  </si>
  <si>
    <r>
      <t>Pozostałe kapitały</t>
    </r>
    <r>
      <rPr>
        <vertAlign val="superscript"/>
        <sz val="10"/>
        <color indexed="8"/>
        <rFont val="Calibri"/>
        <family val="2"/>
        <charset val="238"/>
      </rPr>
      <t>3)</t>
    </r>
  </si>
  <si>
    <r>
      <t>Zobowiązania z tytułu koncesji UMTS</t>
    </r>
    <r>
      <rPr>
        <vertAlign val="superscript"/>
        <sz val="10"/>
        <color indexed="8"/>
        <rFont val="Calibri"/>
        <family val="2"/>
        <charset val="238"/>
      </rPr>
      <t>4)</t>
    </r>
  </si>
  <si>
    <r>
      <t>Przychody przyszłych okresów</t>
    </r>
    <r>
      <rPr>
        <vertAlign val="superscript"/>
        <sz val="10"/>
        <color indexed="8"/>
        <rFont val="Calibri"/>
        <family val="2"/>
        <charset val="238"/>
      </rPr>
      <t>2)</t>
    </r>
  </si>
  <si>
    <r>
      <rPr>
        <vertAlign val="superscript"/>
        <sz val="10"/>
        <color indexed="8"/>
        <rFont val="Calibri"/>
        <family val="2"/>
        <charset val="238"/>
      </rPr>
      <t>3)</t>
    </r>
    <r>
      <rPr>
        <sz val="10"/>
        <color indexed="8"/>
        <rFont val="Calibri"/>
        <family val="2"/>
        <charset val="238"/>
      </rPr>
      <t xml:space="preserve"> Zmiana prezentacji od 30 czerwca 2012 roku. Dane na 31 grudnia 2011 roku zostały przekształcone w celu uzgodnienia prezentacji do bieżącego okresu.</t>
    </r>
  </si>
  <si>
    <r>
      <rPr>
        <vertAlign val="superscript"/>
        <sz val="10"/>
        <color indexed="8"/>
        <rFont val="Calibri"/>
        <family val="2"/>
        <charset val="238"/>
      </rPr>
      <t>4)</t>
    </r>
    <r>
      <rPr>
        <sz val="10"/>
        <color indexed="8"/>
        <rFont val="Calibri"/>
        <family val="2"/>
        <charset val="238"/>
      </rPr>
      <t xml:space="preserve"> W wyniku wstępnego procesu alokacji ceny zakupu, na koniec czerwca 2014 roku Grupa wprowadziła nowe pozycje bilansowe: Relacje z klientami oraz Zobowiązania z tytułu koncesji UMTS zarówno w  długo jak i krótkoterminowych zobowiązaniach. </t>
    </r>
  </si>
  <si>
    <r>
      <rPr>
        <vertAlign val="superscript"/>
        <sz val="10"/>
        <color indexed="8"/>
        <rFont val="Calibri"/>
        <family val="2"/>
        <charset val="238"/>
      </rPr>
      <t>5)</t>
    </r>
    <r>
      <rPr>
        <sz val="10"/>
        <color indexed="8"/>
        <rFont val="Calibri"/>
        <family val="2"/>
        <charset val="238"/>
      </rPr>
      <t xml:space="preserve"> Przekszatłcenie w wyniku finalizacji procesu alokacji ceny nabycia Metelem.</t>
    </r>
  </si>
  <si>
    <r>
      <rPr>
        <vertAlign val="superscript"/>
        <sz val="10"/>
        <color indexed="8"/>
        <rFont val="Calibri"/>
        <family val="2"/>
        <charset val="238"/>
      </rPr>
      <t>6)</t>
    </r>
    <r>
      <rPr>
        <sz val="10"/>
        <color indexed="8"/>
        <rFont val="Calibri"/>
        <family val="2"/>
        <charset val="238"/>
      </rPr>
      <t xml:space="preserve"> Od 30 czerwca 2015 roku pozycja "Kaucje otrzymane za wydane sprzęt" została ujęta w pozycji "Zobowiązania z tytułu dostaw i usług oraz pozostałe zobowiązania".</t>
    </r>
  </si>
  <si>
    <t>AKTYWA RAZEM</t>
  </si>
  <si>
    <t>3 miesiące 
do 31 marca</t>
  </si>
  <si>
    <t>6 miesięcy 
do 30 czerwca</t>
  </si>
  <si>
    <t xml:space="preserve">9 miesięcy 
do 30 września </t>
  </si>
  <si>
    <t xml:space="preserve">12 miesięcy 
do 31 grudnia </t>
  </si>
  <si>
    <t>Zysk  netto za okres</t>
  </si>
  <si>
    <t>SKONSOLIDOWANY RACHUNEK PRZEPŁYWÓW PIENIĘŻNYCH</t>
  </si>
  <si>
    <t xml:space="preserve">ZASTRZEŻNIE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lata 2012 i 2013 oraz 1Q i 2Q 2014 roku mają jedynie charakter informacyjny oraz przedstawiają, jaki wpływ na wyniki operacyjne Grupy miałyby wyniki operacyjne grupy Metelem, a w szczególności Polkomtelu, gdyby wchodziła w skład Grupy Polsat w porównywanych okresach. Wskaźniki te zostały przygotowane wyłącznie w celach ilustracyjnych i ze względu na swój charakter prezentują hipotetyczną sytuację, dlatego też nie przedstawiają rzeczywistych wyników operacyjnych Grupy za dane okresy. </t>
  </si>
  <si>
    <r>
      <t>SEGMENT USŁUG ŚWIADCZONYCH KLIENTOM                                                                                                               INDYWIDUALNYM I BIZNESOWYM</t>
    </r>
    <r>
      <rPr>
        <b/>
        <vertAlign val="superscript"/>
        <sz val="9"/>
        <color rgb="FF000000"/>
        <rFont val="Calibri"/>
        <family val="2"/>
        <charset val="238"/>
        <scheme val="minor"/>
      </rPr>
      <t>1)</t>
    </r>
  </si>
  <si>
    <t>1Q</t>
  </si>
  <si>
    <t>2Q</t>
  </si>
  <si>
    <t>3Q</t>
  </si>
  <si>
    <t>4Q</t>
  </si>
  <si>
    <r>
      <t>Łączna liczba RGU</t>
    </r>
    <r>
      <rPr>
        <b/>
        <vertAlign val="superscript"/>
        <sz val="9"/>
        <rFont val="Calibri"/>
        <family val="2"/>
        <charset val="238"/>
        <scheme val="minor"/>
      </rPr>
      <t>2)</t>
    </r>
    <r>
      <rPr>
        <b/>
        <sz val="9"/>
        <rFont val="Calibri"/>
        <family val="2"/>
        <charset val="238"/>
        <scheme val="minor"/>
      </rPr>
      <t xml:space="preserve"> (kontraktowe+przedpłacone)</t>
    </r>
  </si>
  <si>
    <t>n/d</t>
  </si>
  <si>
    <t>USŁUGI KONTRAKTOWE</t>
  </si>
  <si>
    <t>Łączna liczba RGU na koniec okresu, w tym:</t>
  </si>
  <si>
    <t>Płatna telewizja, w tym:</t>
  </si>
  <si>
    <t>Multiroom</t>
  </si>
  <si>
    <t>Telefonia komórkowa</t>
  </si>
  <si>
    <t>Internet</t>
  </si>
  <si>
    <t>Liczba klientów</t>
  </si>
  <si>
    <r>
      <t>ARPU na klienta</t>
    </r>
    <r>
      <rPr>
        <vertAlign val="superscript"/>
        <sz val="9"/>
        <color rgb="FF000000"/>
        <rFont val="Calibri"/>
        <family val="2"/>
        <charset val="238"/>
        <scheme val="minor"/>
      </rPr>
      <t>3)</t>
    </r>
    <r>
      <rPr>
        <sz val="9"/>
        <color rgb="FF000000"/>
        <rFont val="Calibri"/>
        <family val="2"/>
        <charset val="238"/>
        <scheme val="minor"/>
      </rPr>
      <t xml:space="preserve"> [PLN]</t>
    </r>
  </si>
  <si>
    <r>
      <t>Churn na klienta</t>
    </r>
    <r>
      <rPr>
        <vertAlign val="superscript"/>
        <sz val="9"/>
        <color rgb="FF000000"/>
        <rFont val="Calibri"/>
        <family val="2"/>
        <charset val="238"/>
        <scheme val="minor"/>
      </rPr>
      <t>4)</t>
    </r>
  </si>
  <si>
    <t xml:space="preserve">Wskaźnik nasycenia RGU na jednego klienta </t>
  </si>
  <si>
    <t>Średnia liczba RGU, w tym:</t>
  </si>
  <si>
    <t>Średnia liczba klientów</t>
  </si>
  <si>
    <t>USŁUGI PRZEDPŁACONE</t>
  </si>
  <si>
    <t xml:space="preserve">Płatna telewizja </t>
  </si>
  <si>
    <t xml:space="preserve">Internet </t>
  </si>
  <si>
    <r>
      <t>ARPU na RGU</t>
    </r>
    <r>
      <rPr>
        <vertAlign val="superscript"/>
        <sz val="9"/>
        <color rgb="FF000000"/>
        <rFont val="Calibri"/>
        <family val="2"/>
        <charset val="238"/>
        <scheme val="minor"/>
      </rPr>
      <t>5)</t>
    </r>
    <r>
      <rPr>
        <sz val="9"/>
        <color rgb="FF000000"/>
        <rFont val="Calibri"/>
        <family val="2"/>
        <charset val="238"/>
        <scheme val="minor"/>
      </rPr>
      <t xml:space="preserve"> [PLN]</t>
    </r>
  </si>
  <si>
    <t>1) Klient - osoba fizyczna, prawna lub jednostka organizacyjna nieposiadającą osobowości prawnej, posiadająca co najmniej jedną, aktywną usługę świadczoną w modelu kontraktowym.</t>
  </si>
  <si>
    <t>2) RGU (revenue generating unit) - pojedyncza, aktywna usługa płatnej telewizji, dostępu do Internetu lub telefonii komórkowej, świadczona w modelu kontraktowym lub przedpłaconym.</t>
  </si>
  <si>
    <t xml:space="preserve">3) ARPU na klienta - Średni miesięczny przychód od Klienta wygenerowany w danym okresie rozliczeniowy (uwzględnia przychody z interconnect)
</t>
  </si>
  <si>
    <t xml:space="preserve">4) Churn (współczynnik odejść lub odpływu) - rozwiązanie umowy z Klientem w drodze wypowiedzenia, windykacji lub innych działań, skutkujące tym, że po skutecznym rozwiązaniu umowy, Klient nie posiada żadnej aktywnej usługi świadczonej w modelu kontraktowym. Wskaźnik churn prezentuje stosunek liczby klientów, którym dezaktywowano ostatnią usługę (w drodze wypowiedzenia, jak i dezaktywacji w wyniku działań windykacyjnych lub z innych przyczyn) w okresie ostatnich 12 miesięcy do średniorocznej liczby klientów w tym 12 miesięcznym okresie. 
</t>
  </si>
  <si>
    <t>5) ARPU na RGU - średni miesięczny przychód od RGU pre-paid wygenerowany w danym okresie rozliczeniowym (uwzględnia przychody z interconnect)</t>
  </si>
  <si>
    <t>3 miesiące zakończone 30 września</t>
  </si>
  <si>
    <t>9 miesięcy zakończone 30 września</t>
  </si>
  <si>
    <t>Zmiana / %</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</si>
  <si>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</si>
  <si>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</si>
  <si>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r>
      <t xml:space="preserve">    Kanały tematyczne</t>
    </r>
    <r>
      <rPr>
        <b/>
        <vertAlign val="superscript"/>
        <sz val="11"/>
        <color rgb="FF000000"/>
        <rFont val="Calibri"/>
        <family val="2"/>
        <charset val="238"/>
        <scheme val="minor"/>
      </rPr>
      <t>(2)</t>
    </r>
  </si>
  <si>
    <t>Polsat2</t>
  </si>
  <si>
    <t>Polsat News</t>
  </si>
  <si>
    <t>Polsat Sport</t>
  </si>
  <si>
    <t>Polsat Sport Extra</t>
  </si>
  <si>
    <t>Polsat Sport News</t>
  </si>
  <si>
    <t>Polsat Film</t>
  </si>
  <si>
    <t>Polsat JimJam</t>
  </si>
  <si>
    <t>Polsat Cafe</t>
  </si>
  <si>
    <t>Polsat Play</t>
  </si>
  <si>
    <t>CI Polsat</t>
  </si>
  <si>
    <r>
      <t>Polsat News 2</t>
    </r>
    <r>
      <rPr>
        <vertAlign val="superscript"/>
        <sz val="11"/>
        <color theme="1"/>
        <rFont val="Calibri"/>
        <family val="2"/>
        <charset val="238"/>
        <scheme val="minor"/>
      </rPr>
      <t>(3)</t>
    </r>
  </si>
  <si>
    <t>Polsat Food</t>
  </si>
  <si>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</si>
  <si>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</si>
  <si>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</si>
  <si>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</si>
  <si>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</si>
  <si>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</si>
  <si>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</si>
  <si>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</si>
  <si>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 xml:space="preserve">Polsat Volleyball </t>
    </r>
    <r>
      <rPr>
        <vertAlign val="superscript"/>
        <sz val="11"/>
        <color theme="1"/>
        <rFont val="Calibri"/>
        <family val="2"/>
        <charset val="238"/>
        <scheme val="minor"/>
      </rPr>
      <t>(7)</t>
    </r>
  </si>
  <si>
    <r>
      <t>Udział w rynku reklamy</t>
    </r>
    <r>
      <rPr>
        <b/>
        <vertAlign val="superscript"/>
        <sz val="11"/>
        <rFont val="Calibri"/>
        <family val="2"/>
        <charset val="238"/>
        <scheme val="minor"/>
      </rPr>
      <t>(8)</t>
    </r>
  </si>
  <si>
    <t>(1) Nielsen Audience Measurement, udział w oglądalności w grupie wszyscy 16-49 lat, cała doba.
(2) Licząc sumaryczne udziały Grupy Polsat i kanałów tematycznych uwzględniamy moment włączenia kanałów do naszego portfolio.
(3) Do 9 września 2014 kanał nadawał jako Polsat Biznes, obecnie kanał nosi nazwę Polsat News 2.
(4) Kanał do 29 kwietnia 2014 roku nadawał jako Polsat Viasat Explorer.
(5) Kanał nadaje od maja 2014 roku, dane za okres nadawania.
(6) Kanał uruchomiony 26 września 2014 roku, dane za okres nadawania.
(7) Kanał nadawał w okresie od 30 sierpnia do 21 września 2014 roku, dane za okres nadawania.
(8) Szacunki własne na podstawie danych Starlink.</t>
  </si>
  <si>
    <r>
      <t>Kanały Polsatu; zasięg techniczny</t>
    </r>
    <r>
      <rPr>
        <b/>
        <vertAlign val="superscript"/>
        <sz val="11"/>
        <rFont val="Calibri"/>
        <family val="2"/>
        <charset val="238"/>
        <scheme val="minor"/>
      </rPr>
      <t>(1)</t>
    </r>
  </si>
  <si>
    <t xml:space="preserve">3 miesiące zakończone 30 września </t>
  </si>
  <si>
    <t xml:space="preserve">9 miesięcy zakończone 30 września </t>
  </si>
  <si>
    <t>Polsat</t>
  </si>
  <si>
    <r>
      <t>Polsat News 2</t>
    </r>
    <r>
      <rPr>
        <vertAlign val="superscript"/>
        <sz val="11"/>
        <color theme="1"/>
        <rFont val="Calibri"/>
        <family val="2"/>
        <charset val="238"/>
        <scheme val="minor"/>
      </rPr>
      <t>(2)</t>
    </r>
  </si>
  <si>
    <r>
      <t>Polsat Viasat Explore</t>
    </r>
    <r>
      <rPr>
        <vertAlign val="superscript"/>
        <sz val="11"/>
        <color theme="1"/>
        <rFont val="Calibri"/>
        <family val="2"/>
        <charset val="238"/>
        <scheme val="minor"/>
      </rPr>
      <t>(3)</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</si>
  <si>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</si>
  <si>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</si>
  <si>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</si>
  <si>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r>
      <t>Polsat Volleyball</t>
    </r>
    <r>
      <rPr>
        <vertAlign val="superscript"/>
        <sz val="11"/>
        <color theme="1"/>
        <rFont val="Calibri"/>
        <family val="2"/>
        <charset val="238"/>
        <scheme val="minor"/>
      </rPr>
      <t xml:space="preserve"> (6)</t>
    </r>
    <r>
      <rPr>
        <sz val="11"/>
        <color theme="1"/>
        <rFont val="Calibri"/>
        <family val="2"/>
        <charset val="238"/>
        <scheme val="minor"/>
      </rPr>
      <t xml:space="preserve"> </t>
    </r>
  </si>
  <si>
    <t>(1) Nielsen Audience Measurement, odsetek telewizyjnych gospodarstw domowych, które mają możliwość odbioru danego kanału; średnia arytmetyczna zasięgów miesięcznych.
(2) Do 9 września 2014 kanał nadawał jako Polsat Biznes, obecnie kanał nosi nazwę Polsat News 2.
(3) Kanał do 29 kwietnia 2014 roku nadawał jako Polsat Viasat Explorer.
(4) Kanał nadaje od maja 2014 roku, dane za okres nadawania.
(5) Kanał uruchomiony 26 września 2014 roku.
(6) Kanał nadawał w okresie od 30 sierpnia do 21 września 2014.</t>
  </si>
  <si>
    <t xml:space="preserve">Jednorazowe spisanie przeszacowania wartości obligacji na moment nabycia do wartości godziwej oraz koszt premii za wcześniejszy wykup </t>
  </si>
  <si>
    <t>Zysk netto przypadający na akcjonariuszy Jednostki Dominującej</t>
  </si>
  <si>
    <t>Podstawowy i rozwodniony zysk na jedną akcję w złotych</t>
  </si>
  <si>
    <t xml:space="preserve"> </t>
  </si>
  <si>
    <r>
      <t xml:space="preserve">Spłata odsetek od kredytów, pożyczek, obligacji, Cash Pool, leasingu finansowego i zapłacone prowizje </t>
    </r>
    <r>
      <rPr>
        <vertAlign val="superscript"/>
        <sz val="10"/>
        <color indexed="8"/>
        <rFont val="Calibri"/>
        <family val="2"/>
        <charset val="238"/>
      </rPr>
      <t>1)</t>
    </r>
  </si>
  <si>
    <t>1) Obejmuje wpływ instrumentów IRC/CIRS/forward, premie za wcześniejszą spłatę obligacji oraz zapłatę za koszty związane z pozyskaniem finansowania</t>
  </si>
  <si>
    <r>
      <rPr>
        <vertAlign val="superscript"/>
        <sz val="10"/>
        <color indexed="8"/>
        <rFont val="Calibri"/>
        <family val="2"/>
        <charset val="238"/>
      </rPr>
      <t>2)</t>
    </r>
    <r>
      <rPr>
        <sz val="10"/>
        <color indexed="8"/>
        <rFont val="Calibri"/>
        <family val="2"/>
        <charset val="238"/>
      </rPr>
      <t xml:space="preserve"> Na koniec czerwca 2012 roku, Grupa dokonała reklasyfikacji pomiędzy należnościami i przychodami przyszłych okresów. </t>
    </r>
  </si>
  <si>
    <r>
      <rPr>
        <vertAlign val="superscript"/>
        <sz val="10"/>
        <color indexed="8"/>
        <rFont val="Calibri"/>
        <family val="2"/>
        <charset val="238"/>
      </rPr>
      <t>1)</t>
    </r>
    <r>
      <rPr>
        <sz val="10"/>
        <color indexed="8"/>
        <rFont val="Calibri"/>
        <family val="2"/>
        <charset val="238"/>
      </rPr>
      <t xml:space="preserve"> Na koniec czerwca 2012 roku, Grupa zmieniła prezentację Innych aktywów długoterminowych i Pozostałych aktywów obrotowych w skonsolidowanym bilansie. Zmiana polegała na wydzieleniu długoterminowej części pakietu danych zakupionych od Mobyland. Ponadto Grupa wydzieliła i zaprezentowała osobno Długoterminowe prowizje rozliczane w czasie i Krótkoterminowe prowizje rozliczane w czasie z odpowiednio Innych aktywów długoterminowych i Pozostałych aktywów obrotowych. </t>
    </r>
  </si>
  <si>
    <t xml:space="preserve">GRUPA KAPITAŁOWA CYFROWY POLSAT S.A. </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</si>
</sst>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0\ _z_ł_-;\-* #,##0\ _z_ł_-;_-* &quot;-&quot;\ _z_ł_-;_-@_-"/>
    <numFmt numFmtId="164" formatCode="_(* #,##0_);_(* \(#,##0\);_(* &quot;-&quot;_);_(@_)"/>
    <numFmt numFmtId="165" formatCode="_(* #,##0.00_);_(* \(#,##0.00\);_(* &quot;-&quot;??_);_(@_)"/>
    <numFmt numFmtId="166" formatCode="#,##0.000"/>
    <numFmt numFmtId="167" formatCode="0.0"/>
    <numFmt numFmtId="168" formatCode="0.000"/>
    <numFmt numFmtId="169" formatCode="#,##0.000\ ;\(#,##0.000\)"/>
    <numFmt numFmtId="170" formatCode="0.0%"/>
    <numFmt numFmtId="171" formatCode="#\.##0"/>
    <numFmt numFmtId="172" formatCode="#,##0.0"/>
    <numFmt numFmtId="173" formatCode="#,##0.0;\-#,##0.0"/>
    <numFmt numFmtId="174" formatCode="#,##0.0\ ;\(#,##0\)"/>
    <numFmt numFmtId="175" formatCode="#,##0.0\ ;\-#,##0.0"/>
    <numFmt numFmtId="176" formatCode="_(* #,##0.0_);_(* \(#,##0.0\);_(* &quot;-&quot;_);_(@_)"/>
    <numFmt numFmtId="177" formatCode="#,##0.0\ ;\(#,##0.0\)"/>
    <numFmt numFmtId="178" formatCode="\-"/>
    <numFmt numFmtId="179" formatCode="###0.0"/>
    <numFmt numFmtId="180" formatCode="###0.0;\(###0.0\)"/>
    <numFmt numFmtId="181" formatCode="#,##0.0;\(#,##0.0\)"/>
    <numFmt numFmtId="182" formatCode="#\.##0.0"/>
    <numFmt numFmtId="183" formatCode="_-* #,##0.0\ _z_ł_-;\-* #,##0.0\ _z_ł_-;_-* &quot;-&quot;\ _z_ł_-;_-@_-"/>
    <numFmt numFmtId="184" formatCode="_-* #,##0.00\ [$€-1]_-;\-* #,##0.00\ [$€-1]_-;_-* &quot;-&quot;??\ [$€-1]_-"/>
    <numFmt numFmtId="185" formatCode="#,##0.000,;\(#,##0.000\)"/>
    <numFmt numFmtId="186" formatCode="#,##0.0,;\(#,##0.0\)"/>
    <numFmt numFmtId="187" formatCode="#,##0.00%;\(#,##0.00%\)"/>
    <numFmt numFmtId="188" formatCode="#,##0.0%;\(#,##0.0%\)"/>
    <numFmt numFmtId="189" formatCode="#,##0.00;\(#,##0.00\)"/>
  </numFmts>
  <fonts count="6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b/>
      <sz val="11"/>
      <color theme="1"/>
      <name val="Czcionka tekstu podstawowego"/>
      <family val="2"/>
      <charset val="238"/>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b/>
      <vertAlign val="superscript"/>
      <sz val="10"/>
      <color indexed="8"/>
      <name val="Calibri"/>
      <family val="2"/>
      <charset val="238"/>
    </font>
    <font>
      <sz val="10"/>
      <name val="Calibri"/>
      <family val="2"/>
      <charset val="238"/>
    </font>
    <font>
      <i/>
      <sz val="10"/>
      <color theme="1"/>
      <name val="Calibri"/>
      <family val="2"/>
      <charset val="238"/>
      <scheme val="minor"/>
    </font>
    <font>
      <i/>
      <sz val="10"/>
      <color indexed="8"/>
      <name val="Calibri"/>
      <family val="2"/>
      <charset val="238"/>
    </font>
    <font>
      <b/>
      <sz val="10"/>
      <name val="Calibri"/>
      <family val="2"/>
      <charset val="238"/>
    </font>
    <font>
      <vertAlign val="superscript"/>
      <sz val="10"/>
      <name val="Calibri"/>
      <family val="2"/>
      <charset val="238"/>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b/>
      <sz val="9"/>
      <color rgb="FFFD8A00"/>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sz val="9"/>
      <color theme="1"/>
      <name val="Arial Narrow"/>
      <family val="2"/>
      <charset val="238"/>
    </font>
    <font>
      <b/>
      <i/>
      <sz val="9"/>
      <color theme="1"/>
      <name val="Arial Narrow"/>
      <family val="2"/>
      <charset val="238"/>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b/>
      <sz val="10"/>
      <color theme="1"/>
      <name val="Arial Narrow"/>
      <family val="2"/>
      <charset val="23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mediumGray">
        <fgColor theme="0" tint="-0.24994659260841701"/>
        <bgColor rgb="FFFFC000"/>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5"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184" fontId="11" fillId="0" borderId="0"/>
    <xf numFmtId="184" fontId="11" fillId="0" borderId="0"/>
    <xf numFmtId="184" fontId="11" fillId="0" borderId="0"/>
    <xf numFmtId="9" fontId="11" fillId="0" borderId="0" applyFont="0" applyFill="0" applyBorder="0" applyAlignment="0" applyProtection="0"/>
  </cellStyleXfs>
  <cellXfs count="575">
    <xf numFmtId="0" fontId="0" fillId="0" borderId="0" xfId="0"/>
    <xf numFmtId="0" fontId="4" fillId="0" borderId="0" xfId="0" applyFont="1" applyBorder="1" applyAlignment="1">
      <alignment vertical="center"/>
    </xf>
    <xf numFmtId="0" fontId="4" fillId="0" borderId="0" xfId="0" applyFont="1" applyAlignment="1">
      <alignment vertical="center"/>
    </xf>
    <xf numFmtId="0" fontId="13" fillId="3" borderId="0" xfId="0" applyFont="1" applyFill="1" applyAlignment="1">
      <alignment vertical="center"/>
    </xf>
    <xf numFmtId="0" fontId="4" fillId="0" borderId="0" xfId="0" applyFont="1" applyFill="1" applyBorder="1" applyAlignment="1">
      <alignment vertical="center"/>
    </xf>
    <xf numFmtId="0" fontId="19" fillId="3" borderId="0" xfId="0" applyFont="1" applyFill="1" applyAlignment="1">
      <alignment vertical="center"/>
    </xf>
    <xf numFmtId="0" fontId="8" fillId="0" borderId="0" xfId="0" applyFont="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0" xfId="0" applyFont="1" applyFill="1"/>
    <xf numFmtId="0" fontId="8" fillId="0" borderId="0" xfId="0" applyFont="1"/>
    <xf numFmtId="0" fontId="20" fillId="3" borderId="4" xfId="0" applyFont="1" applyFill="1" applyBorder="1" applyAlignment="1">
      <alignment vertical="center" wrapText="1"/>
    </xf>
    <xf numFmtId="0" fontId="20" fillId="3" borderId="5" xfId="0" applyFont="1" applyFill="1" applyBorder="1" applyAlignment="1">
      <alignment vertical="center" wrapText="1"/>
    </xf>
    <xf numFmtId="0" fontId="21" fillId="0" borderId="0" xfId="0" applyFont="1" applyFill="1"/>
    <xf numFmtId="0" fontId="21" fillId="0" borderId="0" xfId="0" applyFont="1"/>
    <xf numFmtId="0" fontId="8" fillId="0" borderId="0" xfId="0" applyFont="1" applyFill="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vertical="center"/>
    </xf>
    <xf numFmtId="0" fontId="8" fillId="3" borderId="0" xfId="0" applyFont="1" applyFill="1" applyAlignment="1">
      <alignment vertical="center"/>
    </xf>
    <xf numFmtId="0" fontId="8" fillId="3" borderId="0" xfId="0" applyFont="1" applyFill="1" applyBorder="1" applyAlignment="1">
      <alignment horizontal="right" vertical="center"/>
    </xf>
    <xf numFmtId="0" fontId="8" fillId="3" borderId="0" xfId="0" applyFont="1" applyFill="1" applyBorder="1" applyAlignment="1">
      <alignment vertical="center"/>
    </xf>
    <xf numFmtId="0" fontId="8" fillId="3" borderId="0" xfId="0" applyFont="1" applyFill="1"/>
    <xf numFmtId="0" fontId="22" fillId="6" borderId="6" xfId="0" applyFont="1" applyFill="1" applyBorder="1" applyAlignment="1">
      <alignment vertical="center" wrapText="1"/>
    </xf>
    <xf numFmtId="0" fontId="22" fillId="6" borderId="4" xfId="0" applyFont="1" applyFill="1" applyBorder="1" applyAlignment="1">
      <alignment vertical="center" wrapText="1"/>
    </xf>
    <xf numFmtId="0" fontId="22" fillId="6" borderId="5" xfId="0" applyFont="1" applyFill="1" applyBorder="1" applyAlignment="1">
      <alignment vertical="center" wrapText="1"/>
    </xf>
    <xf numFmtId="0" fontId="22" fillId="6" borderId="11" xfId="0" applyFont="1" applyFill="1" applyBorder="1" applyAlignment="1">
      <alignment vertical="center" wrapText="1"/>
    </xf>
    <xf numFmtId="0" fontId="8" fillId="0" borderId="3" xfId="0" applyFont="1" applyFill="1" applyBorder="1" applyAlignment="1">
      <alignment horizontal="left" vertical="center" wrapText="1"/>
    </xf>
    <xf numFmtId="173" fontId="8" fillId="9" borderId="0" xfId="0" applyNumberFormat="1" applyFont="1" applyFill="1" applyBorder="1" applyAlignment="1">
      <alignment horizontal="right" vertical="center"/>
    </xf>
    <xf numFmtId="181" fontId="8" fillId="9" borderId="0" xfId="0" applyNumberFormat="1" applyFont="1" applyFill="1" applyBorder="1" applyAlignment="1">
      <alignment horizontal="right" vertical="center"/>
    </xf>
    <xf numFmtId="181" fontId="21" fillId="9" borderId="0" xfId="0" applyNumberFormat="1" applyFont="1" applyFill="1" applyBorder="1" applyAlignment="1">
      <alignment horizontal="right" vertical="center"/>
    </xf>
    <xf numFmtId="173" fontId="8" fillId="9" borderId="10" xfId="0" applyNumberFormat="1" applyFont="1" applyFill="1" applyBorder="1" applyAlignment="1">
      <alignment horizontal="right" vertical="center"/>
    </xf>
    <xf numFmtId="181" fontId="8" fillId="9" borderId="10" xfId="0" applyNumberFormat="1" applyFont="1" applyFill="1" applyBorder="1" applyAlignment="1">
      <alignment horizontal="right" vertical="center"/>
    </xf>
    <xf numFmtId="181" fontId="21" fillId="9" borderId="10" xfId="0" applyNumberFormat="1" applyFont="1" applyFill="1" applyBorder="1" applyAlignment="1">
      <alignment horizontal="right" vertical="center"/>
    </xf>
    <xf numFmtId="170" fontId="22" fillId="6" borderId="5" xfId="2" applyNumberFormat="1" applyFont="1" applyFill="1" applyBorder="1" applyAlignment="1">
      <alignment vertical="center" wrapText="1"/>
    </xf>
    <xf numFmtId="170" fontId="22" fillId="6" borderId="18" xfId="2" applyNumberFormat="1" applyFont="1" applyFill="1" applyBorder="1" applyAlignment="1">
      <alignment vertical="center" wrapText="1"/>
    </xf>
    <xf numFmtId="170" fontId="22" fillId="10" borderId="19" xfId="2" applyNumberFormat="1" applyFont="1" applyFill="1" applyBorder="1" applyAlignment="1">
      <alignment vertical="center" wrapText="1"/>
    </xf>
    <xf numFmtId="170" fontId="22" fillId="10" borderId="18" xfId="2" applyNumberFormat="1" applyFont="1" applyFill="1" applyBorder="1" applyAlignment="1">
      <alignment vertical="center" wrapText="1"/>
    </xf>
    <xf numFmtId="172" fontId="22" fillId="10" borderId="11" xfId="0" applyNumberFormat="1" applyFont="1" applyFill="1" applyBorder="1" applyAlignment="1">
      <alignment vertical="center" wrapText="1"/>
    </xf>
    <xf numFmtId="0" fontId="21" fillId="3" borderId="0" xfId="0" applyFont="1" applyFill="1" applyBorder="1" applyAlignment="1">
      <alignment vertical="center"/>
    </xf>
    <xf numFmtId="0" fontId="21" fillId="4" borderId="2" xfId="0" applyFont="1" applyFill="1" applyBorder="1" applyAlignment="1">
      <alignment horizontal="right" vertical="center"/>
    </xf>
    <xf numFmtId="0" fontId="21" fillId="8" borderId="2" xfId="0" applyFont="1" applyFill="1" applyBorder="1" applyAlignment="1">
      <alignment horizontal="right" vertical="center"/>
    </xf>
    <xf numFmtId="0" fontId="21" fillId="4" borderId="15" xfId="0" applyFont="1" applyFill="1" applyBorder="1" applyAlignment="1">
      <alignment horizontal="right" vertical="center"/>
    </xf>
    <xf numFmtId="0" fontId="21" fillId="8" borderId="16" xfId="0" applyFont="1" applyFill="1" applyBorder="1" applyAlignment="1">
      <alignment horizontal="right" vertical="center"/>
    </xf>
    <xf numFmtId="173" fontId="21" fillId="6" borderId="7" xfId="0" applyNumberFormat="1" applyFont="1" applyFill="1" applyBorder="1" applyAlignment="1">
      <alignment vertical="center"/>
    </xf>
    <xf numFmtId="173" fontId="21" fillId="9" borderId="7" xfId="0" applyNumberFormat="1" applyFont="1" applyFill="1" applyBorder="1" applyAlignment="1">
      <alignment horizontal="right" vertical="center"/>
    </xf>
    <xf numFmtId="173" fontId="21" fillId="6" borderId="6" xfId="0" applyNumberFormat="1" applyFont="1" applyFill="1" applyBorder="1" applyAlignment="1">
      <alignment vertical="center"/>
    </xf>
    <xf numFmtId="173" fontId="21" fillId="9" borderId="8" xfId="0" applyNumberFormat="1" applyFont="1" applyFill="1" applyBorder="1" applyAlignment="1">
      <alignment horizontal="right" vertical="center"/>
    </xf>
    <xf numFmtId="181" fontId="21" fillId="6" borderId="7" xfId="0" applyNumberFormat="1" applyFont="1" applyFill="1" applyBorder="1" applyAlignment="1">
      <alignment vertical="center"/>
    </xf>
    <xf numFmtId="181" fontId="21" fillId="7" borderId="7" xfId="0" applyNumberFormat="1" applyFont="1" applyFill="1" applyBorder="1" applyAlignment="1">
      <alignment vertical="center"/>
    </xf>
    <xf numFmtId="181" fontId="21" fillId="6" borderId="6" xfId="0" applyNumberFormat="1" applyFont="1" applyFill="1" applyBorder="1" applyAlignment="1">
      <alignment vertical="center"/>
    </xf>
    <xf numFmtId="181" fontId="21" fillId="7" borderId="8" xfId="0" applyNumberFormat="1" applyFont="1" applyFill="1" applyBorder="1" applyAlignment="1">
      <alignment vertical="center"/>
    </xf>
    <xf numFmtId="173" fontId="21" fillId="7" borderId="7" xfId="0" applyNumberFormat="1" applyFont="1" applyFill="1" applyBorder="1" applyAlignment="1">
      <alignment horizontal="right" vertical="center"/>
    </xf>
    <xf numFmtId="173" fontId="21" fillId="7" borderId="8" xfId="0" applyNumberFormat="1" applyFont="1" applyFill="1" applyBorder="1" applyAlignment="1">
      <alignment horizontal="right" vertical="center"/>
    </xf>
    <xf numFmtId="0" fontId="8" fillId="3" borderId="0" xfId="0" applyFont="1" applyFill="1" applyBorder="1"/>
    <xf numFmtId="0" fontId="8" fillId="3" borderId="3" xfId="0" applyFont="1" applyFill="1" applyBorder="1" applyAlignment="1">
      <alignment horizontal="left" vertical="center" wrapText="1"/>
    </xf>
    <xf numFmtId="173" fontId="8" fillId="3" borderId="0" xfId="0" applyNumberFormat="1" applyFont="1" applyFill="1" applyBorder="1" applyAlignment="1">
      <alignment horizontal="right" vertical="center"/>
    </xf>
    <xf numFmtId="181" fontId="8" fillId="3" borderId="0" xfId="0" applyNumberFormat="1" applyFont="1" applyFill="1" applyBorder="1" applyAlignment="1">
      <alignment horizontal="right" vertical="center"/>
    </xf>
    <xf numFmtId="0" fontId="21" fillId="3" borderId="3" xfId="0" applyFont="1" applyFill="1" applyBorder="1" applyAlignment="1">
      <alignment horizontal="left" vertical="center" wrapText="1"/>
    </xf>
    <xf numFmtId="181" fontId="21" fillId="3" borderId="0" xfId="0" applyNumberFormat="1" applyFont="1" applyFill="1" applyBorder="1" applyAlignment="1">
      <alignment vertical="center"/>
    </xf>
    <xf numFmtId="173" fontId="8" fillId="3" borderId="3" xfId="0" applyNumberFormat="1" applyFont="1" applyFill="1" applyBorder="1" applyAlignment="1">
      <alignment horizontal="right" vertical="center"/>
    </xf>
    <xf numFmtId="181" fontId="8" fillId="3" borderId="3" xfId="0" applyNumberFormat="1" applyFont="1" applyFill="1" applyBorder="1" applyAlignment="1">
      <alignment horizontal="right" vertical="center"/>
    </xf>
    <xf numFmtId="181" fontId="21" fillId="3" borderId="3" xfId="0" applyNumberFormat="1" applyFont="1" applyFill="1" applyBorder="1" applyAlignment="1">
      <alignment vertical="center"/>
    </xf>
    <xf numFmtId="0" fontId="21" fillId="3" borderId="0" xfId="0" applyFont="1" applyFill="1"/>
    <xf numFmtId="180" fontId="23" fillId="3" borderId="0" xfId="0" applyNumberFormat="1" applyFont="1" applyFill="1" applyAlignment="1">
      <alignment horizontal="right" vertical="center"/>
    </xf>
    <xf numFmtId="0" fontId="0" fillId="3" borderId="0" xfId="0" applyFill="1"/>
    <xf numFmtId="0" fontId="2"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7" fillId="3" borderId="0" xfId="0" applyFont="1" applyFill="1" applyAlignment="1">
      <alignment vertical="center"/>
    </xf>
    <xf numFmtId="0" fontId="28" fillId="3" borderId="0" xfId="0" applyFont="1" applyFill="1" applyBorder="1" applyAlignment="1">
      <alignment vertical="center"/>
    </xf>
    <xf numFmtId="0" fontId="28" fillId="3" borderId="0" xfId="0" applyFont="1" applyFill="1" applyAlignment="1">
      <alignment vertical="center"/>
    </xf>
    <xf numFmtId="0" fontId="28" fillId="0" borderId="0" xfId="0" applyFont="1" applyAlignment="1">
      <alignment vertical="center"/>
    </xf>
    <xf numFmtId="0" fontId="2" fillId="3" borderId="22" xfId="0" applyFont="1" applyFill="1" applyBorder="1" applyAlignment="1">
      <alignment vertical="center" wrapText="1"/>
    </xf>
    <xf numFmtId="172" fontId="2" fillId="2" borderId="4" xfId="0" applyNumberFormat="1" applyFont="1" applyFill="1" applyBorder="1" applyAlignment="1">
      <alignment horizontal="right" vertical="center"/>
    </xf>
    <xf numFmtId="182" fontId="2" fillId="2" borderId="11" xfId="0" applyNumberFormat="1" applyFont="1" applyFill="1" applyBorder="1" applyAlignment="1">
      <alignment horizontal="right" vertical="center"/>
    </xf>
    <xf numFmtId="172" fontId="2" fillId="3" borderId="11" xfId="0" applyNumberFormat="1" applyFont="1" applyFill="1" applyBorder="1" applyAlignment="1">
      <alignment horizontal="right" vertical="center"/>
    </xf>
    <xf numFmtId="182" fontId="2" fillId="3" borderId="11" xfId="0" applyNumberFormat="1" applyFont="1" applyFill="1" applyBorder="1" applyAlignment="1">
      <alignment horizontal="right" vertical="center"/>
    </xf>
    <xf numFmtId="172" fontId="29" fillId="3" borderId="12" xfId="0" applyNumberFormat="1" applyFont="1" applyFill="1" applyBorder="1" applyAlignment="1">
      <alignment horizontal="right" vertical="center"/>
    </xf>
    <xf numFmtId="172" fontId="2" fillId="2" borderId="3" xfId="0" applyNumberFormat="1" applyFont="1" applyFill="1" applyBorder="1" applyAlignment="1">
      <alignment horizontal="right" vertical="center"/>
    </xf>
    <xf numFmtId="172" fontId="2" fillId="2" borderId="11" xfId="0" applyNumberFormat="1" applyFont="1" applyFill="1" applyBorder="1" applyAlignment="1">
      <alignment horizontal="right" vertical="center"/>
    </xf>
    <xf numFmtId="172" fontId="29" fillId="3" borderId="11" xfId="0" applyNumberFormat="1" applyFont="1" applyFill="1" applyBorder="1" applyAlignment="1">
      <alignment horizontal="right" vertical="center"/>
    </xf>
    <xf numFmtId="41" fontId="2" fillId="2" borderId="3" xfId="0" applyNumberFormat="1" applyFont="1" applyFill="1" applyBorder="1" applyAlignment="1">
      <alignment horizontal="right" vertical="center" wrapText="1"/>
    </xf>
    <xf numFmtId="41" fontId="2" fillId="2" borderId="0" xfId="0" applyNumberFormat="1" applyFont="1" applyFill="1" applyBorder="1" applyAlignment="1">
      <alignment horizontal="right" vertical="center" wrapText="1"/>
    </xf>
    <xf numFmtId="41" fontId="2" fillId="3" borderId="0" xfId="0" applyNumberFormat="1" applyFont="1" applyFill="1" applyBorder="1" applyAlignment="1">
      <alignment horizontal="right" vertical="center" wrapText="1"/>
    </xf>
    <xf numFmtId="183" fontId="29" fillId="3" borderId="10" xfId="0" applyNumberFormat="1" applyFont="1" applyFill="1" applyBorder="1" applyAlignment="1">
      <alignment horizontal="right" vertical="center" wrapText="1"/>
    </xf>
    <xf numFmtId="172" fontId="2" fillId="2" borderId="11" xfId="0" applyNumberFormat="1" applyFont="1" applyFill="1" applyBorder="1" applyAlignment="1">
      <alignment horizontal="right" vertical="center" wrapText="1"/>
    </xf>
    <xf numFmtId="172" fontId="2" fillId="3" borderId="11" xfId="0" applyNumberFormat="1" applyFont="1" applyFill="1" applyBorder="1" applyAlignment="1">
      <alignment horizontal="right" vertical="center" wrapText="1"/>
    </xf>
    <xf numFmtId="172" fontId="29" fillId="3" borderId="12" xfId="0" applyNumberFormat="1" applyFont="1" applyFill="1" applyBorder="1" applyAlignment="1">
      <alignment horizontal="right" vertical="center" wrapText="1"/>
    </xf>
    <xf numFmtId="3" fontId="2" fillId="3" borderId="0" xfId="0" applyNumberFormat="1" applyFont="1" applyFill="1" applyBorder="1" applyAlignment="1">
      <alignment horizontal="right" vertical="center" wrapText="1"/>
    </xf>
    <xf numFmtId="0" fontId="2" fillId="3" borderId="23" xfId="0" applyFont="1" applyFill="1" applyBorder="1" applyAlignment="1">
      <alignment vertical="center" wrapText="1"/>
    </xf>
    <xf numFmtId="172" fontId="2" fillId="2" borderId="0" xfId="0" applyNumberFormat="1" applyFont="1" applyFill="1" applyBorder="1" applyAlignment="1">
      <alignment horizontal="right" vertical="center"/>
    </xf>
    <xf numFmtId="172" fontId="2" fillId="3" borderId="0" xfId="0" applyNumberFormat="1" applyFont="1" applyFill="1" applyBorder="1" applyAlignment="1">
      <alignment horizontal="right" vertical="center"/>
    </xf>
    <xf numFmtId="172" fontId="29" fillId="3" borderId="10" xfId="0" applyNumberFormat="1" applyFont="1" applyFill="1" applyBorder="1" applyAlignment="1">
      <alignment horizontal="right" vertical="center"/>
    </xf>
    <xf numFmtId="172" fontId="29" fillId="3" borderId="0" xfId="0" applyNumberFormat="1" applyFont="1" applyFill="1" applyBorder="1" applyAlignment="1">
      <alignment horizontal="right" vertical="center"/>
    </xf>
    <xf numFmtId="181" fontId="2" fillId="2" borderId="3" xfId="0" applyNumberFormat="1" applyFont="1" applyFill="1" applyBorder="1" applyAlignment="1">
      <alignment horizontal="right" vertical="center"/>
    </xf>
    <xf numFmtId="181" fontId="2" fillId="3" borderId="0" xfId="0" applyNumberFormat="1" applyFont="1" applyFill="1" applyBorder="1" applyAlignment="1">
      <alignment horizontal="right" vertical="center"/>
    </xf>
    <xf numFmtId="3" fontId="2" fillId="3" borderId="0" xfId="0" applyNumberFormat="1" applyFont="1" applyFill="1" applyBorder="1" applyAlignment="1">
      <alignment horizontal="right" vertical="center"/>
    </xf>
    <xf numFmtId="41" fontId="12" fillId="2" borderId="3" xfId="0" applyNumberFormat="1" applyFont="1" applyFill="1" applyBorder="1" applyAlignment="1">
      <alignment horizontal="right" vertical="center" wrapText="1"/>
    </xf>
    <xf numFmtId="41" fontId="29" fillId="3" borderId="10" xfId="0" applyNumberFormat="1" applyFont="1" applyFill="1" applyBorder="1" applyAlignment="1">
      <alignment horizontal="right" vertical="center" wrapText="1"/>
    </xf>
    <xf numFmtId="0" fontId="12" fillId="3" borderId="23" xfId="0" applyFont="1" applyFill="1" applyBorder="1" applyAlignment="1">
      <alignment vertical="center" wrapText="1"/>
    </xf>
    <xf numFmtId="172" fontId="12" fillId="2" borderId="3" xfId="0" applyNumberFormat="1" applyFont="1" applyFill="1" applyBorder="1" applyAlignment="1">
      <alignment horizontal="right" vertical="center"/>
    </xf>
    <xf numFmtId="182" fontId="12" fillId="2" borderId="0" xfId="0" applyNumberFormat="1" applyFont="1" applyFill="1" applyBorder="1" applyAlignment="1">
      <alignment horizontal="right" vertical="center"/>
    </xf>
    <xf numFmtId="172" fontId="12" fillId="3" borderId="0" xfId="0" applyNumberFormat="1" applyFont="1" applyFill="1" applyBorder="1" applyAlignment="1">
      <alignment horizontal="right" vertical="center"/>
    </xf>
    <xf numFmtId="182" fontId="12" fillId="3" borderId="0" xfId="0" applyNumberFormat="1" applyFont="1" applyFill="1" applyBorder="1" applyAlignment="1">
      <alignment horizontal="right" vertical="center"/>
    </xf>
    <xf numFmtId="172" fontId="30" fillId="3" borderId="10" xfId="0" applyNumberFormat="1" applyFont="1" applyFill="1" applyBorder="1" applyAlignment="1">
      <alignment horizontal="right" vertical="center"/>
    </xf>
    <xf numFmtId="179" fontId="12" fillId="3" borderId="0" xfId="0" applyNumberFormat="1" applyFont="1" applyFill="1" applyBorder="1" applyAlignment="1">
      <alignment horizontal="right" vertical="center"/>
    </xf>
    <xf numFmtId="172" fontId="30" fillId="3" borderId="0" xfId="0" applyNumberFormat="1" applyFont="1" applyFill="1" applyBorder="1" applyAlignment="1">
      <alignment horizontal="right" vertical="center"/>
    </xf>
    <xf numFmtId="181" fontId="12" fillId="2" borderId="3" xfId="0" applyNumberFormat="1" applyFont="1" applyFill="1" applyBorder="1" applyAlignment="1">
      <alignment horizontal="right" vertical="center"/>
    </xf>
    <xf numFmtId="179" fontId="12" fillId="2" borderId="0" xfId="0" applyNumberFormat="1" applyFont="1" applyFill="1" applyBorder="1" applyAlignment="1">
      <alignment horizontal="right" vertical="center"/>
    </xf>
    <xf numFmtId="181" fontId="12" fillId="3" borderId="0" xfId="0" applyNumberFormat="1" applyFont="1" applyFill="1" applyBorder="1" applyAlignment="1">
      <alignment horizontal="right" vertical="center"/>
    </xf>
    <xf numFmtId="3" fontId="12" fillId="3" borderId="0" xfId="0" applyNumberFormat="1" applyFont="1" applyFill="1" applyBorder="1" applyAlignment="1">
      <alignment horizontal="right" vertical="center"/>
    </xf>
    <xf numFmtId="183" fontId="30" fillId="3" borderId="10" xfId="0" applyNumberFormat="1" applyFont="1" applyFill="1" applyBorder="1" applyAlignment="1">
      <alignment horizontal="right" vertical="center" wrapText="1"/>
    </xf>
    <xf numFmtId="172" fontId="12" fillId="2" borderId="0" xfId="0" applyNumberFormat="1" applyFont="1" applyFill="1" applyBorder="1" applyAlignment="1">
      <alignment horizontal="right" vertical="center" wrapText="1"/>
    </xf>
    <xf numFmtId="172" fontId="12" fillId="3" borderId="0" xfId="0" applyNumberFormat="1" applyFont="1" applyFill="1" applyBorder="1" applyAlignment="1">
      <alignment horizontal="right" vertical="center" wrapText="1"/>
    </xf>
    <xf numFmtId="172" fontId="30" fillId="3" borderId="10" xfId="0" applyNumberFormat="1" applyFont="1" applyFill="1" applyBorder="1" applyAlignment="1">
      <alignment horizontal="right" vertical="center" wrapText="1"/>
    </xf>
    <xf numFmtId="0" fontId="12" fillId="3" borderId="0" xfId="0" applyFont="1" applyFill="1" applyAlignment="1">
      <alignment vertical="center"/>
    </xf>
    <xf numFmtId="3" fontId="12" fillId="3" borderId="0" xfId="0" applyNumberFormat="1" applyFont="1" applyFill="1" applyBorder="1" applyAlignment="1">
      <alignment horizontal="right" vertical="center" wrapText="1"/>
    </xf>
    <xf numFmtId="0" fontId="31" fillId="3" borderId="0" xfId="0" applyFont="1" applyFill="1" applyBorder="1" applyAlignment="1">
      <alignment vertical="center"/>
    </xf>
    <xf numFmtId="0" fontId="31" fillId="3" borderId="0" xfId="0" applyFont="1" applyFill="1" applyAlignment="1">
      <alignment vertical="center"/>
    </xf>
    <xf numFmtId="0" fontId="31" fillId="0" borderId="0" xfId="0" applyFont="1" applyAlignment="1">
      <alignment vertical="center"/>
    </xf>
    <xf numFmtId="172" fontId="12" fillId="2" borderId="0" xfId="0" applyNumberFormat="1" applyFont="1" applyFill="1" applyBorder="1" applyAlignment="1">
      <alignment horizontal="right" vertical="center"/>
    </xf>
    <xf numFmtId="41" fontId="12" fillId="2" borderId="0" xfId="0" applyNumberFormat="1" applyFont="1" applyFill="1" applyBorder="1" applyAlignment="1">
      <alignment horizontal="right" vertical="center" wrapText="1"/>
    </xf>
    <xf numFmtId="41" fontId="12" fillId="3" borderId="0" xfId="0" applyNumberFormat="1" applyFont="1" applyFill="1" applyBorder="1" applyAlignment="1">
      <alignment horizontal="right" vertical="center" wrapText="1"/>
    </xf>
    <xf numFmtId="172" fontId="2" fillId="2" borderId="0" xfId="0" applyNumberFormat="1" applyFont="1" applyFill="1" applyBorder="1" applyAlignment="1">
      <alignment horizontal="right" vertical="center" wrapText="1"/>
    </xf>
    <xf numFmtId="172" fontId="2" fillId="3" borderId="0" xfId="0" applyNumberFormat="1" applyFont="1" applyFill="1" applyBorder="1" applyAlignment="1">
      <alignment horizontal="right" vertical="center" wrapText="1"/>
    </xf>
    <xf numFmtId="172" fontId="29" fillId="3" borderId="10" xfId="0" applyNumberFormat="1" applyFont="1" applyFill="1" applyBorder="1" applyAlignment="1">
      <alignment horizontal="right" vertical="center" wrapText="1"/>
    </xf>
    <xf numFmtId="172" fontId="12" fillId="2" borderId="14" xfId="0" applyNumberFormat="1" applyFont="1" applyFill="1" applyBorder="1" applyAlignment="1">
      <alignment horizontal="right" vertical="center"/>
    </xf>
    <xf numFmtId="172" fontId="12" fillId="2" borderId="1" xfId="0" applyNumberFormat="1" applyFont="1" applyFill="1" applyBorder="1" applyAlignment="1">
      <alignment horizontal="right" vertical="center"/>
    </xf>
    <xf numFmtId="172" fontId="12" fillId="3" borderId="1" xfId="0" applyNumberFormat="1" applyFont="1" applyFill="1" applyBorder="1" applyAlignment="1">
      <alignment horizontal="right" vertical="center"/>
    </xf>
    <xf numFmtId="0" fontId="2" fillId="3" borderId="25" xfId="0" applyFont="1" applyFill="1" applyBorder="1" applyAlignment="1">
      <alignment vertical="center" wrapText="1"/>
    </xf>
    <xf numFmtId="172" fontId="2" fillId="2" borderId="26" xfId="0" applyNumberFormat="1" applyFont="1" applyFill="1" applyBorder="1" applyAlignment="1">
      <alignment horizontal="right" vertical="center"/>
    </xf>
    <xf numFmtId="3" fontId="32" fillId="2" borderId="27" xfId="0" applyNumberFormat="1" applyFont="1" applyFill="1" applyBorder="1" applyAlignment="1">
      <alignment horizontal="right" vertical="center"/>
    </xf>
    <xf numFmtId="172" fontId="2" fillId="3" borderId="27" xfId="0" applyNumberFormat="1" applyFont="1" applyFill="1" applyBorder="1" applyAlignment="1">
      <alignment horizontal="right" vertical="center"/>
    </xf>
    <xf numFmtId="3" fontId="32" fillId="3" borderId="27" xfId="0" applyNumberFormat="1" applyFont="1" applyFill="1" applyBorder="1" applyAlignment="1">
      <alignment horizontal="right" vertical="center"/>
    </xf>
    <xf numFmtId="172" fontId="29" fillId="3" borderId="28" xfId="0" applyNumberFormat="1" applyFont="1" applyFill="1" applyBorder="1" applyAlignment="1">
      <alignment horizontal="right" vertical="center"/>
    </xf>
    <xf numFmtId="172" fontId="2" fillId="2" borderId="27" xfId="0" applyNumberFormat="1" applyFont="1" applyFill="1" applyBorder="1" applyAlignment="1">
      <alignment horizontal="right" vertical="center"/>
    </xf>
    <xf numFmtId="172" fontId="29" fillId="3" borderId="27" xfId="0" applyNumberFormat="1" applyFont="1" applyFill="1" applyBorder="1" applyAlignment="1">
      <alignment horizontal="right" vertical="center"/>
    </xf>
    <xf numFmtId="41" fontId="2" fillId="2" borderId="26" xfId="0" applyNumberFormat="1" applyFont="1" applyFill="1" applyBorder="1" applyAlignment="1">
      <alignment horizontal="right" vertical="center" wrapText="1"/>
    </xf>
    <xf numFmtId="41" fontId="2" fillId="2" borderId="27" xfId="0" applyNumberFormat="1" applyFont="1" applyFill="1" applyBorder="1" applyAlignment="1">
      <alignment horizontal="right" vertical="center" wrapText="1"/>
    </xf>
    <xf numFmtId="41" fontId="2" fillId="3" borderId="27" xfId="0" applyNumberFormat="1" applyFont="1" applyFill="1" applyBorder="1" applyAlignment="1">
      <alignment horizontal="right" vertical="center" wrapText="1"/>
    </xf>
    <xf numFmtId="41" fontId="2" fillId="3" borderId="2" xfId="0" applyNumberFormat="1" applyFont="1" applyFill="1" applyBorder="1" applyAlignment="1">
      <alignment horizontal="right" vertical="center" wrapText="1"/>
    </xf>
    <xf numFmtId="183" fontId="29" fillId="3" borderId="16" xfId="0" applyNumberFormat="1" applyFont="1" applyFill="1" applyBorder="1" applyAlignment="1">
      <alignment horizontal="right" vertical="center" wrapText="1"/>
    </xf>
    <xf numFmtId="172" fontId="2" fillId="2" borderId="27" xfId="0" applyNumberFormat="1" applyFont="1" applyFill="1" applyBorder="1" applyAlignment="1">
      <alignment horizontal="right" vertical="center" wrapText="1"/>
    </xf>
    <xf numFmtId="172" fontId="2" fillId="3" borderId="27" xfId="0" applyNumberFormat="1" applyFont="1" applyFill="1" applyBorder="1" applyAlignment="1">
      <alignment horizontal="right" vertical="center" wrapText="1"/>
    </xf>
    <xf numFmtId="172" fontId="29" fillId="3" borderId="28" xfId="0" applyNumberFormat="1" applyFont="1" applyFill="1" applyBorder="1" applyAlignment="1">
      <alignment horizontal="right" vertical="center" wrapText="1"/>
    </xf>
    <xf numFmtId="0" fontId="29" fillId="3" borderId="4" xfId="0" applyFont="1" applyFill="1" applyBorder="1" applyAlignment="1">
      <alignment vertical="center"/>
    </xf>
    <xf numFmtId="0" fontId="0" fillId="2" borderId="4" xfId="0" applyFill="1" applyBorder="1" applyAlignment="1">
      <alignment vertical="center"/>
    </xf>
    <xf numFmtId="0" fontId="0" fillId="2" borderId="11" xfId="0" applyFill="1" applyBorder="1" applyAlignment="1">
      <alignment vertical="center"/>
    </xf>
    <xf numFmtId="0" fontId="0" fillId="3" borderId="11" xfId="0" applyFill="1" applyBorder="1" applyAlignment="1">
      <alignment vertical="center"/>
    </xf>
    <xf numFmtId="0" fontId="33" fillId="3" borderId="12" xfId="0" applyFont="1" applyFill="1" applyBorder="1" applyAlignment="1">
      <alignment vertical="center"/>
    </xf>
    <xf numFmtId="0" fontId="33" fillId="3" borderId="11" xfId="0" applyFont="1" applyFill="1" applyBorder="1" applyAlignment="1">
      <alignment vertical="center"/>
    </xf>
    <xf numFmtId="183" fontId="29" fillId="3" borderId="12" xfId="0" applyNumberFormat="1" applyFont="1" applyFill="1" applyBorder="1" applyAlignment="1">
      <alignment horizontal="right" vertical="center" wrapText="1"/>
    </xf>
    <xf numFmtId="172" fontId="0" fillId="3" borderId="11" xfId="0" applyNumberFormat="1" applyFill="1" applyBorder="1" applyAlignment="1">
      <alignment vertical="center"/>
    </xf>
    <xf numFmtId="172" fontId="33" fillId="3" borderId="12" xfId="0" applyNumberFormat="1" applyFont="1" applyFill="1" applyBorder="1" applyAlignment="1">
      <alignment vertical="center"/>
    </xf>
    <xf numFmtId="0" fontId="2" fillId="3" borderId="3" xfId="0" applyFont="1" applyFill="1" applyBorder="1" applyAlignment="1">
      <alignment vertical="center"/>
    </xf>
    <xf numFmtId="0" fontId="2" fillId="2" borderId="0" xfId="0" applyFont="1" applyFill="1" applyBorder="1" applyAlignment="1">
      <alignment vertical="center"/>
    </xf>
    <xf numFmtId="0" fontId="32" fillId="2" borderId="0" xfId="0" applyFont="1" applyFill="1" applyBorder="1" applyAlignment="1">
      <alignment vertical="center"/>
    </xf>
    <xf numFmtId="0" fontId="32" fillId="3" borderId="0" xfId="0" applyFont="1" applyFill="1" applyBorder="1" applyAlignment="1">
      <alignment vertical="center"/>
    </xf>
    <xf numFmtId="172" fontId="2" fillId="2" borderId="3" xfId="0" applyNumberFormat="1" applyFont="1" applyFill="1" applyBorder="1" applyAlignment="1">
      <alignment horizontal="right" vertical="center" wrapText="1"/>
    </xf>
    <xf numFmtId="0" fontId="2" fillId="3" borderId="5" xfId="0" applyFont="1" applyFill="1" applyBorder="1" applyAlignment="1">
      <alignment vertical="center" wrapText="1"/>
    </xf>
    <xf numFmtId="178" fontId="2" fillId="2" borderId="5" xfId="0" applyNumberFormat="1" applyFont="1" applyFill="1" applyBorder="1" applyAlignment="1">
      <alignment vertical="center"/>
    </xf>
    <xf numFmtId="178" fontId="2" fillId="2" borderId="18" xfId="0" applyNumberFormat="1" applyFont="1" applyFill="1" applyBorder="1" applyAlignment="1">
      <alignment vertical="center"/>
    </xf>
    <xf numFmtId="178" fontId="2" fillId="3" borderId="18" xfId="0" applyNumberFormat="1" applyFont="1" applyFill="1" applyBorder="1" applyAlignment="1">
      <alignment vertical="center"/>
    </xf>
    <xf numFmtId="0" fontId="2" fillId="3" borderId="18" xfId="0" applyFont="1" applyFill="1" applyBorder="1" applyAlignment="1">
      <alignment vertical="center"/>
    </xf>
    <xf numFmtId="178" fontId="2" fillId="3" borderId="19" xfId="0" applyNumberFormat="1" applyFont="1" applyFill="1" applyBorder="1" applyAlignment="1">
      <alignment vertical="center"/>
    </xf>
    <xf numFmtId="167" fontId="2" fillId="2" borderId="18" xfId="0" applyNumberFormat="1" applyFont="1" applyFill="1" applyBorder="1" applyAlignment="1">
      <alignment vertical="center"/>
    </xf>
    <xf numFmtId="0" fontId="2" fillId="2" borderId="18" xfId="0" applyFont="1" applyFill="1" applyBorder="1" applyAlignment="1">
      <alignment vertical="center"/>
    </xf>
    <xf numFmtId="172" fontId="2" fillId="3" borderId="18" xfId="0" applyNumberFormat="1" applyFont="1" applyFill="1" applyBorder="1" applyAlignment="1">
      <alignment vertical="center"/>
    </xf>
    <xf numFmtId="172" fontId="29" fillId="3" borderId="19" xfId="0" applyNumberFormat="1" applyFont="1" applyFill="1" applyBorder="1" applyAlignment="1">
      <alignment horizontal="right" vertical="center"/>
    </xf>
    <xf numFmtId="41" fontId="2" fillId="2" borderId="5" xfId="0" applyNumberFormat="1" applyFont="1" applyFill="1" applyBorder="1" applyAlignment="1">
      <alignment horizontal="right" vertical="center" wrapText="1"/>
    </xf>
    <xf numFmtId="183" fontId="29" fillId="3" borderId="19" xfId="0" applyNumberFormat="1" applyFont="1" applyFill="1" applyBorder="1" applyAlignment="1">
      <alignment horizontal="right" vertical="center" wrapText="1"/>
    </xf>
    <xf numFmtId="172" fontId="2" fillId="2" borderId="18" xfId="0" applyNumberFormat="1" applyFont="1" applyFill="1" applyBorder="1" applyAlignment="1">
      <alignment horizontal="right" vertical="center" wrapText="1"/>
    </xf>
    <xf numFmtId="172" fontId="2" fillId="3" borderId="18" xfId="0" applyNumberFormat="1" applyFont="1" applyFill="1" applyBorder="1" applyAlignment="1">
      <alignment horizontal="right" vertical="center" wrapText="1"/>
    </xf>
    <xf numFmtId="172" fontId="29" fillId="3" borderId="19" xfId="0" applyNumberFormat="1" applyFont="1" applyFill="1" applyBorder="1" applyAlignment="1">
      <alignment vertical="center"/>
    </xf>
    <xf numFmtId="0" fontId="34" fillId="3" borderId="0" xfId="0" applyFont="1" applyFill="1"/>
    <xf numFmtId="0" fontId="2" fillId="3" borderId="0" xfId="0" applyFont="1" applyFill="1"/>
    <xf numFmtId="3" fontId="27" fillId="3" borderId="0" xfId="0" applyNumberFormat="1" applyFont="1" applyFill="1" applyAlignment="1">
      <alignment horizontal="right"/>
    </xf>
    <xf numFmtId="0" fontId="34" fillId="3" borderId="0" xfId="0" applyFont="1" applyFill="1" applyAlignment="1"/>
    <xf numFmtId="0" fontId="34" fillId="3" borderId="0" xfId="0" applyFont="1" applyFill="1" applyAlignment="1">
      <alignment horizontal="left"/>
    </xf>
    <xf numFmtId="3" fontId="22" fillId="3" borderId="0" xfId="0" applyNumberFormat="1" applyFont="1" applyFill="1" applyBorder="1" applyAlignment="1">
      <alignment horizontal="right"/>
    </xf>
    <xf numFmtId="3" fontId="27" fillId="3" borderId="0" xfId="0" applyNumberFormat="1" applyFont="1" applyFill="1" applyBorder="1" applyAlignment="1">
      <alignment horizontal="right"/>
    </xf>
    <xf numFmtId="0" fontId="28" fillId="3" borderId="0" xfId="0" applyFont="1" applyFill="1"/>
    <xf numFmtId="0" fontId="28" fillId="0" borderId="0" xfId="0" applyFont="1"/>
    <xf numFmtId="0" fontId="21" fillId="4" borderId="27" xfId="0" applyFont="1" applyFill="1" applyBorder="1" applyAlignment="1">
      <alignment horizontal="right" vertical="center"/>
    </xf>
    <xf numFmtId="0" fontId="39" fillId="3" borderId="0" xfId="0" applyFont="1" applyFill="1"/>
    <xf numFmtId="0" fontId="8" fillId="3" borderId="0" xfId="0" applyFont="1" applyFill="1" applyAlignment="1"/>
    <xf numFmtId="0" fontId="8" fillId="0" borderId="0" xfId="0" applyFont="1" applyBorder="1"/>
    <xf numFmtId="169" fontId="8" fillId="3" borderId="11" xfId="0" applyNumberFormat="1" applyFont="1" applyFill="1" applyBorder="1" applyAlignment="1">
      <alignment vertical="center"/>
    </xf>
    <xf numFmtId="177" fontId="8" fillId="3" borderId="11" xfId="0" applyNumberFormat="1" applyFont="1" applyFill="1" applyBorder="1" applyAlignment="1">
      <alignment vertical="center"/>
    </xf>
    <xf numFmtId="169" fontId="8" fillId="3" borderId="0" xfId="0" applyNumberFormat="1" applyFont="1" applyFill="1" applyBorder="1" applyAlignment="1">
      <alignment vertical="center"/>
    </xf>
    <xf numFmtId="172" fontId="8" fillId="3" borderId="0" xfId="0" applyNumberFormat="1" applyFont="1" applyFill="1" applyBorder="1" applyAlignment="1">
      <alignment vertical="center"/>
    </xf>
    <xf numFmtId="177" fontId="8" fillId="3" borderId="0" xfId="0" applyNumberFormat="1" applyFont="1" applyFill="1" applyBorder="1" applyAlignment="1">
      <alignment vertical="center"/>
    </xf>
    <xf numFmtId="0" fontId="8" fillId="3" borderId="10" xfId="0" applyFont="1" applyFill="1" applyBorder="1" applyAlignment="1">
      <alignment vertical="center"/>
    </xf>
    <xf numFmtId="178" fontId="37" fillId="3" borderId="0" xfId="1" applyNumberFormat="1" applyFont="1" applyFill="1" applyBorder="1" applyAlignment="1">
      <alignment horizontal="right" vertical="center"/>
    </xf>
    <xf numFmtId="178" fontId="8" fillId="3" borderId="0" xfId="0" applyNumberFormat="1" applyFont="1" applyFill="1" applyBorder="1" applyAlignment="1">
      <alignment vertical="center"/>
    </xf>
    <xf numFmtId="177" fontId="37" fillId="3" borderId="0" xfId="1" applyNumberFormat="1" applyFont="1" applyFill="1" applyBorder="1" applyAlignment="1">
      <alignment horizontal="right" vertical="center"/>
    </xf>
    <xf numFmtId="174" fontId="8" fillId="3" borderId="0" xfId="0" applyNumberFormat="1" applyFont="1" applyFill="1" applyBorder="1" applyAlignment="1">
      <alignment vertical="center"/>
    </xf>
    <xf numFmtId="169" fontId="24" fillId="3" borderId="0" xfId="0" applyNumberFormat="1" applyFont="1" applyFill="1" applyBorder="1" applyAlignment="1">
      <alignment horizontal="right" vertical="center"/>
    </xf>
    <xf numFmtId="177" fontId="39" fillId="3" borderId="0" xfId="0" applyNumberFormat="1" applyFont="1" applyFill="1" applyBorder="1" applyAlignment="1">
      <alignment vertical="center"/>
    </xf>
    <xf numFmtId="178" fontId="39" fillId="3" borderId="0" xfId="0" applyNumberFormat="1" applyFont="1" applyFill="1" applyBorder="1" applyAlignment="1">
      <alignment vertical="center"/>
    </xf>
    <xf numFmtId="169" fontId="8" fillId="3" borderId="18" xfId="0" applyNumberFormat="1" applyFont="1" applyFill="1" applyBorder="1" applyAlignment="1">
      <alignment vertical="center"/>
    </xf>
    <xf numFmtId="174" fontId="8" fillId="3" borderId="18" xfId="0" applyNumberFormat="1" applyFont="1" applyFill="1" applyBorder="1" applyAlignment="1">
      <alignment vertical="center"/>
    </xf>
    <xf numFmtId="177" fontId="8" fillId="3" borderId="18" xfId="0" applyNumberFormat="1" applyFont="1" applyFill="1" applyBorder="1" applyAlignment="1">
      <alignment vertical="center"/>
    </xf>
    <xf numFmtId="178" fontId="8" fillId="3" borderId="0" xfId="0" applyNumberFormat="1" applyFont="1" applyFill="1" applyAlignment="1">
      <alignment vertical="center"/>
    </xf>
    <xf numFmtId="164" fontId="37" fillId="3" borderId="0" xfId="0" applyNumberFormat="1" applyFont="1" applyFill="1" applyBorder="1" applyAlignment="1">
      <alignment horizontal="right" vertical="center"/>
    </xf>
    <xf numFmtId="172" fontId="39" fillId="3" borderId="0" xfId="0" applyNumberFormat="1" applyFont="1" applyFill="1" applyBorder="1" applyAlignment="1">
      <alignment vertical="center"/>
    </xf>
    <xf numFmtId="172" fontId="37" fillId="3" borderId="0" xfId="0" applyNumberFormat="1" applyFont="1" applyFill="1" applyBorder="1" applyAlignment="1">
      <alignment horizontal="right" vertical="center"/>
    </xf>
    <xf numFmtId="166" fontId="8" fillId="3" borderId="0" xfId="0" applyNumberFormat="1" applyFont="1" applyFill="1" applyAlignment="1">
      <alignment vertical="center"/>
    </xf>
    <xf numFmtId="172" fontId="8" fillId="3" borderId="0" xfId="0" applyNumberFormat="1" applyFont="1" applyFill="1" applyAlignment="1">
      <alignment vertical="center"/>
    </xf>
    <xf numFmtId="164" fontId="40" fillId="3" borderId="0" xfId="0" applyNumberFormat="1" applyFont="1" applyFill="1" applyBorder="1" applyAlignment="1">
      <alignment horizontal="right" vertical="center"/>
    </xf>
    <xf numFmtId="164" fontId="41" fillId="3" borderId="0" xfId="0" applyNumberFormat="1" applyFont="1" applyFill="1" applyBorder="1" applyAlignment="1">
      <alignment horizontal="right" vertical="center"/>
    </xf>
    <xf numFmtId="0" fontId="8" fillId="3" borderId="4" xfId="0" applyFont="1" applyFill="1" applyBorder="1" applyAlignment="1">
      <alignment horizontal="left" vertical="center"/>
    </xf>
    <xf numFmtId="0" fontId="8" fillId="3" borderId="3" xfId="0" applyFont="1" applyFill="1" applyBorder="1" applyAlignment="1">
      <alignment horizontal="left"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169" fontId="21" fillId="12" borderId="7" xfId="0" applyNumberFormat="1" applyFont="1" applyFill="1" applyBorder="1" applyAlignment="1">
      <alignment vertical="center"/>
    </xf>
    <xf numFmtId="172" fontId="21" fillId="12" borderId="7" xfId="0" applyNumberFormat="1" applyFont="1" applyFill="1" applyBorder="1" applyAlignment="1">
      <alignment vertical="center"/>
    </xf>
    <xf numFmtId="177" fontId="21" fillId="12" borderId="7" xfId="0" applyNumberFormat="1" applyFont="1" applyFill="1" applyBorder="1" applyAlignment="1">
      <alignment vertical="center"/>
    </xf>
    <xf numFmtId="0" fontId="38" fillId="3" borderId="3" xfId="0" applyFont="1" applyFill="1" applyBorder="1" applyAlignment="1">
      <alignment horizontal="left" vertical="center" indent="2"/>
    </xf>
    <xf numFmtId="174" fontId="8" fillId="3" borderId="11" xfId="0" applyNumberFormat="1" applyFont="1" applyFill="1" applyBorder="1" applyAlignment="1">
      <alignment vertical="center"/>
    </xf>
    <xf numFmtId="0" fontId="21" fillId="4" borderId="26" xfId="0" applyFont="1" applyFill="1" applyBorder="1" applyAlignment="1">
      <alignment horizontal="left" vertical="center"/>
    </xf>
    <xf numFmtId="169" fontId="21" fillId="4" borderId="27" xfId="0" applyNumberFormat="1" applyFont="1" applyFill="1" applyBorder="1" applyAlignment="1">
      <alignment vertical="center"/>
    </xf>
    <xf numFmtId="177" fontId="21" fillId="4" borderId="27" xfId="0" applyNumberFormat="1" applyFont="1" applyFill="1" applyBorder="1" applyAlignment="1">
      <alignment vertical="center"/>
    </xf>
    <xf numFmtId="168" fontId="8" fillId="3" borderId="0" xfId="0" applyNumberFormat="1" applyFont="1" applyFill="1" applyBorder="1" applyAlignment="1">
      <alignment horizontal="right" vertical="center"/>
    </xf>
    <xf numFmtId="166" fontId="8" fillId="3" borderId="0" xfId="0" applyNumberFormat="1" applyFont="1" applyFill="1" applyBorder="1" applyAlignment="1">
      <alignment horizontal="right" vertical="center"/>
    </xf>
    <xf numFmtId="166" fontId="24" fillId="3" borderId="0" xfId="0" applyNumberFormat="1" applyFont="1" applyFill="1" applyBorder="1" applyAlignment="1">
      <alignment horizontal="right" vertical="center"/>
    </xf>
    <xf numFmtId="166" fontId="8" fillId="3" borderId="0" xfId="0" applyNumberFormat="1" applyFont="1" applyFill="1" applyBorder="1" applyAlignment="1">
      <alignment vertical="center"/>
    </xf>
    <xf numFmtId="172" fontId="8" fillId="3" borderId="0" xfId="0" applyNumberFormat="1" applyFont="1" applyFill="1" applyBorder="1" applyAlignment="1">
      <alignment horizontal="right" vertical="center"/>
    </xf>
    <xf numFmtId="171" fontId="24" fillId="3" borderId="0" xfId="0" applyNumberFormat="1" applyFont="1" applyFill="1" applyBorder="1" applyAlignment="1">
      <alignment horizontal="right" vertical="center"/>
    </xf>
    <xf numFmtId="177" fontId="8" fillId="3" borderId="0" xfId="0" applyNumberFormat="1" applyFont="1" applyFill="1" applyBorder="1" applyAlignment="1">
      <alignment horizontal="right" vertical="center"/>
    </xf>
    <xf numFmtId="179" fontId="8" fillId="3" borderId="0" xfId="0" applyNumberFormat="1" applyFont="1" applyFill="1" applyBorder="1" applyAlignment="1">
      <alignment vertical="center"/>
    </xf>
    <xf numFmtId="179" fontId="39" fillId="3" borderId="0" xfId="0" applyNumberFormat="1" applyFont="1" applyFill="1" applyBorder="1" applyAlignment="1">
      <alignment vertical="center"/>
    </xf>
    <xf numFmtId="0" fontId="22" fillId="3" borderId="7" xfId="0" applyFont="1" applyFill="1" applyBorder="1" applyAlignment="1">
      <alignment vertical="center"/>
    </xf>
    <xf numFmtId="0" fontId="8" fillId="3" borderId="7" xfId="0" applyFont="1" applyFill="1" applyBorder="1"/>
    <xf numFmtId="0" fontId="8" fillId="3" borderId="7" xfId="0" applyFont="1" applyFill="1" applyBorder="1" applyAlignment="1">
      <alignment horizontal="right"/>
    </xf>
    <xf numFmtId="185" fontId="8" fillId="3" borderId="0" xfId="0" applyNumberFormat="1" applyFont="1" applyFill="1" applyBorder="1" applyAlignment="1">
      <alignment horizontal="right" vertical="center"/>
    </xf>
    <xf numFmtId="168" fontId="8" fillId="3" borderId="11" xfId="0" applyNumberFormat="1" applyFont="1" applyFill="1" applyBorder="1" applyAlignment="1">
      <alignment horizontal="right" vertical="center"/>
    </xf>
    <xf numFmtId="172" fontId="8" fillId="3" borderId="11" xfId="0" applyNumberFormat="1" applyFont="1" applyFill="1" applyBorder="1" applyAlignment="1">
      <alignment vertical="center"/>
    </xf>
    <xf numFmtId="179" fontId="8" fillId="3" borderId="11" xfId="0" applyNumberFormat="1" applyFont="1" applyFill="1" applyBorder="1" applyAlignment="1">
      <alignment vertical="center"/>
    </xf>
    <xf numFmtId="0" fontId="21" fillId="3" borderId="3" xfId="0" applyFont="1" applyFill="1" applyBorder="1" applyAlignment="1">
      <alignment horizontal="left" vertical="center"/>
    </xf>
    <xf numFmtId="0" fontId="21" fillId="13" borderId="27" xfId="0" applyFont="1" applyFill="1" applyBorder="1" applyAlignment="1">
      <alignment horizontal="right" vertical="center"/>
    </xf>
    <xf numFmtId="0" fontId="8" fillId="14" borderId="7" xfId="0" applyFont="1" applyFill="1" applyBorder="1"/>
    <xf numFmtId="168" fontId="8" fillId="14" borderId="0" xfId="0" applyNumberFormat="1" applyFont="1" applyFill="1" applyBorder="1" applyAlignment="1">
      <alignment horizontal="right" vertical="center"/>
    </xf>
    <xf numFmtId="178" fontId="8" fillId="14" borderId="0" xfId="0" applyNumberFormat="1" applyFont="1" applyFill="1" applyBorder="1" applyAlignment="1">
      <alignment vertical="center"/>
    </xf>
    <xf numFmtId="178" fontId="39" fillId="14" borderId="0" xfId="0" applyNumberFormat="1" applyFont="1" applyFill="1" applyBorder="1" applyAlignment="1">
      <alignment vertical="center"/>
    </xf>
    <xf numFmtId="178" fontId="37" fillId="14" borderId="0" xfId="1" applyNumberFormat="1" applyFont="1" applyFill="1" applyBorder="1" applyAlignment="1">
      <alignment horizontal="right" vertical="center"/>
    </xf>
    <xf numFmtId="169" fontId="21" fillId="13" borderId="27" xfId="0" applyNumberFormat="1" applyFont="1" applyFill="1" applyBorder="1" applyAlignment="1">
      <alignment vertical="center"/>
    </xf>
    <xf numFmtId="168" fontId="8" fillId="14" borderId="11" xfId="0" applyNumberFormat="1" applyFont="1" applyFill="1" applyBorder="1" applyAlignment="1">
      <alignment horizontal="right" vertical="center"/>
    </xf>
    <xf numFmtId="164" fontId="37" fillId="14" borderId="0" xfId="0" applyNumberFormat="1" applyFont="1" applyFill="1" applyBorder="1" applyAlignment="1">
      <alignment horizontal="right" vertical="center"/>
    </xf>
    <xf numFmtId="185" fontId="8" fillId="14" borderId="0" xfId="0" applyNumberFormat="1" applyFont="1" applyFill="1" applyBorder="1" applyAlignment="1">
      <alignment horizontal="right" vertical="center"/>
    </xf>
    <xf numFmtId="0" fontId="21" fillId="14" borderId="0" xfId="0" applyFont="1" applyFill="1" applyBorder="1" applyAlignment="1">
      <alignment vertical="center"/>
    </xf>
    <xf numFmtId="0" fontId="8" fillId="14" borderId="10" xfId="0" applyFont="1" applyFill="1" applyBorder="1" applyAlignment="1">
      <alignment vertical="center"/>
    </xf>
    <xf numFmtId="0" fontId="39" fillId="14" borderId="10" xfId="0" applyFont="1" applyFill="1" applyBorder="1" applyAlignment="1">
      <alignment vertical="center"/>
    </xf>
    <xf numFmtId="0" fontId="8" fillId="14" borderId="19" xfId="0" applyFont="1" applyFill="1" applyBorder="1" applyAlignment="1">
      <alignment vertical="center"/>
    </xf>
    <xf numFmtId="0" fontId="21" fillId="14" borderId="12" xfId="0" applyFont="1" applyFill="1" applyBorder="1" applyAlignment="1">
      <alignment vertical="center"/>
    </xf>
    <xf numFmtId="0" fontId="8" fillId="13" borderId="19" xfId="0" applyFont="1" applyFill="1" applyBorder="1" applyAlignment="1">
      <alignment vertical="center"/>
    </xf>
    <xf numFmtId="0" fontId="8" fillId="14" borderId="12" xfId="0" applyFont="1" applyFill="1" applyBorder="1" applyAlignment="1">
      <alignment vertical="center"/>
    </xf>
    <xf numFmtId="0" fontId="21" fillId="14" borderId="10" xfId="0" applyFont="1" applyFill="1" applyBorder="1" applyAlignment="1">
      <alignment vertical="center"/>
    </xf>
    <xf numFmtId="177" fontId="21" fillId="12" borderId="8" xfId="0" applyNumberFormat="1" applyFont="1" applyFill="1" applyBorder="1" applyAlignment="1">
      <alignment vertical="center"/>
    </xf>
    <xf numFmtId="0" fontId="21" fillId="13" borderId="28" xfId="0" applyFont="1" applyFill="1" applyBorder="1" applyAlignment="1">
      <alignment horizontal="right" vertical="center"/>
    </xf>
    <xf numFmtId="0" fontId="21" fillId="4" borderId="26" xfId="0" applyFont="1" applyFill="1" applyBorder="1" applyAlignment="1">
      <alignment horizontal="right" vertical="center"/>
    </xf>
    <xf numFmtId="0" fontId="21" fillId="13" borderId="28" xfId="0" applyFont="1" applyFill="1" applyBorder="1" applyAlignment="1">
      <alignment horizontal="right" vertical="center" wrapText="1"/>
    </xf>
    <xf numFmtId="0" fontId="8" fillId="3" borderId="6" xfId="0" applyFont="1" applyFill="1" applyBorder="1"/>
    <xf numFmtId="0" fontId="8" fillId="14" borderId="8" xfId="0" applyFont="1" applyFill="1" applyBorder="1"/>
    <xf numFmtId="168" fontId="8" fillId="3" borderId="3" xfId="0" applyNumberFormat="1" applyFont="1" applyFill="1" applyBorder="1" applyAlignment="1">
      <alignment horizontal="right" vertical="center"/>
    </xf>
    <xf numFmtId="177" fontId="8" fillId="14" borderId="10" xfId="0" applyNumberFormat="1" applyFont="1" applyFill="1" applyBorder="1" applyAlignment="1">
      <alignment vertical="center"/>
    </xf>
    <xf numFmtId="178" fontId="37" fillId="3" borderId="3" xfId="1" applyNumberFormat="1" applyFont="1" applyFill="1" applyBorder="1" applyAlignment="1">
      <alignment horizontal="right" vertical="center"/>
    </xf>
    <xf numFmtId="178" fontId="39" fillId="3" borderId="3" xfId="0" applyNumberFormat="1" applyFont="1" applyFill="1" applyBorder="1" applyAlignment="1">
      <alignment vertical="center"/>
    </xf>
    <xf numFmtId="177" fontId="39" fillId="14" borderId="10" xfId="0" applyNumberFormat="1" applyFont="1" applyFill="1" applyBorder="1" applyAlignment="1">
      <alignment vertical="center"/>
    </xf>
    <xf numFmtId="177" fontId="8" fillId="14" borderId="19" xfId="0" applyNumberFormat="1" applyFont="1" applyFill="1" applyBorder="1" applyAlignment="1">
      <alignment vertical="center"/>
    </xf>
    <xf numFmtId="169" fontId="21" fillId="12" borderId="6" xfId="0" applyNumberFormat="1" applyFont="1" applyFill="1" applyBorder="1" applyAlignment="1">
      <alignment vertical="center"/>
    </xf>
    <xf numFmtId="177" fontId="8" fillId="14" borderId="12" xfId="0" applyNumberFormat="1" applyFont="1" applyFill="1" applyBorder="1" applyAlignment="1">
      <alignment vertical="center"/>
    </xf>
    <xf numFmtId="178" fontId="8" fillId="14" borderId="10" xfId="0" applyNumberFormat="1" applyFont="1" applyFill="1" applyBorder="1" applyAlignment="1">
      <alignment vertical="center"/>
    </xf>
    <xf numFmtId="169" fontId="21" fillId="4" borderId="26" xfId="0" applyNumberFormat="1" applyFont="1" applyFill="1" applyBorder="1" applyAlignment="1">
      <alignment vertical="center"/>
    </xf>
    <xf numFmtId="177" fontId="21" fillId="13" borderId="28" xfId="0" applyNumberFormat="1" applyFont="1" applyFill="1" applyBorder="1" applyAlignment="1">
      <alignment vertical="center"/>
    </xf>
    <xf numFmtId="168" fontId="8" fillId="3" borderId="4" xfId="0" applyNumberFormat="1" applyFont="1" applyFill="1" applyBorder="1" applyAlignment="1">
      <alignment horizontal="right" vertical="center"/>
    </xf>
    <xf numFmtId="179" fontId="8" fillId="14" borderId="12" xfId="0" applyNumberFormat="1" applyFont="1" applyFill="1" applyBorder="1" applyAlignment="1">
      <alignment vertical="center"/>
    </xf>
    <xf numFmtId="164" fontId="37" fillId="3" borderId="3" xfId="0" applyNumberFormat="1" applyFont="1" applyFill="1" applyBorder="1" applyAlignment="1">
      <alignment horizontal="right" vertical="center"/>
    </xf>
    <xf numFmtId="164" fontId="37" fillId="14" borderId="10" xfId="0" applyNumberFormat="1" applyFont="1" applyFill="1" applyBorder="1" applyAlignment="1">
      <alignment horizontal="right" vertical="center"/>
    </xf>
    <xf numFmtId="172" fontId="8" fillId="14" borderId="10" xfId="0" applyNumberFormat="1" applyFont="1" applyFill="1" applyBorder="1" applyAlignment="1">
      <alignment vertical="center"/>
    </xf>
    <xf numFmtId="181" fontId="8" fillId="14" borderId="10" xfId="0" applyNumberFormat="1" applyFont="1" applyFill="1" applyBorder="1" applyAlignment="1">
      <alignment vertical="center"/>
    </xf>
    <xf numFmtId="179" fontId="8" fillId="14" borderId="10" xfId="0" applyNumberFormat="1" applyFont="1" applyFill="1" applyBorder="1" applyAlignment="1">
      <alignment vertical="center"/>
    </xf>
    <xf numFmtId="0" fontId="21" fillId="3" borderId="3" xfId="0" applyFont="1" applyFill="1" applyBorder="1" applyAlignment="1">
      <alignment vertical="center"/>
    </xf>
    <xf numFmtId="179" fontId="39" fillId="14" borderId="10" xfId="0" applyNumberFormat="1" applyFont="1" applyFill="1" applyBorder="1" applyAlignment="1">
      <alignment vertical="center"/>
    </xf>
    <xf numFmtId="178" fontId="8" fillId="3" borderId="3" xfId="0" applyNumberFormat="1" applyFont="1" applyFill="1" applyBorder="1" applyAlignment="1">
      <alignment vertical="center"/>
    </xf>
    <xf numFmtId="168" fontId="8" fillId="14" borderId="10" xfId="0" applyNumberFormat="1" applyFont="1" applyFill="1" applyBorder="1" applyAlignment="1">
      <alignment horizontal="right" vertical="center"/>
    </xf>
    <xf numFmtId="178" fontId="39" fillId="14" borderId="10" xfId="0" applyNumberFormat="1" applyFont="1" applyFill="1" applyBorder="1" applyAlignment="1">
      <alignment vertical="center"/>
    </xf>
    <xf numFmtId="178" fontId="37" fillId="14" borderId="10" xfId="1" applyNumberFormat="1" applyFont="1" applyFill="1" applyBorder="1" applyAlignment="1">
      <alignment horizontal="right" vertical="center"/>
    </xf>
    <xf numFmtId="169" fontId="21" fillId="13" borderId="28" xfId="0" applyNumberFormat="1" applyFont="1" applyFill="1" applyBorder="1" applyAlignment="1">
      <alignment vertical="center"/>
    </xf>
    <xf numFmtId="168" fontId="8" fillId="14" borderId="12" xfId="0" applyNumberFormat="1" applyFont="1" applyFill="1" applyBorder="1" applyAlignment="1">
      <alignment horizontal="right" vertical="center"/>
    </xf>
    <xf numFmtId="185" fontId="8" fillId="14" borderId="10" xfId="0" applyNumberFormat="1" applyFont="1" applyFill="1" applyBorder="1" applyAlignment="1">
      <alignment horizontal="right" vertical="center"/>
    </xf>
    <xf numFmtId="169" fontId="21" fillId="12" borderId="8" xfId="0" applyNumberFormat="1" applyFont="1" applyFill="1" applyBorder="1" applyAlignment="1">
      <alignment vertical="center"/>
    </xf>
    <xf numFmtId="0" fontId="21" fillId="4" borderId="27" xfId="0" applyFont="1" applyFill="1" applyBorder="1" applyAlignment="1">
      <alignment horizontal="center" vertical="center" wrapText="1"/>
    </xf>
    <xf numFmtId="172" fontId="8" fillId="2" borderId="0" xfId="0" applyNumberFormat="1" applyFont="1" applyFill="1" applyAlignment="1">
      <alignment vertical="center"/>
    </xf>
    <xf numFmtId="164" fontId="8" fillId="2" borderId="0" xfId="0" applyNumberFormat="1" applyFont="1" applyFill="1" applyAlignment="1">
      <alignment vertical="center"/>
    </xf>
    <xf numFmtId="175" fontId="8" fillId="3" borderId="0" xfId="0" applyNumberFormat="1" applyFont="1" applyFill="1" applyAlignment="1">
      <alignment vertical="center"/>
    </xf>
    <xf numFmtId="164" fontId="8" fillId="3" borderId="0" xfId="0" applyNumberFormat="1" applyFont="1" applyFill="1" applyAlignment="1">
      <alignment vertical="center"/>
    </xf>
    <xf numFmtId="173" fontId="8" fillId="3" borderId="0" xfId="0" applyNumberFormat="1" applyFont="1" applyFill="1" applyAlignment="1">
      <alignment vertical="center"/>
    </xf>
    <xf numFmtId="166" fontId="21" fillId="3" borderId="6" xfId="0" applyNumberFormat="1" applyFont="1" applyFill="1" applyBorder="1" applyAlignment="1">
      <alignment vertical="center"/>
    </xf>
    <xf numFmtId="166" fontId="21" fillId="3" borderId="7" xfId="0" applyNumberFormat="1" applyFont="1" applyFill="1" applyBorder="1" applyAlignment="1">
      <alignment vertical="center"/>
    </xf>
    <xf numFmtId="175" fontId="21" fillId="3" borderId="7" xfId="0" applyNumberFormat="1" applyFont="1" applyFill="1" applyBorder="1" applyAlignment="1">
      <alignment vertical="center"/>
    </xf>
    <xf numFmtId="172" fontId="21" fillId="3" borderId="7" xfId="0" applyNumberFormat="1" applyFont="1" applyFill="1" applyBorder="1" applyAlignment="1">
      <alignment vertical="center"/>
    </xf>
    <xf numFmtId="0" fontId="8" fillId="3" borderId="8" xfId="0" applyFont="1" applyFill="1" applyBorder="1" applyAlignment="1">
      <alignment vertical="center"/>
    </xf>
    <xf numFmtId="166" fontId="21" fillId="3" borderId="7" xfId="0" applyNumberFormat="1" applyFont="1" applyFill="1" applyBorder="1" applyAlignment="1">
      <alignment horizontal="right" vertical="center"/>
    </xf>
    <xf numFmtId="166" fontId="21" fillId="3" borderId="2" xfId="0" applyNumberFormat="1" applyFont="1" applyFill="1" applyBorder="1" applyAlignment="1">
      <alignment vertical="center"/>
    </xf>
    <xf numFmtId="175" fontId="21" fillId="3" borderId="2" xfId="0" applyNumberFormat="1" applyFont="1" applyFill="1" applyBorder="1" applyAlignment="1">
      <alignment vertical="center"/>
    </xf>
    <xf numFmtId="172" fontId="21" fillId="3" borderId="2" xfId="0" applyNumberFormat="1" applyFont="1" applyFill="1" applyBorder="1" applyAlignment="1">
      <alignment vertical="center"/>
    </xf>
    <xf numFmtId="185" fontId="8" fillId="3" borderId="0" xfId="0" applyNumberFormat="1" applyFont="1" applyFill="1" applyAlignment="1">
      <alignment vertical="center"/>
    </xf>
    <xf numFmtId="186" fontId="8" fillId="3" borderId="0" xfId="0" applyNumberFormat="1" applyFont="1" applyFill="1" applyAlignment="1">
      <alignment vertical="center"/>
    </xf>
    <xf numFmtId="166" fontId="21" fillId="12" borderId="6" xfId="0" applyNumberFormat="1" applyFont="1" applyFill="1" applyBorder="1" applyAlignment="1">
      <alignment vertical="center"/>
    </xf>
    <xf numFmtId="166" fontId="21" fillId="12" borderId="7" xfId="0" applyNumberFormat="1" applyFont="1" applyFill="1" applyBorder="1" applyAlignment="1">
      <alignment vertical="center"/>
    </xf>
    <xf numFmtId="175" fontId="21" fillId="12" borderId="7" xfId="0" applyNumberFormat="1" applyFont="1" applyFill="1" applyBorder="1" applyAlignment="1">
      <alignment vertical="center"/>
    </xf>
    <xf numFmtId="0" fontId="8" fillId="12" borderId="8" xfId="0" applyFont="1" applyFill="1" applyBorder="1" applyAlignment="1">
      <alignment vertical="center"/>
    </xf>
    <xf numFmtId="0" fontId="21" fillId="4" borderId="26" xfId="0" applyFont="1" applyFill="1" applyBorder="1" applyAlignment="1">
      <alignment horizontal="center" vertical="center" wrapText="1"/>
    </xf>
    <xf numFmtId="0" fontId="21" fillId="4" borderId="28" xfId="0" applyFont="1" applyFill="1" applyBorder="1" applyAlignment="1">
      <alignment horizontal="center" vertical="center" wrapText="1"/>
    </xf>
    <xf numFmtId="166" fontId="21" fillId="3" borderId="8" xfId="0" applyNumberFormat="1" applyFont="1" applyFill="1" applyBorder="1" applyAlignment="1">
      <alignment vertical="center"/>
    </xf>
    <xf numFmtId="166" fontId="8" fillId="3" borderId="3" xfId="0" applyNumberFormat="1" applyFont="1" applyFill="1" applyBorder="1" applyAlignment="1">
      <alignment vertical="center"/>
    </xf>
    <xf numFmtId="166" fontId="8" fillId="3" borderId="10" xfId="0" applyNumberFormat="1" applyFont="1" applyFill="1" applyBorder="1" applyAlignment="1">
      <alignment vertical="center"/>
    </xf>
    <xf numFmtId="185" fontId="8" fillId="3" borderId="3" xfId="0" applyNumberFormat="1" applyFont="1" applyFill="1" applyBorder="1" applyAlignment="1">
      <alignment vertical="center"/>
    </xf>
    <xf numFmtId="185" fontId="8" fillId="3" borderId="0" xfId="0" applyNumberFormat="1" applyFont="1" applyFill="1" applyBorder="1" applyAlignment="1">
      <alignment vertical="center"/>
    </xf>
    <xf numFmtId="185" fontId="8" fillId="3" borderId="10" xfId="0" applyNumberFormat="1" applyFont="1" applyFill="1" applyBorder="1" applyAlignment="1">
      <alignment vertical="center"/>
    </xf>
    <xf numFmtId="164" fontId="8" fillId="3" borderId="3" xfId="0" applyNumberFormat="1" applyFont="1" applyFill="1" applyBorder="1" applyAlignment="1">
      <alignment vertical="center"/>
    </xf>
    <xf numFmtId="164" fontId="8" fillId="3" borderId="10" xfId="0" applyNumberFormat="1" applyFont="1" applyFill="1" applyBorder="1" applyAlignment="1">
      <alignment vertical="center"/>
    </xf>
    <xf numFmtId="178" fontId="8" fillId="3" borderId="10" xfId="0" applyNumberFormat="1" applyFont="1" applyFill="1" applyBorder="1" applyAlignment="1">
      <alignment vertical="center"/>
    </xf>
    <xf numFmtId="166" fontId="21" fillId="12" borderId="8" xfId="0" applyNumberFormat="1" applyFont="1" applyFill="1" applyBorder="1" applyAlignment="1">
      <alignment vertical="center"/>
    </xf>
    <xf numFmtId="164" fontId="8" fillId="3" borderId="0" xfId="0" applyNumberFormat="1" applyFont="1" applyFill="1" applyBorder="1" applyAlignment="1">
      <alignment vertical="center"/>
    </xf>
    <xf numFmtId="171" fontId="8" fillId="3" borderId="0" xfId="0" applyNumberFormat="1" applyFont="1" applyFill="1" applyBorder="1" applyAlignment="1">
      <alignment vertical="center"/>
    </xf>
    <xf numFmtId="171" fontId="8" fillId="3" borderId="10" xfId="0" applyNumberFormat="1" applyFont="1" applyFill="1" applyBorder="1" applyAlignment="1">
      <alignment vertical="center"/>
    </xf>
    <xf numFmtId="166" fontId="21" fillId="3" borderId="15" xfId="0" applyNumberFormat="1" applyFont="1" applyFill="1" applyBorder="1" applyAlignment="1">
      <alignment vertical="center"/>
    </xf>
    <xf numFmtId="166" fontId="21" fillId="3" borderId="16" xfId="0" applyNumberFormat="1" applyFont="1" applyFill="1" applyBorder="1" applyAlignment="1">
      <alignment vertical="center"/>
    </xf>
    <xf numFmtId="172" fontId="21" fillId="3" borderId="6" xfId="0" applyNumberFormat="1" applyFont="1" applyFill="1" applyBorder="1" applyAlignment="1">
      <alignment vertical="center"/>
    </xf>
    <xf numFmtId="172" fontId="8" fillId="3" borderId="3" xfId="0" applyNumberFormat="1" applyFont="1" applyFill="1" applyBorder="1" applyAlignment="1">
      <alignment vertical="center"/>
    </xf>
    <xf numFmtId="175" fontId="8" fillId="3" borderId="0" xfId="0" applyNumberFormat="1" applyFont="1" applyFill="1" applyBorder="1" applyAlignment="1">
      <alignment vertical="center"/>
    </xf>
    <xf numFmtId="186" fontId="8" fillId="3" borderId="3" xfId="0" applyNumberFormat="1" applyFont="1" applyFill="1" applyBorder="1" applyAlignment="1">
      <alignment vertical="center"/>
    </xf>
    <xf numFmtId="186" fontId="8" fillId="3" borderId="0" xfId="0" applyNumberFormat="1" applyFont="1" applyFill="1" applyBorder="1" applyAlignment="1">
      <alignment vertical="center"/>
    </xf>
    <xf numFmtId="186" fontId="8" fillId="3" borderId="10" xfId="0" applyNumberFormat="1" applyFont="1" applyFill="1" applyBorder="1" applyAlignment="1">
      <alignment vertical="center"/>
    </xf>
    <xf numFmtId="172" fontId="21" fillId="12" borderId="6" xfId="0" applyNumberFormat="1" applyFont="1" applyFill="1" applyBorder="1" applyAlignment="1">
      <alignment vertical="center"/>
    </xf>
    <xf numFmtId="175" fontId="8" fillId="3" borderId="3" xfId="0" applyNumberFormat="1" applyFont="1" applyFill="1" applyBorder="1" applyAlignment="1">
      <alignment vertical="center"/>
    </xf>
    <xf numFmtId="176" fontId="8" fillId="3" borderId="3" xfId="0" applyNumberFormat="1" applyFont="1" applyFill="1" applyBorder="1" applyAlignment="1">
      <alignment vertical="center"/>
    </xf>
    <xf numFmtId="173" fontId="8" fillId="3" borderId="0" xfId="0" applyNumberFormat="1" applyFont="1" applyFill="1" applyBorder="1" applyAlignment="1">
      <alignment vertical="center"/>
    </xf>
    <xf numFmtId="172" fontId="21" fillId="3" borderId="15" xfId="0" applyNumberFormat="1" applyFont="1" applyFill="1" applyBorder="1" applyAlignment="1">
      <alignment vertical="center"/>
    </xf>
    <xf numFmtId="0" fontId="21" fillId="15" borderId="27" xfId="0" applyFont="1" applyFill="1" applyBorder="1" applyAlignment="1">
      <alignment horizontal="center" vertical="center" wrapText="1"/>
    </xf>
    <xf numFmtId="175" fontId="21" fillId="2" borderId="7" xfId="0" applyNumberFormat="1" applyFont="1" applyFill="1" applyBorder="1" applyAlignment="1">
      <alignment vertical="center"/>
    </xf>
    <xf numFmtId="172" fontId="21" fillId="2" borderId="7" xfId="0" applyNumberFormat="1" applyFont="1" applyFill="1" applyBorder="1" applyAlignment="1">
      <alignment vertical="center"/>
    </xf>
    <xf numFmtId="175" fontId="8" fillId="2" borderId="0" xfId="0" applyNumberFormat="1" applyFont="1" applyFill="1" applyBorder="1" applyAlignment="1">
      <alignment vertical="center"/>
    </xf>
    <xf numFmtId="186" fontId="8" fillId="2" borderId="0" xfId="0" applyNumberFormat="1" applyFont="1" applyFill="1" applyBorder="1" applyAlignment="1">
      <alignment vertical="center"/>
    </xf>
    <xf numFmtId="172" fontId="21" fillId="7" borderId="7" xfId="0" applyNumberFormat="1" applyFont="1" applyFill="1" applyBorder="1" applyAlignment="1">
      <alignment vertical="center"/>
    </xf>
    <xf numFmtId="164" fontId="8" fillId="2" borderId="0" xfId="0" applyNumberFormat="1" applyFont="1" applyFill="1" applyBorder="1" applyAlignment="1">
      <alignment vertical="center"/>
    </xf>
    <xf numFmtId="173" fontId="8" fillId="2" borderId="0" xfId="0" applyNumberFormat="1" applyFont="1" applyFill="1" applyBorder="1" applyAlignment="1">
      <alignment vertical="center"/>
    </xf>
    <xf numFmtId="172" fontId="21" fillId="2" borderId="2" xfId="0" applyNumberFormat="1" applyFont="1" applyFill="1" applyBorder="1" applyAlignment="1">
      <alignment vertical="center"/>
    </xf>
    <xf numFmtId="172" fontId="8" fillId="2" borderId="0" xfId="0" applyNumberFormat="1" applyFont="1" applyFill="1" applyBorder="1" applyAlignment="1">
      <alignment vertical="center"/>
    </xf>
    <xf numFmtId="186" fontId="8" fillId="2" borderId="0" xfId="0" applyNumberFormat="1" applyFont="1" applyFill="1" applyAlignment="1">
      <alignment vertical="center"/>
    </xf>
    <xf numFmtId="175" fontId="8" fillId="2" borderId="0" xfId="0" applyNumberFormat="1" applyFont="1" applyFill="1" applyAlignment="1">
      <alignment vertical="center"/>
    </xf>
    <xf numFmtId="173" fontId="8" fillId="2" borderId="0" xfId="0" applyNumberFormat="1" applyFont="1" applyFill="1" applyAlignment="1">
      <alignment vertical="center"/>
    </xf>
    <xf numFmtId="185" fontId="21" fillId="12" borderId="6" xfId="0" applyNumberFormat="1" applyFont="1" applyFill="1" applyBorder="1" applyAlignment="1">
      <alignment vertical="center"/>
    </xf>
    <xf numFmtId="185" fontId="21" fillId="12" borderId="7" xfId="0" applyNumberFormat="1" applyFont="1" applyFill="1" applyBorder="1" applyAlignment="1">
      <alignment vertical="center"/>
    </xf>
    <xf numFmtId="185" fontId="21" fillId="12" borderId="8" xfId="0" applyNumberFormat="1" applyFont="1" applyFill="1" applyBorder="1" applyAlignment="1">
      <alignment vertical="center"/>
    </xf>
    <xf numFmtId="186" fontId="21" fillId="12" borderId="7" xfId="0" applyNumberFormat="1" applyFont="1" applyFill="1" applyBorder="1" applyAlignment="1">
      <alignment vertical="center"/>
    </xf>
    <xf numFmtId="186" fontId="21" fillId="7" borderId="7" xfId="0" applyNumberFormat="1" applyFont="1" applyFill="1" applyBorder="1" applyAlignment="1">
      <alignment vertical="center"/>
    </xf>
    <xf numFmtId="186" fontId="21" fillId="12" borderId="6" xfId="0" applyNumberFormat="1" applyFont="1" applyFill="1" applyBorder="1" applyAlignment="1">
      <alignment vertical="center"/>
    </xf>
    <xf numFmtId="164" fontId="8" fillId="3" borderId="18" xfId="0" applyNumberFormat="1" applyFont="1" applyFill="1" applyBorder="1" applyAlignment="1">
      <alignment vertical="center"/>
    </xf>
    <xf numFmtId="0" fontId="17" fillId="0" borderId="0" xfId="0" applyFont="1" applyFill="1" applyBorder="1" applyAlignment="1">
      <alignment vertical="center" wrapText="1"/>
    </xf>
    <xf numFmtId="0" fontId="43" fillId="11" borderId="13" xfId="0" applyFont="1" applyFill="1" applyBorder="1" applyAlignment="1">
      <alignment horizontal="center" vertical="center"/>
    </xf>
    <xf numFmtId="0" fontId="43" fillId="11" borderId="0" xfId="0" applyFont="1" applyFill="1" applyBorder="1" applyAlignment="1">
      <alignment horizontal="center" vertical="center"/>
    </xf>
    <xf numFmtId="0" fontId="43" fillId="11" borderId="14" xfId="0" applyFont="1" applyFill="1" applyBorder="1" applyAlignment="1">
      <alignment horizontal="center" vertical="center"/>
    </xf>
    <xf numFmtId="0" fontId="43" fillId="11" borderId="11" xfId="0" applyFont="1" applyFill="1" applyBorder="1" applyAlignment="1">
      <alignment horizontal="center" vertical="center"/>
    </xf>
    <xf numFmtId="0" fontId="43" fillId="0" borderId="0" xfId="0" applyFont="1" applyFill="1" applyBorder="1" applyAlignment="1">
      <alignment horizontal="center" vertical="center"/>
    </xf>
    <xf numFmtId="0" fontId="44" fillId="3" borderId="9" xfId="0" applyFont="1" applyFill="1" applyBorder="1" applyAlignment="1">
      <alignment horizontal="left" vertical="center" wrapText="1"/>
    </xf>
    <xf numFmtId="3" fontId="44" fillId="17" borderId="6" xfId="0" applyNumberFormat="1" applyFont="1" applyFill="1" applyBorder="1" applyAlignment="1">
      <alignment horizontal="center" vertical="center" wrapText="1"/>
    </xf>
    <xf numFmtId="3" fontId="44" fillId="17" borderId="7" xfId="0" applyNumberFormat="1" applyFont="1" applyFill="1" applyBorder="1" applyAlignment="1">
      <alignment horizontal="center" vertical="center" wrapText="1"/>
    </xf>
    <xf numFmtId="3" fontId="44" fillId="18" borderId="8" xfId="0" applyNumberFormat="1" applyFont="1" applyFill="1" applyBorder="1" applyAlignment="1">
      <alignment horizontal="center" vertical="center" wrapText="1"/>
    </xf>
    <xf numFmtId="3" fontId="44" fillId="3" borderId="6" xfId="0" applyNumberFormat="1" applyFont="1" applyFill="1" applyBorder="1" applyAlignment="1">
      <alignment horizontal="right" vertical="center" wrapText="1"/>
    </xf>
    <xf numFmtId="3" fontId="44" fillId="3" borderId="7" xfId="0" applyNumberFormat="1" applyFont="1" applyFill="1" applyBorder="1" applyAlignment="1">
      <alignment horizontal="right" vertical="center" wrapText="1"/>
    </xf>
    <xf numFmtId="3" fontId="44" fillId="0" borderId="0" xfId="0" applyNumberFormat="1" applyFont="1" applyFill="1" applyBorder="1" applyAlignment="1">
      <alignment horizontal="right" vertical="center" wrapText="1"/>
    </xf>
    <xf numFmtId="0" fontId="46" fillId="2" borderId="3" xfId="0" applyFont="1" applyFill="1" applyBorder="1" applyAlignment="1">
      <alignment horizontal="left" vertical="center" wrapText="1"/>
    </xf>
    <xf numFmtId="3" fontId="18" fillId="2" borderId="3" xfId="0" applyNumberFormat="1" applyFont="1" applyFill="1" applyBorder="1" applyAlignment="1">
      <alignment horizontal="right" vertical="center" wrapText="1"/>
    </xf>
    <xf numFmtId="3" fontId="18" fillId="2" borderId="0" xfId="0" applyNumberFormat="1" applyFont="1" applyFill="1" applyBorder="1" applyAlignment="1">
      <alignment horizontal="right" vertical="center" wrapText="1"/>
    </xf>
    <xf numFmtId="3" fontId="18" fillId="19" borderId="0" xfId="0" applyNumberFormat="1" applyFont="1" applyFill="1" applyBorder="1" applyAlignment="1">
      <alignment horizontal="right" vertical="center" wrapText="1"/>
    </xf>
    <xf numFmtId="3" fontId="18" fillId="2" borderId="4" xfId="0" applyNumberFormat="1" applyFont="1" applyFill="1" applyBorder="1" applyAlignment="1">
      <alignment horizontal="right" vertical="center" wrapText="1"/>
    </xf>
    <xf numFmtId="170" fontId="18" fillId="2" borderId="3" xfId="7" applyNumberFormat="1" applyFont="1" applyFill="1" applyBorder="1" applyAlignment="1">
      <alignment horizontal="right" vertical="center" wrapText="1"/>
    </xf>
    <xf numFmtId="3" fontId="18" fillId="19" borderId="10" xfId="0" applyNumberFormat="1" applyFont="1" applyFill="1" applyBorder="1" applyAlignment="1">
      <alignment horizontal="right" vertical="center" wrapText="1"/>
    </xf>
    <xf numFmtId="3" fontId="18" fillId="0" borderId="0" xfId="0" applyNumberFormat="1" applyFont="1" applyFill="1" applyBorder="1" applyAlignment="1">
      <alignment horizontal="right" vertical="center" wrapText="1"/>
    </xf>
    <xf numFmtId="0" fontId="16" fillId="3" borderId="3" xfId="0" applyFont="1" applyFill="1" applyBorder="1" applyAlignment="1">
      <alignment horizontal="left" vertical="center" wrapText="1"/>
    </xf>
    <xf numFmtId="3" fontId="44" fillId="3" borderId="3" xfId="0" applyNumberFormat="1" applyFont="1" applyFill="1" applyBorder="1" applyAlignment="1">
      <alignment horizontal="right" vertical="center" wrapText="1"/>
    </xf>
    <xf numFmtId="3" fontId="44" fillId="3" borderId="0" xfId="0" applyNumberFormat="1" applyFont="1" applyFill="1" applyBorder="1" applyAlignment="1">
      <alignment horizontal="right" vertical="center" wrapText="1"/>
    </xf>
    <xf numFmtId="3" fontId="44" fillId="18" borderId="0" xfId="0" applyNumberFormat="1" applyFont="1" applyFill="1" applyBorder="1" applyAlignment="1">
      <alignment horizontal="right" vertical="center" wrapText="1"/>
    </xf>
    <xf numFmtId="3" fontId="44" fillId="18" borderId="10" xfId="0" applyNumberFormat="1" applyFont="1" applyFill="1" applyBorder="1" applyAlignment="1">
      <alignment horizontal="right" vertical="center" wrapText="1"/>
    </xf>
    <xf numFmtId="0" fontId="47" fillId="3" borderId="3" xfId="0" applyFont="1" applyFill="1" applyBorder="1" applyAlignment="1">
      <alignment horizontal="left" vertical="center" wrapText="1" indent="1"/>
    </xf>
    <xf numFmtId="3" fontId="18" fillId="3" borderId="3" xfId="0" applyNumberFormat="1" applyFont="1" applyFill="1" applyBorder="1" applyAlignment="1">
      <alignment horizontal="right" vertical="center" wrapText="1"/>
    </xf>
    <xf numFmtId="3" fontId="18" fillId="3" borderId="0" xfId="0" applyNumberFormat="1" applyFont="1" applyFill="1" applyBorder="1" applyAlignment="1">
      <alignment horizontal="right" vertical="center" wrapText="1"/>
    </xf>
    <xf numFmtId="3" fontId="18" fillId="18" borderId="0" xfId="0" applyNumberFormat="1" applyFont="1" applyFill="1" applyBorder="1" applyAlignment="1">
      <alignment horizontal="right" vertical="center" wrapText="1"/>
    </xf>
    <xf numFmtId="3" fontId="34" fillId="3" borderId="0" xfId="0" applyNumberFormat="1" applyFont="1" applyFill="1" applyBorder="1" applyAlignment="1">
      <alignment horizontal="right" vertical="center" wrapText="1"/>
    </xf>
    <xf numFmtId="3" fontId="18" fillId="18" borderId="10" xfId="0" applyNumberFormat="1" applyFont="1" applyFill="1" applyBorder="1" applyAlignment="1">
      <alignment horizontal="right" vertical="center" wrapText="1"/>
    </xf>
    <xf numFmtId="0" fontId="48" fillId="3" borderId="3" xfId="0" applyFont="1" applyFill="1" applyBorder="1" applyAlignment="1">
      <alignment horizontal="left" vertical="center" wrapText="1" indent="3"/>
    </xf>
    <xf numFmtId="3" fontId="49" fillId="3" borderId="3" xfId="0" applyNumberFormat="1" applyFont="1" applyFill="1" applyBorder="1" applyAlignment="1">
      <alignment horizontal="right" vertical="center" wrapText="1"/>
    </xf>
    <xf numFmtId="3" fontId="49" fillId="3" borderId="0" xfId="0" applyNumberFormat="1" applyFont="1" applyFill="1" applyBorder="1" applyAlignment="1">
      <alignment horizontal="right" vertical="center" wrapText="1"/>
    </xf>
    <xf numFmtId="3" fontId="49" fillId="18"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3" fontId="49" fillId="18" borderId="10" xfId="0" applyNumberFormat="1" applyFont="1" applyFill="1" applyBorder="1" applyAlignment="1">
      <alignment horizontal="right" vertical="center" wrapText="1"/>
    </xf>
    <xf numFmtId="3" fontId="49" fillId="0" borderId="0" xfId="0" applyNumberFormat="1" applyFont="1" applyFill="1" applyBorder="1" applyAlignment="1">
      <alignment horizontal="right" vertical="center" wrapText="1"/>
    </xf>
    <xf numFmtId="3" fontId="18" fillId="3" borderId="29" xfId="0" applyNumberFormat="1" applyFont="1" applyFill="1" applyBorder="1" applyAlignment="1">
      <alignment horizontal="right" vertical="center" wrapText="1"/>
    </xf>
    <xf numFmtId="3" fontId="18" fillId="3" borderId="30" xfId="0" applyNumberFormat="1" applyFont="1" applyFill="1" applyBorder="1" applyAlignment="1">
      <alignment horizontal="right" vertical="center" wrapText="1"/>
    </xf>
    <xf numFmtId="0" fontId="16" fillId="3" borderId="31" xfId="0" applyFont="1" applyFill="1" applyBorder="1" applyAlignment="1">
      <alignment horizontal="left" vertical="center" wrapText="1"/>
    </xf>
    <xf numFmtId="3" fontId="44" fillId="3" borderId="32" xfId="0" applyNumberFormat="1" applyFont="1" applyFill="1" applyBorder="1" applyAlignment="1">
      <alignment horizontal="right" vertical="center" wrapText="1"/>
    </xf>
    <xf numFmtId="3" fontId="44" fillId="3" borderId="33" xfId="0" applyNumberFormat="1" applyFont="1" applyFill="1" applyBorder="1" applyAlignment="1">
      <alignment horizontal="right" vertical="center" wrapText="1"/>
    </xf>
    <xf numFmtId="3" fontId="44" fillId="18" borderId="33" xfId="0" applyNumberFormat="1" applyFont="1" applyFill="1" applyBorder="1" applyAlignment="1">
      <alignment horizontal="right" vertical="center" wrapText="1"/>
    </xf>
    <xf numFmtId="3" fontId="17" fillId="3" borderId="33" xfId="0" applyNumberFormat="1" applyFont="1" applyFill="1" applyBorder="1" applyAlignment="1">
      <alignment horizontal="right" vertical="center" wrapText="1"/>
    </xf>
    <xf numFmtId="3" fontId="44" fillId="18" borderId="34" xfId="0" applyNumberFormat="1" applyFont="1" applyFill="1" applyBorder="1" applyAlignment="1">
      <alignment horizontal="right" vertical="center" wrapText="1"/>
    </xf>
    <xf numFmtId="0" fontId="47" fillId="3" borderId="4" xfId="0" applyFont="1" applyFill="1" applyBorder="1" applyAlignment="1">
      <alignment horizontal="left" vertical="center"/>
    </xf>
    <xf numFmtId="167" fontId="18" fillId="3" borderId="4" xfId="0" applyNumberFormat="1" applyFont="1" applyFill="1" applyBorder="1" applyAlignment="1">
      <alignment horizontal="right" vertical="center" wrapText="1"/>
    </xf>
    <xf numFmtId="167" fontId="18" fillId="3" borderId="11" xfId="0" applyNumberFormat="1" applyFont="1" applyFill="1" applyBorder="1" applyAlignment="1">
      <alignment horizontal="right" vertical="center" wrapText="1"/>
    </xf>
    <xf numFmtId="167" fontId="18" fillId="18" borderId="11" xfId="0" applyNumberFormat="1" applyFont="1" applyFill="1" applyBorder="1" applyAlignment="1">
      <alignment horizontal="right" vertical="center" wrapText="1"/>
    </xf>
    <xf numFmtId="172" fontId="34" fillId="3" borderId="0" xfId="0" applyNumberFormat="1" applyFont="1" applyFill="1" applyBorder="1" applyAlignment="1">
      <alignment horizontal="right" vertical="center" wrapText="1"/>
    </xf>
    <xf numFmtId="167" fontId="18" fillId="18" borderId="12" xfId="0" applyNumberFormat="1" applyFont="1" applyFill="1" applyBorder="1" applyAlignment="1">
      <alignment horizontal="right" vertical="center" wrapText="1"/>
    </xf>
    <xf numFmtId="167" fontId="18" fillId="0" borderId="0" xfId="0" applyNumberFormat="1" applyFont="1" applyFill="1" applyBorder="1" applyAlignment="1">
      <alignment horizontal="right" vertical="center" wrapText="1"/>
    </xf>
    <xf numFmtId="0" fontId="47" fillId="3" borderId="3" xfId="0" applyFont="1" applyFill="1" applyBorder="1" applyAlignment="1">
      <alignment horizontal="left" vertical="center" wrapText="1"/>
    </xf>
    <xf numFmtId="3" fontId="18" fillId="17" borderId="3" xfId="0" applyNumberFormat="1" applyFont="1" applyFill="1" applyBorder="1" applyAlignment="1">
      <alignment horizontal="right" vertical="center" wrapText="1"/>
    </xf>
    <xf numFmtId="3" fontId="18" fillId="17" borderId="0" xfId="0" applyNumberFormat="1" applyFont="1" applyFill="1" applyBorder="1" applyAlignment="1">
      <alignment horizontal="right" vertical="center" wrapText="1"/>
    </xf>
    <xf numFmtId="170" fontId="18" fillId="3" borderId="0" xfId="0" applyNumberFormat="1" applyFont="1" applyFill="1" applyBorder="1" applyAlignment="1">
      <alignment horizontal="right" vertical="center" wrapText="1"/>
    </xf>
    <xf numFmtId="170" fontId="18" fillId="18" borderId="0" xfId="0" applyNumberFormat="1" applyFont="1" applyFill="1" applyBorder="1" applyAlignment="1">
      <alignment horizontal="right" vertical="center" wrapText="1"/>
    </xf>
    <xf numFmtId="170" fontId="18" fillId="3" borderId="3" xfId="0" applyNumberFormat="1" applyFont="1" applyFill="1" applyBorder="1" applyAlignment="1">
      <alignment horizontal="right" vertical="center" wrapText="1"/>
    </xf>
    <xf numFmtId="170" fontId="34" fillId="3" borderId="0" xfId="0" applyNumberFormat="1" applyFont="1" applyFill="1" applyBorder="1" applyAlignment="1">
      <alignment horizontal="right" vertical="center" wrapText="1"/>
    </xf>
    <xf numFmtId="170" fontId="18" fillId="18" borderId="10" xfId="0" applyNumberFormat="1" applyFont="1" applyFill="1" applyBorder="1" applyAlignment="1">
      <alignment horizontal="right" vertical="center" wrapText="1"/>
    </xf>
    <xf numFmtId="170" fontId="18" fillId="0" borderId="0" xfId="0" applyNumberFormat="1" applyFont="1" applyFill="1" applyBorder="1" applyAlignment="1">
      <alignment horizontal="right" vertical="center" wrapText="1"/>
    </xf>
    <xf numFmtId="2" fontId="18" fillId="3" borderId="5" xfId="0" applyNumberFormat="1" applyFont="1" applyFill="1" applyBorder="1" applyAlignment="1">
      <alignment horizontal="right" vertical="center" wrapText="1"/>
    </xf>
    <xf numFmtId="2" fontId="18" fillId="3" borderId="18" xfId="0" applyNumberFormat="1" applyFont="1" applyFill="1" applyBorder="1" applyAlignment="1">
      <alignment horizontal="right" vertical="center" wrapText="1"/>
    </xf>
    <xf numFmtId="2" fontId="18" fillId="18" borderId="19" xfId="0" applyNumberFormat="1" applyFont="1" applyFill="1" applyBorder="1" applyAlignment="1">
      <alignment horizontal="right" vertical="center" wrapText="1"/>
    </xf>
    <xf numFmtId="4" fontId="34" fillId="3" borderId="18" xfId="0" applyNumberFormat="1" applyFont="1" applyFill="1" applyBorder="1" applyAlignment="1">
      <alignment horizontal="right" vertical="center" wrapText="1"/>
    </xf>
    <xf numFmtId="2" fontId="18" fillId="0" borderId="0" xfId="0" applyNumberFormat="1" applyFont="1" applyFill="1" applyBorder="1" applyAlignment="1">
      <alignment horizontal="right" vertical="center" wrapText="1"/>
    </xf>
    <xf numFmtId="0" fontId="16" fillId="3" borderId="4" xfId="0" applyFont="1" applyFill="1" applyBorder="1" applyAlignment="1">
      <alignment horizontal="left" vertical="center"/>
    </xf>
    <xf numFmtId="3" fontId="44" fillId="3" borderId="4" xfId="0" applyNumberFormat="1" applyFont="1" applyFill="1" applyBorder="1" applyAlignment="1">
      <alignment horizontal="right" vertical="center" wrapText="1"/>
    </xf>
    <xf numFmtId="3" fontId="44" fillId="3" borderId="11" xfId="0" applyNumberFormat="1" applyFont="1" applyFill="1" applyBorder="1" applyAlignment="1">
      <alignment horizontal="right" vertical="center" wrapText="1"/>
    </xf>
    <xf numFmtId="3" fontId="49" fillId="3" borderId="3" xfId="7" applyNumberFormat="1" applyFont="1" applyFill="1" applyBorder="1" applyAlignment="1">
      <alignment horizontal="right" vertical="center" wrapText="1"/>
    </xf>
    <xf numFmtId="3" fontId="18" fillId="3" borderId="3" xfId="7" applyNumberFormat="1" applyFont="1" applyFill="1" applyBorder="1" applyAlignment="1">
      <alignment horizontal="right" vertical="center" wrapText="1"/>
    </xf>
    <xf numFmtId="0" fontId="16" fillId="3" borderId="35" xfId="0" applyFont="1" applyFill="1" applyBorder="1" applyAlignment="1">
      <alignment horizontal="left" vertical="center" wrapText="1"/>
    </xf>
    <xf numFmtId="3" fontId="6" fillId="3" borderId="35" xfId="0" applyNumberFormat="1" applyFont="1" applyFill="1" applyBorder="1" applyAlignment="1">
      <alignment vertical="center"/>
    </xf>
    <xf numFmtId="3" fontId="6" fillId="3" borderId="33" xfId="0" applyNumberFormat="1" applyFont="1" applyFill="1" applyBorder="1" applyAlignment="1">
      <alignment vertical="center"/>
    </xf>
    <xf numFmtId="3" fontId="6" fillId="18" borderId="33" xfId="0" applyNumberFormat="1" applyFont="1" applyFill="1" applyBorder="1" applyAlignment="1">
      <alignment vertical="center"/>
    </xf>
    <xf numFmtId="3" fontId="6" fillId="3" borderId="32" xfId="0" applyNumberFormat="1" applyFont="1" applyFill="1" applyBorder="1" applyAlignment="1">
      <alignment vertical="center"/>
    </xf>
    <xf numFmtId="3" fontId="6" fillId="18" borderId="34" xfId="0" applyNumberFormat="1" applyFont="1" applyFill="1" applyBorder="1" applyAlignment="1">
      <alignment vertical="center"/>
    </xf>
    <xf numFmtId="3" fontId="6" fillId="0" borderId="0" xfId="0" applyNumberFormat="1" applyFont="1" applyFill="1" applyBorder="1" applyAlignment="1">
      <alignment vertical="center"/>
    </xf>
    <xf numFmtId="0" fontId="15" fillId="2" borderId="4" xfId="0" applyFont="1" applyFill="1" applyBorder="1" applyAlignment="1">
      <alignment horizontal="left" vertical="center" wrapText="1"/>
    </xf>
    <xf numFmtId="3" fontId="15" fillId="20" borderId="4" xfId="0" applyNumberFormat="1" applyFont="1" applyFill="1" applyBorder="1" applyAlignment="1">
      <alignment horizontal="right" vertical="center" wrapText="1"/>
    </xf>
    <xf numFmtId="3" fontId="15" fillId="20" borderId="11" xfId="0" applyNumberFormat="1" applyFont="1" applyFill="1" applyBorder="1" applyAlignment="1">
      <alignment horizontal="right" vertical="center" wrapText="1"/>
    </xf>
    <xf numFmtId="3" fontId="15" fillId="19" borderId="12" xfId="0" applyNumberFormat="1" applyFont="1" applyFill="1" applyBorder="1" applyAlignment="1">
      <alignment horizontal="right" vertical="center" wrapText="1"/>
    </xf>
    <xf numFmtId="167" fontId="51" fillId="2" borderId="4" xfId="0" applyNumberFormat="1" applyFont="1" applyFill="1" applyBorder="1" applyAlignment="1">
      <alignment horizontal="right" vertical="center" wrapText="1"/>
    </xf>
    <xf numFmtId="167" fontId="51" fillId="2" borderId="11" xfId="0" applyNumberFormat="1" applyFont="1" applyFill="1" applyBorder="1" applyAlignment="1">
      <alignment horizontal="right" vertical="center" wrapText="1"/>
    </xf>
    <xf numFmtId="167" fontId="15" fillId="2" borderId="0" xfId="0" applyNumberFormat="1" applyFont="1" applyFill="1" applyBorder="1" applyAlignment="1">
      <alignment horizontal="right" vertical="center" wrapText="1"/>
    </xf>
    <xf numFmtId="167" fontId="51" fillId="0" borderId="0" xfId="0" applyNumberFormat="1" applyFont="1" applyFill="1" applyBorder="1" applyAlignment="1">
      <alignment horizontal="right" vertical="center" wrapText="1"/>
    </xf>
    <xf numFmtId="3" fontId="44" fillId="17" borderId="3" xfId="0" applyNumberFormat="1" applyFont="1" applyFill="1" applyBorder="1" applyAlignment="1">
      <alignment horizontal="right" vertical="center" wrapText="1"/>
    </xf>
    <xf numFmtId="3" fontId="44" fillId="17" borderId="0" xfId="0" applyNumberFormat="1" applyFont="1" applyFill="1" applyBorder="1" applyAlignment="1">
      <alignment horizontal="right" vertical="center" wrapText="1"/>
    </xf>
    <xf numFmtId="3" fontId="18" fillId="17" borderId="5" xfId="0" applyNumberFormat="1" applyFont="1" applyFill="1" applyBorder="1" applyAlignment="1">
      <alignment horizontal="right" vertical="center" wrapText="1"/>
    </xf>
    <xf numFmtId="3" fontId="18" fillId="17" borderId="18" xfId="0" applyNumberFormat="1" applyFont="1" applyFill="1" applyBorder="1" applyAlignment="1">
      <alignment horizontal="right" vertical="center" wrapText="1"/>
    </xf>
    <xf numFmtId="0" fontId="47" fillId="3" borderId="6" xfId="0" applyFont="1" applyFill="1" applyBorder="1" applyAlignment="1">
      <alignment horizontal="left" vertical="center" wrapText="1"/>
    </xf>
    <xf numFmtId="3" fontId="18" fillId="17" borderId="6" xfId="0" applyNumberFormat="1" applyFont="1" applyFill="1" applyBorder="1" applyAlignment="1">
      <alignment horizontal="right" vertical="center" wrapText="1"/>
    </xf>
    <xf numFmtId="3" fontId="18" fillId="17" borderId="7" xfId="0" applyNumberFormat="1" applyFont="1" applyFill="1" applyBorder="1" applyAlignment="1">
      <alignment horizontal="right" vertical="center" wrapText="1"/>
    </xf>
    <xf numFmtId="3" fontId="18" fillId="18" borderId="8" xfId="0" applyNumberFormat="1" applyFont="1" applyFill="1" applyBorder="1" applyAlignment="1">
      <alignment horizontal="right" vertical="center" wrapText="1"/>
    </xf>
    <xf numFmtId="167" fontId="18" fillId="3" borderId="6" xfId="0" applyNumberFormat="1" applyFont="1" applyFill="1" applyBorder="1" applyAlignment="1">
      <alignment horizontal="right" vertical="center" wrapText="1"/>
    </xf>
    <xf numFmtId="167" fontId="18" fillId="3" borderId="7" xfId="0" applyNumberFormat="1" applyFont="1" applyFill="1" applyBorder="1" applyAlignment="1">
      <alignment horizontal="right" vertical="center" wrapText="1"/>
    </xf>
    <xf numFmtId="172" fontId="18" fillId="18" borderId="8" xfId="0" applyNumberFormat="1" applyFont="1" applyFill="1" applyBorder="1" applyAlignment="1">
      <alignment horizontal="right" vertical="center" wrapText="1"/>
    </xf>
    <xf numFmtId="0" fontId="18" fillId="3" borderId="7" xfId="0" applyFont="1" applyFill="1" applyBorder="1" applyAlignment="1">
      <alignment horizontal="right" vertical="center" wrapText="1"/>
    </xf>
    <xf numFmtId="0" fontId="16" fillId="3" borderId="4" xfId="0" applyFont="1" applyFill="1" applyBorder="1" applyAlignment="1">
      <alignment horizontal="left" vertical="center" wrapText="1"/>
    </xf>
    <xf numFmtId="3" fontId="44" fillId="17" borderId="4" xfId="0" applyNumberFormat="1" applyFont="1" applyFill="1" applyBorder="1" applyAlignment="1">
      <alignment horizontal="right" vertical="center" wrapText="1"/>
    </xf>
    <xf numFmtId="3" fontId="44" fillId="17" borderId="11" xfId="0" applyNumberFormat="1" applyFont="1" applyFill="1" applyBorder="1" applyAlignment="1">
      <alignment horizontal="right" vertical="center" wrapText="1"/>
    </xf>
    <xf numFmtId="3" fontId="44" fillId="18" borderId="12" xfId="0" applyNumberFormat="1" applyFont="1" applyFill="1" applyBorder="1" applyAlignment="1">
      <alignment horizontal="right" vertical="center" wrapText="1"/>
    </xf>
    <xf numFmtId="0" fontId="47" fillId="3" borderId="5" xfId="0" applyFont="1" applyFill="1" applyBorder="1" applyAlignment="1">
      <alignment horizontal="left" vertical="center" wrapText="1" indent="1"/>
    </xf>
    <xf numFmtId="3" fontId="18" fillId="18" borderId="19" xfId="0" applyNumberFormat="1" applyFont="1" applyFill="1" applyBorder="1" applyAlignment="1">
      <alignment horizontal="right" vertical="center" wrapText="1"/>
    </xf>
    <xf numFmtId="3" fontId="18" fillId="3" borderId="5" xfId="0" applyNumberFormat="1" applyFont="1" applyFill="1" applyBorder="1" applyAlignment="1">
      <alignment horizontal="right" vertical="center" wrapText="1"/>
    </xf>
    <xf numFmtId="3" fontId="18" fillId="3" borderId="18" xfId="0" applyNumberFormat="1" applyFont="1" applyFill="1" applyBorder="1" applyAlignment="1">
      <alignment horizontal="right" vertical="center" wrapText="1"/>
    </xf>
    <xf numFmtId="3" fontId="34" fillId="3" borderId="18" xfId="0" applyNumberFormat="1" applyFont="1" applyFill="1" applyBorder="1" applyAlignment="1">
      <alignment horizontal="right" vertical="center" wrapText="1"/>
    </xf>
    <xf numFmtId="0" fontId="4" fillId="3" borderId="0" xfId="0" applyFont="1" applyFill="1" applyAlignment="1">
      <alignment vertical="center"/>
    </xf>
    <xf numFmtId="0" fontId="4" fillId="3" borderId="0" xfId="0" applyFont="1" applyFill="1" applyBorder="1" applyAlignment="1">
      <alignment vertical="center"/>
    </xf>
    <xf numFmtId="0" fontId="4" fillId="3" borderId="0" xfId="0" applyFont="1" applyFill="1" applyBorder="1" applyAlignment="1">
      <alignment vertical="top"/>
    </xf>
    <xf numFmtId="0" fontId="4" fillId="3" borderId="0" xfId="0" applyFont="1" applyFill="1" applyAlignment="1">
      <alignment vertical="top"/>
    </xf>
    <xf numFmtId="0" fontId="0" fillId="3" borderId="0" xfId="0" applyFill="1" applyBorder="1"/>
    <xf numFmtId="0" fontId="12" fillId="3" borderId="22" xfId="0" applyFont="1" applyFill="1" applyBorder="1" applyAlignment="1">
      <alignment vertical="center" wrapText="1"/>
    </xf>
    <xf numFmtId="10" fontId="12" fillId="2" borderId="0" xfId="0" applyNumberFormat="1" applyFont="1" applyFill="1" applyAlignment="1">
      <alignment horizontal="right" vertical="center" wrapText="1" indent="1"/>
    </xf>
    <xf numFmtId="10" fontId="12" fillId="3" borderId="0" xfId="0" applyNumberFormat="1" applyFont="1" applyFill="1" applyAlignment="1">
      <alignment horizontal="right" vertical="center" wrapText="1" indent="1"/>
    </xf>
    <xf numFmtId="187" fontId="30" fillId="21" borderId="12" xfId="0" applyNumberFormat="1" applyFont="1" applyFill="1" applyBorder="1" applyAlignment="1">
      <alignment horizontal="right" vertical="center" wrapText="1" indent="1"/>
    </xf>
    <xf numFmtId="10" fontId="55" fillId="3" borderId="0" xfId="3" applyNumberFormat="1" applyFont="1" applyFill="1" applyBorder="1" applyAlignment="1">
      <alignment horizontal="right" vertical="center" wrapText="1"/>
    </xf>
    <xf numFmtId="0" fontId="14" fillId="3" borderId="23" xfId="0" applyFont="1" applyFill="1" applyBorder="1" applyAlignment="1">
      <alignment vertical="center" wrapText="1"/>
    </xf>
    <xf numFmtId="10" fontId="12" fillId="2" borderId="36" xfId="0" applyNumberFormat="1" applyFont="1" applyFill="1" applyBorder="1" applyAlignment="1">
      <alignment horizontal="right" vertical="center" wrapText="1" indent="1"/>
    </xf>
    <xf numFmtId="10" fontId="12" fillId="3" borderId="37" xfId="0" applyNumberFormat="1" applyFont="1" applyFill="1" applyBorder="1" applyAlignment="1">
      <alignment horizontal="right" vertical="center" wrapText="1" indent="1"/>
    </xf>
    <xf numFmtId="187" fontId="30" fillId="21" borderId="38" xfId="0" applyNumberFormat="1" applyFont="1" applyFill="1" applyBorder="1" applyAlignment="1">
      <alignment horizontal="right" vertical="center" wrapText="1" indent="1"/>
    </xf>
    <xf numFmtId="187" fontId="30" fillId="21" borderId="10" xfId="0" applyNumberFormat="1" applyFont="1" applyFill="1" applyBorder="1" applyAlignment="1">
      <alignment horizontal="right" vertical="center" wrapText="1" indent="1"/>
    </xf>
    <xf numFmtId="0" fontId="2" fillId="21" borderId="23" xfId="0" applyFont="1" applyFill="1" applyBorder="1" applyAlignment="1">
      <alignment wrapText="1"/>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87" fontId="29" fillId="21" borderId="10" xfId="0" applyNumberFormat="1" applyFont="1" applyFill="1" applyBorder="1" applyAlignment="1">
      <alignment horizontal="right" vertical="center" wrapText="1" indent="1"/>
    </xf>
    <xf numFmtId="10" fontId="10" fillId="3" borderId="0" xfId="3" applyNumberFormat="1" applyFont="1" applyFill="1" applyBorder="1" applyAlignment="1">
      <alignment horizontal="right" vertical="center" wrapText="1"/>
    </xf>
    <xf numFmtId="10" fontId="58" fillId="3" borderId="0" xfId="0" applyNumberFormat="1" applyFont="1" applyFill="1" applyAlignment="1">
      <alignment horizontal="right" wrapText="1" indent="1"/>
    </xf>
    <xf numFmtId="10" fontId="59" fillId="3" borderId="0" xfId="0" applyNumberFormat="1" applyFont="1" applyFill="1" applyAlignment="1">
      <alignment horizontal="right" wrapText="1" indent="1"/>
    </xf>
    <xf numFmtId="10" fontId="60" fillId="3" borderId="0" xfId="0" applyNumberFormat="1" applyFont="1" applyFill="1" applyAlignment="1">
      <alignment horizontal="right" wrapText="1" indent="1"/>
    </xf>
    <xf numFmtId="0" fontId="55" fillId="3" borderId="6" xfId="0" applyFont="1" applyFill="1" applyBorder="1" applyAlignment="1">
      <alignment vertical="center" wrapText="1"/>
    </xf>
    <xf numFmtId="170" fontId="12" fillId="2" borderId="6" xfId="0" applyNumberFormat="1" applyFont="1" applyFill="1" applyBorder="1" applyAlignment="1">
      <alignment horizontal="right" vertical="center" wrapText="1" indent="1"/>
    </xf>
    <xf numFmtId="170" fontId="12" fillId="3" borderId="7" xfId="0" applyNumberFormat="1" applyFont="1" applyFill="1" applyBorder="1" applyAlignment="1">
      <alignment horizontal="right" vertical="center" wrapText="1" indent="1"/>
    </xf>
    <xf numFmtId="170" fontId="30" fillId="21" borderId="8" xfId="0" applyNumberFormat="1" applyFont="1" applyFill="1" applyBorder="1" applyAlignment="1">
      <alignment horizontal="right" vertical="center" wrapText="1" indent="1"/>
    </xf>
    <xf numFmtId="170" fontId="55" fillId="3" borderId="0" xfId="3" applyNumberFormat="1" applyFont="1" applyFill="1" applyBorder="1" applyAlignment="1">
      <alignment horizontal="right" vertical="center" wrapText="1"/>
    </xf>
    <xf numFmtId="0" fontId="35" fillId="3" borderId="0" xfId="0" applyFont="1" applyFill="1"/>
    <xf numFmtId="0" fontId="2" fillId="3" borderId="22" xfId="0" applyFont="1" applyFill="1" applyBorder="1"/>
    <xf numFmtId="170" fontId="2" fillId="2" borderId="0" xfId="0" applyNumberFormat="1" applyFont="1" applyFill="1" applyAlignment="1">
      <alignment horizontal="right" wrapText="1" indent="1"/>
    </xf>
    <xf numFmtId="170" fontId="2" fillId="3" borderId="0" xfId="0" applyNumberFormat="1" applyFont="1" applyFill="1" applyAlignment="1">
      <alignment horizontal="right" wrapText="1" indent="1"/>
    </xf>
    <xf numFmtId="188" fontId="29" fillId="21" borderId="10" xfId="0" applyNumberFormat="1" applyFont="1" applyFill="1" applyBorder="1" applyAlignment="1">
      <alignment horizontal="right" vertical="center" wrapText="1" indent="1"/>
    </xf>
    <xf numFmtId="0" fontId="2" fillId="3" borderId="23" xfId="0" applyFont="1" applyFill="1" applyBorder="1"/>
    <xf numFmtId="0" fontId="2" fillId="3" borderId="24" xfId="0" applyFont="1" applyFill="1" applyBorder="1"/>
    <xf numFmtId="170" fontId="2" fillId="2" borderId="18" xfId="0" applyNumberFormat="1" applyFont="1" applyFill="1" applyBorder="1" applyAlignment="1">
      <alignment horizontal="right" wrapText="1" indent="1"/>
    </xf>
    <xf numFmtId="170" fontId="2" fillId="3" borderId="18" xfId="0" applyNumberFormat="1" applyFont="1" applyFill="1" applyBorder="1" applyAlignment="1">
      <alignment horizontal="right" wrapText="1" indent="1"/>
    </xf>
    <xf numFmtId="188" fontId="29" fillId="21" borderId="19" xfId="0" applyNumberFormat="1" applyFont="1" applyFill="1" applyBorder="1" applyAlignment="1">
      <alignment horizontal="right" vertical="center" wrapText="1" indent="1"/>
    </xf>
    <xf numFmtId="0" fontId="0" fillId="3" borderId="0" xfId="0" applyFill="1" applyAlignment="1">
      <alignment vertical="top"/>
    </xf>
    <xf numFmtId="0" fontId="0" fillId="3" borderId="0" xfId="0" applyFill="1" applyAlignment="1">
      <alignment wrapText="1"/>
    </xf>
    <xf numFmtId="0" fontId="0" fillId="3" borderId="0" xfId="0" applyFill="1" applyAlignment="1">
      <alignment vertical="top" wrapText="1"/>
    </xf>
    <xf numFmtId="0" fontId="34" fillId="3" borderId="0" xfId="0" applyFont="1" applyFill="1" applyAlignment="1">
      <alignment horizontal="left" vertical="top"/>
    </xf>
    <xf numFmtId="0" fontId="0" fillId="3" borderId="0" xfId="0" applyFont="1" applyFill="1" applyAlignment="1">
      <alignment vertical="top"/>
    </xf>
    <xf numFmtId="0" fontId="25" fillId="5" borderId="5" xfId="0" applyFont="1" applyFill="1" applyBorder="1" applyAlignment="1">
      <alignment horizontal="right" vertical="center"/>
    </xf>
    <xf numFmtId="0" fontId="25" fillId="5" borderId="18" xfId="0" applyFont="1" applyFill="1" applyBorder="1" applyAlignment="1">
      <alignment horizontal="right" vertical="center"/>
    </xf>
    <xf numFmtId="0" fontId="20" fillId="4" borderId="18" xfId="0" applyFont="1" applyFill="1" applyBorder="1" applyAlignment="1">
      <alignment horizontal="left" vertical="center" wrapText="1"/>
    </xf>
    <xf numFmtId="0" fontId="20" fillId="4" borderId="18" xfId="0" applyFont="1" applyFill="1" applyBorder="1" applyAlignment="1">
      <alignment horizontal="right" vertical="center" wrapText="1"/>
    </xf>
    <xf numFmtId="0" fontId="26" fillId="4" borderId="19" xfId="0" applyFont="1" applyFill="1" applyBorder="1" applyAlignment="1">
      <alignment horizontal="right" vertical="center" wrapText="1"/>
    </xf>
    <xf numFmtId="0" fontId="26" fillId="4" borderId="8" xfId="0" applyFont="1" applyFill="1" applyBorder="1" applyAlignment="1">
      <alignment horizontal="right" vertical="center" wrapText="1"/>
    </xf>
    <xf numFmtId="181" fontId="21" fillId="9" borderId="19" xfId="0" applyNumberFormat="1" applyFont="1" applyFill="1" applyBorder="1" applyAlignment="1">
      <alignment horizontal="right" vertical="center"/>
    </xf>
    <xf numFmtId="189" fontId="21" fillId="3" borderId="0" xfId="0" applyNumberFormat="1" applyFont="1" applyFill="1" applyBorder="1" applyAlignment="1">
      <alignment vertical="center"/>
    </xf>
    <xf numFmtId="189" fontId="21" fillId="0" borderId="0" xfId="0" applyNumberFormat="1" applyFont="1" applyFill="1" applyBorder="1" applyAlignment="1">
      <alignment vertical="center"/>
    </xf>
    <xf numFmtId="167" fontId="22" fillId="6" borderId="11" xfId="0" applyNumberFormat="1" applyFont="1" applyFill="1" applyBorder="1" applyAlignment="1">
      <alignment vertical="center" wrapText="1"/>
    </xf>
    <xf numFmtId="169" fontId="8" fillId="14" borderId="10" xfId="0" applyNumberFormat="1" applyFont="1" applyFill="1" applyBorder="1" applyAlignment="1">
      <alignment vertical="center"/>
    </xf>
    <xf numFmtId="167" fontId="22" fillId="6" borderId="4" xfId="0" applyNumberFormat="1" applyFont="1" applyFill="1" applyBorder="1" applyAlignment="1">
      <alignment vertical="center" wrapText="1"/>
    </xf>
    <xf numFmtId="0" fontId="20" fillId="3" borderId="6" xfId="0" applyFont="1" applyFill="1" applyBorder="1" applyAlignment="1">
      <alignment vertical="center"/>
    </xf>
    <xf numFmtId="0" fontId="8" fillId="3" borderId="3" xfId="0" applyFont="1" applyFill="1" applyBorder="1" applyAlignment="1">
      <alignment vertical="center"/>
    </xf>
    <xf numFmtId="0" fontId="8" fillId="3" borderId="3" xfId="0" applyFont="1" applyFill="1" applyBorder="1" applyAlignment="1">
      <alignment vertical="center" wrapText="1"/>
    </xf>
    <xf numFmtId="0" fontId="21" fillId="3" borderId="15" xfId="0" applyFont="1" applyFill="1" applyBorder="1" applyAlignment="1">
      <alignment vertical="center"/>
    </xf>
    <xf numFmtId="166" fontId="8" fillId="0" borderId="0" xfId="0" applyNumberFormat="1" applyFont="1" applyFill="1" applyBorder="1" applyAlignment="1">
      <alignment vertical="center"/>
    </xf>
    <xf numFmtId="189" fontId="21" fillId="3" borderId="3" xfId="0" applyNumberFormat="1" applyFont="1" applyFill="1" applyBorder="1" applyAlignment="1">
      <alignment vertical="center"/>
    </xf>
    <xf numFmtId="189" fontId="21" fillId="9" borderId="10" xfId="0" applyNumberFormat="1" applyFont="1" applyFill="1" applyBorder="1" applyAlignment="1">
      <alignment horizontal="right" vertical="center"/>
    </xf>
    <xf numFmtId="172" fontId="22" fillId="10" borderId="12" xfId="0" applyNumberFormat="1" applyFont="1" applyFill="1" applyBorder="1" applyAlignment="1">
      <alignment vertical="center" wrapText="1"/>
    </xf>
    <xf numFmtId="0" fontId="63" fillId="0" borderId="0" xfId="0" applyFont="1" applyBorder="1" applyAlignment="1">
      <alignment vertical="center"/>
    </xf>
    <xf numFmtId="0" fontId="52" fillId="5" borderId="6" xfId="0" applyFont="1" applyFill="1" applyBorder="1" applyAlignment="1">
      <alignment horizontal="right" vertical="center"/>
    </xf>
    <xf numFmtId="0" fontId="14" fillId="4" borderId="7" xfId="0" applyFont="1" applyFill="1" applyBorder="1" applyAlignment="1">
      <alignment horizontal="right" vertical="center" wrapText="1"/>
    </xf>
    <xf numFmtId="0" fontId="53" fillId="4" borderId="8" xfId="0" applyFont="1" applyFill="1" applyBorder="1" applyAlignment="1">
      <alignment horizontal="right" vertical="center" wrapText="1"/>
    </xf>
    <xf numFmtId="0" fontId="8" fillId="3" borderId="0" xfId="0"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8" fillId="3" borderId="0" xfId="0" applyFont="1" applyFill="1" applyAlignment="1">
      <alignment horizontal="lef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34" fillId="3" borderId="0" xfId="0" applyFont="1" applyFill="1" applyAlignment="1">
      <alignment horizontal="left"/>
    </xf>
    <xf numFmtId="0" fontId="14" fillId="3" borderId="22"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17" fillId="3" borderId="0" xfId="0" applyFont="1" applyFill="1" applyAlignment="1">
      <alignment horizontal="left" vertical="top" wrapText="1"/>
    </xf>
    <xf numFmtId="0" fontId="16" fillId="3" borderId="22"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17" fillId="16" borderId="19" xfId="0" applyFont="1" applyFill="1" applyBorder="1" applyAlignment="1">
      <alignment horizontal="center" vertical="center" wrapText="1"/>
    </xf>
    <xf numFmtId="0" fontId="4" fillId="3" borderId="0" xfId="0" applyFont="1" applyFill="1" applyBorder="1" applyAlignment="1">
      <alignment horizontal="left" vertical="top" wrapText="1"/>
    </xf>
    <xf numFmtId="0" fontId="4" fillId="3" borderId="0" xfId="0" applyFont="1" applyFill="1" applyBorder="1" applyAlignment="1">
      <alignment horizontal="left" vertical="top"/>
    </xf>
    <xf numFmtId="0" fontId="14" fillId="3" borderId="22"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34" fillId="3" borderId="0" xfId="0" applyFont="1" applyFill="1" applyAlignment="1">
      <alignment horizontal="left" vertical="top" wrapText="1"/>
    </xf>
    <xf numFmtId="0" fontId="55" fillId="3" borderId="22" xfId="0" applyFont="1" applyFill="1" applyBorder="1" applyAlignment="1">
      <alignment horizontal="left" vertical="center" wrapText="1"/>
    </xf>
    <xf numFmtId="0" fontId="55" fillId="3" borderId="24" xfId="0" applyFont="1" applyFill="1" applyBorder="1" applyAlignment="1">
      <alignment horizontal="left" vertical="center" wrapText="1"/>
    </xf>
    <xf numFmtId="0" fontId="35" fillId="3" borderId="0" xfId="0" applyFont="1" applyFill="1" applyAlignment="1">
      <alignment horizontal="left" wrapText="1"/>
    </xf>
    <xf numFmtId="0" fontId="34" fillId="3" borderId="0" xfId="0" applyFont="1" applyFill="1" applyAlignment="1">
      <alignment horizontal="left" vertical="top"/>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C48"/>
  <sheetViews>
    <sheetView showGridLines="0" tabSelected="1" zoomScale="85" zoomScaleNormal="85" zoomScaleSheetLayoutView="70" workbookViewId="0">
      <pane xSplit="1" ySplit="3" topLeftCell="H4" activePane="bottomRight" state="frozen"/>
      <selection pane="topRight" activeCell="B1" sqref="B1"/>
      <selection pane="bottomLeft" activeCell="A4" sqref="A4"/>
      <selection pane="bottomRight" activeCell="T8" sqref="T8"/>
    </sheetView>
  </sheetViews>
  <sheetFormatPr defaultRowHeight="28.5" customHeight="1"/>
  <cols>
    <col min="1" max="1" width="46.625" style="10" customWidth="1"/>
    <col min="2" max="7" width="9" style="6"/>
    <col min="8" max="8" width="9" style="7"/>
    <col min="9" max="9" width="9" style="8"/>
    <col min="10" max="11" width="10.125" style="6" bestFit="1" customWidth="1"/>
    <col min="12" max="12" width="10.125" style="6" customWidth="1"/>
    <col min="13" max="15" width="9.25" style="6" customWidth="1"/>
    <col min="16" max="16" width="10.125" style="6" bestFit="1" customWidth="1"/>
    <col min="17" max="19" width="10.125" style="6" customWidth="1"/>
    <col min="20" max="32" width="9" style="21"/>
    <col min="33" max="16384" width="9" style="10"/>
  </cols>
  <sheetData>
    <row r="1" spans="1:497" customFormat="1" ht="50.25" customHeight="1" thickBot="1">
      <c r="A1" s="3" t="s">
        <v>247</v>
      </c>
      <c r="B1" s="3"/>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64"/>
      <c r="IX1" s="64"/>
      <c r="IY1" s="64"/>
      <c r="IZ1" s="64"/>
      <c r="JA1" s="64"/>
      <c r="JB1" s="64"/>
      <c r="JC1" s="64"/>
      <c r="JD1" s="64"/>
      <c r="JE1" s="64"/>
      <c r="JF1" s="64"/>
      <c r="JG1" s="64"/>
      <c r="JH1" s="64"/>
      <c r="JI1" s="64"/>
      <c r="JJ1" s="64"/>
      <c r="JK1" s="64"/>
      <c r="JL1" s="64"/>
      <c r="JM1" s="64"/>
      <c r="JN1" s="64"/>
      <c r="JO1" s="64"/>
      <c r="JP1" s="64"/>
      <c r="JQ1" s="64"/>
      <c r="JR1" s="64"/>
      <c r="JS1" s="64"/>
      <c r="JT1" s="64"/>
      <c r="JU1" s="64"/>
      <c r="JV1" s="64"/>
      <c r="JW1" s="64"/>
      <c r="JX1" s="64"/>
      <c r="JY1" s="64"/>
      <c r="JZ1" s="64"/>
      <c r="KA1" s="64"/>
      <c r="KB1" s="64"/>
      <c r="KC1" s="64"/>
      <c r="KD1" s="64"/>
      <c r="KE1" s="64"/>
      <c r="KF1" s="64"/>
      <c r="KG1" s="64"/>
      <c r="KH1" s="64"/>
      <c r="KI1" s="64"/>
      <c r="KJ1" s="64"/>
      <c r="KK1" s="64"/>
      <c r="KL1" s="64"/>
      <c r="KM1" s="64"/>
      <c r="KN1" s="64"/>
      <c r="KO1" s="64"/>
      <c r="KP1" s="64"/>
      <c r="KQ1" s="64"/>
      <c r="KR1" s="64"/>
      <c r="KS1" s="64"/>
      <c r="KT1" s="64"/>
      <c r="KU1" s="64"/>
      <c r="KV1" s="64"/>
      <c r="KW1" s="64"/>
      <c r="KX1" s="64"/>
      <c r="KY1" s="64"/>
      <c r="KZ1" s="64"/>
      <c r="LA1" s="64"/>
      <c r="LB1" s="64"/>
      <c r="LC1" s="64"/>
      <c r="LD1" s="64"/>
      <c r="LE1" s="64"/>
      <c r="LF1" s="64"/>
      <c r="LG1" s="64"/>
      <c r="LH1" s="64"/>
      <c r="LI1" s="64"/>
      <c r="LJ1" s="64"/>
      <c r="LK1" s="64"/>
      <c r="LL1" s="64"/>
      <c r="LM1" s="64"/>
      <c r="LN1" s="64"/>
      <c r="LO1" s="64"/>
      <c r="LP1" s="64"/>
      <c r="LQ1" s="64"/>
      <c r="LR1" s="64"/>
      <c r="LS1" s="64"/>
      <c r="LT1" s="64"/>
      <c r="LU1" s="64"/>
      <c r="LV1" s="64"/>
      <c r="LW1" s="64"/>
      <c r="LX1" s="64"/>
      <c r="LY1" s="64"/>
      <c r="LZ1" s="64"/>
      <c r="MA1" s="64"/>
      <c r="MB1" s="64"/>
      <c r="MC1" s="64"/>
      <c r="MD1" s="64"/>
      <c r="ME1" s="64"/>
      <c r="MF1" s="64"/>
      <c r="MG1" s="64"/>
      <c r="MH1" s="64"/>
      <c r="MI1" s="64"/>
      <c r="MJ1" s="64"/>
      <c r="MK1" s="64"/>
      <c r="ML1" s="64"/>
      <c r="MM1" s="64"/>
      <c r="MN1" s="64"/>
      <c r="MO1" s="64"/>
      <c r="MP1" s="64"/>
      <c r="MQ1" s="64"/>
      <c r="MR1" s="64"/>
      <c r="MS1" s="64"/>
      <c r="MT1" s="64"/>
      <c r="MU1" s="64"/>
      <c r="MV1" s="64"/>
      <c r="MW1" s="64"/>
      <c r="MX1" s="64"/>
      <c r="MY1" s="64"/>
      <c r="MZ1" s="64"/>
      <c r="NA1" s="64"/>
      <c r="NB1" s="64"/>
      <c r="NC1" s="64"/>
      <c r="ND1" s="64"/>
      <c r="NE1" s="64"/>
      <c r="NF1" s="64"/>
      <c r="NG1" s="64"/>
      <c r="NH1" s="64"/>
      <c r="NI1" s="64"/>
      <c r="NJ1" s="64"/>
      <c r="NK1" s="64"/>
      <c r="NL1" s="64"/>
      <c r="NM1" s="64"/>
      <c r="NN1" s="64"/>
      <c r="NO1" s="64"/>
      <c r="NP1" s="64"/>
      <c r="NQ1" s="64"/>
      <c r="NR1" s="64"/>
      <c r="NS1" s="64"/>
      <c r="NT1" s="64"/>
      <c r="NU1" s="64"/>
      <c r="NV1" s="64"/>
      <c r="NW1" s="64"/>
      <c r="NX1" s="64"/>
      <c r="NY1" s="64"/>
      <c r="NZ1" s="64"/>
      <c r="OA1" s="64"/>
      <c r="OB1" s="64"/>
      <c r="OC1" s="64"/>
      <c r="OD1" s="64"/>
      <c r="OE1" s="64"/>
      <c r="OF1" s="64"/>
      <c r="OG1" s="64"/>
      <c r="OH1" s="64"/>
      <c r="OI1" s="64"/>
      <c r="OJ1" s="64"/>
      <c r="OK1" s="64"/>
      <c r="OL1" s="64"/>
      <c r="OM1" s="64"/>
      <c r="ON1" s="64"/>
      <c r="OO1" s="64"/>
      <c r="OP1" s="64"/>
      <c r="OQ1" s="64"/>
      <c r="OR1" s="64"/>
      <c r="OS1" s="64"/>
      <c r="OT1" s="64"/>
      <c r="OU1" s="64"/>
      <c r="OV1" s="64"/>
      <c r="OW1" s="64"/>
      <c r="OX1" s="64"/>
      <c r="OY1" s="64"/>
      <c r="OZ1" s="64"/>
      <c r="PA1" s="64"/>
      <c r="PB1" s="64"/>
      <c r="PC1" s="64"/>
      <c r="PD1" s="64"/>
      <c r="PE1" s="64"/>
      <c r="PF1" s="64"/>
      <c r="PG1" s="64"/>
      <c r="PH1" s="64"/>
      <c r="PI1" s="64"/>
      <c r="PJ1" s="64"/>
      <c r="PK1" s="64"/>
      <c r="PL1" s="64"/>
      <c r="PM1" s="64"/>
      <c r="PN1" s="64"/>
      <c r="PO1" s="64"/>
      <c r="PP1" s="64"/>
      <c r="PQ1" s="64"/>
      <c r="PR1" s="64"/>
      <c r="PS1" s="64"/>
      <c r="PT1" s="64"/>
      <c r="PU1" s="64"/>
      <c r="PV1" s="64"/>
      <c r="PW1" s="64"/>
      <c r="PX1" s="64"/>
      <c r="PY1" s="64"/>
      <c r="PZ1" s="64"/>
      <c r="QA1" s="64"/>
      <c r="QB1" s="64"/>
      <c r="QC1" s="64"/>
      <c r="QD1" s="64"/>
      <c r="QE1" s="64"/>
      <c r="QF1" s="64"/>
      <c r="QG1" s="64"/>
      <c r="QH1" s="64"/>
      <c r="QI1" s="64"/>
      <c r="QJ1" s="64"/>
      <c r="QK1" s="64"/>
      <c r="QL1" s="64"/>
      <c r="QM1" s="64"/>
      <c r="QN1" s="64"/>
      <c r="QO1" s="64"/>
      <c r="QP1" s="64"/>
      <c r="QQ1" s="64"/>
      <c r="QR1" s="64"/>
      <c r="QS1" s="64"/>
      <c r="QT1" s="64"/>
      <c r="QU1" s="64"/>
      <c r="QV1" s="64"/>
      <c r="QW1" s="64"/>
      <c r="QX1" s="64"/>
      <c r="QY1" s="64"/>
      <c r="QZ1" s="64"/>
      <c r="RA1" s="64"/>
      <c r="RB1" s="64"/>
      <c r="RC1" s="64"/>
      <c r="RD1" s="64"/>
      <c r="RE1" s="64"/>
      <c r="RF1" s="64"/>
      <c r="RG1" s="64"/>
      <c r="RH1" s="64"/>
      <c r="RI1" s="64"/>
      <c r="RJ1" s="64"/>
      <c r="RK1" s="64"/>
      <c r="RL1" s="64"/>
      <c r="RM1" s="64"/>
      <c r="RN1" s="64"/>
      <c r="RO1" s="64"/>
      <c r="RP1" s="64"/>
      <c r="RQ1" s="64"/>
      <c r="RR1" s="64"/>
      <c r="RS1" s="64"/>
      <c r="RT1" s="64"/>
      <c r="RU1" s="64"/>
      <c r="RV1" s="64"/>
      <c r="RW1" s="64"/>
      <c r="RX1" s="64"/>
      <c r="RY1" s="64"/>
      <c r="RZ1" s="64"/>
      <c r="SA1" s="64"/>
      <c r="SB1" s="64"/>
      <c r="SC1" s="64"/>
    </row>
    <row r="2" spans="1:497" ht="28.5" customHeight="1">
      <c r="A2" s="11" t="s">
        <v>118</v>
      </c>
      <c r="B2" s="540">
        <v>2012</v>
      </c>
      <c r="C2" s="540"/>
      <c r="D2" s="540"/>
      <c r="E2" s="540"/>
      <c r="F2" s="541"/>
      <c r="G2" s="540">
        <v>2013</v>
      </c>
      <c r="H2" s="540"/>
      <c r="I2" s="540"/>
      <c r="J2" s="540"/>
      <c r="K2" s="541"/>
      <c r="L2" s="539">
        <v>2014</v>
      </c>
      <c r="M2" s="540"/>
      <c r="N2" s="540"/>
      <c r="O2" s="540"/>
      <c r="P2" s="541"/>
      <c r="Q2" s="539">
        <v>2015</v>
      </c>
      <c r="R2" s="540"/>
      <c r="S2" s="540"/>
    </row>
    <row r="3" spans="1:497" ht="16.5" customHeight="1" thickBot="1">
      <c r="A3" s="12" t="s">
        <v>119</v>
      </c>
      <c r="B3" s="39" t="s">
        <v>121</v>
      </c>
      <c r="C3" s="39" t="s">
        <v>122</v>
      </c>
      <c r="D3" s="39" t="s">
        <v>123</v>
      </c>
      <c r="E3" s="39" t="s">
        <v>124</v>
      </c>
      <c r="F3" s="42">
        <v>2012</v>
      </c>
      <c r="G3" s="41" t="s">
        <v>121</v>
      </c>
      <c r="H3" s="39" t="s">
        <v>122</v>
      </c>
      <c r="I3" s="39" t="s">
        <v>123</v>
      </c>
      <c r="J3" s="39" t="s">
        <v>124</v>
      </c>
      <c r="K3" s="40">
        <v>2013</v>
      </c>
      <c r="L3" s="41" t="s">
        <v>121</v>
      </c>
      <c r="M3" s="39" t="s">
        <v>122</v>
      </c>
      <c r="N3" s="39" t="s">
        <v>123</v>
      </c>
      <c r="O3" s="39" t="s">
        <v>124</v>
      </c>
      <c r="P3" s="42">
        <v>2014</v>
      </c>
      <c r="Q3" s="39" t="s">
        <v>121</v>
      </c>
      <c r="R3" s="39" t="s">
        <v>122</v>
      </c>
      <c r="S3" s="39" t="s">
        <v>123</v>
      </c>
    </row>
    <row r="4" spans="1:497" ht="34.5" customHeight="1" thickBot="1">
      <c r="A4" s="22" t="s">
        <v>81</v>
      </c>
      <c r="B4" s="43">
        <f>SUM(B5:B8)</f>
        <v>669.2</v>
      </c>
      <c r="C4" s="43">
        <f t="shared" ref="C4:G4" si="0">SUM(C5:C8)</f>
        <v>713.8</v>
      </c>
      <c r="D4" s="43">
        <f t="shared" si="0"/>
        <v>644.5</v>
      </c>
      <c r="E4" s="43">
        <f t="shared" si="0"/>
        <v>750.60000000000014</v>
      </c>
      <c r="F4" s="46">
        <f>SUM(F5:F8)</f>
        <v>2778.0999999999995</v>
      </c>
      <c r="G4" s="45">
        <f t="shared" si="0"/>
        <v>697.1</v>
      </c>
      <c r="H4" s="43">
        <f t="shared" ref="H4" si="1">SUM(H5:H8)</f>
        <v>735.9</v>
      </c>
      <c r="I4" s="43">
        <f t="shared" ref="I4" si="2">SUM(I5:I8)</f>
        <v>677.3</v>
      </c>
      <c r="J4" s="43">
        <f t="shared" ref="J4:M4" si="3">SUM(J5:J8)</f>
        <v>800.5</v>
      </c>
      <c r="K4" s="44">
        <f>SUM(K5:K8)</f>
        <v>2910.8</v>
      </c>
      <c r="L4" s="45">
        <f t="shared" si="3"/>
        <v>723.29999999999984</v>
      </c>
      <c r="M4" s="43">
        <f t="shared" si="3"/>
        <v>1745.9</v>
      </c>
      <c r="N4" s="43">
        <f t="shared" ref="N4" si="4">SUM(N5:N8)</f>
        <v>2419.6</v>
      </c>
      <c r="O4" s="43">
        <f t="shared" ref="O4" si="5">SUM(O5:O8)</f>
        <v>2521.1000000000004</v>
      </c>
      <c r="P4" s="46">
        <f>SUM(P5:P8)</f>
        <v>7409.9</v>
      </c>
      <c r="Q4" s="43">
        <f t="shared" ref="Q4:S4" si="6">SUM(Q5:Q8)</f>
        <v>2329</v>
      </c>
      <c r="R4" s="43">
        <f t="shared" si="6"/>
        <v>2469.1999999999998</v>
      </c>
      <c r="S4" s="43">
        <f t="shared" si="6"/>
        <v>2414.8999999999996</v>
      </c>
    </row>
    <row r="5" spans="1:497" ht="24.75" customHeight="1">
      <c r="A5" s="54" t="s">
        <v>89</v>
      </c>
      <c r="B5" s="55">
        <v>424</v>
      </c>
      <c r="C5" s="55">
        <v>427.1</v>
      </c>
      <c r="D5" s="55">
        <v>434.4</v>
      </c>
      <c r="E5" s="55">
        <v>446.6</v>
      </c>
      <c r="F5" s="30">
        <f>SUM(B5:E5)</f>
        <v>1732.1</v>
      </c>
      <c r="G5" s="59">
        <v>451.7</v>
      </c>
      <c r="H5" s="55">
        <v>452</v>
      </c>
      <c r="I5" s="55">
        <v>460.3</v>
      </c>
      <c r="J5" s="55">
        <v>466.1</v>
      </c>
      <c r="K5" s="27">
        <f>SUM(G5:J5)</f>
        <v>1830.1</v>
      </c>
      <c r="L5" s="59">
        <v>467.79999999999995</v>
      </c>
      <c r="M5" s="55">
        <v>1204.5</v>
      </c>
      <c r="N5" s="55">
        <v>1710.7</v>
      </c>
      <c r="O5" s="55">
        <v>1701.7</v>
      </c>
      <c r="P5" s="30">
        <f>SUM(L5:O5)</f>
        <v>5084.7</v>
      </c>
      <c r="Q5" s="55">
        <v>1637.2</v>
      </c>
      <c r="R5" s="55">
        <v>1652</v>
      </c>
      <c r="S5" s="55">
        <v>1643.3</v>
      </c>
    </row>
    <row r="6" spans="1:497" ht="20.100000000000001" customHeight="1">
      <c r="A6" s="54" t="s">
        <v>90</v>
      </c>
      <c r="B6" s="55">
        <v>234.6</v>
      </c>
      <c r="C6" s="55">
        <v>272.7</v>
      </c>
      <c r="D6" s="55">
        <v>198</v>
      </c>
      <c r="E6" s="55">
        <v>286.3</v>
      </c>
      <c r="F6" s="30">
        <f t="shared" ref="F6:F8" si="7">SUM(B6:E6)</f>
        <v>991.59999999999991</v>
      </c>
      <c r="G6" s="59">
        <v>223.8</v>
      </c>
      <c r="H6" s="55">
        <v>265.2</v>
      </c>
      <c r="I6" s="55">
        <v>204</v>
      </c>
      <c r="J6" s="55">
        <v>317.2</v>
      </c>
      <c r="K6" s="27">
        <f t="shared" ref="K6:K8" si="8">SUM(G6:J6)</f>
        <v>1010.2</v>
      </c>
      <c r="L6" s="59">
        <v>242.19999999999993</v>
      </c>
      <c r="M6" s="55">
        <v>479.1</v>
      </c>
      <c r="N6" s="55">
        <v>591.6</v>
      </c>
      <c r="O6" s="55">
        <v>641.1</v>
      </c>
      <c r="P6" s="30">
        <f t="shared" ref="P6:P8" si="9">SUM(L6:O6)</f>
        <v>1954</v>
      </c>
      <c r="Q6" s="55">
        <v>553.29999999999995</v>
      </c>
      <c r="R6" s="55">
        <v>688.7</v>
      </c>
      <c r="S6" s="55">
        <v>616.9</v>
      </c>
    </row>
    <row r="7" spans="1:497" ht="20.100000000000001" customHeight="1">
      <c r="A7" s="54" t="s">
        <v>91</v>
      </c>
      <c r="B7" s="55">
        <v>2.7</v>
      </c>
      <c r="C7" s="55">
        <v>6.2</v>
      </c>
      <c r="D7" s="55">
        <v>2.6</v>
      </c>
      <c r="E7" s="55">
        <v>7.2</v>
      </c>
      <c r="F7" s="30">
        <f t="shared" si="7"/>
        <v>18.7</v>
      </c>
      <c r="G7" s="59">
        <v>13.1</v>
      </c>
      <c r="H7" s="55">
        <v>11.8</v>
      </c>
      <c r="I7" s="55">
        <v>7.1</v>
      </c>
      <c r="J7" s="55">
        <v>9.6999999999999993</v>
      </c>
      <c r="K7" s="27">
        <f t="shared" si="8"/>
        <v>41.7</v>
      </c>
      <c r="L7" s="59">
        <v>7.8999999999999986</v>
      </c>
      <c r="M7" s="55">
        <v>55.4</v>
      </c>
      <c r="N7" s="55">
        <v>104.1</v>
      </c>
      <c r="O7" s="55">
        <v>159.9</v>
      </c>
      <c r="P7" s="30">
        <f t="shared" si="9"/>
        <v>327.29999999999995</v>
      </c>
      <c r="Q7" s="55">
        <v>118.4</v>
      </c>
      <c r="R7" s="55">
        <v>106.9</v>
      </c>
      <c r="S7" s="55">
        <v>131.19999999999999</v>
      </c>
    </row>
    <row r="8" spans="1:497" ht="20.100000000000001" customHeight="1" thickBot="1">
      <c r="A8" s="54" t="s">
        <v>92</v>
      </c>
      <c r="B8" s="55">
        <v>7.9</v>
      </c>
      <c r="C8" s="55">
        <v>7.8</v>
      </c>
      <c r="D8" s="55">
        <v>9.5</v>
      </c>
      <c r="E8" s="55">
        <v>10.5</v>
      </c>
      <c r="F8" s="30">
        <f t="shared" si="7"/>
        <v>35.700000000000003</v>
      </c>
      <c r="G8" s="59">
        <v>8.5</v>
      </c>
      <c r="H8" s="55">
        <v>6.9</v>
      </c>
      <c r="I8" s="55">
        <v>5.9</v>
      </c>
      <c r="J8" s="55">
        <v>7.5</v>
      </c>
      <c r="K8" s="27">
        <f t="shared" si="8"/>
        <v>28.8</v>
      </c>
      <c r="L8" s="59">
        <v>5.4</v>
      </c>
      <c r="M8" s="55">
        <v>6.9</v>
      </c>
      <c r="N8" s="55">
        <v>13.2</v>
      </c>
      <c r="O8" s="55">
        <v>18.399999999999999</v>
      </c>
      <c r="P8" s="30">
        <f t="shared" si="9"/>
        <v>43.9</v>
      </c>
      <c r="Q8" s="55">
        <v>20.100000000000001</v>
      </c>
      <c r="R8" s="55">
        <v>21.6</v>
      </c>
      <c r="S8" s="55">
        <v>23.5</v>
      </c>
    </row>
    <row r="9" spans="1:497" s="14" customFormat="1" ht="20.100000000000001" customHeight="1" thickBot="1">
      <c r="A9" s="22" t="s">
        <v>80</v>
      </c>
      <c r="B9" s="47">
        <f t="shared" ref="B9:N9" si="10">SUM(B10:B17)</f>
        <v>-464.5</v>
      </c>
      <c r="C9" s="47">
        <f t="shared" si="10"/>
        <v>-499.7</v>
      </c>
      <c r="D9" s="47">
        <f t="shared" si="10"/>
        <v>-444.9</v>
      </c>
      <c r="E9" s="47">
        <f t="shared" si="10"/>
        <v>-562.4</v>
      </c>
      <c r="F9" s="50">
        <f t="shared" si="10"/>
        <v>-1971.5000000000002</v>
      </c>
      <c r="G9" s="49">
        <f t="shared" si="10"/>
        <v>-512.92000000000007</v>
      </c>
      <c r="H9" s="47">
        <f t="shared" si="10"/>
        <v>-542.4</v>
      </c>
      <c r="I9" s="47">
        <f t="shared" si="10"/>
        <v>-510.7</v>
      </c>
      <c r="J9" s="47">
        <f t="shared" si="10"/>
        <v>-591.70000000000016</v>
      </c>
      <c r="K9" s="48">
        <f t="shared" si="10"/>
        <v>-2157.7200000000003</v>
      </c>
      <c r="L9" s="49">
        <f t="shared" si="10"/>
        <v>-507.49999999999994</v>
      </c>
      <c r="M9" s="47">
        <f t="shared" si="10"/>
        <v>-1351.8</v>
      </c>
      <c r="N9" s="47">
        <f t="shared" si="10"/>
        <v>-1992.5</v>
      </c>
      <c r="O9" s="47">
        <f t="shared" ref="O9" si="11">SUM(O10:O17)</f>
        <v>-2125.4</v>
      </c>
      <c r="P9" s="50">
        <f t="shared" ref="P9:S9" si="12">SUM(P10:P17)</f>
        <v>-5977.2000000000007</v>
      </c>
      <c r="Q9" s="47">
        <f t="shared" si="12"/>
        <v>-1908.9999999999998</v>
      </c>
      <c r="R9" s="47">
        <f t="shared" si="12"/>
        <v>-1899.4999999999998</v>
      </c>
      <c r="S9" s="47">
        <f t="shared" si="12"/>
        <v>-1900.1</v>
      </c>
      <c r="T9" s="62"/>
      <c r="U9" s="62"/>
      <c r="V9" s="62"/>
      <c r="W9" s="62"/>
      <c r="X9" s="62"/>
      <c r="Y9" s="62"/>
      <c r="Z9" s="62"/>
      <c r="AA9" s="62"/>
      <c r="AB9" s="62"/>
      <c r="AC9" s="62"/>
      <c r="AD9" s="62"/>
      <c r="AE9" s="62"/>
      <c r="AF9" s="62"/>
    </row>
    <row r="10" spans="1:497" ht="20.100000000000001" customHeight="1">
      <c r="A10" s="54" t="s">
        <v>93</v>
      </c>
      <c r="B10" s="56">
        <v>-206.8</v>
      </c>
      <c r="C10" s="56">
        <v>-226.6</v>
      </c>
      <c r="D10" s="56">
        <v>-171.5</v>
      </c>
      <c r="E10" s="56">
        <v>-219</v>
      </c>
      <c r="F10" s="31">
        <f>SUM(B10:E10)</f>
        <v>-823.9</v>
      </c>
      <c r="G10" s="60">
        <v>-207.5</v>
      </c>
      <c r="H10" s="56">
        <v>-239.5</v>
      </c>
      <c r="I10" s="56">
        <v>-219.3</v>
      </c>
      <c r="J10" s="56">
        <v>-260.7</v>
      </c>
      <c r="K10" s="28">
        <f>SUM(G10:J10)</f>
        <v>-927</v>
      </c>
      <c r="L10" s="60">
        <v>-210.7</v>
      </c>
      <c r="M10" s="56">
        <v>-260.89999999999998</v>
      </c>
      <c r="N10" s="56">
        <v>-262.39999999999998</v>
      </c>
      <c r="O10" s="56">
        <v>-295.60000000000002</v>
      </c>
      <c r="P10" s="31">
        <f>SUM(L10:O10)</f>
        <v>-1029.5999999999999</v>
      </c>
      <c r="Q10" s="56">
        <v>-235.5</v>
      </c>
      <c r="R10" s="56">
        <v>-274</v>
      </c>
      <c r="S10" s="56">
        <v>-257.3</v>
      </c>
      <c r="T10" s="63"/>
    </row>
    <row r="11" spans="1:497" ht="18.75" customHeight="1">
      <c r="A11" s="54" t="s">
        <v>94</v>
      </c>
      <c r="B11" s="56">
        <v>-71.5</v>
      </c>
      <c r="C11" s="56">
        <v>-71.8</v>
      </c>
      <c r="D11" s="56">
        <v>-73.7</v>
      </c>
      <c r="E11" s="56">
        <v>-95.7</v>
      </c>
      <c r="F11" s="31">
        <f t="shared" ref="F11:F18" si="13">SUM(B11:E11)</f>
        <v>-312.7</v>
      </c>
      <c r="G11" s="60">
        <v>-79</v>
      </c>
      <c r="H11" s="56">
        <v>-81.3</v>
      </c>
      <c r="I11" s="56">
        <v>-79.3</v>
      </c>
      <c r="J11" s="56">
        <v>-92.4</v>
      </c>
      <c r="K11" s="28">
        <f t="shared" ref="K11:K18" si="14">SUM(G11:J11)</f>
        <v>-332</v>
      </c>
      <c r="L11" s="60">
        <v>-75.3</v>
      </c>
      <c r="M11" s="56">
        <v>-132.19999999999999</v>
      </c>
      <c r="N11" s="56">
        <v>-186.8</v>
      </c>
      <c r="O11" s="56">
        <v>-218.3</v>
      </c>
      <c r="P11" s="31">
        <f t="shared" ref="P11:P18" si="15">SUM(L11:O11)</f>
        <v>-612.6</v>
      </c>
      <c r="Q11" s="56">
        <v>-189.2</v>
      </c>
      <c r="R11" s="56">
        <v>-193.2</v>
      </c>
      <c r="S11" s="56">
        <v>-200.1</v>
      </c>
      <c r="T11" s="63"/>
    </row>
    <row r="12" spans="1:497" ht="12.75">
      <c r="A12" s="54" t="s">
        <v>87</v>
      </c>
      <c r="B12" s="56">
        <v>-54.4</v>
      </c>
      <c r="C12" s="56">
        <v>-56.7</v>
      </c>
      <c r="D12" s="56">
        <v>-60.2</v>
      </c>
      <c r="E12" s="56">
        <v>-71.7</v>
      </c>
      <c r="F12" s="31">
        <f t="shared" si="13"/>
        <v>-243</v>
      </c>
      <c r="G12" s="60">
        <v>-60.7</v>
      </c>
      <c r="H12" s="56">
        <v>-62.3</v>
      </c>
      <c r="I12" s="56">
        <v>-64.8</v>
      </c>
      <c r="J12" s="56">
        <v>-68.599999999999994</v>
      </c>
      <c r="K12" s="28">
        <f t="shared" si="14"/>
        <v>-256.39999999999998</v>
      </c>
      <c r="L12" s="60">
        <v>-62.4</v>
      </c>
      <c r="M12" s="56">
        <v>-311.3</v>
      </c>
      <c r="N12" s="56">
        <v>-478.3</v>
      </c>
      <c r="O12" s="56">
        <v>-443.8</v>
      </c>
      <c r="P12" s="31">
        <f t="shared" si="15"/>
        <v>-1295.8</v>
      </c>
      <c r="Q12" s="56">
        <v>-467.9</v>
      </c>
      <c r="R12" s="56">
        <v>-393.5</v>
      </c>
      <c r="S12" s="56">
        <v>-401.2</v>
      </c>
      <c r="T12" s="63"/>
    </row>
    <row r="13" spans="1:497" ht="20.100000000000001" customHeight="1">
      <c r="A13" s="54" t="s">
        <v>95</v>
      </c>
      <c r="B13" s="56">
        <v>-49.7</v>
      </c>
      <c r="C13" s="56">
        <v>-55.1</v>
      </c>
      <c r="D13" s="56">
        <v>-58.6</v>
      </c>
      <c r="E13" s="56">
        <v>-59.3</v>
      </c>
      <c r="F13" s="31">
        <f t="shared" si="13"/>
        <v>-222.7</v>
      </c>
      <c r="G13" s="60">
        <v>-60.7</v>
      </c>
      <c r="H13" s="56">
        <v>-62</v>
      </c>
      <c r="I13" s="56">
        <v>-62.2</v>
      </c>
      <c r="J13" s="56">
        <v>-71.400000000000006</v>
      </c>
      <c r="K13" s="28">
        <f t="shared" si="14"/>
        <v>-256.3</v>
      </c>
      <c r="L13" s="60">
        <v>-71.400000000000006</v>
      </c>
      <c r="M13" s="56">
        <v>-288</v>
      </c>
      <c r="N13" s="56">
        <v>-495.9</v>
      </c>
      <c r="O13" s="56">
        <v>-557.20000000000005</v>
      </c>
      <c r="P13" s="31">
        <f t="shared" si="15"/>
        <v>-1412.5</v>
      </c>
      <c r="Q13" s="56">
        <v>-482.3</v>
      </c>
      <c r="R13" s="56">
        <v>-522.4</v>
      </c>
      <c r="S13" s="56">
        <v>-551.20000000000005</v>
      </c>
      <c r="T13" s="63"/>
    </row>
    <row r="14" spans="1:497" ht="20.100000000000001" customHeight="1">
      <c r="A14" s="54" t="s">
        <v>1</v>
      </c>
      <c r="B14" s="56">
        <v>-40.6</v>
      </c>
      <c r="C14" s="56">
        <v>-40.299999999999997</v>
      </c>
      <c r="D14" s="56">
        <v>-38.9</v>
      </c>
      <c r="E14" s="56">
        <v>-58.6</v>
      </c>
      <c r="F14" s="31">
        <f t="shared" si="13"/>
        <v>-178.4</v>
      </c>
      <c r="G14" s="60">
        <v>-43.1</v>
      </c>
      <c r="H14" s="56">
        <v>-41.9</v>
      </c>
      <c r="I14" s="56">
        <v>-40.4</v>
      </c>
      <c r="J14" s="56">
        <v>-53.2</v>
      </c>
      <c r="K14" s="28">
        <f t="shared" si="14"/>
        <v>-178.60000000000002</v>
      </c>
      <c r="L14" s="60">
        <v>-44.7</v>
      </c>
      <c r="M14" s="56">
        <v>-108.2</v>
      </c>
      <c r="N14" s="56">
        <v>-118</v>
      </c>
      <c r="O14" s="56">
        <v>-150.9</v>
      </c>
      <c r="P14" s="31">
        <f t="shared" si="15"/>
        <v>-421.79999999999995</v>
      </c>
      <c r="Q14" s="56">
        <v>-129.1</v>
      </c>
      <c r="R14" s="56">
        <v>-140.80000000000001</v>
      </c>
      <c r="S14" s="56">
        <v>-122.3</v>
      </c>
      <c r="T14" s="63"/>
    </row>
    <row r="15" spans="1:497" ht="18.75" customHeight="1">
      <c r="A15" s="54" t="s">
        <v>96</v>
      </c>
      <c r="B15" s="56">
        <v>-5.5</v>
      </c>
      <c r="C15" s="56">
        <v>-7.6</v>
      </c>
      <c r="D15" s="56">
        <v>-7</v>
      </c>
      <c r="E15" s="56">
        <v>-16.100000000000001</v>
      </c>
      <c r="F15" s="31">
        <f t="shared" si="13"/>
        <v>-36.200000000000003</v>
      </c>
      <c r="G15" s="60">
        <v>-25.8</v>
      </c>
      <c r="H15" s="56">
        <v>-16.8</v>
      </c>
      <c r="I15" s="56">
        <v>-10.7</v>
      </c>
      <c r="J15" s="56">
        <v>-10.6</v>
      </c>
      <c r="K15" s="28">
        <f t="shared" si="14"/>
        <v>-63.9</v>
      </c>
      <c r="L15" s="60">
        <v>-10.300000000000011</v>
      </c>
      <c r="M15" s="56">
        <v>-189.7</v>
      </c>
      <c r="N15" s="56">
        <v>-348.6</v>
      </c>
      <c r="O15" s="56">
        <v>-376.6</v>
      </c>
      <c r="P15" s="31">
        <f t="shared" si="15"/>
        <v>-925.2</v>
      </c>
      <c r="Q15" s="56">
        <v>-332.5</v>
      </c>
      <c r="R15" s="56">
        <v>-291.7</v>
      </c>
      <c r="S15" s="56">
        <v>-314.89999999999998</v>
      </c>
      <c r="T15" s="63"/>
    </row>
    <row r="16" spans="1:497" ht="24.75" customHeight="1">
      <c r="A16" s="54" t="s">
        <v>97</v>
      </c>
      <c r="B16" s="56">
        <v>-5.9</v>
      </c>
      <c r="C16" s="56">
        <v>-8.4</v>
      </c>
      <c r="D16" s="56">
        <v>-5.3</v>
      </c>
      <c r="E16" s="56">
        <v>-7.8</v>
      </c>
      <c r="F16" s="31">
        <f t="shared" si="13"/>
        <v>-27.400000000000002</v>
      </c>
      <c r="G16" s="60">
        <v>-6.42</v>
      </c>
      <c r="H16" s="56">
        <v>-9.3000000000000007</v>
      </c>
      <c r="I16" s="56">
        <v>-5.3</v>
      </c>
      <c r="J16" s="56">
        <v>-7.2</v>
      </c>
      <c r="K16" s="28">
        <f t="shared" si="14"/>
        <v>-28.22</v>
      </c>
      <c r="L16" s="60">
        <v>-6.6999999999999993</v>
      </c>
      <c r="M16" s="56">
        <v>-18.100000000000001</v>
      </c>
      <c r="N16" s="56">
        <v>-15.3</v>
      </c>
      <c r="O16" s="56">
        <v>-27.5</v>
      </c>
      <c r="P16" s="31">
        <f t="shared" si="15"/>
        <v>-67.599999999999994</v>
      </c>
      <c r="Q16" s="56">
        <v>-18.7</v>
      </c>
      <c r="R16" s="56">
        <v>-27.8</v>
      </c>
      <c r="S16" s="56">
        <v>-8.5</v>
      </c>
    </row>
    <row r="17" spans="1:32" ht="18.75" customHeight="1">
      <c r="A17" s="54" t="s">
        <v>98</v>
      </c>
      <c r="B17" s="56">
        <v>-30.1</v>
      </c>
      <c r="C17" s="56">
        <v>-33.200000000000003</v>
      </c>
      <c r="D17" s="56">
        <v>-29.7</v>
      </c>
      <c r="E17" s="56">
        <v>-34.200000000000003</v>
      </c>
      <c r="F17" s="31">
        <f t="shared" si="13"/>
        <v>-127.2</v>
      </c>
      <c r="G17" s="60">
        <v>-29.7</v>
      </c>
      <c r="H17" s="56">
        <v>-29.3</v>
      </c>
      <c r="I17" s="56">
        <v>-28.7</v>
      </c>
      <c r="J17" s="56">
        <v>-27.6</v>
      </c>
      <c r="K17" s="28">
        <f t="shared" si="14"/>
        <v>-115.30000000000001</v>
      </c>
      <c r="L17" s="60">
        <v>-26.000000000000007</v>
      </c>
      <c r="M17" s="56">
        <v>-43.4</v>
      </c>
      <c r="N17" s="56">
        <v>-87.2</v>
      </c>
      <c r="O17" s="56">
        <v>-55.5</v>
      </c>
      <c r="P17" s="31">
        <f t="shared" si="15"/>
        <v>-212.10000000000002</v>
      </c>
      <c r="Q17" s="56">
        <v>-53.8</v>
      </c>
      <c r="R17" s="56">
        <v>-56.1</v>
      </c>
      <c r="S17" s="56">
        <v>-44.6</v>
      </c>
    </row>
    <row r="18" spans="1:32" s="13" customFormat="1" ht="20.100000000000001" customHeight="1" thickBot="1">
      <c r="A18" s="57" t="s">
        <v>99</v>
      </c>
      <c r="B18" s="58">
        <v>-1.7</v>
      </c>
      <c r="C18" s="58">
        <v>-1.1000000000000001</v>
      </c>
      <c r="D18" s="58">
        <v>-2</v>
      </c>
      <c r="E18" s="58">
        <v>-12.7</v>
      </c>
      <c r="F18" s="32">
        <f t="shared" si="13"/>
        <v>-17.5</v>
      </c>
      <c r="G18" s="61">
        <v>0.5</v>
      </c>
      <c r="H18" s="58">
        <v>1.5</v>
      </c>
      <c r="I18" s="58">
        <v>36.799999999999997</v>
      </c>
      <c r="J18" s="58">
        <v>-2</v>
      </c>
      <c r="K18" s="29">
        <f t="shared" si="14"/>
        <v>36.799999999999997</v>
      </c>
      <c r="L18" s="61">
        <v>3.6</v>
      </c>
      <c r="M18" s="58">
        <v>3.5</v>
      </c>
      <c r="N18" s="58">
        <v>4.7</v>
      </c>
      <c r="O18" s="58">
        <v>-2.2000000000000002</v>
      </c>
      <c r="P18" s="32">
        <f t="shared" si="15"/>
        <v>9.6000000000000014</v>
      </c>
      <c r="Q18" s="58">
        <v>8.6999999999999993</v>
      </c>
      <c r="R18" s="58">
        <v>13.8</v>
      </c>
      <c r="S18" s="58">
        <v>14.4</v>
      </c>
      <c r="T18" s="21"/>
      <c r="U18" s="62"/>
      <c r="V18" s="62"/>
      <c r="W18" s="62"/>
      <c r="X18" s="62"/>
      <c r="Y18" s="62"/>
      <c r="Z18" s="62"/>
      <c r="AA18" s="62"/>
      <c r="AB18" s="62"/>
      <c r="AC18" s="62"/>
      <c r="AD18" s="62"/>
      <c r="AE18" s="62"/>
      <c r="AF18" s="62"/>
    </row>
    <row r="19" spans="1:32" s="14" customFormat="1" ht="20.100000000000001" customHeight="1" thickBot="1">
      <c r="A19" s="22" t="s">
        <v>53</v>
      </c>
      <c r="B19" s="47">
        <f t="shared" ref="B19:N19" si="16">B4+B9+B18</f>
        <v>203.00000000000006</v>
      </c>
      <c r="C19" s="47">
        <f t="shared" si="16"/>
        <v>212.99999999999997</v>
      </c>
      <c r="D19" s="47">
        <f t="shared" si="16"/>
        <v>197.60000000000002</v>
      </c>
      <c r="E19" s="47">
        <f t="shared" si="16"/>
        <v>175.50000000000017</v>
      </c>
      <c r="F19" s="52">
        <f t="shared" si="16"/>
        <v>789.09999999999923</v>
      </c>
      <c r="G19" s="45">
        <f t="shared" si="16"/>
        <v>184.67999999999995</v>
      </c>
      <c r="H19" s="43">
        <f t="shared" si="16"/>
        <v>195</v>
      </c>
      <c r="I19" s="43">
        <f t="shared" si="16"/>
        <v>203.39999999999998</v>
      </c>
      <c r="J19" s="43">
        <f t="shared" si="16"/>
        <v>206.79999999999984</v>
      </c>
      <c r="K19" s="51">
        <f t="shared" si="16"/>
        <v>789.87999999999988</v>
      </c>
      <c r="L19" s="45">
        <f t="shared" si="16"/>
        <v>219.39999999999989</v>
      </c>
      <c r="M19" s="43">
        <f t="shared" si="16"/>
        <v>397.60000000000014</v>
      </c>
      <c r="N19" s="43">
        <f t="shared" si="16"/>
        <v>431.7999999999999</v>
      </c>
      <c r="O19" s="43">
        <f t="shared" ref="O19" si="17">O4+O9+O18</f>
        <v>393.50000000000028</v>
      </c>
      <c r="P19" s="52">
        <f t="shared" ref="P19:S19" si="18">P4+P9+P18</f>
        <v>1442.2999999999988</v>
      </c>
      <c r="Q19" s="43">
        <f t="shared" si="18"/>
        <v>428.70000000000022</v>
      </c>
      <c r="R19" s="43">
        <f t="shared" si="18"/>
        <v>583.5</v>
      </c>
      <c r="S19" s="43">
        <f t="shared" si="18"/>
        <v>529.1999999999997</v>
      </c>
      <c r="T19" s="21"/>
      <c r="U19" s="62"/>
      <c r="V19" s="62"/>
      <c r="W19" s="62"/>
      <c r="X19" s="62"/>
      <c r="Y19" s="62"/>
      <c r="Z19" s="62"/>
      <c r="AA19" s="62"/>
      <c r="AB19" s="62"/>
      <c r="AC19" s="62"/>
      <c r="AD19" s="62"/>
      <c r="AE19" s="62"/>
      <c r="AF19" s="62"/>
    </row>
    <row r="20" spans="1:32" ht="20.100000000000001" customHeight="1">
      <c r="A20" s="54" t="s">
        <v>120</v>
      </c>
      <c r="B20" s="56">
        <v>12.5</v>
      </c>
      <c r="C20" s="56">
        <v>-8.5</v>
      </c>
      <c r="D20" s="56">
        <v>5.3</v>
      </c>
      <c r="E20" s="56">
        <v>5</v>
      </c>
      <c r="F20" s="31">
        <f>SUM(B20:E20)</f>
        <v>14.3</v>
      </c>
      <c r="G20" s="60">
        <v>3.9</v>
      </c>
      <c r="H20" s="56">
        <v>0.7</v>
      </c>
      <c r="I20" s="56">
        <v>7.4</v>
      </c>
      <c r="J20" s="56">
        <v>4.0999999999999996</v>
      </c>
      <c r="K20" s="28">
        <f>SUM(G20:J20)</f>
        <v>16.100000000000001</v>
      </c>
      <c r="L20" s="60">
        <v>1.3</v>
      </c>
      <c r="M20" s="56">
        <v>23.9</v>
      </c>
      <c r="N20" s="56">
        <v>1.5</v>
      </c>
      <c r="O20" s="56">
        <v>-11.4</v>
      </c>
      <c r="P20" s="31">
        <f>SUM(L20:O20)</f>
        <v>15.299999999999999</v>
      </c>
      <c r="Q20" s="56">
        <v>28.9</v>
      </c>
      <c r="R20" s="56">
        <v>-11.9</v>
      </c>
      <c r="S20" s="56">
        <v>-5.2</v>
      </c>
    </row>
    <row r="21" spans="1:32" ht="20.100000000000001" customHeight="1">
      <c r="A21" s="54" t="s">
        <v>100</v>
      </c>
      <c r="B21" s="56">
        <v>30.1</v>
      </c>
      <c r="C21" s="56">
        <v>-92.4</v>
      </c>
      <c r="D21" s="56">
        <v>-5.2</v>
      </c>
      <c r="E21" s="56">
        <v>-43.1</v>
      </c>
      <c r="F21" s="31">
        <f t="shared" ref="F21:F22" si="19">SUM(B21:E21)</f>
        <v>-110.6</v>
      </c>
      <c r="G21" s="60">
        <v>-80.099999999999994</v>
      </c>
      <c r="H21" s="56">
        <v>-102.4</v>
      </c>
      <c r="I21" s="56">
        <v>-10.7</v>
      </c>
      <c r="J21" s="56">
        <v>-22.8</v>
      </c>
      <c r="K21" s="28">
        <f t="shared" ref="K21:K22" si="20">SUM(G21:J21)</f>
        <v>-216</v>
      </c>
      <c r="L21" s="60">
        <v>-108.8</v>
      </c>
      <c r="M21" s="56">
        <v>-273.39999999999998</v>
      </c>
      <c r="N21" s="56">
        <v>-384.7</v>
      </c>
      <c r="O21" s="56">
        <v>-379.2</v>
      </c>
      <c r="P21" s="31">
        <f t="shared" ref="P21:P22" si="21">SUM(L21:O21)</f>
        <v>-1146.0999999999999</v>
      </c>
      <c r="Q21" s="56">
        <v>-261.3</v>
      </c>
      <c r="R21" s="56">
        <v>-222.1</v>
      </c>
      <c r="S21" s="56">
        <v>88.8</v>
      </c>
    </row>
    <row r="22" spans="1:32" ht="26.25" customHeight="1" thickBot="1">
      <c r="A22" s="54" t="s">
        <v>112</v>
      </c>
      <c r="B22" s="56">
        <v>0.7</v>
      </c>
      <c r="C22" s="56">
        <v>0.8</v>
      </c>
      <c r="D22" s="56">
        <v>0.5</v>
      </c>
      <c r="E22" s="56">
        <v>0.8</v>
      </c>
      <c r="F22" s="31">
        <f t="shared" si="19"/>
        <v>2.8</v>
      </c>
      <c r="G22" s="60">
        <v>0.8</v>
      </c>
      <c r="H22" s="56">
        <v>0.8</v>
      </c>
      <c r="I22" s="56">
        <v>0.7</v>
      </c>
      <c r="J22" s="56">
        <v>0.6</v>
      </c>
      <c r="K22" s="28">
        <f t="shared" si="20"/>
        <v>2.9</v>
      </c>
      <c r="L22" s="60">
        <v>0.7</v>
      </c>
      <c r="M22" s="56">
        <v>0.7</v>
      </c>
      <c r="N22" s="56">
        <v>0.6</v>
      </c>
      <c r="O22" s="56">
        <v>0.6</v>
      </c>
      <c r="P22" s="31">
        <f t="shared" si="21"/>
        <v>2.6</v>
      </c>
      <c r="Q22" s="56">
        <v>0.5</v>
      </c>
      <c r="R22" s="56">
        <v>0.9</v>
      </c>
      <c r="S22" s="56">
        <v>0.5</v>
      </c>
    </row>
    <row r="23" spans="1:32" s="14" customFormat="1" ht="20.100000000000001" customHeight="1" thickBot="1">
      <c r="A23" s="22" t="s">
        <v>79</v>
      </c>
      <c r="B23" s="43">
        <f>B19+B20+B21+B22</f>
        <v>246.30000000000004</v>
      </c>
      <c r="C23" s="43">
        <f t="shared" ref="C23:M23" si="22">C19+C20+C21+C22</f>
        <v>112.89999999999996</v>
      </c>
      <c r="D23" s="43">
        <f t="shared" si="22"/>
        <v>198.20000000000005</v>
      </c>
      <c r="E23" s="43">
        <f t="shared" si="22"/>
        <v>138.20000000000019</v>
      </c>
      <c r="F23" s="52">
        <f t="shared" si="22"/>
        <v>695.59999999999911</v>
      </c>
      <c r="G23" s="45">
        <f t="shared" si="22"/>
        <v>109.27999999999996</v>
      </c>
      <c r="H23" s="43">
        <f t="shared" si="22"/>
        <v>94.09999999999998</v>
      </c>
      <c r="I23" s="43">
        <f t="shared" si="22"/>
        <v>200.79999999999998</v>
      </c>
      <c r="J23" s="43">
        <f t="shared" si="22"/>
        <v>188.69999999999982</v>
      </c>
      <c r="K23" s="51">
        <f t="shared" si="22"/>
        <v>592.87999999999988</v>
      </c>
      <c r="L23" s="45">
        <f t="shared" si="22"/>
        <v>112.59999999999991</v>
      </c>
      <c r="M23" s="43">
        <f t="shared" si="22"/>
        <v>148.80000000000013</v>
      </c>
      <c r="N23" s="43">
        <f t="shared" ref="N23" si="23">N19+N20+N21+N22</f>
        <v>49.19999999999991</v>
      </c>
      <c r="O23" s="43">
        <f t="shared" ref="O23" si="24">O19+O20+O21+O22</f>
        <v>3.5000000000003184</v>
      </c>
      <c r="P23" s="52">
        <f t="shared" ref="P23:S23" si="25">P19+P20+P21+P22</f>
        <v>314.09999999999889</v>
      </c>
      <c r="Q23" s="43">
        <f t="shared" si="25"/>
        <v>196.80000000000018</v>
      </c>
      <c r="R23" s="43">
        <f t="shared" si="25"/>
        <v>350.4</v>
      </c>
      <c r="S23" s="43">
        <f t="shared" si="25"/>
        <v>613.29999999999961</v>
      </c>
      <c r="T23" s="62"/>
      <c r="U23" s="62"/>
      <c r="V23" s="62"/>
      <c r="W23" s="62"/>
      <c r="X23" s="62"/>
      <c r="Y23" s="62"/>
      <c r="Z23" s="62"/>
      <c r="AA23" s="62"/>
      <c r="AB23" s="62"/>
      <c r="AC23" s="62"/>
      <c r="AD23" s="62"/>
      <c r="AE23" s="62"/>
      <c r="AF23" s="62"/>
    </row>
    <row r="24" spans="1:32" ht="20.100000000000001" customHeight="1" thickBot="1">
      <c r="A24" s="26" t="s">
        <v>2</v>
      </c>
      <c r="B24" s="56">
        <v>-41.2</v>
      </c>
      <c r="C24" s="56">
        <v>-13.4</v>
      </c>
      <c r="D24" s="56">
        <v>-26.2</v>
      </c>
      <c r="E24" s="56">
        <v>-16.600000000000001</v>
      </c>
      <c r="F24" s="31">
        <f>SUM(B24:E24)</f>
        <v>-97.4</v>
      </c>
      <c r="G24" s="60">
        <v>-14.1</v>
      </c>
      <c r="H24" s="56">
        <v>-13.4</v>
      </c>
      <c r="I24" s="56">
        <v>-24.4</v>
      </c>
      <c r="J24" s="56">
        <v>-15.5</v>
      </c>
      <c r="K24" s="28">
        <f>SUM(G24:J24)</f>
        <v>-67.400000000000006</v>
      </c>
      <c r="L24" s="60">
        <v>-14.400000000000002</v>
      </c>
      <c r="M24" s="56">
        <v>-16.7</v>
      </c>
      <c r="N24" s="56">
        <v>-1.1000000000000001</v>
      </c>
      <c r="O24" s="56">
        <v>10.5</v>
      </c>
      <c r="P24" s="31">
        <f>SUM(L24:O24)</f>
        <v>-21.700000000000003</v>
      </c>
      <c r="Q24" s="56">
        <v>-26</v>
      </c>
      <c r="R24" s="56">
        <v>-45.9</v>
      </c>
      <c r="S24" s="56">
        <v>-110.8</v>
      </c>
    </row>
    <row r="25" spans="1:32" s="14" customFormat="1" ht="20.100000000000001" customHeight="1" thickBot="1">
      <c r="A25" s="22" t="s">
        <v>78</v>
      </c>
      <c r="B25" s="43">
        <f t="shared" ref="B25:M25" si="26">B23+B24</f>
        <v>205.10000000000002</v>
      </c>
      <c r="C25" s="43">
        <f t="shared" si="26"/>
        <v>99.499999999999957</v>
      </c>
      <c r="D25" s="43">
        <f t="shared" si="26"/>
        <v>172.00000000000006</v>
      </c>
      <c r="E25" s="43">
        <f t="shared" si="26"/>
        <v>121.60000000000019</v>
      </c>
      <c r="F25" s="52">
        <f>F23+F24</f>
        <v>598.19999999999914</v>
      </c>
      <c r="G25" s="45">
        <f t="shared" si="26"/>
        <v>95.179999999999964</v>
      </c>
      <c r="H25" s="43">
        <f t="shared" si="26"/>
        <v>80.699999999999974</v>
      </c>
      <c r="I25" s="43">
        <f t="shared" si="26"/>
        <v>176.39999999999998</v>
      </c>
      <c r="J25" s="43">
        <f t="shared" si="26"/>
        <v>173.19999999999982</v>
      </c>
      <c r="K25" s="51">
        <f t="shared" si="26"/>
        <v>525.4799999999999</v>
      </c>
      <c r="L25" s="45">
        <f t="shared" si="26"/>
        <v>98.199999999999903</v>
      </c>
      <c r="M25" s="43">
        <f t="shared" si="26"/>
        <v>132.10000000000014</v>
      </c>
      <c r="N25" s="43">
        <f t="shared" ref="N25" si="27">N23+N24</f>
        <v>48.099999999999909</v>
      </c>
      <c r="O25" s="43">
        <f t="shared" ref="O25" si="28">O23+O24</f>
        <v>14.000000000000318</v>
      </c>
      <c r="P25" s="52">
        <f t="shared" ref="P25:S25" si="29">P23+P24</f>
        <v>292.3999999999989</v>
      </c>
      <c r="Q25" s="43">
        <f t="shared" si="29"/>
        <v>170.80000000000018</v>
      </c>
      <c r="R25" s="43">
        <f t="shared" si="29"/>
        <v>304.5</v>
      </c>
      <c r="S25" s="43">
        <f t="shared" si="29"/>
        <v>502.4999999999996</v>
      </c>
      <c r="T25" s="62"/>
      <c r="U25" s="62"/>
      <c r="V25" s="62"/>
      <c r="W25" s="62"/>
      <c r="X25" s="62"/>
      <c r="Y25" s="62"/>
      <c r="Z25" s="62"/>
      <c r="AA25" s="62"/>
      <c r="AB25" s="62"/>
      <c r="AC25" s="62"/>
      <c r="AD25" s="62"/>
      <c r="AE25" s="62"/>
      <c r="AF25" s="62"/>
    </row>
    <row r="26" spans="1:32" ht="20.100000000000001" customHeight="1">
      <c r="A26" s="54" t="s">
        <v>240</v>
      </c>
      <c r="B26" s="56">
        <f>B25</f>
        <v>205.10000000000002</v>
      </c>
      <c r="C26" s="56">
        <f>C25</f>
        <v>99.499999999999957</v>
      </c>
      <c r="D26" s="56">
        <f t="shared" ref="D26:R26" si="30">D25</f>
        <v>172.00000000000006</v>
      </c>
      <c r="E26" s="56">
        <f t="shared" si="30"/>
        <v>121.60000000000019</v>
      </c>
      <c r="F26" s="31">
        <f t="shared" si="30"/>
        <v>598.19999999999914</v>
      </c>
      <c r="G26" s="60">
        <f t="shared" si="30"/>
        <v>95.179999999999964</v>
      </c>
      <c r="H26" s="56">
        <f t="shared" si="30"/>
        <v>80.699999999999974</v>
      </c>
      <c r="I26" s="56">
        <f t="shared" si="30"/>
        <v>176.39999999999998</v>
      </c>
      <c r="J26" s="56">
        <f t="shared" si="30"/>
        <v>173.19999999999982</v>
      </c>
      <c r="K26" s="28">
        <f t="shared" si="30"/>
        <v>525.4799999999999</v>
      </c>
      <c r="L26" s="60">
        <f t="shared" si="30"/>
        <v>98.199999999999903</v>
      </c>
      <c r="M26" s="56">
        <f t="shared" si="30"/>
        <v>132.10000000000014</v>
      </c>
      <c r="N26" s="56">
        <f t="shared" si="30"/>
        <v>48.099999999999909</v>
      </c>
      <c r="O26" s="56">
        <f t="shared" si="30"/>
        <v>14.000000000000318</v>
      </c>
      <c r="P26" s="31">
        <f t="shared" si="30"/>
        <v>292.3999999999989</v>
      </c>
      <c r="Q26" s="56">
        <f t="shared" si="30"/>
        <v>170.80000000000018</v>
      </c>
      <c r="R26" s="56">
        <f t="shared" si="30"/>
        <v>304.5</v>
      </c>
      <c r="S26" s="56">
        <f>S25</f>
        <v>502.4999999999996</v>
      </c>
    </row>
    <row r="27" spans="1:32" s="13" customFormat="1" ht="20.100000000000001" customHeight="1">
      <c r="A27" s="534" t="s">
        <v>241</v>
      </c>
      <c r="B27" s="521">
        <f t="shared" ref="B27" si="31">ROUND(B26/348.352836,2)</f>
        <v>0.59</v>
      </c>
      <c r="C27" s="521">
        <f t="shared" ref="C27" si="32">ROUND(C26/348.352836,2)</f>
        <v>0.28999999999999998</v>
      </c>
      <c r="D27" s="521">
        <f t="shared" ref="D27" si="33">ROUND(D26/348.352836,2)</f>
        <v>0.49</v>
      </c>
      <c r="E27" s="521">
        <f t="shared" ref="E27" si="34">ROUND(E26/348.352836,2)</f>
        <v>0.35</v>
      </c>
      <c r="F27" s="532">
        <f t="shared" ref="F27" si="35">ROUND(F26/348.352836,2)</f>
        <v>1.72</v>
      </c>
      <c r="G27" s="531">
        <f t="shared" ref="G27:I27" si="36">ROUND(G26/348.352836,2)</f>
        <v>0.27</v>
      </c>
      <c r="H27" s="521">
        <f t="shared" si="36"/>
        <v>0.23</v>
      </c>
      <c r="I27" s="521">
        <f t="shared" si="36"/>
        <v>0.51</v>
      </c>
      <c r="J27" s="521">
        <f>ROUND(J26/348.352836,2)</f>
        <v>0.5</v>
      </c>
      <c r="K27" s="532">
        <f>ROUND(K26/348.352836,2)</f>
        <v>1.51</v>
      </c>
      <c r="L27" s="531">
        <f>ROUND(L26/348.352836,2)</f>
        <v>0.28000000000000003</v>
      </c>
      <c r="M27" s="521">
        <f>ROUND(M26/524.348714,2)</f>
        <v>0.25</v>
      </c>
      <c r="N27" s="522">
        <f t="shared" ref="N27:R27" si="37">ROUND(N26/639.546016,2)</f>
        <v>0.08</v>
      </c>
      <c r="O27" s="521">
        <f t="shared" si="37"/>
        <v>0.02</v>
      </c>
      <c r="P27" s="532">
        <f>ROUND(P26/539.024535,2)</f>
        <v>0.54</v>
      </c>
      <c r="Q27" s="521">
        <f t="shared" si="37"/>
        <v>0.27</v>
      </c>
      <c r="R27" s="521">
        <f t="shared" si="37"/>
        <v>0.48</v>
      </c>
      <c r="S27" s="521">
        <f>ROUND(S26/639.546016,2)</f>
        <v>0.79</v>
      </c>
      <c r="T27" s="21"/>
      <c r="U27" s="62"/>
      <c r="V27" s="62"/>
      <c r="W27" s="62"/>
      <c r="X27" s="62"/>
      <c r="Y27" s="62"/>
      <c r="Z27" s="62"/>
      <c r="AA27" s="62"/>
      <c r="AB27" s="62"/>
      <c r="AC27" s="62"/>
      <c r="AD27" s="62"/>
      <c r="AE27" s="62"/>
      <c r="AF27" s="62"/>
    </row>
    <row r="28" spans="1:32" s="53" customFormat="1" ht="20.100000000000001" customHeight="1" thickBot="1">
      <c r="A28" s="20"/>
      <c r="B28" s="38"/>
      <c r="C28" s="38"/>
      <c r="D28" s="38"/>
      <c r="E28" s="38"/>
      <c r="F28" s="520"/>
      <c r="G28" s="20"/>
      <c r="H28" s="38"/>
      <c r="I28" s="19"/>
      <c r="J28" s="19"/>
      <c r="K28" s="520"/>
      <c r="L28" s="19"/>
      <c r="M28" s="19"/>
      <c r="N28" s="19"/>
      <c r="O28" s="19"/>
      <c r="P28" s="520"/>
      <c r="Q28" s="19"/>
      <c r="R28" s="19"/>
      <c r="S28" s="19" t="s">
        <v>242</v>
      </c>
    </row>
    <row r="29" spans="1:32" s="14" customFormat="1" ht="20.100000000000001" customHeight="1">
      <c r="A29" s="23" t="s">
        <v>0</v>
      </c>
      <c r="B29" s="25">
        <f t="shared" ref="B29:N29" si="38">B19-B12</f>
        <v>257.40000000000003</v>
      </c>
      <c r="C29" s="25">
        <f t="shared" si="38"/>
        <v>269.7</v>
      </c>
      <c r="D29" s="25">
        <f t="shared" si="38"/>
        <v>257.8</v>
      </c>
      <c r="E29" s="25">
        <f t="shared" si="38"/>
        <v>247.20000000000016</v>
      </c>
      <c r="F29" s="533">
        <f t="shared" si="38"/>
        <v>1032.0999999999992</v>
      </c>
      <c r="G29" s="525">
        <f t="shared" si="38"/>
        <v>245.37999999999994</v>
      </c>
      <c r="H29" s="25">
        <f t="shared" si="38"/>
        <v>257.3</v>
      </c>
      <c r="I29" s="25">
        <f t="shared" si="38"/>
        <v>268.2</v>
      </c>
      <c r="J29" s="25">
        <f t="shared" si="38"/>
        <v>275.39999999999986</v>
      </c>
      <c r="K29" s="37">
        <f t="shared" si="38"/>
        <v>1046.2799999999997</v>
      </c>
      <c r="L29" s="23">
        <f t="shared" si="38"/>
        <v>281.7999999999999</v>
      </c>
      <c r="M29" s="25">
        <f t="shared" si="38"/>
        <v>708.90000000000009</v>
      </c>
      <c r="N29" s="25">
        <f t="shared" si="38"/>
        <v>910.09999999999991</v>
      </c>
      <c r="O29" s="25">
        <f t="shared" ref="O29" si="39">O19-O12</f>
        <v>837.3000000000003</v>
      </c>
      <c r="P29" s="37">
        <f t="shared" ref="P29:Q29" si="40">P19-P12</f>
        <v>2738.0999999999985</v>
      </c>
      <c r="Q29" s="23">
        <f t="shared" si="40"/>
        <v>896.60000000000014</v>
      </c>
      <c r="R29" s="523">
        <f t="shared" ref="R29:S29" si="41">R19-R12</f>
        <v>977</v>
      </c>
      <c r="S29" s="25">
        <f t="shared" si="41"/>
        <v>930.39999999999964</v>
      </c>
      <c r="T29" s="62"/>
      <c r="U29" s="62"/>
      <c r="V29" s="62"/>
      <c r="W29" s="62"/>
      <c r="X29" s="62"/>
      <c r="Y29" s="62"/>
      <c r="Z29" s="62"/>
      <c r="AA29" s="62"/>
      <c r="AB29" s="62"/>
      <c r="AC29" s="62"/>
      <c r="AD29" s="62"/>
      <c r="AE29" s="62"/>
      <c r="AF29" s="62"/>
    </row>
    <row r="30" spans="1:32" s="14" customFormat="1" ht="20.100000000000001" customHeight="1" thickBot="1">
      <c r="A30" s="24" t="s">
        <v>3</v>
      </c>
      <c r="B30" s="34">
        <f t="shared" ref="B30:N30" si="42">B29/B4</f>
        <v>0.38463837417812313</v>
      </c>
      <c r="C30" s="34">
        <f t="shared" si="42"/>
        <v>0.377836929111796</v>
      </c>
      <c r="D30" s="34">
        <f t="shared" si="42"/>
        <v>0.4</v>
      </c>
      <c r="E30" s="34">
        <f t="shared" si="42"/>
        <v>0.32933653077537983</v>
      </c>
      <c r="F30" s="35">
        <f t="shared" si="42"/>
        <v>0.37151290450307745</v>
      </c>
      <c r="G30" s="33">
        <f t="shared" si="42"/>
        <v>0.35200114761153339</v>
      </c>
      <c r="H30" s="34">
        <f t="shared" si="42"/>
        <v>0.34963989672509854</v>
      </c>
      <c r="I30" s="34">
        <f t="shared" si="42"/>
        <v>0.39598405433338257</v>
      </c>
      <c r="J30" s="34">
        <f t="shared" si="42"/>
        <v>0.34403497813866318</v>
      </c>
      <c r="K30" s="36">
        <f t="shared" si="42"/>
        <v>0.3594475745499518</v>
      </c>
      <c r="L30" s="33">
        <f t="shared" si="42"/>
        <v>0.38960320752108385</v>
      </c>
      <c r="M30" s="34">
        <f t="shared" si="42"/>
        <v>0.40603700097370987</v>
      </c>
      <c r="N30" s="34">
        <f t="shared" si="42"/>
        <v>0.37613655149611502</v>
      </c>
      <c r="O30" s="34">
        <f t="shared" ref="O30" si="43">O29/O4</f>
        <v>0.33211693308476464</v>
      </c>
      <c r="P30" s="35">
        <f t="shared" ref="P30:Q30" si="44">P29/P4</f>
        <v>0.36951915680373537</v>
      </c>
      <c r="Q30" s="34">
        <f t="shared" si="44"/>
        <v>0.38497209102619157</v>
      </c>
      <c r="R30" s="34">
        <f t="shared" ref="R30:S30" si="45">R29/R4</f>
        <v>0.39567471245747615</v>
      </c>
      <c r="S30" s="34">
        <f t="shared" si="45"/>
        <v>0.3852747525777464</v>
      </c>
      <c r="T30" s="62"/>
      <c r="U30" s="62"/>
      <c r="V30" s="62"/>
      <c r="W30" s="62"/>
      <c r="X30" s="62"/>
      <c r="Y30" s="62"/>
      <c r="Z30" s="62"/>
      <c r="AA30" s="62"/>
      <c r="AB30" s="62"/>
      <c r="AC30" s="62"/>
      <c r="AD30" s="62"/>
      <c r="AE30" s="62"/>
      <c r="AF30" s="62"/>
    </row>
    <row r="31" spans="1:32" s="21" customFormat="1" ht="15" customHeight="1">
      <c r="B31" s="18"/>
      <c r="C31" s="18"/>
      <c r="D31" s="18"/>
      <c r="E31" s="18"/>
      <c r="F31" s="18"/>
      <c r="G31" s="18"/>
      <c r="H31" s="19"/>
      <c r="I31" s="20"/>
      <c r="J31" s="20"/>
      <c r="K31" s="18"/>
      <c r="L31" s="18"/>
      <c r="M31" s="18"/>
      <c r="N31" s="18"/>
      <c r="O31" s="18"/>
      <c r="P31" s="18"/>
      <c r="Q31" s="18"/>
      <c r="R31" s="18"/>
      <c r="S31" s="18"/>
    </row>
    <row r="32" spans="1:32" s="21" customFormat="1" ht="15" customHeight="1">
      <c r="A32" s="538"/>
      <c r="B32" s="542"/>
      <c r="C32" s="542"/>
      <c r="D32" s="542"/>
      <c r="E32" s="542"/>
      <c r="F32" s="542"/>
      <c r="G32" s="542"/>
      <c r="H32" s="542"/>
      <c r="I32" s="542"/>
      <c r="J32" s="542"/>
      <c r="K32" s="542"/>
      <c r="L32" s="542"/>
      <c r="M32" s="542"/>
    </row>
    <row r="33" spans="1:19" s="21" customFormat="1" ht="15" customHeight="1">
      <c r="A33" s="538"/>
      <c r="B33" s="538"/>
      <c r="C33" s="538"/>
      <c r="D33" s="538"/>
      <c r="E33" s="538"/>
      <c r="F33" s="538"/>
      <c r="G33" s="538"/>
      <c r="H33" s="538"/>
      <c r="I33" s="538"/>
      <c r="J33" s="538"/>
      <c r="K33" s="538"/>
      <c r="L33" s="538"/>
      <c r="M33" s="538"/>
    </row>
    <row r="34" spans="1:19" s="21" customFormat="1" ht="15" customHeight="1">
      <c r="A34" s="18"/>
      <c r="B34" s="18"/>
      <c r="C34" s="18"/>
      <c r="D34" s="18"/>
      <c r="E34" s="18"/>
      <c r="F34" s="18"/>
      <c r="G34" s="18"/>
      <c r="H34" s="19"/>
      <c r="I34" s="20"/>
      <c r="J34" s="18"/>
      <c r="K34" s="18"/>
      <c r="L34" s="18"/>
      <c r="M34" s="18"/>
      <c r="N34" s="18"/>
      <c r="O34" s="18"/>
      <c r="P34" s="18"/>
      <c r="Q34" s="18"/>
      <c r="R34" s="18"/>
      <c r="S34" s="18"/>
    </row>
    <row r="35" spans="1:19" s="21" customFormat="1" ht="15" customHeight="1">
      <c r="A35" s="538"/>
      <c r="B35" s="538"/>
      <c r="C35" s="538"/>
      <c r="D35" s="538"/>
      <c r="E35" s="538"/>
      <c r="F35" s="538"/>
      <c r="G35" s="538"/>
      <c r="H35" s="538"/>
      <c r="I35" s="538"/>
      <c r="J35" s="538"/>
      <c r="K35" s="538"/>
      <c r="L35" s="538"/>
      <c r="M35" s="538"/>
    </row>
    <row r="36" spans="1:19" s="21" customFormat="1" ht="15" customHeight="1">
      <c r="A36" s="18"/>
      <c r="B36" s="18"/>
      <c r="C36" s="18"/>
      <c r="D36" s="18"/>
      <c r="E36" s="18"/>
      <c r="F36" s="18"/>
      <c r="G36" s="18"/>
      <c r="H36" s="19"/>
      <c r="I36" s="20"/>
      <c r="J36" s="18"/>
      <c r="K36" s="18"/>
      <c r="L36" s="18"/>
      <c r="M36" s="18"/>
      <c r="N36" s="18"/>
      <c r="O36" s="18"/>
      <c r="P36" s="18"/>
      <c r="Q36" s="18"/>
      <c r="R36" s="18"/>
      <c r="S36" s="18"/>
    </row>
    <row r="37" spans="1:19" s="21" customFormat="1" ht="15" customHeight="1">
      <c r="A37" s="538"/>
      <c r="B37" s="538"/>
      <c r="C37" s="538"/>
      <c r="D37" s="538"/>
      <c r="E37" s="538"/>
      <c r="F37" s="538"/>
      <c r="G37" s="538"/>
      <c r="H37" s="538"/>
      <c r="I37" s="538"/>
      <c r="J37" s="538"/>
      <c r="K37" s="538"/>
      <c r="L37" s="538"/>
      <c r="M37" s="538"/>
    </row>
    <row r="38" spans="1:19" s="21" customFormat="1" ht="15" customHeight="1">
      <c r="B38" s="18"/>
      <c r="C38" s="18"/>
      <c r="D38" s="18"/>
      <c r="E38" s="18"/>
      <c r="F38" s="18"/>
      <c r="G38" s="18"/>
      <c r="H38" s="19"/>
      <c r="I38" s="20"/>
      <c r="J38" s="18"/>
      <c r="K38" s="18"/>
      <c r="L38" s="18"/>
      <c r="M38" s="18"/>
      <c r="N38" s="18"/>
      <c r="O38" s="18"/>
      <c r="P38" s="18"/>
      <c r="Q38" s="18"/>
      <c r="R38" s="18"/>
      <c r="S38" s="18"/>
    </row>
    <row r="39" spans="1:19" s="21" customFormat="1" ht="28.5" customHeight="1">
      <c r="B39" s="18"/>
      <c r="C39" s="18"/>
      <c r="D39" s="18"/>
      <c r="E39" s="18"/>
      <c r="F39" s="18"/>
      <c r="G39" s="18"/>
      <c r="H39" s="19"/>
      <c r="I39" s="20"/>
      <c r="J39" s="18"/>
      <c r="K39" s="18"/>
      <c r="L39" s="18"/>
      <c r="M39" s="18"/>
      <c r="N39" s="18"/>
      <c r="O39" s="18"/>
      <c r="P39" s="18"/>
      <c r="Q39" s="18"/>
      <c r="R39" s="18"/>
      <c r="S39" s="18"/>
    </row>
    <row r="40" spans="1:19" s="21" customFormat="1" ht="28.5" customHeight="1">
      <c r="B40" s="18"/>
      <c r="C40" s="18"/>
      <c r="D40" s="18"/>
      <c r="E40" s="18"/>
      <c r="F40" s="18"/>
      <c r="G40" s="18"/>
      <c r="H40" s="19"/>
      <c r="I40" s="20"/>
      <c r="J40" s="18"/>
      <c r="K40" s="18"/>
      <c r="L40" s="18"/>
      <c r="M40" s="18"/>
      <c r="N40" s="18"/>
      <c r="O40" s="18"/>
      <c r="P40" s="18"/>
      <c r="Q40" s="18"/>
      <c r="R40" s="18"/>
      <c r="S40" s="18"/>
    </row>
    <row r="41" spans="1:19" s="21" customFormat="1" ht="28.5" customHeight="1">
      <c r="B41" s="18"/>
      <c r="C41" s="18"/>
      <c r="D41" s="18"/>
      <c r="E41" s="18"/>
      <c r="F41" s="18"/>
      <c r="G41" s="18"/>
      <c r="H41" s="19"/>
      <c r="I41" s="20"/>
      <c r="J41" s="18"/>
      <c r="K41" s="18"/>
      <c r="L41" s="18"/>
      <c r="M41" s="18"/>
      <c r="N41" s="18"/>
      <c r="O41" s="18"/>
      <c r="P41" s="18"/>
      <c r="Q41" s="18"/>
      <c r="R41" s="18"/>
      <c r="S41" s="18"/>
    </row>
    <row r="42" spans="1:19" s="21" customFormat="1" ht="28.5" customHeight="1">
      <c r="B42" s="18"/>
      <c r="C42" s="18"/>
      <c r="D42" s="18"/>
      <c r="E42" s="18"/>
      <c r="F42" s="18"/>
      <c r="G42" s="18"/>
      <c r="H42" s="19"/>
      <c r="I42" s="20"/>
      <c r="J42" s="18"/>
      <c r="K42" s="18"/>
      <c r="L42" s="18"/>
      <c r="M42" s="18"/>
      <c r="N42" s="18"/>
      <c r="O42" s="18"/>
      <c r="P42" s="18"/>
      <c r="Q42" s="18"/>
      <c r="R42" s="18"/>
      <c r="S42" s="18"/>
    </row>
    <row r="43" spans="1:19" s="21" customFormat="1" ht="28.5" customHeight="1">
      <c r="B43" s="18"/>
      <c r="C43" s="18"/>
      <c r="D43" s="18"/>
      <c r="E43" s="18"/>
      <c r="F43" s="18"/>
      <c r="G43" s="18"/>
      <c r="H43" s="19"/>
      <c r="I43" s="20"/>
      <c r="J43" s="18"/>
      <c r="K43" s="18"/>
      <c r="L43" s="18"/>
      <c r="M43" s="18"/>
      <c r="N43" s="18"/>
      <c r="O43" s="18"/>
      <c r="P43" s="18"/>
      <c r="Q43" s="18"/>
      <c r="R43" s="18"/>
      <c r="S43" s="18"/>
    </row>
    <row r="44" spans="1:19" s="21" customFormat="1" ht="28.5" customHeight="1">
      <c r="B44" s="18"/>
      <c r="C44" s="18"/>
      <c r="D44" s="18"/>
      <c r="E44" s="18"/>
      <c r="F44" s="18"/>
      <c r="G44" s="18"/>
      <c r="H44" s="19"/>
      <c r="I44" s="20"/>
      <c r="J44" s="18"/>
      <c r="K44" s="18"/>
      <c r="L44" s="18"/>
      <c r="M44" s="18"/>
      <c r="N44" s="18"/>
      <c r="O44" s="18"/>
      <c r="P44" s="18"/>
      <c r="Q44" s="18"/>
      <c r="R44" s="18"/>
      <c r="S44" s="18"/>
    </row>
    <row r="45" spans="1:19" s="21" customFormat="1" ht="28.5" customHeight="1">
      <c r="B45" s="18"/>
      <c r="C45" s="18"/>
      <c r="D45" s="18"/>
      <c r="E45" s="18"/>
      <c r="F45" s="18"/>
      <c r="G45" s="18"/>
      <c r="H45" s="19"/>
      <c r="I45" s="20"/>
      <c r="J45" s="18"/>
      <c r="K45" s="18"/>
      <c r="L45" s="18"/>
      <c r="M45" s="18"/>
      <c r="N45" s="18"/>
      <c r="O45" s="18"/>
      <c r="P45" s="18"/>
      <c r="Q45" s="18"/>
      <c r="R45" s="18"/>
      <c r="S45" s="18"/>
    </row>
    <row r="46" spans="1:19" s="21" customFormat="1" ht="28.5" customHeight="1">
      <c r="B46" s="18"/>
      <c r="C46" s="18"/>
      <c r="D46" s="18"/>
      <c r="E46" s="18"/>
      <c r="F46" s="18"/>
      <c r="G46" s="18"/>
      <c r="H46" s="19"/>
      <c r="I46" s="20"/>
      <c r="J46" s="18"/>
      <c r="K46" s="18"/>
      <c r="L46" s="18"/>
      <c r="M46" s="18"/>
      <c r="N46" s="18"/>
      <c r="O46" s="18"/>
      <c r="P46" s="18"/>
      <c r="Q46" s="18"/>
      <c r="R46" s="18"/>
      <c r="S46" s="18"/>
    </row>
    <row r="47" spans="1:19" s="21" customFormat="1" ht="28.5" customHeight="1">
      <c r="B47" s="18"/>
      <c r="C47" s="18"/>
      <c r="D47" s="18"/>
      <c r="E47" s="18"/>
      <c r="F47" s="18"/>
      <c r="G47" s="18"/>
      <c r="H47" s="19"/>
      <c r="I47" s="20"/>
      <c r="J47" s="18"/>
      <c r="K47" s="18"/>
      <c r="L47" s="18"/>
      <c r="M47" s="18"/>
      <c r="N47" s="18"/>
      <c r="O47" s="18"/>
      <c r="P47" s="18"/>
      <c r="Q47" s="18"/>
      <c r="R47" s="18"/>
      <c r="S47" s="18"/>
    </row>
    <row r="48" spans="1:19" ht="28.5" customHeight="1">
      <c r="A48" s="9"/>
      <c r="B48" s="15"/>
      <c r="C48" s="15"/>
      <c r="D48" s="15"/>
      <c r="E48" s="15"/>
      <c r="F48" s="15"/>
      <c r="G48" s="15"/>
      <c r="H48" s="16"/>
      <c r="I48" s="17"/>
    </row>
  </sheetData>
  <mergeCells count="8">
    <mergeCell ref="A33:M33"/>
    <mergeCell ref="A35:M35"/>
    <mergeCell ref="A37:M37"/>
    <mergeCell ref="L2:P2"/>
    <mergeCell ref="Q2:S2"/>
    <mergeCell ref="G2:K2"/>
    <mergeCell ref="B2:F2"/>
    <mergeCell ref="A32:M32"/>
  </mergeCells>
  <pageMargins left="0.70866141732283472" right="0.70866141732283472" top="0.74803149606299213" bottom="0.74803149606299213" header="0.31496062992125984" footer="0.31496062992125984"/>
  <pageSetup paperSize="9" scale="55" orientation="landscape" r:id="rId1"/>
  <ignoredErrors>
    <ignoredError sqref="K23 F9 K9 F19 K19 F23 P19 P23 P9 P27" formula="1"/>
    <ignoredError sqref="B9:E9 G9:J9 L9:O9 Q9:S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C729"/>
  <sheetViews>
    <sheetView zoomScale="90" zoomScaleNormal="90" zoomScaleSheetLayoutView="100" workbookViewId="0">
      <pane xSplit="2" ySplit="4" topLeftCell="F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2.875" customWidth="1"/>
    <col min="4" max="4" width="1.875" customWidth="1"/>
    <col min="5" max="5" width="13.25" customWidth="1"/>
    <col min="6" max="6" width="1.625" customWidth="1"/>
    <col min="7" max="7" width="9.625" customWidth="1"/>
    <col min="8" max="8" width="12.875" customWidth="1"/>
    <col min="9" max="9" width="1.875" customWidth="1"/>
    <col min="10" max="10" width="13.375" customWidth="1"/>
    <col min="11" max="11" width="1.875" customWidth="1"/>
    <col min="12" max="12" width="9.625" customWidth="1"/>
    <col min="13" max="13" width="12.875" customWidth="1"/>
    <col min="14" max="14" width="1.875" customWidth="1"/>
    <col min="15" max="15" width="13.25" customWidth="1"/>
    <col min="16" max="16" width="1.875" customWidth="1"/>
    <col min="17" max="17" width="9.625" customWidth="1"/>
    <col min="18" max="18" width="12.875" customWidth="1"/>
    <col min="19" max="19" width="13.625" customWidth="1"/>
    <col min="20" max="20" width="9.625" customWidth="1"/>
    <col min="21" max="497" width="9" style="64"/>
  </cols>
  <sheetData>
    <row r="1" spans="2:497" ht="50.25" customHeight="1" thickBot="1">
      <c r="B1" s="3" t="s">
        <v>247</v>
      </c>
      <c r="C1" s="64"/>
      <c r="D1" s="64"/>
      <c r="E1" s="64"/>
      <c r="F1" s="64"/>
      <c r="G1" s="64"/>
      <c r="H1" s="64"/>
      <c r="I1" s="64"/>
      <c r="J1" s="64"/>
      <c r="K1" s="64"/>
      <c r="L1" s="64"/>
      <c r="M1" s="64"/>
      <c r="N1" s="64"/>
      <c r="O1" s="64"/>
      <c r="P1" s="64"/>
      <c r="Q1" s="64"/>
      <c r="R1" s="64"/>
      <c r="S1" s="64"/>
      <c r="T1" s="64"/>
    </row>
    <row r="2" spans="2:497" s="67" customFormat="1" ht="30" customHeight="1" thickBot="1">
      <c r="B2" s="550" t="s">
        <v>119</v>
      </c>
      <c r="C2" s="543" t="s">
        <v>125</v>
      </c>
      <c r="D2" s="544"/>
      <c r="E2" s="544"/>
      <c r="F2" s="544"/>
      <c r="G2" s="545"/>
      <c r="H2" s="543" t="s">
        <v>126</v>
      </c>
      <c r="I2" s="544"/>
      <c r="J2" s="544"/>
      <c r="K2" s="544"/>
      <c r="L2" s="545"/>
      <c r="M2" s="543" t="s">
        <v>127</v>
      </c>
      <c r="N2" s="544"/>
      <c r="O2" s="544"/>
      <c r="P2" s="544"/>
      <c r="Q2" s="545"/>
      <c r="R2" s="543" t="s">
        <v>128</v>
      </c>
      <c r="S2" s="544"/>
      <c r="T2" s="545"/>
      <c r="U2" s="65"/>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c r="NS2" s="66"/>
      <c r="NT2" s="66"/>
      <c r="NU2" s="66"/>
      <c r="NV2" s="66"/>
      <c r="NW2" s="66"/>
      <c r="NX2" s="66"/>
      <c r="NY2" s="66"/>
      <c r="NZ2" s="66"/>
      <c r="OA2" s="66"/>
      <c r="OB2" s="66"/>
      <c r="OC2" s="66"/>
      <c r="OD2" s="66"/>
      <c r="OE2" s="66"/>
      <c r="OF2" s="66"/>
      <c r="OG2" s="66"/>
      <c r="OH2" s="66"/>
      <c r="OI2" s="66"/>
      <c r="OJ2" s="66"/>
      <c r="OK2" s="66"/>
      <c r="OL2" s="66"/>
      <c r="OM2" s="66"/>
      <c r="ON2" s="66"/>
      <c r="OO2" s="66"/>
      <c r="OP2" s="66"/>
      <c r="OQ2" s="66"/>
      <c r="OR2" s="66"/>
      <c r="OS2" s="66"/>
      <c r="OT2" s="66"/>
      <c r="OU2" s="66"/>
      <c r="OV2" s="66"/>
      <c r="OW2" s="66"/>
      <c r="OX2" s="66"/>
      <c r="OY2" s="66"/>
      <c r="OZ2" s="66"/>
      <c r="PA2" s="66"/>
      <c r="PB2" s="66"/>
      <c r="PC2" s="66"/>
      <c r="PD2" s="66"/>
      <c r="PE2" s="66"/>
      <c r="PF2" s="66"/>
      <c r="PG2" s="66"/>
      <c r="PH2" s="66"/>
      <c r="PI2" s="66"/>
      <c r="PJ2" s="66"/>
      <c r="PK2" s="66"/>
      <c r="PL2" s="66"/>
      <c r="PM2" s="66"/>
      <c r="PN2" s="66"/>
      <c r="PO2" s="66"/>
      <c r="PP2" s="66"/>
      <c r="PQ2" s="66"/>
      <c r="PR2" s="66"/>
      <c r="PS2" s="66"/>
      <c r="PT2" s="66"/>
      <c r="PU2" s="66"/>
      <c r="PV2" s="66"/>
      <c r="PW2" s="66"/>
      <c r="PX2" s="66"/>
      <c r="PY2" s="66"/>
      <c r="PZ2" s="66"/>
      <c r="QA2" s="66"/>
      <c r="QB2" s="66"/>
      <c r="QC2" s="66"/>
      <c r="QD2" s="66"/>
      <c r="QE2" s="66"/>
      <c r="QF2" s="66"/>
      <c r="QG2" s="66"/>
      <c r="QH2" s="66"/>
      <c r="QI2" s="66"/>
      <c r="QJ2" s="66"/>
      <c r="QK2" s="66"/>
      <c r="QL2" s="66"/>
      <c r="QM2" s="66"/>
      <c r="QN2" s="66"/>
      <c r="QO2" s="66"/>
      <c r="QP2" s="66"/>
      <c r="QQ2" s="66"/>
      <c r="QR2" s="66"/>
      <c r="QS2" s="66"/>
      <c r="QT2" s="66"/>
      <c r="QU2" s="66"/>
      <c r="QV2" s="66"/>
      <c r="QW2" s="66"/>
      <c r="QX2" s="66"/>
      <c r="QY2" s="66"/>
      <c r="QZ2" s="66"/>
      <c r="RA2" s="66"/>
      <c r="RB2" s="66"/>
      <c r="RC2" s="66"/>
      <c r="RD2" s="66"/>
      <c r="RE2" s="66"/>
      <c r="RF2" s="66"/>
      <c r="RG2" s="66"/>
      <c r="RH2" s="66"/>
      <c r="RI2" s="66"/>
      <c r="RJ2" s="66"/>
      <c r="RK2" s="66"/>
      <c r="RL2" s="66"/>
      <c r="RM2" s="66"/>
      <c r="RN2" s="66"/>
      <c r="RO2" s="66"/>
      <c r="RP2" s="66"/>
      <c r="RQ2" s="66"/>
      <c r="RR2" s="66"/>
      <c r="RS2" s="66"/>
      <c r="RT2" s="66"/>
      <c r="RU2" s="66"/>
      <c r="RV2" s="66"/>
      <c r="RW2" s="66"/>
      <c r="RX2" s="66"/>
      <c r="RY2" s="66"/>
      <c r="RZ2" s="66"/>
      <c r="SA2" s="66"/>
      <c r="SB2" s="66"/>
      <c r="SC2" s="66"/>
    </row>
    <row r="3" spans="2:497" s="67" customFormat="1" ht="20.25" customHeight="1" thickBot="1">
      <c r="B3" s="551"/>
      <c r="C3" s="546" t="s">
        <v>129</v>
      </c>
      <c r="D3" s="547"/>
      <c r="E3" s="547"/>
      <c r="F3" s="547"/>
      <c r="G3" s="548"/>
      <c r="H3" s="546" t="s">
        <v>129</v>
      </c>
      <c r="I3" s="547"/>
      <c r="J3" s="547"/>
      <c r="K3" s="547"/>
      <c r="L3" s="548"/>
      <c r="M3" s="546" t="s">
        <v>129</v>
      </c>
      <c r="N3" s="547"/>
      <c r="O3" s="547"/>
      <c r="P3" s="547"/>
      <c r="Q3" s="548"/>
      <c r="R3" s="546" t="s">
        <v>129</v>
      </c>
      <c r="S3" s="547"/>
      <c r="T3" s="548"/>
      <c r="U3" s="65"/>
      <c r="V3" s="68"/>
      <c r="W3" s="68"/>
      <c r="X3" s="68"/>
      <c r="Y3" s="68"/>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c r="NS3" s="66"/>
      <c r="NT3" s="66"/>
      <c r="NU3" s="66"/>
      <c r="NV3" s="66"/>
      <c r="NW3" s="66"/>
      <c r="NX3" s="66"/>
      <c r="NY3" s="66"/>
      <c r="NZ3" s="66"/>
      <c r="OA3" s="66"/>
      <c r="OB3" s="66"/>
      <c r="OC3" s="66"/>
      <c r="OD3" s="66"/>
      <c r="OE3" s="66"/>
      <c r="OF3" s="66"/>
      <c r="OG3" s="66"/>
      <c r="OH3" s="66"/>
      <c r="OI3" s="66"/>
      <c r="OJ3" s="66"/>
      <c r="OK3" s="66"/>
      <c r="OL3" s="66"/>
      <c r="OM3" s="66"/>
      <c r="ON3" s="66"/>
      <c r="OO3" s="66"/>
      <c r="OP3" s="66"/>
      <c r="OQ3" s="66"/>
      <c r="OR3" s="66"/>
      <c r="OS3" s="66"/>
      <c r="OT3" s="66"/>
      <c r="OU3" s="66"/>
      <c r="OV3" s="66"/>
      <c r="OW3" s="66"/>
      <c r="OX3" s="66"/>
      <c r="OY3" s="66"/>
      <c r="OZ3" s="66"/>
      <c r="PA3" s="66"/>
      <c r="PB3" s="66"/>
      <c r="PC3" s="66"/>
      <c r="PD3" s="66"/>
      <c r="PE3" s="66"/>
      <c r="PF3" s="66"/>
      <c r="PG3" s="66"/>
      <c r="PH3" s="66"/>
      <c r="PI3" s="66"/>
      <c r="PJ3" s="66"/>
      <c r="PK3" s="66"/>
      <c r="PL3" s="66"/>
      <c r="PM3" s="66"/>
      <c r="PN3" s="66"/>
      <c r="PO3" s="66"/>
      <c r="PP3" s="66"/>
      <c r="PQ3" s="66"/>
      <c r="PR3" s="66"/>
      <c r="PS3" s="66"/>
      <c r="PT3" s="66"/>
      <c r="PU3" s="66"/>
      <c r="PV3" s="66"/>
      <c r="PW3" s="66"/>
      <c r="PX3" s="66"/>
      <c r="PY3" s="66"/>
      <c r="PZ3" s="66"/>
      <c r="QA3" s="66"/>
      <c r="QB3" s="66"/>
      <c r="QC3" s="66"/>
      <c r="QD3" s="66"/>
      <c r="QE3" s="66"/>
      <c r="QF3" s="66"/>
      <c r="QG3" s="66"/>
      <c r="QH3" s="66"/>
      <c r="QI3" s="66"/>
      <c r="QJ3" s="66"/>
      <c r="QK3" s="66"/>
      <c r="QL3" s="66"/>
      <c r="QM3" s="66"/>
      <c r="QN3" s="66"/>
      <c r="QO3" s="66"/>
      <c r="QP3" s="66"/>
      <c r="QQ3" s="66"/>
      <c r="QR3" s="66"/>
      <c r="QS3" s="66"/>
      <c r="QT3" s="66"/>
      <c r="QU3" s="66"/>
      <c r="QV3" s="66"/>
      <c r="QW3" s="66"/>
      <c r="QX3" s="66"/>
      <c r="QY3" s="66"/>
      <c r="QZ3" s="66"/>
      <c r="RA3" s="66"/>
      <c r="RB3" s="66"/>
      <c r="RC3" s="66"/>
      <c r="RD3" s="66"/>
      <c r="RE3" s="66"/>
      <c r="RF3" s="66"/>
      <c r="RG3" s="66"/>
      <c r="RH3" s="66"/>
      <c r="RI3" s="66"/>
      <c r="RJ3" s="66"/>
      <c r="RK3" s="66"/>
      <c r="RL3" s="66"/>
      <c r="RM3" s="66"/>
      <c r="RN3" s="66"/>
      <c r="RO3" s="66"/>
      <c r="RP3" s="66"/>
      <c r="RQ3" s="66"/>
      <c r="RR3" s="66"/>
      <c r="RS3" s="66"/>
      <c r="RT3" s="66"/>
      <c r="RU3" s="66"/>
      <c r="RV3" s="66"/>
      <c r="RW3" s="66"/>
      <c r="RX3" s="66"/>
      <c r="RY3" s="66"/>
      <c r="RZ3" s="66"/>
      <c r="SA3" s="66"/>
      <c r="SB3" s="66"/>
      <c r="SC3" s="66"/>
    </row>
    <row r="4" spans="2:497" s="72" customFormat="1" ht="20.25" customHeight="1" thickBot="1">
      <c r="B4" s="552"/>
      <c r="C4" s="514" t="s">
        <v>130</v>
      </c>
      <c r="D4" s="515"/>
      <c r="E4" s="516" t="s">
        <v>131</v>
      </c>
      <c r="F4" s="517"/>
      <c r="G4" s="518" t="s">
        <v>132</v>
      </c>
      <c r="H4" s="514" t="s">
        <v>130</v>
      </c>
      <c r="I4" s="515"/>
      <c r="J4" s="517" t="s">
        <v>131</v>
      </c>
      <c r="K4" s="517"/>
      <c r="L4" s="518" t="s">
        <v>132</v>
      </c>
      <c r="M4" s="514" t="s">
        <v>130</v>
      </c>
      <c r="N4" s="515"/>
      <c r="O4" s="517" t="s">
        <v>131</v>
      </c>
      <c r="P4" s="517"/>
      <c r="Q4" s="519" t="s">
        <v>132</v>
      </c>
      <c r="R4" s="514" t="s">
        <v>130</v>
      </c>
      <c r="S4" s="517" t="s">
        <v>131</v>
      </c>
      <c r="T4" s="519" t="s">
        <v>132</v>
      </c>
      <c r="U4" s="69"/>
      <c r="V4" s="70"/>
      <c r="W4" s="70"/>
      <c r="X4" s="70"/>
      <c r="Y4" s="70"/>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c r="IV4" s="71"/>
      <c r="IW4" s="71"/>
      <c r="IX4" s="71"/>
      <c r="IY4" s="71"/>
      <c r="IZ4" s="71"/>
      <c r="JA4" s="71"/>
      <c r="JB4" s="71"/>
      <c r="JC4" s="71"/>
      <c r="JD4" s="71"/>
      <c r="JE4" s="71"/>
      <c r="JF4" s="71"/>
      <c r="JG4" s="71"/>
      <c r="JH4" s="71"/>
      <c r="JI4" s="71"/>
      <c r="JJ4" s="71"/>
      <c r="JK4" s="71"/>
      <c r="JL4" s="71"/>
      <c r="JM4" s="71"/>
      <c r="JN4" s="71"/>
      <c r="JO4" s="71"/>
      <c r="JP4" s="71"/>
      <c r="JQ4" s="71"/>
      <c r="JR4" s="71"/>
      <c r="JS4" s="71"/>
      <c r="JT4" s="71"/>
      <c r="JU4" s="71"/>
      <c r="JV4" s="71"/>
      <c r="JW4" s="71"/>
      <c r="JX4" s="71"/>
      <c r="JY4" s="71"/>
      <c r="JZ4" s="71"/>
      <c r="KA4" s="71"/>
      <c r="KB4" s="71"/>
      <c r="KC4" s="71"/>
      <c r="KD4" s="71"/>
      <c r="KE4" s="71"/>
      <c r="KF4" s="71"/>
      <c r="KG4" s="71"/>
      <c r="KH4" s="71"/>
      <c r="KI4" s="71"/>
      <c r="KJ4" s="71"/>
      <c r="KK4" s="71"/>
      <c r="KL4" s="71"/>
      <c r="KM4" s="71"/>
      <c r="KN4" s="71"/>
      <c r="KO4" s="71"/>
      <c r="KP4" s="71"/>
      <c r="KQ4" s="71"/>
      <c r="KR4" s="71"/>
      <c r="KS4" s="71"/>
      <c r="KT4" s="71"/>
      <c r="KU4" s="71"/>
      <c r="KV4" s="71"/>
      <c r="KW4" s="71"/>
      <c r="KX4" s="71"/>
      <c r="KY4" s="71"/>
      <c r="KZ4" s="71"/>
      <c r="LA4" s="71"/>
      <c r="LB4" s="71"/>
      <c r="LC4" s="71"/>
      <c r="LD4" s="71"/>
      <c r="LE4" s="71"/>
      <c r="LF4" s="71"/>
      <c r="LG4" s="71"/>
      <c r="LH4" s="71"/>
      <c r="LI4" s="71"/>
      <c r="LJ4" s="71"/>
      <c r="LK4" s="71"/>
      <c r="LL4" s="71"/>
      <c r="LM4" s="71"/>
      <c r="LN4" s="71"/>
      <c r="LO4" s="71"/>
      <c r="LP4" s="71"/>
      <c r="LQ4" s="71"/>
      <c r="LR4" s="71"/>
      <c r="LS4" s="71"/>
      <c r="LT4" s="71"/>
      <c r="LU4" s="71"/>
      <c r="LV4" s="71"/>
      <c r="LW4" s="71"/>
      <c r="LX4" s="71"/>
      <c r="LY4" s="71"/>
      <c r="LZ4" s="71"/>
      <c r="MA4" s="71"/>
      <c r="MB4" s="71"/>
      <c r="MC4" s="71"/>
      <c r="MD4" s="71"/>
      <c r="ME4" s="71"/>
      <c r="MF4" s="71"/>
      <c r="MG4" s="71"/>
      <c r="MH4" s="71"/>
      <c r="MI4" s="71"/>
      <c r="MJ4" s="71"/>
      <c r="MK4" s="71"/>
      <c r="ML4" s="71"/>
      <c r="MM4" s="71"/>
      <c r="MN4" s="71"/>
      <c r="MO4" s="71"/>
      <c r="MP4" s="71"/>
      <c r="MQ4" s="71"/>
      <c r="MR4" s="71"/>
      <c r="MS4" s="71"/>
      <c r="MT4" s="71"/>
      <c r="MU4" s="71"/>
      <c r="MV4" s="71"/>
      <c r="MW4" s="71"/>
      <c r="MX4" s="71"/>
      <c r="MY4" s="71"/>
      <c r="MZ4" s="71"/>
      <c r="NA4" s="71"/>
      <c r="NB4" s="71"/>
      <c r="NC4" s="71"/>
      <c r="ND4" s="71"/>
      <c r="NE4" s="71"/>
      <c r="NF4" s="71"/>
      <c r="NG4" s="71"/>
      <c r="NH4" s="71"/>
      <c r="NI4" s="71"/>
      <c r="NJ4" s="71"/>
      <c r="NK4" s="71"/>
      <c r="NL4" s="71"/>
      <c r="NM4" s="71"/>
      <c r="NN4" s="71"/>
      <c r="NO4" s="71"/>
      <c r="NP4" s="71"/>
      <c r="NQ4" s="71"/>
      <c r="NR4" s="71"/>
      <c r="NS4" s="71"/>
      <c r="NT4" s="71"/>
      <c r="NU4" s="71"/>
      <c r="NV4" s="71"/>
      <c r="NW4" s="71"/>
      <c r="NX4" s="71"/>
      <c r="NY4" s="71"/>
      <c r="NZ4" s="71"/>
      <c r="OA4" s="71"/>
      <c r="OB4" s="71"/>
      <c r="OC4" s="71"/>
      <c r="OD4" s="71"/>
      <c r="OE4" s="71"/>
      <c r="OF4" s="71"/>
      <c r="OG4" s="71"/>
      <c r="OH4" s="71"/>
      <c r="OI4" s="71"/>
      <c r="OJ4" s="71"/>
      <c r="OK4" s="71"/>
      <c r="OL4" s="71"/>
      <c r="OM4" s="71"/>
      <c r="ON4" s="71"/>
      <c r="OO4" s="71"/>
      <c r="OP4" s="71"/>
      <c r="OQ4" s="71"/>
      <c r="OR4" s="71"/>
      <c r="OS4" s="71"/>
      <c r="OT4" s="71"/>
      <c r="OU4" s="71"/>
      <c r="OV4" s="71"/>
      <c r="OW4" s="71"/>
      <c r="OX4" s="71"/>
      <c r="OY4" s="71"/>
      <c r="OZ4" s="71"/>
      <c r="PA4" s="71"/>
      <c r="PB4" s="71"/>
      <c r="PC4" s="71"/>
      <c r="PD4" s="71"/>
      <c r="PE4" s="71"/>
      <c r="PF4" s="71"/>
      <c r="PG4" s="71"/>
      <c r="PH4" s="71"/>
      <c r="PI4" s="71"/>
      <c r="PJ4" s="71"/>
      <c r="PK4" s="71"/>
      <c r="PL4" s="71"/>
      <c r="PM4" s="71"/>
      <c r="PN4" s="71"/>
      <c r="PO4" s="71"/>
      <c r="PP4" s="71"/>
      <c r="PQ4" s="71"/>
      <c r="PR4" s="71"/>
      <c r="PS4" s="71"/>
      <c r="PT4" s="71"/>
      <c r="PU4" s="71"/>
      <c r="PV4" s="71"/>
      <c r="PW4" s="71"/>
      <c r="PX4" s="71"/>
      <c r="PY4" s="71"/>
      <c r="PZ4" s="71"/>
      <c r="QA4" s="71"/>
      <c r="QB4" s="71"/>
      <c r="QC4" s="71"/>
      <c r="QD4" s="71"/>
      <c r="QE4" s="71"/>
      <c r="QF4" s="71"/>
      <c r="QG4" s="71"/>
      <c r="QH4" s="71"/>
      <c r="QI4" s="71"/>
      <c r="QJ4" s="71"/>
      <c r="QK4" s="71"/>
      <c r="QL4" s="71"/>
      <c r="QM4" s="71"/>
      <c r="QN4" s="71"/>
      <c r="QO4" s="71"/>
      <c r="QP4" s="71"/>
      <c r="QQ4" s="71"/>
      <c r="QR4" s="71"/>
      <c r="QS4" s="71"/>
      <c r="QT4" s="71"/>
      <c r="QU4" s="71"/>
      <c r="QV4" s="71"/>
      <c r="QW4" s="71"/>
      <c r="QX4" s="71"/>
      <c r="QY4" s="71"/>
      <c r="QZ4" s="71"/>
      <c r="RA4" s="71"/>
      <c r="RB4" s="71"/>
      <c r="RC4" s="71"/>
      <c r="RD4" s="71"/>
      <c r="RE4" s="71"/>
      <c r="RF4" s="71"/>
      <c r="RG4" s="71"/>
      <c r="RH4" s="71"/>
      <c r="RI4" s="71"/>
      <c r="RJ4" s="71"/>
      <c r="RK4" s="71"/>
      <c r="RL4" s="71"/>
      <c r="RM4" s="71"/>
      <c r="RN4" s="71"/>
      <c r="RO4" s="71"/>
      <c r="RP4" s="71"/>
      <c r="RQ4" s="71"/>
      <c r="RR4" s="71"/>
      <c r="RS4" s="71"/>
      <c r="RT4" s="71"/>
      <c r="RU4" s="71"/>
      <c r="RV4" s="71"/>
      <c r="RW4" s="71"/>
      <c r="RX4" s="71"/>
      <c r="RY4" s="71"/>
      <c r="RZ4" s="71"/>
      <c r="SA4" s="71"/>
      <c r="SB4" s="71"/>
      <c r="SC4" s="71"/>
    </row>
    <row r="5" spans="2:497" s="67" customFormat="1" ht="20.25" customHeight="1">
      <c r="B5" s="73" t="s">
        <v>133</v>
      </c>
      <c r="C5" s="74">
        <v>6411.5</v>
      </c>
      <c r="D5" s="75"/>
      <c r="E5" s="76">
        <v>4089</v>
      </c>
      <c r="F5" s="77"/>
      <c r="G5" s="78">
        <f>C5-E5</f>
        <v>2322.5</v>
      </c>
      <c r="H5" s="79">
        <v>801.6</v>
      </c>
      <c r="I5" s="80"/>
      <c r="J5" s="76">
        <v>799.8</v>
      </c>
      <c r="K5" s="76"/>
      <c r="L5" s="81">
        <f>H5-J5</f>
        <v>1.8000000000000682</v>
      </c>
      <c r="M5" s="82">
        <v>0</v>
      </c>
      <c r="N5" s="83"/>
      <c r="O5" s="84">
        <v>0</v>
      </c>
      <c r="P5" s="84"/>
      <c r="Q5" s="85">
        <f>M5-O5</f>
        <v>0</v>
      </c>
      <c r="R5" s="86">
        <f>C5+H5+M5</f>
        <v>7213.1</v>
      </c>
      <c r="S5" s="87">
        <f>E5+J5+O5</f>
        <v>4888.8</v>
      </c>
      <c r="T5" s="88">
        <f>R5-S5</f>
        <v>2324.3000000000002</v>
      </c>
      <c r="U5" s="65"/>
      <c r="V5" s="89"/>
      <c r="W5" s="89"/>
      <c r="X5" s="89"/>
      <c r="Y5" s="68"/>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c r="IW5" s="66"/>
      <c r="IX5" s="66"/>
      <c r="IY5" s="66"/>
      <c r="IZ5" s="66"/>
      <c r="JA5" s="66"/>
      <c r="JB5" s="66"/>
      <c r="JC5" s="66"/>
      <c r="JD5" s="66"/>
      <c r="JE5" s="66"/>
      <c r="JF5" s="66"/>
      <c r="JG5" s="66"/>
      <c r="JH5" s="66"/>
      <c r="JI5" s="66"/>
      <c r="JJ5" s="66"/>
      <c r="JK5" s="66"/>
      <c r="JL5" s="66"/>
      <c r="JM5" s="66"/>
      <c r="JN5" s="66"/>
      <c r="JO5" s="66"/>
      <c r="JP5" s="66"/>
      <c r="JQ5" s="66"/>
      <c r="JR5" s="66"/>
      <c r="JS5" s="66"/>
      <c r="JT5" s="66"/>
      <c r="JU5" s="66"/>
      <c r="JV5" s="66"/>
      <c r="JW5" s="66"/>
      <c r="JX5" s="66"/>
      <c r="JY5" s="66"/>
      <c r="JZ5" s="66"/>
      <c r="KA5" s="66"/>
      <c r="KB5" s="66"/>
      <c r="KC5" s="66"/>
      <c r="KD5" s="66"/>
      <c r="KE5" s="66"/>
      <c r="KF5" s="66"/>
      <c r="KG5" s="66"/>
      <c r="KH5" s="66"/>
      <c r="KI5" s="66"/>
      <c r="KJ5" s="66"/>
      <c r="KK5" s="66"/>
      <c r="KL5" s="66"/>
      <c r="KM5" s="66"/>
      <c r="KN5" s="66"/>
      <c r="KO5" s="66"/>
      <c r="KP5" s="66"/>
      <c r="KQ5" s="66"/>
      <c r="KR5" s="66"/>
      <c r="KS5" s="66"/>
      <c r="KT5" s="66"/>
      <c r="KU5" s="66"/>
      <c r="KV5" s="66"/>
      <c r="KW5" s="66"/>
      <c r="KX5" s="66"/>
      <c r="KY5" s="66"/>
      <c r="KZ5" s="66"/>
      <c r="LA5" s="66"/>
      <c r="LB5" s="66"/>
      <c r="LC5" s="66"/>
      <c r="LD5" s="66"/>
      <c r="LE5" s="66"/>
      <c r="LF5" s="66"/>
      <c r="LG5" s="66"/>
      <c r="LH5" s="66"/>
      <c r="LI5" s="66"/>
      <c r="LJ5" s="66"/>
      <c r="LK5" s="66"/>
      <c r="LL5" s="66"/>
      <c r="LM5" s="66"/>
      <c r="LN5" s="66"/>
      <c r="LO5" s="66"/>
      <c r="LP5" s="66"/>
      <c r="LQ5" s="66"/>
      <c r="LR5" s="66"/>
      <c r="LS5" s="66"/>
      <c r="LT5" s="66"/>
      <c r="LU5" s="66"/>
      <c r="LV5" s="66"/>
      <c r="LW5" s="66"/>
      <c r="LX5" s="66"/>
      <c r="LY5" s="66"/>
      <c r="LZ5" s="66"/>
      <c r="MA5" s="66"/>
      <c r="MB5" s="66"/>
      <c r="MC5" s="66"/>
      <c r="MD5" s="66"/>
      <c r="ME5" s="66"/>
      <c r="MF5" s="66"/>
      <c r="MG5" s="66"/>
      <c r="MH5" s="66"/>
      <c r="MI5" s="66"/>
      <c r="MJ5" s="66"/>
      <c r="MK5" s="66"/>
      <c r="ML5" s="66"/>
      <c r="MM5" s="66"/>
      <c r="MN5" s="66"/>
      <c r="MO5" s="66"/>
      <c r="MP5" s="66"/>
      <c r="MQ5" s="66"/>
      <c r="MR5" s="66"/>
      <c r="MS5" s="66"/>
      <c r="MT5" s="66"/>
      <c r="MU5" s="66"/>
      <c r="MV5" s="66"/>
      <c r="MW5" s="66"/>
      <c r="MX5" s="66"/>
      <c r="MY5" s="66"/>
      <c r="MZ5" s="66"/>
      <c r="NA5" s="66"/>
      <c r="NB5" s="66"/>
      <c r="NC5" s="66"/>
      <c r="ND5" s="66"/>
      <c r="NE5" s="66"/>
      <c r="NF5" s="66"/>
      <c r="NG5" s="66"/>
      <c r="NH5" s="66"/>
      <c r="NI5" s="66"/>
      <c r="NJ5" s="66"/>
      <c r="NK5" s="66"/>
      <c r="NL5" s="66"/>
      <c r="NM5" s="66"/>
      <c r="NN5" s="66"/>
      <c r="NO5" s="66"/>
      <c r="NP5" s="66"/>
      <c r="NQ5" s="66"/>
      <c r="NR5" s="66"/>
      <c r="NS5" s="66"/>
      <c r="NT5" s="66"/>
      <c r="NU5" s="66"/>
      <c r="NV5" s="66"/>
      <c r="NW5" s="66"/>
      <c r="NX5" s="66"/>
      <c r="NY5" s="66"/>
      <c r="NZ5" s="66"/>
      <c r="OA5" s="66"/>
      <c r="OB5" s="66"/>
      <c r="OC5" s="66"/>
      <c r="OD5" s="66"/>
      <c r="OE5" s="66"/>
      <c r="OF5" s="66"/>
      <c r="OG5" s="66"/>
      <c r="OH5" s="66"/>
      <c r="OI5" s="66"/>
      <c r="OJ5" s="66"/>
      <c r="OK5" s="66"/>
      <c r="OL5" s="66"/>
      <c r="OM5" s="66"/>
      <c r="ON5" s="66"/>
      <c r="OO5" s="66"/>
      <c r="OP5" s="66"/>
      <c r="OQ5" s="66"/>
      <c r="OR5" s="66"/>
      <c r="OS5" s="66"/>
      <c r="OT5" s="66"/>
      <c r="OU5" s="66"/>
      <c r="OV5" s="66"/>
      <c r="OW5" s="66"/>
      <c r="OX5" s="66"/>
      <c r="OY5" s="66"/>
      <c r="OZ5" s="66"/>
      <c r="PA5" s="66"/>
      <c r="PB5" s="66"/>
      <c r="PC5" s="66"/>
      <c r="PD5" s="66"/>
      <c r="PE5" s="66"/>
      <c r="PF5" s="66"/>
      <c r="PG5" s="66"/>
      <c r="PH5" s="66"/>
      <c r="PI5" s="66"/>
      <c r="PJ5" s="66"/>
      <c r="PK5" s="66"/>
      <c r="PL5" s="66"/>
      <c r="PM5" s="66"/>
      <c r="PN5" s="66"/>
      <c r="PO5" s="66"/>
      <c r="PP5" s="66"/>
      <c r="PQ5" s="66"/>
      <c r="PR5" s="66"/>
      <c r="PS5" s="66"/>
      <c r="PT5" s="66"/>
      <c r="PU5" s="66"/>
      <c r="PV5" s="66"/>
      <c r="PW5" s="66"/>
      <c r="PX5" s="66"/>
      <c r="PY5" s="66"/>
      <c r="PZ5" s="66"/>
      <c r="QA5" s="66"/>
      <c r="QB5" s="66"/>
      <c r="QC5" s="66"/>
      <c r="QD5" s="66"/>
      <c r="QE5" s="66"/>
      <c r="QF5" s="66"/>
      <c r="QG5" s="66"/>
      <c r="QH5" s="66"/>
      <c r="QI5" s="66"/>
      <c r="QJ5" s="66"/>
      <c r="QK5" s="66"/>
      <c r="QL5" s="66"/>
      <c r="QM5" s="66"/>
      <c r="QN5" s="66"/>
      <c r="QO5" s="66"/>
      <c r="QP5" s="66"/>
      <c r="QQ5" s="66"/>
      <c r="QR5" s="66"/>
      <c r="QS5" s="66"/>
      <c r="QT5" s="66"/>
      <c r="QU5" s="66"/>
      <c r="QV5" s="66"/>
      <c r="QW5" s="66"/>
      <c r="QX5" s="66"/>
      <c r="QY5" s="66"/>
      <c r="QZ5" s="66"/>
      <c r="RA5" s="66"/>
      <c r="RB5" s="66"/>
      <c r="RC5" s="66"/>
      <c r="RD5" s="66"/>
      <c r="RE5" s="66"/>
      <c r="RF5" s="66"/>
      <c r="RG5" s="66"/>
      <c r="RH5" s="66"/>
      <c r="RI5" s="66"/>
      <c r="RJ5" s="66"/>
      <c r="RK5" s="66"/>
      <c r="RL5" s="66"/>
      <c r="RM5" s="66"/>
      <c r="RN5" s="66"/>
      <c r="RO5" s="66"/>
      <c r="RP5" s="66"/>
      <c r="RQ5" s="66"/>
      <c r="RR5" s="66"/>
      <c r="RS5" s="66"/>
      <c r="RT5" s="66"/>
      <c r="RU5" s="66"/>
      <c r="RV5" s="66"/>
      <c r="RW5" s="66"/>
      <c r="RX5" s="66"/>
      <c r="RY5" s="66"/>
      <c r="RZ5" s="66"/>
      <c r="SA5" s="66"/>
      <c r="SB5" s="66"/>
      <c r="SC5" s="66"/>
    </row>
    <row r="6" spans="2:497" s="67" customFormat="1" ht="20.25" customHeight="1">
      <c r="B6" s="90" t="s">
        <v>134</v>
      </c>
      <c r="C6" s="79">
        <v>24</v>
      </c>
      <c r="D6" s="91"/>
      <c r="E6" s="92">
        <v>24.1</v>
      </c>
      <c r="F6" s="92"/>
      <c r="G6" s="93">
        <f t="shared" ref="G6:G14" si="0">C6-E6</f>
        <v>-0.10000000000000142</v>
      </c>
      <c r="H6" s="79">
        <v>111.1</v>
      </c>
      <c r="I6" s="91"/>
      <c r="J6" s="92">
        <v>106.8</v>
      </c>
      <c r="K6" s="92"/>
      <c r="L6" s="94">
        <f t="shared" ref="L6:L11" si="1">H6-J6</f>
        <v>4.2999999999999972</v>
      </c>
      <c r="M6" s="95">
        <v>-135.1</v>
      </c>
      <c r="N6" s="91"/>
      <c r="O6" s="96">
        <v>-130.9</v>
      </c>
      <c r="P6" s="97"/>
      <c r="Q6" s="85">
        <f t="shared" ref="Q6:Q14" si="2">M6-O6</f>
        <v>-4.1999999999999886</v>
      </c>
      <c r="R6" s="98">
        <f t="shared" ref="R6:R14" si="3">C6+H6+M6</f>
        <v>0</v>
      </c>
      <c r="S6" s="84">
        <f t="shared" ref="S6:S11" si="4">E6+J6+O6</f>
        <v>0</v>
      </c>
      <c r="T6" s="99">
        <f t="shared" ref="T6:T11" si="5">R6-S6</f>
        <v>0</v>
      </c>
      <c r="U6" s="65"/>
      <c r="V6" s="84"/>
      <c r="W6" s="84"/>
      <c r="X6" s="84"/>
      <c r="Y6" s="68"/>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6"/>
      <c r="MU6" s="66"/>
      <c r="MV6" s="66"/>
      <c r="MW6" s="66"/>
      <c r="MX6" s="66"/>
      <c r="MY6" s="66"/>
      <c r="MZ6" s="66"/>
      <c r="NA6" s="66"/>
      <c r="NB6" s="66"/>
      <c r="NC6" s="66"/>
      <c r="ND6" s="66"/>
      <c r="NE6" s="66"/>
      <c r="NF6" s="66"/>
      <c r="NG6" s="66"/>
      <c r="NH6" s="66"/>
      <c r="NI6" s="66"/>
      <c r="NJ6" s="66"/>
      <c r="NK6" s="66"/>
      <c r="NL6" s="66"/>
      <c r="NM6" s="66"/>
      <c r="NN6" s="66"/>
      <c r="NO6" s="66"/>
      <c r="NP6" s="66"/>
      <c r="NQ6" s="66"/>
      <c r="NR6" s="66"/>
      <c r="NS6" s="66"/>
      <c r="NT6" s="66"/>
      <c r="NU6" s="66"/>
      <c r="NV6" s="66"/>
      <c r="NW6" s="66"/>
      <c r="NX6" s="66"/>
      <c r="NY6" s="66"/>
      <c r="NZ6" s="66"/>
      <c r="OA6" s="66"/>
      <c r="OB6" s="66"/>
      <c r="OC6" s="66"/>
      <c r="OD6" s="66"/>
      <c r="OE6" s="66"/>
      <c r="OF6" s="66"/>
      <c r="OG6" s="66"/>
      <c r="OH6" s="66"/>
      <c r="OI6" s="66"/>
      <c r="OJ6" s="66"/>
      <c r="OK6" s="66"/>
      <c r="OL6" s="66"/>
      <c r="OM6" s="66"/>
      <c r="ON6" s="66"/>
      <c r="OO6" s="66"/>
      <c r="OP6" s="66"/>
      <c r="OQ6" s="66"/>
      <c r="OR6" s="66"/>
      <c r="OS6" s="66"/>
      <c r="OT6" s="66"/>
      <c r="OU6" s="66"/>
      <c r="OV6" s="66"/>
      <c r="OW6" s="66"/>
      <c r="OX6" s="66"/>
      <c r="OY6" s="66"/>
      <c r="OZ6" s="66"/>
      <c r="PA6" s="66"/>
      <c r="PB6" s="66"/>
      <c r="PC6" s="66"/>
      <c r="PD6" s="66"/>
      <c r="PE6" s="66"/>
      <c r="PF6" s="66"/>
      <c r="PG6" s="66"/>
      <c r="PH6" s="66"/>
      <c r="PI6" s="66"/>
      <c r="PJ6" s="66"/>
      <c r="PK6" s="66"/>
      <c r="PL6" s="66"/>
      <c r="PM6" s="66"/>
      <c r="PN6" s="66"/>
      <c r="PO6" s="66"/>
      <c r="PP6" s="66"/>
      <c r="PQ6" s="66"/>
      <c r="PR6" s="66"/>
      <c r="PS6" s="66"/>
      <c r="PT6" s="66"/>
      <c r="PU6" s="66"/>
      <c r="PV6" s="66"/>
      <c r="PW6" s="66"/>
      <c r="PX6" s="66"/>
      <c r="PY6" s="66"/>
      <c r="PZ6" s="66"/>
      <c r="QA6" s="66"/>
      <c r="QB6" s="66"/>
      <c r="QC6" s="66"/>
      <c r="QD6" s="66"/>
      <c r="QE6" s="66"/>
      <c r="QF6" s="66"/>
      <c r="QG6" s="66"/>
      <c r="QH6" s="66"/>
      <c r="QI6" s="66"/>
      <c r="QJ6" s="66"/>
      <c r="QK6" s="66"/>
      <c r="QL6" s="66"/>
      <c r="QM6" s="66"/>
      <c r="QN6" s="66"/>
      <c r="QO6" s="66"/>
      <c r="QP6" s="66"/>
      <c r="QQ6" s="66"/>
      <c r="QR6" s="66"/>
      <c r="QS6" s="66"/>
      <c r="QT6" s="66"/>
      <c r="QU6" s="66"/>
      <c r="QV6" s="66"/>
      <c r="QW6" s="66"/>
      <c r="QX6" s="66"/>
      <c r="QY6" s="66"/>
      <c r="QZ6" s="66"/>
      <c r="RA6" s="66"/>
      <c r="RB6" s="66"/>
      <c r="RC6" s="66"/>
      <c r="RD6" s="66"/>
      <c r="RE6" s="66"/>
      <c r="RF6" s="66"/>
      <c r="RG6" s="66"/>
      <c r="RH6" s="66"/>
      <c r="RI6" s="66"/>
      <c r="RJ6" s="66"/>
      <c r="RK6" s="66"/>
      <c r="RL6" s="66"/>
      <c r="RM6" s="66"/>
      <c r="RN6" s="66"/>
      <c r="RO6" s="66"/>
      <c r="RP6" s="66"/>
      <c r="RQ6" s="66"/>
      <c r="RR6" s="66"/>
      <c r="RS6" s="66"/>
      <c r="RT6" s="66"/>
      <c r="RU6" s="66"/>
      <c r="RV6" s="66"/>
      <c r="RW6" s="66"/>
      <c r="RX6" s="66"/>
      <c r="RY6" s="66"/>
      <c r="RZ6" s="66"/>
      <c r="SA6" s="66"/>
      <c r="SB6" s="66"/>
      <c r="SC6" s="66"/>
    </row>
    <row r="7" spans="2:497" s="120" customFormat="1" ht="20.25" customHeight="1">
      <c r="B7" s="100" t="s">
        <v>135</v>
      </c>
      <c r="C7" s="101">
        <v>6435.5</v>
      </c>
      <c r="D7" s="102"/>
      <c r="E7" s="103">
        <v>4113.1000000000004</v>
      </c>
      <c r="F7" s="104"/>
      <c r="G7" s="105">
        <f>C7-E7</f>
        <v>2322.3999999999996</v>
      </c>
      <c r="H7" s="101">
        <v>912.7</v>
      </c>
      <c r="I7" s="102"/>
      <c r="J7" s="103">
        <v>906.6</v>
      </c>
      <c r="K7" s="106"/>
      <c r="L7" s="107">
        <f t="shared" si="1"/>
        <v>6.1000000000000227</v>
      </c>
      <c r="M7" s="108">
        <v>-135.1</v>
      </c>
      <c r="N7" s="109"/>
      <c r="O7" s="110">
        <v>-130.9</v>
      </c>
      <c r="P7" s="111"/>
      <c r="Q7" s="112">
        <f t="shared" si="2"/>
        <v>-4.1999999999999886</v>
      </c>
      <c r="R7" s="113">
        <f t="shared" si="3"/>
        <v>7213.0999999999995</v>
      </c>
      <c r="S7" s="114">
        <f t="shared" si="4"/>
        <v>4888.8000000000011</v>
      </c>
      <c r="T7" s="115">
        <f t="shared" si="5"/>
        <v>2324.2999999999984</v>
      </c>
      <c r="U7" s="116"/>
      <c r="V7" s="117"/>
      <c r="W7" s="117"/>
      <c r="X7" s="117"/>
      <c r="Y7" s="118"/>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row>
    <row r="8" spans="2:497" s="120" customFormat="1" ht="20.25" customHeight="1">
      <c r="B8" s="100" t="s">
        <v>0</v>
      </c>
      <c r="C8" s="101">
        <v>2484</v>
      </c>
      <c r="D8" s="121"/>
      <c r="E8" s="103">
        <v>1610.5</v>
      </c>
      <c r="F8" s="103"/>
      <c r="G8" s="105">
        <f t="shared" si="0"/>
        <v>873.5</v>
      </c>
      <c r="H8" s="101">
        <v>320</v>
      </c>
      <c r="I8" s="121"/>
      <c r="J8" s="103">
        <v>290.5</v>
      </c>
      <c r="K8" s="103"/>
      <c r="L8" s="107">
        <f t="shared" si="1"/>
        <v>29.5</v>
      </c>
      <c r="M8" s="98">
        <v>0</v>
      </c>
      <c r="N8" s="122"/>
      <c r="O8" s="123">
        <v>0</v>
      </c>
      <c r="P8" s="111"/>
      <c r="Q8" s="112">
        <f t="shared" si="2"/>
        <v>0</v>
      </c>
      <c r="R8" s="113">
        <f>C8+H8+M8</f>
        <v>2804</v>
      </c>
      <c r="S8" s="114">
        <f t="shared" si="4"/>
        <v>1901</v>
      </c>
      <c r="T8" s="115">
        <f t="shared" si="5"/>
        <v>903</v>
      </c>
      <c r="U8" s="116"/>
      <c r="V8" s="117"/>
      <c r="W8" s="117"/>
      <c r="X8" s="117"/>
      <c r="Y8" s="118"/>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19"/>
      <c r="JW8" s="119"/>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row>
    <row r="9" spans="2:497" s="67" customFormat="1" ht="32.25" customHeight="1">
      <c r="B9" s="90" t="s">
        <v>87</v>
      </c>
      <c r="C9" s="79">
        <v>1233.5999999999999</v>
      </c>
      <c r="D9" s="121"/>
      <c r="E9" s="92">
        <v>825.1</v>
      </c>
      <c r="F9" s="103"/>
      <c r="G9" s="93">
        <f t="shared" si="0"/>
        <v>408.49999999999989</v>
      </c>
      <c r="H9" s="79">
        <v>29</v>
      </c>
      <c r="I9" s="91"/>
      <c r="J9" s="92">
        <v>27</v>
      </c>
      <c r="K9" s="92"/>
      <c r="L9" s="94">
        <f t="shared" si="1"/>
        <v>2</v>
      </c>
      <c r="M9" s="82">
        <v>0</v>
      </c>
      <c r="N9" s="83"/>
      <c r="O9" s="84">
        <v>0</v>
      </c>
      <c r="P9" s="97"/>
      <c r="Q9" s="85">
        <f t="shared" si="2"/>
        <v>0</v>
      </c>
      <c r="R9" s="124">
        <f>C9+H9+M9</f>
        <v>1262.5999999999999</v>
      </c>
      <c r="S9" s="125">
        <f t="shared" si="4"/>
        <v>852.1</v>
      </c>
      <c r="T9" s="126">
        <f t="shared" si="5"/>
        <v>410.49999999999989</v>
      </c>
      <c r="U9" s="65"/>
      <c r="V9" s="117"/>
      <c r="W9" s="117"/>
      <c r="X9" s="117"/>
      <c r="Y9" s="68"/>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row>
    <row r="10" spans="2:497" s="120" customFormat="1" ht="20.25" customHeight="1">
      <c r="B10" s="100" t="s">
        <v>110</v>
      </c>
      <c r="C10" s="127">
        <v>1250.4000000000001</v>
      </c>
      <c r="D10" s="128"/>
      <c r="E10" s="129">
        <v>785.4</v>
      </c>
      <c r="F10" s="103"/>
      <c r="G10" s="105">
        <f t="shared" si="0"/>
        <v>465.00000000000011</v>
      </c>
      <c r="H10" s="101">
        <v>291</v>
      </c>
      <c r="I10" s="128"/>
      <c r="J10" s="129">
        <v>263.5</v>
      </c>
      <c r="K10" s="103"/>
      <c r="L10" s="107">
        <f t="shared" si="1"/>
        <v>27.5</v>
      </c>
      <c r="M10" s="98">
        <f>M8-M9</f>
        <v>0</v>
      </c>
      <c r="N10" s="122"/>
      <c r="O10" s="123">
        <v>0</v>
      </c>
      <c r="P10" s="111"/>
      <c r="Q10" s="112">
        <f t="shared" si="2"/>
        <v>0</v>
      </c>
      <c r="R10" s="113">
        <f t="shared" si="3"/>
        <v>1541.4</v>
      </c>
      <c r="S10" s="114">
        <f t="shared" si="4"/>
        <v>1048.9000000000001</v>
      </c>
      <c r="T10" s="115">
        <f t="shared" si="5"/>
        <v>492.5</v>
      </c>
      <c r="U10" s="116"/>
      <c r="V10" s="117"/>
      <c r="W10" s="117"/>
      <c r="X10" s="117"/>
      <c r="Y10" s="118"/>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row>
    <row r="11" spans="2:497" s="67" customFormat="1" ht="48" customHeight="1" thickBot="1">
      <c r="B11" s="130" t="s">
        <v>136</v>
      </c>
      <c r="C11" s="131">
        <v>509.8</v>
      </c>
      <c r="D11" s="132">
        <v>1</v>
      </c>
      <c r="E11" s="133">
        <v>346.3</v>
      </c>
      <c r="F11" s="134">
        <v>1</v>
      </c>
      <c r="G11" s="135">
        <f t="shared" si="0"/>
        <v>163.5</v>
      </c>
      <c r="H11" s="131">
        <v>24</v>
      </c>
      <c r="I11" s="136"/>
      <c r="J11" s="133">
        <v>34.4</v>
      </c>
      <c r="K11" s="133"/>
      <c r="L11" s="137">
        <f t="shared" si="1"/>
        <v>-10.399999999999999</v>
      </c>
      <c r="M11" s="138">
        <v>0</v>
      </c>
      <c r="N11" s="139"/>
      <c r="O11" s="140">
        <v>0</v>
      </c>
      <c r="P11" s="141"/>
      <c r="Q11" s="142">
        <f t="shared" si="2"/>
        <v>0</v>
      </c>
      <c r="R11" s="143">
        <f t="shared" si="3"/>
        <v>533.79999999999995</v>
      </c>
      <c r="S11" s="144">
        <f t="shared" si="4"/>
        <v>380.7</v>
      </c>
      <c r="T11" s="145">
        <f t="shared" si="5"/>
        <v>153.09999999999997</v>
      </c>
      <c r="U11" s="65"/>
      <c r="V11" s="117"/>
      <c r="W11" s="117"/>
      <c r="X11" s="117"/>
      <c r="Y11" s="68"/>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c r="IW11" s="66"/>
      <c r="IX11" s="66"/>
      <c r="IY11" s="66"/>
      <c r="IZ11" s="66"/>
      <c r="JA11" s="66"/>
      <c r="JB11" s="66"/>
      <c r="JC11" s="66"/>
      <c r="JD11" s="66"/>
      <c r="JE11" s="66"/>
      <c r="JF11" s="66"/>
      <c r="JG11" s="66"/>
      <c r="JH11" s="66"/>
      <c r="JI11" s="66"/>
      <c r="JJ11" s="66"/>
      <c r="JK11" s="66"/>
      <c r="JL11" s="66"/>
      <c r="JM11" s="66"/>
      <c r="JN11" s="66"/>
      <c r="JO11" s="66"/>
      <c r="JP11" s="66"/>
      <c r="JQ11" s="66"/>
      <c r="JR11" s="66"/>
      <c r="JS11" s="66"/>
      <c r="JT11" s="66"/>
      <c r="JU11" s="66"/>
      <c r="JV11" s="66"/>
      <c r="JW11" s="66"/>
      <c r="JX11" s="66"/>
      <c r="JY11" s="66"/>
      <c r="JZ11" s="66"/>
      <c r="KA11" s="66"/>
      <c r="KB11" s="66"/>
      <c r="KC11" s="66"/>
      <c r="KD11" s="66"/>
      <c r="KE11" s="66"/>
      <c r="KF11" s="66"/>
      <c r="KG11" s="66"/>
      <c r="KH11" s="66"/>
      <c r="KI11" s="66"/>
      <c r="KJ11" s="66"/>
      <c r="KK11" s="66"/>
      <c r="KL11" s="66"/>
      <c r="KM11" s="66"/>
      <c r="KN11" s="66"/>
      <c r="KO11" s="66"/>
      <c r="KP11" s="66"/>
      <c r="KQ11" s="66"/>
      <c r="KR11" s="66"/>
      <c r="KS11" s="66"/>
      <c r="KT11" s="66"/>
      <c r="KU11" s="66"/>
      <c r="KV11" s="66"/>
      <c r="KW11" s="66"/>
      <c r="KX11" s="66"/>
      <c r="KY11" s="66"/>
      <c r="KZ11" s="66"/>
      <c r="LA11" s="66"/>
      <c r="LB11" s="66"/>
      <c r="LC11" s="66"/>
      <c r="LD11" s="66"/>
      <c r="LE11" s="66"/>
      <c r="LF11" s="66"/>
      <c r="LG11" s="66"/>
      <c r="LH11" s="66"/>
      <c r="LI11" s="66"/>
      <c r="LJ11" s="66"/>
      <c r="LK11" s="66"/>
      <c r="LL11" s="66"/>
      <c r="LM11" s="66"/>
      <c r="LN11" s="66"/>
      <c r="LO11" s="66"/>
      <c r="LP11" s="66"/>
      <c r="LQ11" s="66"/>
      <c r="LR11" s="66"/>
      <c r="LS11" s="66"/>
      <c r="LT11" s="66"/>
      <c r="LU11" s="66"/>
      <c r="LV11" s="66"/>
      <c r="LW11" s="66"/>
      <c r="LX11" s="66"/>
      <c r="LY11" s="66"/>
      <c r="LZ11" s="66"/>
      <c r="MA11" s="66"/>
      <c r="MB11" s="66"/>
      <c r="MC11" s="66"/>
      <c r="MD11" s="66"/>
      <c r="ME11" s="66"/>
      <c r="MF11" s="66"/>
      <c r="MG11" s="66"/>
      <c r="MH11" s="66"/>
      <c r="MI11" s="66"/>
      <c r="MJ11" s="66"/>
      <c r="MK11" s="66"/>
      <c r="ML11" s="66"/>
      <c r="MM11" s="66"/>
      <c r="MN11" s="66"/>
      <c r="MO11" s="66"/>
      <c r="MP11" s="66"/>
      <c r="MQ11" s="66"/>
      <c r="MR11" s="66"/>
      <c r="MS11" s="66"/>
      <c r="MT11" s="66"/>
      <c r="MU11" s="66"/>
      <c r="MV11" s="66"/>
      <c r="MW11" s="66"/>
      <c r="MX11" s="66"/>
      <c r="MY11" s="66"/>
      <c r="MZ11" s="66"/>
      <c r="NA11" s="66"/>
      <c r="NB11" s="66"/>
      <c r="NC11" s="66"/>
      <c r="ND11" s="66"/>
      <c r="NE11" s="66"/>
      <c r="NF11" s="66"/>
      <c r="NG11" s="66"/>
      <c r="NH11" s="66"/>
      <c r="NI11" s="66"/>
      <c r="NJ11" s="66"/>
      <c r="NK11" s="66"/>
      <c r="NL11" s="66"/>
      <c r="NM11" s="66"/>
      <c r="NN11" s="66"/>
      <c r="NO11" s="66"/>
      <c r="NP11" s="66"/>
      <c r="NQ11" s="66"/>
      <c r="NR11" s="66"/>
      <c r="NS11" s="66"/>
      <c r="NT11" s="66"/>
      <c r="NU11" s="66"/>
      <c r="NV11" s="66"/>
      <c r="NW11" s="66"/>
      <c r="NX11" s="66"/>
      <c r="NY11" s="66"/>
      <c r="NZ11" s="66"/>
      <c r="OA11" s="66"/>
      <c r="OB11" s="66"/>
      <c r="OC11" s="66"/>
      <c r="OD11" s="66"/>
      <c r="OE11" s="66"/>
      <c r="OF11" s="66"/>
      <c r="OG11" s="66"/>
      <c r="OH11" s="66"/>
      <c r="OI11" s="66"/>
      <c r="OJ11" s="66"/>
      <c r="OK11" s="66"/>
      <c r="OL11" s="66"/>
      <c r="OM11" s="66"/>
      <c r="ON11" s="66"/>
      <c r="OO11" s="66"/>
      <c r="OP11" s="66"/>
      <c r="OQ11" s="66"/>
      <c r="OR11" s="66"/>
      <c r="OS11" s="66"/>
      <c r="OT11" s="66"/>
      <c r="OU11" s="66"/>
      <c r="OV11" s="66"/>
      <c r="OW11" s="66"/>
      <c r="OX11" s="66"/>
      <c r="OY11" s="66"/>
      <c r="OZ11" s="66"/>
      <c r="PA11" s="66"/>
      <c r="PB11" s="66"/>
      <c r="PC11" s="66"/>
      <c r="PD11" s="66"/>
      <c r="PE11" s="66"/>
      <c r="PF11" s="66"/>
      <c r="PG11" s="66"/>
      <c r="PH11" s="66"/>
      <c r="PI11" s="66"/>
      <c r="PJ11" s="66"/>
      <c r="PK11" s="66"/>
      <c r="PL11" s="66"/>
      <c r="PM11" s="66"/>
      <c r="PN11" s="66"/>
      <c r="PO11" s="66"/>
      <c r="PP11" s="66"/>
      <c r="PQ11" s="66"/>
      <c r="PR11" s="66"/>
      <c r="PS11" s="66"/>
      <c r="PT11" s="66"/>
      <c r="PU11" s="66"/>
      <c r="PV11" s="66"/>
      <c r="PW11" s="66"/>
      <c r="PX11" s="66"/>
      <c r="PY11" s="66"/>
      <c r="PZ11" s="66"/>
      <c r="QA11" s="66"/>
      <c r="QB11" s="66"/>
      <c r="QC11" s="66"/>
      <c r="QD11" s="66"/>
      <c r="QE11" s="66"/>
      <c r="QF11" s="66"/>
      <c r="QG11" s="66"/>
      <c r="QH11" s="66"/>
      <c r="QI11" s="66"/>
      <c r="QJ11" s="66"/>
      <c r="QK11" s="66"/>
      <c r="QL11" s="66"/>
      <c r="QM11" s="66"/>
      <c r="QN11" s="66"/>
      <c r="QO11" s="66"/>
      <c r="QP11" s="66"/>
      <c r="QQ11" s="66"/>
      <c r="QR11" s="66"/>
      <c r="QS11" s="66"/>
      <c r="QT11" s="66"/>
      <c r="QU11" s="66"/>
      <c r="QV11" s="66"/>
      <c r="QW11" s="66"/>
      <c r="QX11" s="66"/>
      <c r="QY11" s="66"/>
      <c r="QZ11" s="66"/>
      <c r="RA11" s="66"/>
      <c r="RB11" s="66"/>
      <c r="RC11" s="66"/>
      <c r="RD11" s="66"/>
      <c r="RE11" s="66"/>
      <c r="RF11" s="66"/>
      <c r="RG11" s="66"/>
      <c r="RH11" s="66"/>
      <c r="RI11" s="66"/>
      <c r="RJ11" s="66"/>
      <c r="RK11" s="66"/>
      <c r="RL11" s="66"/>
      <c r="RM11" s="66"/>
      <c r="RN11" s="66"/>
      <c r="RO11" s="66"/>
      <c r="RP11" s="66"/>
      <c r="RQ11" s="66"/>
      <c r="RR11" s="66"/>
      <c r="RS11" s="66"/>
      <c r="RT11" s="66"/>
      <c r="RU11" s="66"/>
      <c r="RV11" s="66"/>
      <c r="RW11" s="66"/>
      <c r="RX11" s="66"/>
      <c r="RY11" s="66"/>
      <c r="RZ11" s="66"/>
      <c r="SA11" s="66"/>
      <c r="SB11" s="66"/>
      <c r="SC11" s="66"/>
    </row>
    <row r="12" spans="2:497" s="67" customFormat="1" ht="20.25" customHeight="1">
      <c r="B12" s="146" t="s">
        <v>137</v>
      </c>
      <c r="C12" s="147"/>
      <c r="D12" s="148"/>
      <c r="E12" s="149"/>
      <c r="F12" s="149"/>
      <c r="G12" s="150"/>
      <c r="H12" s="148"/>
      <c r="I12" s="148"/>
      <c r="J12" s="149"/>
      <c r="K12" s="149"/>
      <c r="L12" s="151"/>
      <c r="M12" s="147"/>
      <c r="N12" s="148"/>
      <c r="O12" s="149"/>
      <c r="P12" s="149"/>
      <c r="Q12" s="152">
        <f t="shared" si="2"/>
        <v>0</v>
      </c>
      <c r="R12" s="148"/>
      <c r="S12" s="153"/>
      <c r="T12" s="154"/>
      <c r="U12" s="65"/>
      <c r="V12" s="89"/>
      <c r="W12" s="89"/>
      <c r="X12" s="89"/>
      <c r="Y12" s="68"/>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row>
    <row r="13" spans="2:497" s="67" customFormat="1" ht="20.25" customHeight="1">
      <c r="B13" s="155" t="s">
        <v>138</v>
      </c>
      <c r="C13" s="79">
        <v>21836.400000000001</v>
      </c>
      <c r="D13" s="156"/>
      <c r="E13" s="92">
        <v>23333.3</v>
      </c>
      <c r="G13" s="93">
        <f t="shared" si="0"/>
        <v>-1496.8999999999978</v>
      </c>
      <c r="H13" s="79">
        <v>4344.3999999999996</v>
      </c>
      <c r="I13" s="157">
        <v>2</v>
      </c>
      <c r="J13" s="92">
        <v>4207.5</v>
      </c>
      <c r="K13" s="158">
        <v>3</v>
      </c>
      <c r="L13" s="93">
        <f t="shared" ref="L13:L14" si="6">H13-J13</f>
        <v>136.89999999999964</v>
      </c>
      <c r="M13" s="95">
        <v>-37.299999999999997</v>
      </c>
      <c r="N13" s="157"/>
      <c r="O13" s="96">
        <v>-59.6</v>
      </c>
      <c r="P13" s="158"/>
      <c r="Q13" s="85">
        <f t="shared" si="2"/>
        <v>22.300000000000004</v>
      </c>
      <c r="R13" s="159">
        <f>C13+H13+M13</f>
        <v>26143.500000000004</v>
      </c>
      <c r="S13" s="92">
        <f>J13+O13+E13</f>
        <v>27481.199999999997</v>
      </c>
      <c r="T13" s="93">
        <f>R13-S13</f>
        <v>-1337.6999999999935</v>
      </c>
      <c r="U13" s="65"/>
      <c r="V13" s="89"/>
      <c r="W13" s="89"/>
      <c r="X13" s="89"/>
      <c r="Y13" s="68"/>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c r="OH13" s="66"/>
      <c r="OI13" s="66"/>
      <c r="OJ13" s="66"/>
      <c r="OK13" s="66"/>
      <c r="OL13" s="66"/>
      <c r="OM13" s="66"/>
      <c r="ON13" s="66"/>
      <c r="OO13" s="66"/>
      <c r="OP13" s="66"/>
      <c r="OQ13" s="66"/>
      <c r="OR13" s="66"/>
      <c r="OS13" s="66"/>
      <c r="OT13" s="66"/>
      <c r="OU13" s="66"/>
      <c r="OV13" s="66"/>
      <c r="OW13" s="66"/>
      <c r="OX13" s="66"/>
      <c r="OY13" s="66"/>
      <c r="OZ13" s="66"/>
      <c r="PA13" s="66"/>
      <c r="PB13" s="66"/>
      <c r="PC13" s="66"/>
      <c r="PD13" s="66"/>
      <c r="PE13" s="66"/>
      <c r="PF13" s="66"/>
      <c r="PG13" s="66"/>
      <c r="PH13" s="66"/>
      <c r="PI13" s="66"/>
      <c r="PJ13" s="66"/>
      <c r="PK13" s="66"/>
      <c r="PL13" s="66"/>
      <c r="PM13" s="66"/>
      <c r="PN13" s="66"/>
      <c r="PO13" s="66"/>
      <c r="PP13" s="66"/>
      <c r="PQ13" s="66"/>
      <c r="PR13" s="66"/>
      <c r="PS13" s="66"/>
      <c r="PT13" s="66"/>
      <c r="PU13" s="66"/>
      <c r="PV13" s="66"/>
      <c r="PW13" s="66"/>
      <c r="PX13" s="66"/>
      <c r="PY13" s="66"/>
      <c r="PZ13" s="66"/>
      <c r="QA13" s="66"/>
      <c r="QB13" s="66"/>
      <c r="QC13" s="66"/>
      <c r="QD13" s="66"/>
      <c r="QE13" s="66"/>
      <c r="QF13" s="66"/>
      <c r="QG13" s="66"/>
      <c r="QH13" s="66"/>
      <c r="QI13" s="66"/>
      <c r="QJ13" s="66"/>
      <c r="QK13" s="66"/>
      <c r="QL13" s="66"/>
      <c r="QM13" s="66"/>
      <c r="QN13" s="66"/>
      <c r="QO13" s="66"/>
      <c r="QP13" s="66"/>
      <c r="QQ13" s="66"/>
      <c r="QR13" s="66"/>
      <c r="QS13" s="66"/>
      <c r="QT13" s="66"/>
      <c r="QU13" s="66"/>
      <c r="QV13" s="66"/>
      <c r="QW13" s="66"/>
      <c r="QX13" s="66"/>
      <c r="QY13" s="66"/>
      <c r="QZ13" s="66"/>
      <c r="RA13" s="66"/>
      <c r="RB13" s="66"/>
      <c r="RC13" s="66"/>
      <c r="RD13" s="66"/>
      <c r="RE13" s="66"/>
      <c r="RF13" s="66"/>
      <c r="RG13" s="66"/>
      <c r="RH13" s="66"/>
      <c r="RI13" s="66"/>
      <c r="RJ13" s="66"/>
      <c r="RK13" s="66"/>
      <c r="RL13" s="66"/>
      <c r="RM13" s="66"/>
      <c r="RN13" s="66"/>
      <c r="RO13" s="66"/>
      <c r="RP13" s="66"/>
      <c r="RQ13" s="66"/>
      <c r="RR13" s="66"/>
      <c r="RS13" s="66"/>
      <c r="RT13" s="66"/>
      <c r="RU13" s="66"/>
      <c r="RV13" s="66"/>
      <c r="RW13" s="66"/>
      <c r="RX13" s="66"/>
      <c r="RY13" s="66"/>
      <c r="RZ13" s="66"/>
      <c r="SA13" s="66"/>
      <c r="SB13" s="66"/>
      <c r="SC13" s="66"/>
    </row>
    <row r="14" spans="2:497" s="67" customFormat="1" ht="31.5" customHeight="1" thickBot="1">
      <c r="B14" s="160" t="s">
        <v>139</v>
      </c>
      <c r="C14" s="161">
        <v>0</v>
      </c>
      <c r="D14" s="162"/>
      <c r="E14" s="163">
        <v>0</v>
      </c>
      <c r="F14" s="164"/>
      <c r="G14" s="165">
        <f t="shared" si="0"/>
        <v>0</v>
      </c>
      <c r="H14" s="166">
        <v>5.0999999999999996</v>
      </c>
      <c r="I14" s="167"/>
      <c r="J14" s="168">
        <v>2.6</v>
      </c>
      <c r="K14" s="164"/>
      <c r="L14" s="169">
        <f t="shared" si="6"/>
        <v>2.4999999999999996</v>
      </c>
      <c r="M14" s="170">
        <v>0</v>
      </c>
      <c r="N14" s="167"/>
      <c r="O14" s="163">
        <v>0</v>
      </c>
      <c r="P14" s="164"/>
      <c r="Q14" s="171">
        <f t="shared" si="2"/>
        <v>0</v>
      </c>
      <c r="R14" s="172">
        <f t="shared" si="3"/>
        <v>5.0999999999999996</v>
      </c>
      <c r="S14" s="173">
        <f>J14+O14+E14</f>
        <v>2.6</v>
      </c>
      <c r="T14" s="174">
        <f>R14-S14</f>
        <v>2.4999999999999996</v>
      </c>
      <c r="U14" s="65"/>
      <c r="V14" s="89"/>
      <c r="W14" s="89"/>
      <c r="X14" s="89"/>
      <c r="Y14" s="68"/>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row>
    <row r="15" spans="2:497" s="66" customFormat="1" ht="20.25" customHeight="1">
      <c r="B15" s="175"/>
      <c r="U15" s="65"/>
      <c r="V15" s="68"/>
      <c r="W15" s="68"/>
      <c r="X15" s="68"/>
      <c r="Y15" s="68"/>
    </row>
    <row r="16" spans="2:497" s="66" customFormat="1" ht="20.25" customHeight="1">
      <c r="B16" s="549" t="s">
        <v>140</v>
      </c>
      <c r="C16" s="549"/>
      <c r="D16" s="549"/>
      <c r="E16" s="549"/>
      <c r="F16" s="549"/>
      <c r="G16" s="549"/>
      <c r="H16" s="176"/>
      <c r="I16" s="176"/>
      <c r="J16" s="177"/>
      <c r="K16" s="177"/>
      <c r="L16" s="177"/>
      <c r="M16" s="176"/>
      <c r="N16" s="176"/>
      <c r="O16" s="176"/>
      <c r="P16" s="176"/>
      <c r="Q16" s="176"/>
      <c r="R16" s="176"/>
      <c r="S16" s="176"/>
      <c r="T16" s="176"/>
      <c r="U16" s="65"/>
      <c r="V16" s="68"/>
      <c r="W16" s="68"/>
      <c r="X16" s="68"/>
      <c r="Y16" s="68"/>
    </row>
    <row r="17" spans="2:25" s="64" customFormat="1" ht="15">
      <c r="B17" s="178" t="s">
        <v>141</v>
      </c>
      <c r="C17" s="178"/>
      <c r="D17" s="178"/>
      <c r="E17" s="178"/>
      <c r="F17" s="178"/>
      <c r="G17" s="178"/>
      <c r="H17" s="176"/>
      <c r="I17" s="176"/>
      <c r="J17" s="177"/>
      <c r="K17" s="177"/>
      <c r="L17" s="177"/>
      <c r="M17" s="176"/>
      <c r="N17" s="176"/>
      <c r="O17" s="176"/>
      <c r="P17" s="176"/>
      <c r="Q17" s="176"/>
      <c r="R17" s="176"/>
      <c r="S17" s="176"/>
      <c r="T17" s="176"/>
      <c r="U17" s="176"/>
    </row>
    <row r="18" spans="2:25" s="66" customFormat="1" ht="15" customHeight="1">
      <c r="B18" s="179" t="s">
        <v>142</v>
      </c>
      <c r="C18" s="179"/>
      <c r="D18" s="179"/>
      <c r="E18" s="179"/>
      <c r="F18" s="179"/>
      <c r="G18" s="179"/>
      <c r="H18" s="176"/>
      <c r="I18" s="176"/>
      <c r="J18" s="177"/>
      <c r="K18" s="177"/>
      <c r="L18" s="177"/>
      <c r="M18" s="176"/>
      <c r="N18" s="176"/>
      <c r="O18" s="176"/>
      <c r="P18" s="176"/>
      <c r="Q18" s="176"/>
      <c r="R18" s="176"/>
      <c r="S18" s="176"/>
      <c r="T18" s="176"/>
      <c r="U18" s="65"/>
      <c r="V18" s="68"/>
      <c r="W18" s="68"/>
      <c r="X18" s="68"/>
      <c r="Y18" s="68"/>
    </row>
    <row r="19" spans="2:25" s="64" customFormat="1" ht="15">
      <c r="B19" s="179"/>
      <c r="C19" s="178"/>
      <c r="D19" s="178"/>
      <c r="E19" s="178"/>
      <c r="F19" s="178"/>
      <c r="G19" s="178"/>
      <c r="H19" s="176"/>
      <c r="I19" s="176"/>
      <c r="J19" s="177"/>
      <c r="K19" s="177"/>
      <c r="L19" s="177"/>
      <c r="M19" s="176"/>
      <c r="N19" s="176"/>
      <c r="O19" s="176"/>
      <c r="P19" s="176"/>
      <c r="Q19" s="176"/>
      <c r="R19" s="176"/>
      <c r="S19" s="176"/>
      <c r="T19" s="176"/>
      <c r="U19" s="176"/>
    </row>
    <row r="20" spans="2:25" s="64" customFormat="1" ht="15">
      <c r="B20" s="178"/>
      <c r="G20" s="180"/>
      <c r="H20" s="176"/>
      <c r="I20" s="176"/>
      <c r="J20" s="180"/>
      <c r="K20" s="180"/>
      <c r="L20" s="180"/>
      <c r="M20" s="176"/>
      <c r="N20" s="176"/>
      <c r="O20" s="176"/>
      <c r="P20" s="176"/>
      <c r="Q20" s="176"/>
      <c r="R20" s="176"/>
      <c r="S20" s="176"/>
      <c r="T20" s="176"/>
      <c r="U20" s="176"/>
    </row>
    <row r="21" spans="2:25" s="64" customFormat="1" ht="15">
      <c r="G21" s="181"/>
      <c r="H21" s="176"/>
      <c r="I21" s="176"/>
      <c r="J21" s="181"/>
      <c r="K21" s="181"/>
      <c r="L21" s="181"/>
      <c r="M21" s="176"/>
      <c r="N21" s="176"/>
      <c r="O21" s="176"/>
      <c r="P21" s="176"/>
      <c r="Q21" s="176"/>
      <c r="R21" s="176"/>
      <c r="S21" s="176"/>
      <c r="T21" s="176"/>
      <c r="U21" s="176"/>
    </row>
    <row r="22" spans="2:25" s="64" customFormat="1" ht="15">
      <c r="G22" s="180"/>
      <c r="H22" s="176"/>
      <c r="I22" s="176"/>
      <c r="J22" s="180"/>
      <c r="K22" s="180"/>
      <c r="L22" s="180"/>
      <c r="M22" s="176"/>
      <c r="N22" s="176"/>
      <c r="O22" s="176"/>
      <c r="P22" s="176"/>
      <c r="Q22" s="176"/>
      <c r="R22" s="176"/>
      <c r="S22" s="176"/>
      <c r="T22" s="176"/>
      <c r="U22" s="176"/>
    </row>
    <row r="23" spans="2:25" s="64" customFormat="1" ht="15">
      <c r="B23" s="176"/>
      <c r="C23" s="176"/>
      <c r="D23" s="176"/>
      <c r="E23" s="176"/>
      <c r="F23" s="176"/>
      <c r="G23" s="176"/>
      <c r="H23" s="176"/>
      <c r="I23" s="176"/>
      <c r="J23" s="176"/>
      <c r="K23" s="176"/>
      <c r="L23" s="176"/>
      <c r="M23" s="176"/>
      <c r="N23" s="176"/>
      <c r="O23" s="176"/>
      <c r="P23" s="176"/>
      <c r="Q23" s="176"/>
      <c r="R23" s="176"/>
      <c r="S23" s="176"/>
      <c r="T23" s="176"/>
      <c r="U23" s="176"/>
    </row>
    <row r="24" spans="2:25" s="64" customFormat="1" ht="15">
      <c r="U24" s="176"/>
    </row>
    <row r="25" spans="2:25" s="64" customFormat="1"/>
    <row r="26" spans="2:25" s="64" customFormat="1"/>
    <row r="27" spans="2:25" s="64" customFormat="1"/>
    <row r="28" spans="2:25" s="64" customFormat="1"/>
    <row r="29" spans="2:25" s="64" customFormat="1"/>
    <row r="30" spans="2:25" s="64" customFormat="1"/>
    <row r="31" spans="2:25" s="64" customFormat="1"/>
    <row r="32" spans="2:25" s="64" customFormat="1"/>
    <row r="33" s="64" customFormat="1"/>
    <row r="34" s="64" customFormat="1"/>
    <row r="35" s="64" customFormat="1"/>
    <row r="36" s="64" customFormat="1"/>
    <row r="37" s="64" customFormat="1"/>
    <row r="38" s="64" customFormat="1"/>
    <row r="39" s="64" customFormat="1"/>
    <row r="40" s="64" customFormat="1"/>
    <row r="41" s="64" customFormat="1"/>
    <row r="42" s="64" customFormat="1"/>
    <row r="43" s="64" customFormat="1"/>
    <row r="44" s="64" customFormat="1"/>
    <row r="45" s="64" customFormat="1"/>
    <row r="46" s="64" customFormat="1"/>
    <row r="47" s="64" customFormat="1"/>
    <row r="48"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row r="509" s="64" customFormat="1"/>
    <row r="510" s="64" customFormat="1"/>
    <row r="511" s="64" customFormat="1"/>
    <row r="512" s="64" customFormat="1"/>
    <row r="513" s="64" customFormat="1"/>
    <row r="514" s="64" customFormat="1"/>
    <row r="515" s="64" customFormat="1"/>
    <row r="516" s="64" customFormat="1"/>
    <row r="517" s="64" customFormat="1"/>
    <row r="518" s="64" customFormat="1"/>
    <row r="519" s="64" customFormat="1"/>
    <row r="520" s="64" customFormat="1"/>
    <row r="521" s="64" customFormat="1"/>
    <row r="522" s="64" customFormat="1"/>
    <row r="523" s="64" customFormat="1"/>
    <row r="524" s="64" customFormat="1"/>
    <row r="525" s="64" customFormat="1"/>
    <row r="526" s="64" customFormat="1"/>
    <row r="527" s="64" customFormat="1"/>
    <row r="528" s="64" customFormat="1"/>
    <row r="529" s="64" customFormat="1"/>
    <row r="530" s="64" customFormat="1"/>
    <row r="531" s="64" customFormat="1"/>
    <row r="532" s="64" customFormat="1"/>
    <row r="533" s="64" customFormat="1"/>
    <row r="534" s="64" customFormat="1"/>
    <row r="535" s="64" customFormat="1"/>
    <row r="536" s="64" customFormat="1"/>
    <row r="537" s="64" customFormat="1"/>
    <row r="538" s="64" customFormat="1"/>
    <row r="539" s="64" customFormat="1"/>
    <row r="540" s="64" customFormat="1"/>
    <row r="541" s="64" customFormat="1"/>
    <row r="542" s="64" customFormat="1"/>
    <row r="543" s="64" customFormat="1"/>
    <row r="544" s="64" customFormat="1"/>
    <row r="545" s="64" customFormat="1"/>
    <row r="546" s="64" customFormat="1"/>
    <row r="547" s="64" customFormat="1"/>
    <row r="548" s="64" customFormat="1"/>
    <row r="549" s="64" customFormat="1"/>
    <row r="550" s="64" customFormat="1"/>
    <row r="551" s="64" customFormat="1"/>
    <row r="552" s="64" customFormat="1"/>
    <row r="553" s="64" customFormat="1"/>
    <row r="554" s="64" customFormat="1"/>
    <row r="555" s="64" customFormat="1"/>
    <row r="556" s="64" customFormat="1"/>
    <row r="557" s="64" customFormat="1"/>
    <row r="558" s="64" customFormat="1"/>
    <row r="559" s="64" customFormat="1"/>
    <row r="560" s="64" customFormat="1"/>
    <row r="561" s="64" customFormat="1"/>
    <row r="562" s="64" customFormat="1"/>
    <row r="563" s="64" customFormat="1"/>
    <row r="564" s="64" customFormat="1"/>
    <row r="565" s="64" customFormat="1"/>
    <row r="566" s="64" customFormat="1"/>
    <row r="567" s="64" customFormat="1"/>
    <row r="568" s="64" customFormat="1"/>
    <row r="569" s="64" customFormat="1"/>
    <row r="570" s="64" customFormat="1"/>
    <row r="571" s="64" customFormat="1"/>
    <row r="572" s="64" customFormat="1"/>
    <row r="573" s="64" customFormat="1"/>
    <row r="574" s="64" customFormat="1"/>
    <row r="575" s="64" customFormat="1"/>
    <row r="576" s="64" customFormat="1"/>
    <row r="577" s="64" customFormat="1"/>
    <row r="578" s="64" customFormat="1"/>
    <row r="579" s="64" customFormat="1"/>
    <row r="580" s="64" customFormat="1"/>
    <row r="581" s="64" customFormat="1"/>
    <row r="582" s="64" customFormat="1"/>
    <row r="583" s="64" customFormat="1"/>
    <row r="584" s="64" customFormat="1"/>
    <row r="585" s="64" customFormat="1"/>
    <row r="586" s="64" customFormat="1"/>
    <row r="587" s="64" customFormat="1"/>
    <row r="588" s="64" customFormat="1"/>
    <row r="589" s="64" customFormat="1"/>
    <row r="590" s="64" customFormat="1"/>
    <row r="591" s="64" customFormat="1"/>
    <row r="592" s="64" customFormat="1"/>
    <row r="593" s="64" customFormat="1"/>
    <row r="594" s="64" customFormat="1"/>
    <row r="595" s="64" customFormat="1"/>
    <row r="596" s="64" customFormat="1"/>
    <row r="597" s="64" customFormat="1"/>
    <row r="598" s="64" customFormat="1"/>
    <row r="599" s="64" customFormat="1"/>
    <row r="600" s="64" customFormat="1"/>
    <row r="601" s="64" customFormat="1"/>
    <row r="602" s="64" customFormat="1"/>
    <row r="603" s="64" customFormat="1"/>
    <row r="604" s="64" customFormat="1"/>
    <row r="605" s="64" customFormat="1"/>
    <row r="606" s="64" customFormat="1"/>
    <row r="607" s="64" customFormat="1"/>
    <row r="608" s="64" customFormat="1"/>
    <row r="609" s="64" customFormat="1"/>
    <row r="610" s="64" customFormat="1"/>
    <row r="611" s="64" customFormat="1"/>
    <row r="612" s="64" customFormat="1"/>
    <row r="613" s="64" customFormat="1"/>
    <row r="614" s="64" customFormat="1"/>
    <row r="615" s="64" customFormat="1"/>
    <row r="616" s="64" customFormat="1"/>
    <row r="617" s="64" customFormat="1"/>
    <row r="618" s="64" customFormat="1"/>
    <row r="619" s="64" customFormat="1"/>
    <row r="620" s="64" customFormat="1"/>
    <row r="621" s="64" customFormat="1"/>
    <row r="622" s="64" customFormat="1"/>
    <row r="623" s="64" customFormat="1"/>
    <row r="624" s="64" customFormat="1"/>
    <row r="625" s="64" customFormat="1"/>
    <row r="626" s="64" customFormat="1"/>
    <row r="627" s="64" customFormat="1"/>
    <row r="628" s="64" customFormat="1"/>
    <row r="629" s="64" customFormat="1"/>
    <row r="630" s="64" customFormat="1"/>
    <row r="631" s="64" customFormat="1"/>
    <row r="632" s="64" customFormat="1"/>
    <row r="633" s="64" customFormat="1"/>
    <row r="634" s="64" customFormat="1"/>
    <row r="635" s="64" customFormat="1"/>
    <row r="636" s="64" customFormat="1"/>
    <row r="637" s="64" customFormat="1"/>
    <row r="638" s="64" customFormat="1"/>
    <row r="639" s="64" customFormat="1"/>
    <row r="640" s="64" customFormat="1"/>
    <row r="641" s="64" customFormat="1"/>
    <row r="642" s="64" customFormat="1"/>
    <row r="643" s="64" customFormat="1"/>
    <row r="644" s="64" customFormat="1"/>
    <row r="645" s="64" customFormat="1"/>
    <row r="646" s="64" customFormat="1"/>
    <row r="647" s="64" customFormat="1"/>
    <row r="648" s="64" customFormat="1"/>
    <row r="649" s="64" customFormat="1"/>
    <row r="650" s="64" customFormat="1"/>
    <row r="651" s="64" customFormat="1"/>
    <row r="652" s="64" customFormat="1"/>
    <row r="653" s="64" customFormat="1"/>
    <row r="654" s="64" customFormat="1"/>
    <row r="655" s="64" customFormat="1"/>
    <row r="656" s="64" customFormat="1"/>
    <row r="657" s="64" customFormat="1"/>
    <row r="658" s="64" customFormat="1"/>
    <row r="659" s="64" customFormat="1"/>
    <row r="660" s="64" customFormat="1"/>
    <row r="661" s="64" customFormat="1"/>
    <row r="662" s="64" customFormat="1"/>
    <row r="663" s="64" customFormat="1"/>
    <row r="664" s="64" customFormat="1"/>
    <row r="665" s="64" customFormat="1"/>
    <row r="666" s="64" customFormat="1"/>
    <row r="667" s="64" customFormat="1"/>
    <row r="668" s="64" customFormat="1"/>
    <row r="669" s="64" customFormat="1"/>
    <row r="670" s="64" customFormat="1"/>
    <row r="671" s="64" customFormat="1"/>
    <row r="672" s="64" customFormat="1"/>
    <row r="673" s="64" customFormat="1"/>
    <row r="674" s="64" customFormat="1"/>
    <row r="675" s="64" customFormat="1"/>
    <row r="676" s="64" customFormat="1"/>
    <row r="677" s="64" customFormat="1"/>
    <row r="678" s="64" customFormat="1"/>
    <row r="679" s="64" customFormat="1"/>
    <row r="680" s="64" customFormat="1"/>
    <row r="681" s="64" customFormat="1"/>
    <row r="682" s="64" customFormat="1"/>
    <row r="683" s="64" customFormat="1"/>
    <row r="684" s="64" customFormat="1"/>
    <row r="685" s="64" customFormat="1"/>
    <row r="686" s="64" customFormat="1"/>
    <row r="687" s="64" customFormat="1"/>
    <row r="688" s="64" customFormat="1"/>
    <row r="689" s="64" customFormat="1"/>
    <row r="690" s="64" customFormat="1"/>
    <row r="691" s="64" customFormat="1"/>
    <row r="692" s="64" customFormat="1"/>
    <row r="693" s="64" customFormat="1"/>
    <row r="694" s="64" customFormat="1"/>
    <row r="695" s="64" customFormat="1"/>
    <row r="696" s="64" customFormat="1"/>
    <row r="697" s="64" customFormat="1"/>
    <row r="698" s="64" customFormat="1"/>
    <row r="699" s="64" customFormat="1"/>
    <row r="700" s="64" customFormat="1"/>
    <row r="701" s="64" customFormat="1"/>
    <row r="702" s="64" customFormat="1"/>
    <row r="703" s="64" customFormat="1"/>
    <row r="704" s="64" customFormat="1"/>
    <row r="705" s="64" customFormat="1"/>
    <row r="706" s="64" customFormat="1"/>
    <row r="707" s="64" customFormat="1"/>
    <row r="708" s="64" customFormat="1"/>
    <row r="709" s="64" customFormat="1"/>
    <row r="710" s="64" customFormat="1"/>
    <row r="711" s="64" customFormat="1"/>
    <row r="712" s="64" customFormat="1"/>
    <row r="713" s="64" customFormat="1"/>
    <row r="714" s="64" customFormat="1"/>
    <row r="715" s="64" customFormat="1"/>
    <row r="716" s="64" customFormat="1"/>
    <row r="717" s="64" customFormat="1"/>
    <row r="718" s="64" customFormat="1"/>
    <row r="719" s="64" customFormat="1"/>
    <row r="720" s="64" customFormat="1"/>
    <row r="721" s="64" customFormat="1"/>
    <row r="722" s="64" customFormat="1"/>
    <row r="723" s="64" customFormat="1"/>
    <row r="724" s="64" customFormat="1"/>
    <row r="725" s="64" customFormat="1"/>
    <row r="726" s="64" customFormat="1"/>
    <row r="727" s="64" customFormat="1"/>
    <row r="728" s="64" customFormat="1"/>
    <row r="729" s="64" customFormat="1"/>
  </sheetData>
  <mergeCells count="10">
    <mergeCell ref="B16:G16"/>
    <mergeCell ref="B2:B4"/>
    <mergeCell ref="C2:G2"/>
    <mergeCell ref="H2:L2"/>
    <mergeCell ref="M2:Q2"/>
    <mergeCell ref="R2:T2"/>
    <mergeCell ref="C3:G3"/>
    <mergeCell ref="H3:L3"/>
    <mergeCell ref="M3:Q3"/>
    <mergeCell ref="R3:T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C76"/>
  <sheetViews>
    <sheetView zoomScale="85" zoomScaleNormal="85" zoomScaleSheetLayoutView="85" workbookViewId="0">
      <pane xSplit="1" ySplit="3" topLeftCell="M4" activePane="bottomRight" state="frozen"/>
      <selection pane="topRight" activeCell="B1" sqref="B1"/>
      <selection pane="bottomLeft" activeCell="A4" sqref="A4"/>
      <selection pane="bottomRight" activeCell="U13" sqref="U13"/>
    </sheetView>
  </sheetViews>
  <sheetFormatPr defaultRowHeight="12.75"/>
  <cols>
    <col min="1" max="1" width="53" style="6" customWidth="1"/>
    <col min="2" max="2" width="11.5" style="10" bestFit="1" customWidth="1"/>
    <col min="3" max="3" width="12.375" style="10" bestFit="1" customWidth="1"/>
    <col min="4" max="4" width="13.625" style="10" customWidth="1"/>
    <col min="5" max="5" width="12.125" style="10" bestFit="1" customWidth="1"/>
    <col min="6" max="8" width="13.625" style="10" customWidth="1"/>
    <col min="9" max="9" width="12.125" style="10" customWidth="1"/>
    <col min="10" max="10" width="13.625" style="10" customWidth="1"/>
    <col min="11" max="12" width="13.625" style="187" customWidth="1"/>
    <col min="13" max="13" width="12.125" style="10" customWidth="1"/>
    <col min="14" max="15" width="13.625" style="10" customWidth="1"/>
    <col min="16" max="16" width="13.625" style="187" customWidth="1"/>
    <col min="17" max="17" width="13.625" style="10" customWidth="1"/>
    <col min="18" max="16384" width="9" style="10"/>
  </cols>
  <sheetData>
    <row r="1" spans="1:497" s="183" customFormat="1" ht="50.25" customHeight="1" thickBot="1">
      <c r="A1" s="5" t="s">
        <v>247</v>
      </c>
      <c r="B1" s="5"/>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2"/>
      <c r="EJ1" s="182"/>
      <c r="EK1" s="182"/>
      <c r="EL1" s="182"/>
      <c r="EM1" s="182"/>
      <c r="EN1" s="182"/>
      <c r="EO1" s="182"/>
      <c r="EP1" s="182"/>
      <c r="EQ1" s="182"/>
      <c r="ER1" s="182"/>
      <c r="ES1" s="182"/>
      <c r="ET1" s="182"/>
      <c r="EU1" s="182"/>
      <c r="EV1" s="182"/>
      <c r="EW1" s="182"/>
      <c r="EX1" s="182"/>
      <c r="EY1" s="182"/>
      <c r="EZ1" s="182"/>
      <c r="FA1" s="182"/>
      <c r="FB1" s="182"/>
      <c r="FC1" s="182"/>
      <c r="FD1" s="182"/>
      <c r="FE1" s="182"/>
      <c r="FF1" s="182"/>
      <c r="FG1" s="182"/>
      <c r="FH1" s="182"/>
      <c r="FI1" s="182"/>
      <c r="FJ1" s="182"/>
      <c r="FK1" s="182"/>
      <c r="FL1" s="182"/>
      <c r="FM1" s="182"/>
      <c r="FN1" s="182"/>
      <c r="FO1" s="182"/>
      <c r="FP1" s="182"/>
      <c r="FQ1" s="182"/>
      <c r="FR1" s="182"/>
      <c r="FS1" s="182"/>
      <c r="FT1" s="182"/>
      <c r="FU1" s="182"/>
      <c r="FV1" s="182"/>
      <c r="FW1" s="182"/>
      <c r="FX1" s="182"/>
      <c r="FY1" s="182"/>
      <c r="FZ1" s="182"/>
      <c r="GA1" s="182"/>
      <c r="GB1" s="182"/>
      <c r="GC1" s="182"/>
      <c r="GD1" s="182"/>
      <c r="GE1" s="182"/>
      <c r="GF1" s="182"/>
      <c r="GG1" s="182"/>
      <c r="GH1" s="182"/>
      <c r="GI1" s="182"/>
      <c r="GJ1" s="182"/>
      <c r="GK1" s="182"/>
      <c r="GL1" s="182"/>
      <c r="GM1" s="182"/>
      <c r="GN1" s="182"/>
      <c r="GO1" s="182"/>
      <c r="GP1" s="182"/>
      <c r="GQ1" s="182"/>
      <c r="GR1" s="182"/>
      <c r="GS1" s="182"/>
      <c r="GT1" s="182"/>
      <c r="GU1" s="182"/>
      <c r="GV1" s="182"/>
      <c r="GW1" s="182"/>
      <c r="GX1" s="182"/>
      <c r="GY1" s="182"/>
      <c r="GZ1" s="182"/>
      <c r="HA1" s="182"/>
      <c r="HB1" s="182"/>
      <c r="HC1" s="182"/>
      <c r="HD1" s="182"/>
      <c r="HE1" s="182"/>
      <c r="HF1" s="182"/>
      <c r="HG1" s="182"/>
      <c r="HH1" s="182"/>
      <c r="HI1" s="182"/>
      <c r="HJ1" s="182"/>
      <c r="HK1" s="182"/>
      <c r="HL1" s="182"/>
      <c r="HM1" s="182"/>
      <c r="HN1" s="182"/>
      <c r="HO1" s="182"/>
      <c r="HP1" s="182"/>
      <c r="HQ1" s="182"/>
      <c r="HR1" s="182"/>
      <c r="HS1" s="182"/>
      <c r="HT1" s="182"/>
      <c r="HU1" s="182"/>
      <c r="HV1" s="182"/>
      <c r="HW1" s="182"/>
      <c r="HX1" s="182"/>
      <c r="HY1" s="182"/>
      <c r="HZ1" s="182"/>
      <c r="IA1" s="182"/>
      <c r="IB1" s="182"/>
      <c r="IC1" s="182"/>
      <c r="ID1" s="182"/>
      <c r="IE1" s="182"/>
      <c r="IF1" s="182"/>
      <c r="IG1" s="182"/>
      <c r="IH1" s="182"/>
      <c r="II1" s="182"/>
      <c r="IJ1" s="182"/>
      <c r="IK1" s="182"/>
      <c r="IL1" s="182"/>
      <c r="IM1" s="182"/>
      <c r="IN1" s="182"/>
      <c r="IO1" s="182"/>
      <c r="IP1" s="182"/>
      <c r="IQ1" s="182"/>
      <c r="IR1" s="182"/>
      <c r="IS1" s="182"/>
      <c r="IT1" s="182"/>
      <c r="IU1" s="182"/>
      <c r="IV1" s="182"/>
      <c r="IW1" s="182"/>
      <c r="IX1" s="182"/>
      <c r="IY1" s="182"/>
      <c r="IZ1" s="182"/>
      <c r="JA1" s="182"/>
      <c r="JB1" s="182"/>
      <c r="JC1" s="182"/>
      <c r="JD1" s="182"/>
      <c r="JE1" s="182"/>
      <c r="JF1" s="182"/>
      <c r="JG1" s="182"/>
      <c r="JH1" s="182"/>
      <c r="JI1" s="182"/>
      <c r="JJ1" s="182"/>
      <c r="JK1" s="182"/>
      <c r="JL1" s="182"/>
      <c r="JM1" s="182"/>
      <c r="JN1" s="182"/>
      <c r="JO1" s="182"/>
      <c r="JP1" s="182"/>
      <c r="JQ1" s="182"/>
      <c r="JR1" s="182"/>
      <c r="JS1" s="182"/>
      <c r="JT1" s="182"/>
      <c r="JU1" s="182"/>
      <c r="JV1" s="182"/>
      <c r="JW1" s="182"/>
      <c r="JX1" s="182"/>
      <c r="JY1" s="182"/>
      <c r="JZ1" s="182"/>
      <c r="KA1" s="182"/>
      <c r="KB1" s="182"/>
      <c r="KC1" s="182"/>
      <c r="KD1" s="182"/>
      <c r="KE1" s="182"/>
      <c r="KF1" s="182"/>
      <c r="KG1" s="182"/>
      <c r="KH1" s="182"/>
      <c r="KI1" s="182"/>
      <c r="KJ1" s="182"/>
      <c r="KK1" s="182"/>
      <c r="KL1" s="182"/>
      <c r="KM1" s="182"/>
      <c r="KN1" s="182"/>
      <c r="KO1" s="182"/>
      <c r="KP1" s="182"/>
      <c r="KQ1" s="182"/>
      <c r="KR1" s="182"/>
      <c r="KS1" s="182"/>
      <c r="KT1" s="182"/>
      <c r="KU1" s="182"/>
      <c r="KV1" s="182"/>
      <c r="KW1" s="182"/>
      <c r="KX1" s="182"/>
      <c r="KY1" s="182"/>
      <c r="KZ1" s="182"/>
      <c r="LA1" s="182"/>
      <c r="LB1" s="182"/>
      <c r="LC1" s="182"/>
      <c r="LD1" s="182"/>
      <c r="LE1" s="182"/>
      <c r="LF1" s="182"/>
      <c r="LG1" s="182"/>
      <c r="LH1" s="182"/>
      <c r="LI1" s="182"/>
      <c r="LJ1" s="182"/>
      <c r="LK1" s="182"/>
      <c r="LL1" s="182"/>
      <c r="LM1" s="182"/>
      <c r="LN1" s="182"/>
      <c r="LO1" s="182"/>
      <c r="LP1" s="182"/>
      <c r="LQ1" s="182"/>
      <c r="LR1" s="182"/>
      <c r="LS1" s="182"/>
      <c r="LT1" s="182"/>
      <c r="LU1" s="182"/>
      <c r="LV1" s="182"/>
      <c r="LW1" s="182"/>
      <c r="LX1" s="182"/>
      <c r="LY1" s="182"/>
      <c r="LZ1" s="182"/>
      <c r="MA1" s="182"/>
      <c r="MB1" s="182"/>
      <c r="MC1" s="182"/>
      <c r="MD1" s="182"/>
      <c r="ME1" s="182"/>
      <c r="MF1" s="182"/>
      <c r="MG1" s="182"/>
      <c r="MH1" s="182"/>
      <c r="MI1" s="182"/>
      <c r="MJ1" s="182"/>
      <c r="MK1" s="182"/>
      <c r="ML1" s="182"/>
      <c r="MM1" s="182"/>
      <c r="MN1" s="182"/>
      <c r="MO1" s="182"/>
      <c r="MP1" s="182"/>
      <c r="MQ1" s="182"/>
      <c r="MR1" s="182"/>
      <c r="MS1" s="182"/>
      <c r="MT1" s="182"/>
      <c r="MU1" s="182"/>
      <c r="MV1" s="182"/>
      <c r="MW1" s="182"/>
      <c r="MX1" s="182"/>
      <c r="MY1" s="182"/>
      <c r="MZ1" s="182"/>
      <c r="NA1" s="182"/>
      <c r="NB1" s="182"/>
      <c r="NC1" s="182"/>
      <c r="ND1" s="182"/>
      <c r="NE1" s="182"/>
      <c r="NF1" s="182"/>
      <c r="NG1" s="182"/>
      <c r="NH1" s="182"/>
      <c r="NI1" s="182"/>
      <c r="NJ1" s="182"/>
      <c r="NK1" s="182"/>
      <c r="NL1" s="182"/>
      <c r="NM1" s="182"/>
      <c r="NN1" s="182"/>
      <c r="NO1" s="182"/>
      <c r="NP1" s="182"/>
      <c r="NQ1" s="182"/>
      <c r="NR1" s="182"/>
      <c r="NS1" s="182"/>
      <c r="NT1" s="182"/>
      <c r="NU1" s="182"/>
      <c r="NV1" s="182"/>
      <c r="NW1" s="182"/>
      <c r="NX1" s="182"/>
      <c r="NY1" s="182"/>
      <c r="NZ1" s="182"/>
      <c r="OA1" s="182"/>
      <c r="OB1" s="182"/>
      <c r="OC1" s="182"/>
      <c r="OD1" s="182"/>
      <c r="OE1" s="182"/>
      <c r="OF1" s="182"/>
      <c r="OG1" s="182"/>
      <c r="OH1" s="182"/>
      <c r="OI1" s="182"/>
      <c r="OJ1" s="182"/>
      <c r="OK1" s="182"/>
      <c r="OL1" s="182"/>
      <c r="OM1" s="182"/>
      <c r="ON1" s="182"/>
      <c r="OO1" s="182"/>
      <c r="OP1" s="182"/>
      <c r="OQ1" s="182"/>
      <c r="OR1" s="182"/>
      <c r="OS1" s="182"/>
      <c r="OT1" s="182"/>
      <c r="OU1" s="182"/>
      <c r="OV1" s="182"/>
      <c r="OW1" s="182"/>
      <c r="OX1" s="182"/>
      <c r="OY1" s="182"/>
      <c r="OZ1" s="182"/>
      <c r="PA1" s="182"/>
      <c r="PB1" s="182"/>
      <c r="PC1" s="182"/>
      <c r="PD1" s="182"/>
      <c r="PE1" s="182"/>
      <c r="PF1" s="182"/>
      <c r="PG1" s="182"/>
      <c r="PH1" s="182"/>
      <c r="PI1" s="182"/>
      <c r="PJ1" s="182"/>
      <c r="PK1" s="182"/>
      <c r="PL1" s="182"/>
      <c r="PM1" s="182"/>
      <c r="PN1" s="182"/>
      <c r="PO1" s="182"/>
      <c r="PP1" s="182"/>
      <c r="PQ1" s="182"/>
      <c r="PR1" s="182"/>
      <c r="PS1" s="182"/>
      <c r="PT1" s="182"/>
      <c r="PU1" s="182"/>
      <c r="PV1" s="182"/>
      <c r="PW1" s="182"/>
      <c r="PX1" s="182"/>
      <c r="PY1" s="182"/>
      <c r="PZ1" s="182"/>
      <c r="QA1" s="182"/>
      <c r="QB1" s="182"/>
      <c r="QC1" s="182"/>
      <c r="QD1" s="182"/>
      <c r="QE1" s="182"/>
      <c r="QF1" s="182"/>
      <c r="QG1" s="182"/>
      <c r="QH1" s="182"/>
      <c r="QI1" s="182"/>
      <c r="QJ1" s="182"/>
      <c r="QK1" s="182"/>
      <c r="QL1" s="182"/>
      <c r="QM1" s="182"/>
      <c r="QN1" s="182"/>
      <c r="QO1" s="182"/>
      <c r="QP1" s="182"/>
      <c r="QQ1" s="182"/>
      <c r="QR1" s="182"/>
      <c r="QS1" s="182"/>
      <c r="QT1" s="182"/>
      <c r="QU1" s="182"/>
      <c r="QV1" s="182"/>
      <c r="QW1" s="182"/>
      <c r="QX1" s="182"/>
      <c r="QY1" s="182"/>
      <c r="QZ1" s="182"/>
      <c r="RA1" s="182"/>
      <c r="RB1" s="182"/>
      <c r="RC1" s="182"/>
      <c r="RD1" s="182"/>
      <c r="RE1" s="182"/>
      <c r="RF1" s="182"/>
      <c r="RG1" s="182"/>
      <c r="RH1" s="182"/>
      <c r="RI1" s="182"/>
      <c r="RJ1" s="182"/>
      <c r="RK1" s="182"/>
      <c r="RL1" s="182"/>
      <c r="RM1" s="182"/>
      <c r="RN1" s="182"/>
      <c r="RO1" s="182"/>
      <c r="RP1" s="182"/>
      <c r="RQ1" s="182"/>
      <c r="RR1" s="182"/>
      <c r="RS1" s="182"/>
      <c r="RT1" s="182"/>
      <c r="RU1" s="182"/>
      <c r="RV1" s="182"/>
      <c r="RW1" s="182"/>
      <c r="RX1" s="182"/>
      <c r="RY1" s="182"/>
      <c r="RZ1" s="182"/>
      <c r="SA1" s="182"/>
      <c r="SB1" s="182"/>
      <c r="SC1" s="182"/>
    </row>
    <row r="2" spans="1:497" s="183" customFormat="1" ht="24.95" customHeight="1">
      <c r="A2" s="11" t="s">
        <v>143</v>
      </c>
      <c r="B2" s="553">
        <v>2012</v>
      </c>
      <c r="C2" s="553"/>
      <c r="D2" s="553"/>
      <c r="E2" s="554"/>
      <c r="F2" s="553">
        <v>2013</v>
      </c>
      <c r="G2" s="553"/>
      <c r="H2" s="553"/>
      <c r="I2" s="553"/>
      <c r="J2" s="555">
        <v>2014</v>
      </c>
      <c r="K2" s="553"/>
      <c r="L2" s="553"/>
      <c r="M2" s="554"/>
      <c r="N2" s="556">
        <v>2015</v>
      </c>
      <c r="O2" s="556"/>
      <c r="P2" s="556"/>
      <c r="Q2" s="557"/>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c r="FE2" s="182"/>
      <c r="FF2" s="182"/>
      <c r="FG2" s="182"/>
      <c r="FH2" s="182"/>
      <c r="FI2" s="182"/>
      <c r="FJ2" s="182"/>
      <c r="FK2" s="182"/>
      <c r="FL2" s="182"/>
      <c r="FM2" s="182"/>
      <c r="FN2" s="182"/>
      <c r="FO2" s="182"/>
      <c r="FP2" s="182"/>
      <c r="FQ2" s="182"/>
      <c r="FR2" s="182"/>
      <c r="FS2" s="182"/>
      <c r="FT2" s="182"/>
      <c r="FU2" s="182"/>
      <c r="FV2" s="182"/>
      <c r="FW2" s="182"/>
      <c r="FX2" s="182"/>
      <c r="FY2" s="182"/>
      <c r="FZ2" s="182"/>
      <c r="GA2" s="182"/>
      <c r="GB2" s="182"/>
      <c r="GC2" s="182"/>
      <c r="GD2" s="182"/>
      <c r="GE2" s="182"/>
      <c r="GF2" s="182"/>
      <c r="GG2" s="182"/>
      <c r="GH2" s="182"/>
      <c r="GI2" s="182"/>
      <c r="GJ2" s="182"/>
      <c r="GK2" s="182"/>
      <c r="GL2" s="182"/>
      <c r="GM2" s="182"/>
      <c r="GN2" s="182"/>
      <c r="GO2" s="182"/>
      <c r="GP2" s="182"/>
      <c r="GQ2" s="182"/>
      <c r="GR2" s="182"/>
      <c r="GS2" s="182"/>
      <c r="GT2" s="182"/>
      <c r="GU2" s="182"/>
      <c r="GV2" s="182"/>
      <c r="GW2" s="182"/>
      <c r="GX2" s="182"/>
      <c r="GY2" s="182"/>
      <c r="GZ2" s="182"/>
      <c r="HA2" s="182"/>
      <c r="HB2" s="182"/>
      <c r="HC2" s="182"/>
      <c r="HD2" s="182"/>
      <c r="HE2" s="182"/>
      <c r="HF2" s="182"/>
      <c r="HG2" s="182"/>
      <c r="HH2" s="182"/>
      <c r="HI2" s="182"/>
      <c r="HJ2" s="182"/>
      <c r="HK2" s="182"/>
      <c r="HL2" s="182"/>
      <c r="HM2" s="182"/>
      <c r="HN2" s="182"/>
      <c r="HO2" s="182"/>
      <c r="HP2" s="182"/>
      <c r="HQ2" s="182"/>
      <c r="HR2" s="182"/>
      <c r="HS2" s="182"/>
      <c r="HT2" s="182"/>
      <c r="HU2" s="182"/>
      <c r="HV2" s="182"/>
      <c r="HW2" s="182"/>
      <c r="HX2" s="182"/>
      <c r="HY2" s="182"/>
      <c r="HZ2" s="182"/>
      <c r="IA2" s="182"/>
      <c r="IB2" s="182"/>
      <c r="IC2" s="182"/>
      <c r="ID2" s="182"/>
      <c r="IE2" s="182"/>
      <c r="IF2" s="182"/>
      <c r="IG2" s="182"/>
      <c r="IH2" s="182"/>
      <c r="II2" s="182"/>
      <c r="IJ2" s="182"/>
      <c r="IK2" s="182"/>
      <c r="IL2" s="182"/>
      <c r="IM2" s="182"/>
      <c r="IN2" s="182"/>
      <c r="IO2" s="182"/>
      <c r="IP2" s="182"/>
      <c r="IQ2" s="182"/>
      <c r="IR2" s="182"/>
      <c r="IS2" s="182"/>
      <c r="IT2" s="182"/>
      <c r="IU2" s="182"/>
      <c r="IV2" s="182"/>
      <c r="IW2" s="182"/>
      <c r="IX2" s="182"/>
      <c r="IY2" s="182"/>
      <c r="IZ2" s="182"/>
      <c r="JA2" s="182"/>
      <c r="JB2" s="182"/>
      <c r="JC2" s="182"/>
      <c r="JD2" s="182"/>
      <c r="JE2" s="182"/>
      <c r="JF2" s="182"/>
      <c r="JG2" s="182"/>
      <c r="JH2" s="182"/>
      <c r="JI2" s="182"/>
      <c r="JJ2" s="182"/>
      <c r="JK2" s="182"/>
      <c r="JL2" s="182"/>
      <c r="JM2" s="182"/>
      <c r="JN2" s="182"/>
      <c r="JO2" s="182"/>
      <c r="JP2" s="182"/>
      <c r="JQ2" s="182"/>
      <c r="JR2" s="182"/>
      <c r="JS2" s="182"/>
      <c r="JT2" s="182"/>
      <c r="JU2" s="182"/>
      <c r="JV2" s="182"/>
      <c r="JW2" s="182"/>
      <c r="JX2" s="182"/>
      <c r="JY2" s="182"/>
      <c r="JZ2" s="182"/>
      <c r="KA2" s="182"/>
      <c r="KB2" s="182"/>
      <c r="KC2" s="182"/>
      <c r="KD2" s="182"/>
      <c r="KE2" s="182"/>
      <c r="KF2" s="182"/>
      <c r="KG2" s="182"/>
      <c r="KH2" s="182"/>
      <c r="KI2" s="182"/>
      <c r="KJ2" s="182"/>
      <c r="KK2" s="182"/>
      <c r="KL2" s="182"/>
      <c r="KM2" s="182"/>
      <c r="KN2" s="182"/>
      <c r="KO2" s="182"/>
      <c r="KP2" s="182"/>
      <c r="KQ2" s="182"/>
      <c r="KR2" s="182"/>
      <c r="KS2" s="182"/>
      <c r="KT2" s="182"/>
      <c r="KU2" s="182"/>
      <c r="KV2" s="182"/>
      <c r="KW2" s="182"/>
      <c r="KX2" s="182"/>
      <c r="KY2" s="182"/>
      <c r="KZ2" s="182"/>
      <c r="LA2" s="182"/>
      <c r="LB2" s="182"/>
      <c r="LC2" s="182"/>
      <c r="LD2" s="182"/>
      <c r="LE2" s="182"/>
      <c r="LF2" s="182"/>
      <c r="LG2" s="182"/>
      <c r="LH2" s="182"/>
      <c r="LI2" s="182"/>
      <c r="LJ2" s="182"/>
      <c r="LK2" s="182"/>
      <c r="LL2" s="182"/>
      <c r="LM2" s="182"/>
      <c r="LN2" s="182"/>
      <c r="LO2" s="182"/>
      <c r="LP2" s="182"/>
      <c r="LQ2" s="182"/>
      <c r="LR2" s="182"/>
      <c r="LS2" s="182"/>
      <c r="LT2" s="182"/>
      <c r="LU2" s="182"/>
      <c r="LV2" s="182"/>
      <c r="LW2" s="182"/>
      <c r="LX2" s="182"/>
      <c r="LY2" s="182"/>
      <c r="LZ2" s="182"/>
      <c r="MA2" s="182"/>
      <c r="MB2" s="182"/>
      <c r="MC2" s="182"/>
      <c r="MD2" s="182"/>
      <c r="ME2" s="182"/>
      <c r="MF2" s="182"/>
      <c r="MG2" s="182"/>
      <c r="MH2" s="182"/>
      <c r="MI2" s="182"/>
      <c r="MJ2" s="182"/>
      <c r="MK2" s="182"/>
      <c r="ML2" s="182"/>
      <c r="MM2" s="182"/>
      <c r="MN2" s="182"/>
      <c r="MO2" s="182"/>
      <c r="MP2" s="182"/>
      <c r="MQ2" s="182"/>
      <c r="MR2" s="182"/>
      <c r="MS2" s="182"/>
      <c r="MT2" s="182"/>
      <c r="MU2" s="182"/>
      <c r="MV2" s="182"/>
      <c r="MW2" s="182"/>
      <c r="MX2" s="182"/>
      <c r="MY2" s="182"/>
      <c r="MZ2" s="182"/>
      <c r="NA2" s="182"/>
      <c r="NB2" s="182"/>
      <c r="NC2" s="182"/>
      <c r="ND2" s="182"/>
      <c r="NE2" s="182"/>
      <c r="NF2" s="182"/>
      <c r="NG2" s="182"/>
      <c r="NH2" s="182"/>
      <c r="NI2" s="182"/>
      <c r="NJ2" s="182"/>
      <c r="NK2" s="182"/>
      <c r="NL2" s="182"/>
      <c r="NM2" s="182"/>
      <c r="NN2" s="182"/>
      <c r="NO2" s="182"/>
      <c r="NP2" s="182"/>
      <c r="NQ2" s="182"/>
      <c r="NR2" s="182"/>
      <c r="NS2" s="182"/>
      <c r="NT2" s="182"/>
      <c r="NU2" s="182"/>
      <c r="NV2" s="182"/>
      <c r="NW2" s="182"/>
      <c r="NX2" s="182"/>
      <c r="NY2" s="182"/>
      <c r="NZ2" s="182"/>
      <c r="OA2" s="182"/>
      <c r="OB2" s="182"/>
      <c r="OC2" s="182"/>
      <c r="OD2" s="182"/>
      <c r="OE2" s="182"/>
      <c r="OF2" s="182"/>
      <c r="OG2" s="182"/>
      <c r="OH2" s="182"/>
      <c r="OI2" s="182"/>
      <c r="OJ2" s="182"/>
      <c r="OK2" s="182"/>
      <c r="OL2" s="182"/>
      <c r="OM2" s="182"/>
      <c r="ON2" s="182"/>
      <c r="OO2" s="182"/>
      <c r="OP2" s="182"/>
      <c r="OQ2" s="182"/>
      <c r="OR2" s="182"/>
      <c r="OS2" s="182"/>
      <c r="OT2" s="182"/>
      <c r="OU2" s="182"/>
      <c r="OV2" s="182"/>
      <c r="OW2" s="182"/>
      <c r="OX2" s="182"/>
      <c r="OY2" s="182"/>
      <c r="OZ2" s="182"/>
      <c r="PA2" s="182"/>
      <c r="PB2" s="182"/>
      <c r="PC2" s="182"/>
      <c r="PD2" s="182"/>
      <c r="PE2" s="182"/>
      <c r="PF2" s="182"/>
      <c r="PG2" s="182"/>
      <c r="PH2" s="182"/>
      <c r="PI2" s="182"/>
      <c r="PJ2" s="182"/>
      <c r="PK2" s="182"/>
      <c r="PL2" s="182"/>
      <c r="PM2" s="182"/>
      <c r="PN2" s="182"/>
      <c r="PO2" s="182"/>
      <c r="PP2" s="182"/>
      <c r="PQ2" s="182"/>
      <c r="PR2" s="182"/>
      <c r="PS2" s="182"/>
      <c r="PT2" s="182"/>
      <c r="PU2" s="182"/>
      <c r="PV2" s="182"/>
      <c r="PW2" s="182"/>
      <c r="PX2" s="182"/>
      <c r="PY2" s="182"/>
      <c r="PZ2" s="182"/>
      <c r="QA2" s="182"/>
      <c r="QB2" s="182"/>
      <c r="QC2" s="182"/>
      <c r="QD2" s="182"/>
      <c r="QE2" s="182"/>
      <c r="QF2" s="182"/>
      <c r="QG2" s="182"/>
      <c r="QH2" s="182"/>
      <c r="QI2" s="182"/>
      <c r="QJ2" s="182"/>
      <c r="QK2" s="182"/>
      <c r="QL2" s="182"/>
      <c r="QM2" s="182"/>
      <c r="QN2" s="182"/>
      <c r="QO2" s="182"/>
      <c r="QP2" s="182"/>
      <c r="QQ2" s="182"/>
      <c r="QR2" s="182"/>
      <c r="QS2" s="182"/>
      <c r="QT2" s="182"/>
      <c r="QU2" s="182"/>
      <c r="QV2" s="182"/>
      <c r="QW2" s="182"/>
      <c r="QX2" s="182"/>
      <c r="QY2" s="182"/>
      <c r="QZ2" s="182"/>
      <c r="RA2" s="182"/>
      <c r="RB2" s="182"/>
      <c r="RC2" s="182"/>
      <c r="RD2" s="182"/>
      <c r="RE2" s="182"/>
      <c r="RF2" s="182"/>
      <c r="RG2" s="182"/>
      <c r="RH2" s="182"/>
      <c r="RI2" s="182"/>
      <c r="RJ2" s="182"/>
      <c r="RK2" s="182"/>
      <c r="RL2" s="182"/>
      <c r="RM2" s="182"/>
      <c r="RN2" s="182"/>
      <c r="RO2" s="182"/>
      <c r="RP2" s="182"/>
      <c r="RQ2" s="182"/>
      <c r="RR2" s="182"/>
      <c r="RS2" s="182"/>
      <c r="RT2" s="182"/>
      <c r="RU2" s="182"/>
      <c r="RV2" s="182"/>
      <c r="RW2" s="182"/>
      <c r="RX2" s="182"/>
      <c r="RY2" s="182"/>
      <c r="RZ2" s="182"/>
      <c r="SA2" s="182"/>
      <c r="SB2" s="182"/>
      <c r="SC2" s="182"/>
    </row>
    <row r="3" spans="1:497" ht="34.5" customHeight="1" thickBot="1">
      <c r="A3" s="12" t="s">
        <v>119</v>
      </c>
      <c r="B3" s="184" t="s">
        <v>144</v>
      </c>
      <c r="C3" s="184" t="s">
        <v>145</v>
      </c>
      <c r="D3" s="184" t="s">
        <v>146</v>
      </c>
      <c r="E3" s="260" t="s">
        <v>147</v>
      </c>
      <c r="F3" s="184" t="s">
        <v>144</v>
      </c>
      <c r="G3" s="184" t="s">
        <v>145</v>
      </c>
      <c r="H3" s="184" t="s">
        <v>146</v>
      </c>
      <c r="I3" s="241" t="s">
        <v>147</v>
      </c>
      <c r="J3" s="261" t="s">
        <v>144</v>
      </c>
      <c r="K3" s="184" t="s">
        <v>145</v>
      </c>
      <c r="L3" s="184" t="s">
        <v>146</v>
      </c>
      <c r="M3" s="262" t="s">
        <v>148</v>
      </c>
      <c r="N3" s="184" t="s">
        <v>144</v>
      </c>
      <c r="O3" s="184" t="s">
        <v>145</v>
      </c>
      <c r="P3" s="184" t="s">
        <v>146</v>
      </c>
      <c r="Q3" s="260" t="s">
        <v>147</v>
      </c>
    </row>
    <row r="4" spans="1:497" s="21" customFormat="1" ht="33.75" customHeight="1" thickBot="1">
      <c r="A4" s="233" t="s">
        <v>4</v>
      </c>
      <c r="B4" s="234"/>
      <c r="C4" s="234"/>
      <c r="D4" s="234"/>
      <c r="E4" s="264"/>
      <c r="F4" s="234"/>
      <c r="G4" s="234"/>
      <c r="H4" s="234"/>
      <c r="I4" s="242"/>
      <c r="J4" s="263"/>
      <c r="K4" s="235"/>
      <c r="L4" s="235"/>
      <c r="M4" s="264"/>
      <c r="N4" s="234"/>
      <c r="O4" s="234"/>
      <c r="P4" s="235"/>
      <c r="Q4" s="242"/>
    </row>
    <row r="5" spans="1:497" s="21" customFormat="1" ht="20.100000000000001" customHeight="1">
      <c r="A5" s="213" t="s">
        <v>5</v>
      </c>
      <c r="B5" s="190">
        <f>415.308</f>
        <v>415.30799999999999</v>
      </c>
      <c r="C5" s="190">
        <f>419.479</f>
        <v>419.47899999999998</v>
      </c>
      <c r="D5" s="224">
        <f>(425068)*0.001</f>
        <v>425.06799999999998</v>
      </c>
      <c r="E5" s="286">
        <f>(420060)*0.001</f>
        <v>420.06</v>
      </c>
      <c r="F5" s="224">
        <f>(419894)*0.001</f>
        <v>419.89400000000001</v>
      </c>
      <c r="G5" s="224">
        <f>(418521)*0.001</f>
        <v>418.52100000000002</v>
      </c>
      <c r="H5" s="224">
        <f>(409736)*0.001</f>
        <v>409.73599999999999</v>
      </c>
      <c r="I5" s="243">
        <f>(407579)*0.001</f>
        <v>407.57900000000001</v>
      </c>
      <c r="J5" s="265">
        <f>(395393)*0.001</f>
        <v>395.39300000000003</v>
      </c>
      <c r="K5" s="192">
        <v>384.8</v>
      </c>
      <c r="L5" s="192">
        <v>417</v>
      </c>
      <c r="M5" s="266">
        <v>421.1</v>
      </c>
      <c r="N5" s="192">
        <v>416.6</v>
      </c>
      <c r="O5" s="192">
        <v>401.1</v>
      </c>
      <c r="P5" s="192">
        <v>377</v>
      </c>
      <c r="Q5" s="252"/>
    </row>
    <row r="6" spans="1:497" s="21" customFormat="1" ht="20.100000000000001" customHeight="1">
      <c r="A6" s="213" t="s">
        <v>6</v>
      </c>
      <c r="B6" s="190">
        <f>258.7</f>
        <v>258.7</v>
      </c>
      <c r="C6" s="190">
        <f>258.506</f>
        <v>258.50599999999997</v>
      </c>
      <c r="D6" s="224">
        <f>(257043)*0.001</f>
        <v>257.04300000000001</v>
      </c>
      <c r="E6" s="286">
        <f>(276407)*0.001</f>
        <v>276.40699999999998</v>
      </c>
      <c r="F6" s="224">
        <f>(266252)*0.001</f>
        <v>266.25200000000001</v>
      </c>
      <c r="G6" s="224">
        <f>(265011)*0.001</f>
        <v>265.01100000000002</v>
      </c>
      <c r="H6" s="224">
        <f>(252063)*0.001</f>
        <v>252.06300000000002</v>
      </c>
      <c r="I6" s="243">
        <f>(251152)*0.001</f>
        <v>251.15200000000002</v>
      </c>
      <c r="J6" s="265">
        <f>(248178)*0.001</f>
        <v>248.178</v>
      </c>
      <c r="K6" s="191">
        <v>3010.6</v>
      </c>
      <c r="L6" s="191">
        <v>2933.8</v>
      </c>
      <c r="M6" s="266">
        <v>2714.9</v>
      </c>
      <c r="N6" s="192">
        <v>2855.8</v>
      </c>
      <c r="O6" s="192">
        <v>2541.1999999999998</v>
      </c>
      <c r="P6" s="191">
        <v>2535.1999999999998</v>
      </c>
      <c r="Q6" s="252"/>
    </row>
    <row r="7" spans="1:497" s="21" customFormat="1" ht="20.100000000000001" customHeight="1">
      <c r="A7" s="213" t="s">
        <v>9</v>
      </c>
      <c r="B7" s="190">
        <f>2422.989</f>
        <v>2422.989</v>
      </c>
      <c r="C7" s="190">
        <f>2575.456</f>
        <v>2575.4560000000001</v>
      </c>
      <c r="D7" s="190">
        <f>(2575456)*0.001</f>
        <v>2575.4560000000001</v>
      </c>
      <c r="E7" s="524">
        <f>(2568033)*0.001</f>
        <v>2568.0329999999999</v>
      </c>
      <c r="F7" s="190">
        <f>(2568033)*0.001</f>
        <v>2568.0329999999999</v>
      </c>
      <c r="G7" s="190">
        <f>(2568033)*0.001</f>
        <v>2568.0329999999999</v>
      </c>
      <c r="H7" s="190">
        <f>(2637594)*0.001</f>
        <v>2637.5940000000001</v>
      </c>
      <c r="I7" s="524">
        <f>(2602804)*0.001</f>
        <v>2602.8040000000001</v>
      </c>
      <c r="J7" s="190">
        <f>(2602804)*0.001</f>
        <v>2602.8040000000001</v>
      </c>
      <c r="K7" s="191">
        <v>11735.5</v>
      </c>
      <c r="L7" s="191">
        <v>11735.5</v>
      </c>
      <c r="M7" s="266">
        <v>10585.3</v>
      </c>
      <c r="N7" s="192">
        <v>10831.2</v>
      </c>
      <c r="O7" s="192">
        <v>10606.4</v>
      </c>
      <c r="P7" s="191">
        <v>10606.4</v>
      </c>
      <c r="Q7" s="252"/>
    </row>
    <row r="8" spans="1:497" s="21" customFormat="1" ht="20.100000000000001" customHeight="1">
      <c r="A8" s="213" t="s">
        <v>149</v>
      </c>
      <c r="B8" s="194">
        <f>0</f>
        <v>0</v>
      </c>
      <c r="C8" s="194">
        <v>0</v>
      </c>
      <c r="D8" s="194">
        <f>0</f>
        <v>0</v>
      </c>
      <c r="E8" s="273">
        <v>0</v>
      </c>
      <c r="F8" s="194">
        <f>0</f>
        <v>0</v>
      </c>
      <c r="G8" s="194">
        <f>0</f>
        <v>0</v>
      </c>
      <c r="H8" s="194">
        <f>0</f>
        <v>0</v>
      </c>
      <c r="I8" s="244">
        <f>0</f>
        <v>0</v>
      </c>
      <c r="J8" s="267">
        <v>0</v>
      </c>
      <c r="K8" s="191">
        <v>4482</v>
      </c>
      <c r="L8" s="191">
        <v>4331.8999999999996</v>
      </c>
      <c r="M8" s="266">
        <v>4255.8</v>
      </c>
      <c r="N8" s="196">
        <v>4002.2</v>
      </c>
      <c r="O8" s="196">
        <v>3944.6</v>
      </c>
      <c r="P8" s="191">
        <v>3791.6</v>
      </c>
      <c r="Q8" s="252"/>
    </row>
    <row r="9" spans="1:497" s="21" customFormat="1" ht="20.100000000000001" customHeight="1">
      <c r="A9" s="213" t="s">
        <v>60</v>
      </c>
      <c r="B9" s="190">
        <f>840</f>
        <v>840</v>
      </c>
      <c r="C9" s="224">
        <f>(840000)*0.001</f>
        <v>840</v>
      </c>
      <c r="D9" s="224">
        <f>(840000)*0.001</f>
        <v>840</v>
      </c>
      <c r="E9" s="286">
        <f>(847800)*0.001</f>
        <v>847.80000000000007</v>
      </c>
      <c r="F9" s="224">
        <f>(847800)*0.001</f>
        <v>847.80000000000007</v>
      </c>
      <c r="G9" s="224">
        <f>(847800)*0.001</f>
        <v>847.80000000000007</v>
      </c>
      <c r="H9" s="224">
        <f>(847800)*0.001</f>
        <v>847.80000000000007</v>
      </c>
      <c r="I9" s="243">
        <f>(890800)*0.001</f>
        <v>890.80000000000007</v>
      </c>
      <c r="J9" s="265">
        <f>(890800)*0.001</f>
        <v>890.80000000000007</v>
      </c>
      <c r="K9" s="197">
        <v>890.8</v>
      </c>
      <c r="L9" s="197">
        <v>890.8</v>
      </c>
      <c r="M9" s="266">
        <v>2085.9</v>
      </c>
      <c r="N9" s="192">
        <v>1783.7</v>
      </c>
      <c r="O9" s="192">
        <v>2092.6999999999998</v>
      </c>
      <c r="P9" s="197">
        <v>2086.6</v>
      </c>
      <c r="Q9" s="252"/>
    </row>
    <row r="10" spans="1:497" s="21" customFormat="1" ht="20.100000000000001" customHeight="1">
      <c r="A10" s="213" t="s">
        <v>65</v>
      </c>
      <c r="B10" s="190">
        <f>69.466</f>
        <v>69.465999999999994</v>
      </c>
      <c r="C10" s="224">
        <f>(69627)*0.001</f>
        <v>69.626999999999995</v>
      </c>
      <c r="D10" s="224">
        <f>(68459)*0.001</f>
        <v>68.459000000000003</v>
      </c>
      <c r="E10" s="286">
        <f>(81380)*0.001</f>
        <v>81.38</v>
      </c>
      <c r="F10" s="224">
        <f>(82841)*0.001</f>
        <v>82.841000000000008</v>
      </c>
      <c r="G10" s="224">
        <f>(83804)*0.001</f>
        <v>83.804000000000002</v>
      </c>
      <c r="H10" s="224">
        <f>(115337)*0.001</f>
        <v>115.337</v>
      </c>
      <c r="I10" s="243">
        <f>(137401)*0.001</f>
        <v>137.40100000000001</v>
      </c>
      <c r="J10" s="265">
        <f>(136697)*0.001</f>
        <v>136.697</v>
      </c>
      <c r="K10" s="191">
        <v>2360.6</v>
      </c>
      <c r="L10" s="191">
        <v>2624.2</v>
      </c>
      <c r="M10" s="266">
        <v>2591.4</v>
      </c>
      <c r="N10" s="192">
        <v>2527.5</v>
      </c>
      <c r="O10" s="192">
        <v>2525.8000000000002</v>
      </c>
      <c r="P10" s="191">
        <v>2464.1999999999998</v>
      </c>
      <c r="Q10" s="252"/>
    </row>
    <row r="11" spans="1:497" s="21" customFormat="1" ht="20.100000000000001" customHeight="1">
      <c r="A11" s="213" t="s">
        <v>61</v>
      </c>
      <c r="B11" s="190">
        <f>91.415</f>
        <v>91.415000000000006</v>
      </c>
      <c r="C11" s="224">
        <f>(95405)*0.001</f>
        <v>95.405000000000001</v>
      </c>
      <c r="D11" s="224">
        <f>(95323)*0.001</f>
        <v>95.323000000000008</v>
      </c>
      <c r="E11" s="286">
        <f>(97988)*0.001</f>
        <v>97.988</v>
      </c>
      <c r="F11" s="224">
        <f>(104074)*0.001</f>
        <v>104.074</v>
      </c>
      <c r="G11" s="224">
        <f>(115904)*0.001</f>
        <v>115.904</v>
      </c>
      <c r="H11" s="224">
        <f>(82162)*0.001</f>
        <v>82.162000000000006</v>
      </c>
      <c r="I11" s="243">
        <f>(71571)*0.001</f>
        <v>71.570999999999998</v>
      </c>
      <c r="J11" s="265">
        <f>(107548)*0.001</f>
        <v>107.548</v>
      </c>
      <c r="K11" s="197">
        <v>128.1</v>
      </c>
      <c r="L11" s="197">
        <v>148.80000000000001</v>
      </c>
      <c r="M11" s="266">
        <v>135.80000000000001</v>
      </c>
      <c r="N11" s="192">
        <v>158.69999999999999</v>
      </c>
      <c r="O11" s="192">
        <v>174.6</v>
      </c>
      <c r="P11" s="197">
        <v>109</v>
      </c>
      <c r="Q11" s="252"/>
    </row>
    <row r="12" spans="1:497" s="21" customFormat="1" ht="20.100000000000001" customHeight="1">
      <c r="A12" s="213" t="s">
        <v>7</v>
      </c>
      <c r="B12" s="190">
        <f>8.419</f>
        <v>8.4190000000000005</v>
      </c>
      <c r="C12" s="224">
        <f>(8398)*0.001</f>
        <v>8.3979999999999997</v>
      </c>
      <c r="D12" s="224">
        <f>(8378)*0.001</f>
        <v>8.3780000000000001</v>
      </c>
      <c r="E12" s="286">
        <f>(8357)*0.001</f>
        <v>8.3569999999999993</v>
      </c>
      <c r="F12" s="224">
        <f>(8336)*0.001</f>
        <v>8.3360000000000003</v>
      </c>
      <c r="G12" s="224">
        <f>(7788)*0.001</f>
        <v>7.7880000000000003</v>
      </c>
      <c r="H12" s="224">
        <f>(7427)*0.001</f>
        <v>7.4270000000000005</v>
      </c>
      <c r="I12" s="243">
        <f>(5330)*0.001</f>
        <v>5.33</v>
      </c>
      <c r="J12" s="265">
        <f>(5315)*0.001</f>
        <v>5.3150000000000004</v>
      </c>
      <c r="K12" s="197">
        <v>5.3</v>
      </c>
      <c r="L12" s="197">
        <v>5.3</v>
      </c>
      <c r="M12" s="266">
        <v>5.3</v>
      </c>
      <c r="N12" s="192">
        <v>5.2</v>
      </c>
      <c r="O12" s="192">
        <v>5.2</v>
      </c>
      <c r="P12" s="197">
        <v>5.2</v>
      </c>
      <c r="Q12" s="252"/>
    </row>
    <row r="13" spans="1:497" s="21" customFormat="1" ht="20.100000000000001" customHeight="1">
      <c r="A13" s="213" t="s">
        <v>150</v>
      </c>
      <c r="B13" s="198" t="s">
        <v>69</v>
      </c>
      <c r="C13" s="224">
        <f>(33259)*0.001</f>
        <v>33.259</v>
      </c>
      <c r="D13" s="224">
        <f>(33252)*0.001</f>
        <v>33.252000000000002</v>
      </c>
      <c r="E13" s="286">
        <f>(35125)*0.001</f>
        <v>35.125</v>
      </c>
      <c r="F13" s="224">
        <f>(34399)*0.001</f>
        <v>34.399000000000001</v>
      </c>
      <c r="G13" s="224">
        <f>(32935)*0.001</f>
        <v>32.935000000000002</v>
      </c>
      <c r="H13" s="224">
        <f>(29318)*0.001</f>
        <v>29.318000000000001</v>
      </c>
      <c r="I13" s="243">
        <f>(29551)*0.001</f>
        <v>29.551000000000002</v>
      </c>
      <c r="J13" s="265">
        <f>(26502)*0.001</f>
        <v>26.501999999999999</v>
      </c>
      <c r="K13" s="197">
        <v>46.2</v>
      </c>
      <c r="L13" s="197">
        <v>67</v>
      </c>
      <c r="M13" s="266">
        <v>81</v>
      </c>
      <c r="N13" s="192">
        <v>84.1</v>
      </c>
      <c r="O13" s="192">
        <v>82.3</v>
      </c>
      <c r="P13" s="197">
        <v>81.2</v>
      </c>
      <c r="Q13" s="252"/>
    </row>
    <row r="14" spans="1:497" s="21" customFormat="1" ht="20.100000000000001" customHeight="1">
      <c r="A14" s="213" t="s">
        <v>151</v>
      </c>
      <c r="B14" s="190">
        <f>92.159</f>
        <v>92.159000000000006</v>
      </c>
      <c r="C14" s="224">
        <f>(84770)*0.001</f>
        <v>84.77</v>
      </c>
      <c r="D14" s="224">
        <f>(116704)*0.001</f>
        <v>116.70400000000001</v>
      </c>
      <c r="E14" s="286">
        <f>(109642)*0.001</f>
        <v>109.642</v>
      </c>
      <c r="F14" s="224">
        <f>(62960)*0.001</f>
        <v>62.96</v>
      </c>
      <c r="G14" s="224">
        <f>(61422)*0.001</f>
        <v>61.422000000000004</v>
      </c>
      <c r="H14" s="224">
        <f>(27107)*0.001</f>
        <v>27.106999999999999</v>
      </c>
      <c r="I14" s="243">
        <f>(20803)*0.001</f>
        <v>20.803000000000001</v>
      </c>
      <c r="J14" s="265">
        <f>(6430)*0.001</f>
        <v>6.43</v>
      </c>
      <c r="K14" s="197">
        <v>107.4</v>
      </c>
      <c r="L14" s="197">
        <v>141.4</v>
      </c>
      <c r="M14" s="266">
        <v>198.5</v>
      </c>
      <c r="N14" s="192">
        <v>238</v>
      </c>
      <c r="O14" s="192">
        <v>232.8</v>
      </c>
      <c r="P14" s="197">
        <v>232.7</v>
      </c>
      <c r="Q14" s="252"/>
    </row>
    <row r="15" spans="1:497" s="185" customFormat="1" ht="20.100000000000001" customHeight="1">
      <c r="A15" s="219" t="s">
        <v>113</v>
      </c>
      <c r="B15" s="200">
        <v>0</v>
      </c>
      <c r="C15" s="200">
        <v>0</v>
      </c>
      <c r="D15" s="200">
        <v>0</v>
      </c>
      <c r="E15" s="287">
        <v>0</v>
      </c>
      <c r="F15" s="200">
        <v>0</v>
      </c>
      <c r="G15" s="200">
        <v>0</v>
      </c>
      <c r="H15" s="200">
        <v>0</v>
      </c>
      <c r="I15" s="245">
        <v>0</v>
      </c>
      <c r="J15" s="268">
        <v>0</v>
      </c>
      <c r="K15" s="200">
        <v>0</v>
      </c>
      <c r="L15" s="200">
        <v>0</v>
      </c>
      <c r="M15" s="269">
        <v>1.2</v>
      </c>
      <c r="N15" s="200">
        <v>0</v>
      </c>
      <c r="O15" s="200">
        <v>0</v>
      </c>
      <c r="P15" s="200">
        <v>0</v>
      </c>
      <c r="Q15" s="253"/>
    </row>
    <row r="16" spans="1:497" s="21" customFormat="1" ht="20.100000000000001" customHeight="1" thickBot="1">
      <c r="A16" s="214" t="s">
        <v>8</v>
      </c>
      <c r="B16" s="201">
        <f>30.5</f>
        <v>30.5</v>
      </c>
      <c r="C16" s="224">
        <f>(40245)*0.001</f>
        <v>40.244999999999997</v>
      </c>
      <c r="D16" s="224">
        <f>(37018)*0.001</f>
        <v>37.018000000000001</v>
      </c>
      <c r="E16" s="286">
        <f>(31356)*0.001</f>
        <v>31.356000000000002</v>
      </c>
      <c r="F16" s="224">
        <f>(30260)*0.001</f>
        <v>30.26</v>
      </c>
      <c r="G16" s="224">
        <f>(27326)*0.001</f>
        <v>27.326000000000001</v>
      </c>
      <c r="H16" s="224">
        <f>(27552)*0.001</f>
        <v>27.552</v>
      </c>
      <c r="I16" s="243">
        <f>(38854)*0.001</f>
        <v>38.853999999999999</v>
      </c>
      <c r="J16" s="265">
        <f>(34685)*0.001</f>
        <v>34.685000000000002</v>
      </c>
      <c r="K16" s="202">
        <v>240.5</v>
      </c>
      <c r="L16" s="202">
        <v>285.7</v>
      </c>
      <c r="M16" s="270">
        <v>281.10000000000002</v>
      </c>
      <c r="N16" s="203">
        <v>229</v>
      </c>
      <c r="O16" s="203">
        <v>260.89999999999998</v>
      </c>
      <c r="P16" s="202">
        <v>107.2</v>
      </c>
      <c r="Q16" s="254"/>
    </row>
    <row r="17" spans="1:17" s="62" customFormat="1" ht="24.95" customHeight="1" thickBot="1">
      <c r="A17" s="22" t="s">
        <v>10</v>
      </c>
      <c r="B17" s="216">
        <f t="shared" ref="B17:I17" si="0">(SUM(B5:B16))</f>
        <v>4228.9560000000001</v>
      </c>
      <c r="C17" s="216">
        <f t="shared" si="0"/>
        <v>4425.1450000000004</v>
      </c>
      <c r="D17" s="216">
        <f t="shared" si="0"/>
        <v>4456.701</v>
      </c>
      <c r="E17" s="292">
        <f t="shared" si="0"/>
        <v>4476.1480000000001</v>
      </c>
      <c r="F17" s="216">
        <f t="shared" si="0"/>
        <v>4424.8490000000011</v>
      </c>
      <c r="G17" s="216">
        <f t="shared" si="0"/>
        <v>4428.5439999999999</v>
      </c>
      <c r="H17" s="216">
        <f t="shared" si="0"/>
        <v>4436.0960000000005</v>
      </c>
      <c r="I17" s="216">
        <f t="shared" si="0"/>
        <v>4455.8450000000003</v>
      </c>
      <c r="J17" s="271">
        <f>(SUM(J5:J16))</f>
        <v>4454.3520000000008</v>
      </c>
      <c r="K17" s="217">
        <f t="shared" ref="K17:L17" si="1">SUM(K5:K16)</f>
        <v>23391.8</v>
      </c>
      <c r="L17" s="217">
        <f t="shared" si="1"/>
        <v>23581.399999999998</v>
      </c>
      <c r="M17" s="259">
        <f>(SUM(M5:M16))-M15</f>
        <v>23356.1</v>
      </c>
      <c r="N17" s="218">
        <f>(SUM(N5:N16))-N15</f>
        <v>23132</v>
      </c>
      <c r="O17" s="218">
        <f>(SUM(O5:O16))-O15</f>
        <v>22867.599999999999</v>
      </c>
      <c r="P17" s="218">
        <f>(SUM(P5:P16))-P15</f>
        <v>22396.3</v>
      </c>
      <c r="Q17" s="259"/>
    </row>
    <row r="18" spans="1:17" s="62" customFormat="1" ht="20.100000000000001" customHeight="1">
      <c r="A18" s="212" t="s">
        <v>62</v>
      </c>
      <c r="B18" s="188">
        <f>176.114</f>
        <v>176.114</v>
      </c>
      <c r="C18" s="224">
        <f>(167251)*0.001</f>
        <v>167.251</v>
      </c>
      <c r="D18" s="224">
        <f>(171461)*0.001</f>
        <v>171.46100000000001</v>
      </c>
      <c r="E18" s="286">
        <f>(141652)*0.001</f>
        <v>141.65200000000002</v>
      </c>
      <c r="F18" s="224">
        <f>(155399)*0.001</f>
        <v>155.399</v>
      </c>
      <c r="G18" s="224">
        <f>(170743)*0.001</f>
        <v>170.74299999999999</v>
      </c>
      <c r="H18" s="224">
        <f>(208533)*0.001</f>
        <v>208.53300000000002</v>
      </c>
      <c r="I18" s="243">
        <f>(181341)*0.001</f>
        <v>181.34100000000001</v>
      </c>
      <c r="J18" s="265">
        <f>(228936)*0.001</f>
        <v>228.93600000000001</v>
      </c>
      <c r="K18" s="220">
        <v>199.1</v>
      </c>
      <c r="L18" s="220">
        <v>172.6</v>
      </c>
      <c r="M18" s="272">
        <v>152.1</v>
      </c>
      <c r="N18" s="189">
        <v>163.1</v>
      </c>
      <c r="O18" s="189">
        <v>170.4</v>
      </c>
      <c r="P18" s="220">
        <v>255.6</v>
      </c>
      <c r="Q18" s="255"/>
    </row>
    <row r="19" spans="1:17" s="21" customFormat="1" ht="20.100000000000001" customHeight="1">
      <c r="A19" s="213" t="s">
        <v>11</v>
      </c>
      <c r="B19" s="190">
        <f>185.376</f>
        <v>185.376</v>
      </c>
      <c r="C19" s="224">
        <f>(185528)*0.001</f>
        <v>185.52799999999999</v>
      </c>
      <c r="D19" s="224">
        <f>(177054)*0.001</f>
        <v>177.054</v>
      </c>
      <c r="E19" s="286">
        <f>(161974)*0.001</f>
        <v>161.97399999999999</v>
      </c>
      <c r="F19" s="224">
        <f>(150701)*0.001</f>
        <v>150.70099999999999</v>
      </c>
      <c r="G19" s="224">
        <f>(157445)*0.001</f>
        <v>157.44499999999999</v>
      </c>
      <c r="H19" s="224">
        <f>(155698)*0.001</f>
        <v>155.69800000000001</v>
      </c>
      <c r="I19" s="243">
        <f>(146771)*0.001</f>
        <v>146.77100000000002</v>
      </c>
      <c r="J19" s="265">
        <f>(163072)*0.001</f>
        <v>163.072</v>
      </c>
      <c r="K19" s="191">
        <v>343.8</v>
      </c>
      <c r="L19" s="191">
        <v>316.60000000000002</v>
      </c>
      <c r="M19" s="266">
        <v>301.39999999999998</v>
      </c>
      <c r="N19" s="192">
        <v>252.9</v>
      </c>
      <c r="O19" s="192">
        <v>261.7</v>
      </c>
      <c r="P19" s="191">
        <v>264.10000000000002</v>
      </c>
      <c r="Q19" s="252"/>
    </row>
    <row r="20" spans="1:17" s="21" customFormat="1" ht="20.100000000000001" customHeight="1">
      <c r="A20" s="213" t="s">
        <v>68</v>
      </c>
      <c r="B20" s="190">
        <f>1.102</f>
        <v>1.1020000000000001</v>
      </c>
      <c r="C20" s="194">
        <f>0</f>
        <v>0</v>
      </c>
      <c r="D20" s="194">
        <f>0</f>
        <v>0</v>
      </c>
      <c r="E20" s="273">
        <f>0</f>
        <v>0</v>
      </c>
      <c r="F20" s="194">
        <f>0</f>
        <v>0</v>
      </c>
      <c r="G20" s="194">
        <f>0</f>
        <v>0</v>
      </c>
      <c r="H20" s="194">
        <f>0</f>
        <v>0</v>
      </c>
      <c r="I20" s="244">
        <v>0</v>
      </c>
      <c r="J20" s="267">
        <v>0</v>
      </c>
      <c r="K20" s="205">
        <v>0</v>
      </c>
      <c r="L20" s="205">
        <v>0</v>
      </c>
      <c r="M20" s="273">
        <f>0*($A$75)</f>
        <v>0</v>
      </c>
      <c r="N20" s="194">
        <f>0*($A$75)</f>
        <v>0</v>
      </c>
      <c r="O20" s="194">
        <v>0</v>
      </c>
      <c r="P20" s="205">
        <v>0</v>
      </c>
      <c r="Q20" s="252"/>
    </row>
    <row r="21" spans="1:17" s="21" customFormat="1" ht="20.100000000000001" customHeight="1">
      <c r="A21" s="213" t="s">
        <v>152</v>
      </c>
      <c r="B21" s="190">
        <f>342.386</f>
        <v>342.38600000000002</v>
      </c>
      <c r="C21" s="224">
        <f>(382365)*0.001</f>
        <v>382.36500000000001</v>
      </c>
      <c r="D21" s="224">
        <f>(376949)*0.001</f>
        <v>376.94900000000001</v>
      </c>
      <c r="E21" s="286">
        <f>(375659)*0.001</f>
        <v>375.65899999999999</v>
      </c>
      <c r="F21" s="224">
        <f>(403593)*0.001</f>
        <v>403.59300000000002</v>
      </c>
      <c r="G21" s="224">
        <f>(410902)*0.001</f>
        <v>410.90199999999999</v>
      </c>
      <c r="H21" s="224">
        <f>(401503)*0.001</f>
        <v>401.50299999999999</v>
      </c>
      <c r="I21" s="243">
        <f>(374424)*0.001</f>
        <v>374.42400000000004</v>
      </c>
      <c r="J21" s="265">
        <f>(398589)*0.001</f>
        <v>398.589</v>
      </c>
      <c r="K21" s="191">
        <v>1374.4</v>
      </c>
      <c r="L21" s="191">
        <v>1369.9</v>
      </c>
      <c r="M21" s="266">
        <v>1453.4</v>
      </c>
      <c r="N21" s="192">
        <v>1599.5</v>
      </c>
      <c r="O21" s="192">
        <v>1988.6</v>
      </c>
      <c r="P21" s="191">
        <v>1699.4</v>
      </c>
      <c r="Q21" s="252"/>
    </row>
    <row r="22" spans="1:17" s="21" customFormat="1" ht="20.100000000000001" customHeight="1">
      <c r="A22" s="213" t="s">
        <v>83</v>
      </c>
      <c r="B22" s="190">
        <f>9.894</f>
        <v>9.8940000000000001</v>
      </c>
      <c r="C22" s="224">
        <f>(263)*0.001</f>
        <v>0.26300000000000001</v>
      </c>
      <c r="D22" s="224">
        <f>(321)*0.001</f>
        <v>0.32100000000000001</v>
      </c>
      <c r="E22" s="286">
        <f>(6494)*0.001</f>
        <v>6.4939999999999998</v>
      </c>
      <c r="F22" s="224">
        <f>(1372)*0.001</f>
        <v>1.3720000000000001</v>
      </c>
      <c r="G22" s="224">
        <f>(1952)*0.001</f>
        <v>1.952</v>
      </c>
      <c r="H22" s="224">
        <f>(1195)*0.001</f>
        <v>1.1950000000000001</v>
      </c>
      <c r="I22" s="243">
        <f>(183)*0.001</f>
        <v>0.183</v>
      </c>
      <c r="J22" s="265">
        <f>(365)*0.001</f>
        <v>0.36499999999999999</v>
      </c>
      <c r="K22" s="191">
        <v>28</v>
      </c>
      <c r="L22" s="191">
        <v>26</v>
      </c>
      <c r="M22" s="266">
        <v>26</v>
      </c>
      <c r="N22" s="192">
        <v>28.9</v>
      </c>
      <c r="O22" s="192">
        <v>1.5</v>
      </c>
      <c r="P22" s="191">
        <v>0.7</v>
      </c>
      <c r="Q22" s="252"/>
    </row>
    <row r="23" spans="1:17" s="21" customFormat="1" ht="20.100000000000001" customHeight="1">
      <c r="A23" s="213" t="s">
        <v>153</v>
      </c>
      <c r="B23" s="198" t="s">
        <v>69</v>
      </c>
      <c r="C23" s="224">
        <f>(53916)*0.001</f>
        <v>53.916000000000004</v>
      </c>
      <c r="D23" s="224">
        <f>(54038)*0.001</f>
        <v>54.038000000000004</v>
      </c>
      <c r="E23" s="286">
        <f>(57096)*0.001</f>
        <v>57.096000000000004</v>
      </c>
      <c r="F23" s="224">
        <f>(60035)*0.001</f>
        <v>60.035000000000004</v>
      </c>
      <c r="G23" s="224">
        <f>(63564)*0.001</f>
        <v>63.564</v>
      </c>
      <c r="H23" s="224">
        <f>(65852)*0.001</f>
        <v>65.852000000000004</v>
      </c>
      <c r="I23" s="243">
        <f>(70055)*0.001</f>
        <v>70.055000000000007</v>
      </c>
      <c r="J23" s="265">
        <f>(70958)*0.001</f>
        <v>70.957999999999998</v>
      </c>
      <c r="K23" s="191">
        <v>91.2</v>
      </c>
      <c r="L23" s="191">
        <v>117.3</v>
      </c>
      <c r="M23" s="266">
        <v>141.69999999999999</v>
      </c>
      <c r="N23" s="192">
        <v>165.3</v>
      </c>
      <c r="O23" s="192">
        <v>186.1</v>
      </c>
      <c r="P23" s="191">
        <v>200.4</v>
      </c>
      <c r="Q23" s="252"/>
    </row>
    <row r="24" spans="1:17" s="21" customFormat="1" ht="20.100000000000001" customHeight="1">
      <c r="A24" s="213" t="s">
        <v>154</v>
      </c>
      <c r="B24" s="190">
        <f>136.299</f>
        <v>136.29900000000001</v>
      </c>
      <c r="C24" s="224">
        <f>(73814)*0.001</f>
        <v>73.814000000000007</v>
      </c>
      <c r="D24" s="224">
        <f>(53239)*0.001</f>
        <v>53.239000000000004</v>
      </c>
      <c r="E24" s="286">
        <f>(71968)*0.001</f>
        <v>71.968000000000004</v>
      </c>
      <c r="F24" s="224">
        <f>(109187)*0.001</f>
        <v>109.187</v>
      </c>
      <c r="G24" s="224">
        <f>(93754)*0.001</f>
        <v>93.754000000000005</v>
      </c>
      <c r="H24" s="224">
        <f>(113708)*0.001</f>
        <v>113.708</v>
      </c>
      <c r="I24" s="243">
        <f>(105360)*0.001</f>
        <v>105.36</v>
      </c>
      <c r="J24" s="265">
        <f>(106732)*0.001</f>
        <v>106.732</v>
      </c>
      <c r="K24" s="191">
        <v>221.9</v>
      </c>
      <c r="L24" s="191">
        <v>224.2</v>
      </c>
      <c r="M24" s="266">
        <v>160.1</v>
      </c>
      <c r="N24" s="192">
        <v>212.9</v>
      </c>
      <c r="O24" s="192">
        <v>226.2</v>
      </c>
      <c r="P24" s="191">
        <v>255</v>
      </c>
      <c r="Q24" s="252"/>
    </row>
    <row r="25" spans="1:17" s="185" customFormat="1" ht="20.100000000000001" customHeight="1">
      <c r="A25" s="219" t="s">
        <v>113</v>
      </c>
      <c r="B25" s="194">
        <v>0</v>
      </c>
      <c r="C25" s="194">
        <f>0</f>
        <v>0</v>
      </c>
      <c r="D25" s="194">
        <v>0</v>
      </c>
      <c r="E25" s="288">
        <f>0</f>
        <v>0</v>
      </c>
      <c r="F25" s="194">
        <f>0</f>
        <v>0</v>
      </c>
      <c r="G25" s="194">
        <v>0</v>
      </c>
      <c r="H25" s="194">
        <f>0</f>
        <v>0</v>
      </c>
      <c r="I25" s="246">
        <v>0</v>
      </c>
      <c r="J25" s="267">
        <v>0</v>
      </c>
      <c r="K25" s="194">
        <f t="shared" ref="K25:L25" si="2">0*($A$75)</f>
        <v>0</v>
      </c>
      <c r="L25" s="194">
        <f t="shared" si="2"/>
        <v>0</v>
      </c>
      <c r="M25" s="269">
        <v>22.2</v>
      </c>
      <c r="N25" s="199">
        <v>26.3</v>
      </c>
      <c r="O25" s="199">
        <v>27.3</v>
      </c>
      <c r="P25" s="206">
        <v>3.8</v>
      </c>
      <c r="Q25" s="253"/>
    </row>
    <row r="26" spans="1:17" s="21" customFormat="1" ht="20.100000000000001" customHeight="1">
      <c r="A26" s="213" t="s">
        <v>102</v>
      </c>
      <c r="B26" s="194">
        <v>0</v>
      </c>
      <c r="C26" s="194">
        <f>0</f>
        <v>0</v>
      </c>
      <c r="D26" s="194">
        <v>0</v>
      </c>
      <c r="E26" s="273">
        <v>0</v>
      </c>
      <c r="F26" s="194">
        <f>0</f>
        <v>0</v>
      </c>
      <c r="G26" s="194">
        <v>0</v>
      </c>
      <c r="H26" s="194">
        <f>0</f>
        <v>0</v>
      </c>
      <c r="I26" s="244">
        <v>0</v>
      </c>
      <c r="J26" s="267">
        <v>0</v>
      </c>
      <c r="K26" s="207">
        <v>270</v>
      </c>
      <c r="L26" s="207">
        <v>30</v>
      </c>
      <c r="M26" s="273">
        <f>0*($A$75)</f>
        <v>0</v>
      </c>
      <c r="N26" s="192">
        <v>42.7</v>
      </c>
      <c r="O26" s="192">
        <v>43.1</v>
      </c>
      <c r="P26" s="195">
        <v>0</v>
      </c>
      <c r="Q26" s="252"/>
    </row>
    <row r="27" spans="1:17" s="21" customFormat="1" ht="20.100000000000001" customHeight="1">
      <c r="A27" s="213" t="s">
        <v>12</v>
      </c>
      <c r="B27" s="190">
        <f>422.627</f>
        <v>422.62700000000001</v>
      </c>
      <c r="C27" s="224">
        <f>(309519)*0.001</f>
        <v>309.51900000000001</v>
      </c>
      <c r="D27" s="224">
        <f>(225111)*0.001</f>
        <v>225.11100000000002</v>
      </c>
      <c r="E27" s="286">
        <f>(270354)*0.001</f>
        <v>270.35399999999998</v>
      </c>
      <c r="F27" s="224">
        <f>(324338)*0.001</f>
        <v>324.33800000000002</v>
      </c>
      <c r="G27" s="224">
        <f>(265803)*0.001</f>
        <v>265.803</v>
      </c>
      <c r="H27" s="224">
        <f>(215396)*0.001</f>
        <v>215.39600000000002</v>
      </c>
      <c r="I27" s="243">
        <f>(342251)*0.001</f>
        <v>342.25100000000003</v>
      </c>
      <c r="J27" s="265">
        <f>(428190)*0.001</f>
        <v>428.19</v>
      </c>
      <c r="K27" s="191">
        <v>1894.3</v>
      </c>
      <c r="L27" s="191">
        <v>1631</v>
      </c>
      <c r="M27" s="266">
        <v>1735.3</v>
      </c>
      <c r="N27" s="192">
        <v>1478.9</v>
      </c>
      <c r="O27" s="192">
        <v>1383.8</v>
      </c>
      <c r="P27" s="191">
        <v>1059.5999999999999</v>
      </c>
      <c r="Q27" s="252"/>
    </row>
    <row r="28" spans="1:17" s="21" customFormat="1" ht="20.100000000000001" customHeight="1" thickBot="1">
      <c r="A28" s="213" t="s">
        <v>48</v>
      </c>
      <c r="B28" s="194">
        <v>0</v>
      </c>
      <c r="C28" s="194">
        <f>0</f>
        <v>0</v>
      </c>
      <c r="D28" s="194">
        <f>0</f>
        <v>0</v>
      </c>
      <c r="E28" s="273">
        <v>0</v>
      </c>
      <c r="F28" s="194">
        <f>0</f>
        <v>0</v>
      </c>
      <c r="G28" s="194">
        <v>0</v>
      </c>
      <c r="H28" s="194">
        <f>0</f>
        <v>0</v>
      </c>
      <c r="I28" s="244">
        <v>0</v>
      </c>
      <c r="J28" s="267">
        <v>0</v>
      </c>
      <c r="K28" s="207">
        <v>12.6</v>
      </c>
      <c r="L28" s="207">
        <v>12.2</v>
      </c>
      <c r="M28" s="266">
        <v>12.6</v>
      </c>
      <c r="N28" s="192">
        <v>12.7</v>
      </c>
      <c r="O28" s="192">
        <v>12.8</v>
      </c>
      <c r="P28" s="207">
        <v>12.4</v>
      </c>
      <c r="Q28" s="252"/>
    </row>
    <row r="29" spans="1:17" s="62" customFormat="1" ht="24.95" customHeight="1" thickBot="1">
      <c r="A29" s="22" t="s">
        <v>13</v>
      </c>
      <c r="B29" s="216">
        <f t="shared" ref="B29:L29" si="3">SUM(B18:B28)</f>
        <v>1273.798</v>
      </c>
      <c r="C29" s="216">
        <f t="shared" si="3"/>
        <v>1172.6559999999999</v>
      </c>
      <c r="D29" s="216">
        <f t="shared" si="3"/>
        <v>1058.173</v>
      </c>
      <c r="E29" s="292">
        <f t="shared" si="3"/>
        <v>1085.1969999999999</v>
      </c>
      <c r="F29" s="216">
        <f t="shared" si="3"/>
        <v>1204.625</v>
      </c>
      <c r="G29" s="216">
        <f t="shared" si="3"/>
        <v>1164.163</v>
      </c>
      <c r="H29" s="216">
        <f t="shared" si="3"/>
        <v>1161.885</v>
      </c>
      <c r="I29" s="216">
        <f t="shared" si="3"/>
        <v>1220.3850000000002</v>
      </c>
      <c r="J29" s="271">
        <f t="shared" si="3"/>
        <v>1396.8419999999999</v>
      </c>
      <c r="K29" s="217">
        <f t="shared" si="3"/>
        <v>4435.3</v>
      </c>
      <c r="L29" s="217">
        <f t="shared" si="3"/>
        <v>3899.7999999999997</v>
      </c>
      <c r="M29" s="259">
        <f>SUM(M18:M28)-M25</f>
        <v>3982.6</v>
      </c>
      <c r="N29" s="218">
        <f>SUM(N18:N28)-N25</f>
        <v>3956.9</v>
      </c>
      <c r="O29" s="218">
        <f>SUM(O18:O28)-O25</f>
        <v>4274.2</v>
      </c>
      <c r="P29" s="218">
        <f>SUM(P18:P28)-P25</f>
        <v>3747.2000000000003</v>
      </c>
      <c r="Q29" s="259"/>
    </row>
    <row r="30" spans="1:17" s="21" customFormat="1" ht="24.95" customHeight="1" thickBot="1">
      <c r="A30" s="221" t="s">
        <v>163</v>
      </c>
      <c r="B30" s="222">
        <f t="shared" ref="B30:P30" si="4">B17+B29</f>
        <v>5502.7539999999999</v>
      </c>
      <c r="C30" s="222">
        <f t="shared" si="4"/>
        <v>5597.8010000000004</v>
      </c>
      <c r="D30" s="222">
        <f t="shared" si="4"/>
        <v>5514.8739999999998</v>
      </c>
      <c r="E30" s="289">
        <f t="shared" si="4"/>
        <v>5561.3450000000003</v>
      </c>
      <c r="F30" s="222">
        <f t="shared" si="4"/>
        <v>5629.4740000000011</v>
      </c>
      <c r="G30" s="222">
        <f t="shared" si="4"/>
        <v>5592.7070000000003</v>
      </c>
      <c r="H30" s="222">
        <f t="shared" si="4"/>
        <v>5597.9810000000007</v>
      </c>
      <c r="I30" s="247">
        <f t="shared" si="4"/>
        <v>5676.2300000000005</v>
      </c>
      <c r="J30" s="274">
        <f t="shared" si="4"/>
        <v>5851.1940000000004</v>
      </c>
      <c r="K30" s="223">
        <f t="shared" si="4"/>
        <v>27827.1</v>
      </c>
      <c r="L30" s="223">
        <f t="shared" si="4"/>
        <v>27481.199999999997</v>
      </c>
      <c r="M30" s="275">
        <f t="shared" si="4"/>
        <v>27338.699999999997</v>
      </c>
      <c r="N30" s="223">
        <f t="shared" si="4"/>
        <v>27088.9</v>
      </c>
      <c r="O30" s="223">
        <f t="shared" si="4"/>
        <v>27141.8</v>
      </c>
      <c r="P30" s="223">
        <f t="shared" si="4"/>
        <v>26143.5</v>
      </c>
      <c r="Q30" s="256"/>
    </row>
    <row r="31" spans="1:17" s="21" customFormat="1" ht="33.75" customHeight="1" thickBot="1">
      <c r="A31" s="233" t="s">
        <v>14</v>
      </c>
      <c r="B31" s="234"/>
      <c r="C31" s="234"/>
      <c r="D31" s="234"/>
      <c r="E31" s="264"/>
      <c r="F31" s="234"/>
      <c r="G31" s="234"/>
      <c r="H31" s="234"/>
      <c r="I31" s="242"/>
      <c r="J31" s="263"/>
      <c r="K31" s="235"/>
      <c r="L31" s="235"/>
      <c r="M31" s="264"/>
      <c r="N31" s="234"/>
      <c r="O31" s="234"/>
      <c r="P31" s="235"/>
      <c r="Q31" s="242"/>
    </row>
    <row r="32" spans="1:17" s="21" customFormat="1" ht="20.100000000000001" customHeight="1">
      <c r="A32" s="212" t="s">
        <v>15</v>
      </c>
      <c r="B32" s="237">
        <f>13.934</f>
        <v>13.933999999999999</v>
      </c>
      <c r="C32" s="237">
        <f t="shared" ref="C32:J32" si="5">(13934)*0.001</f>
        <v>13.934000000000001</v>
      </c>
      <c r="D32" s="237">
        <f t="shared" si="5"/>
        <v>13.934000000000001</v>
      </c>
      <c r="E32" s="290">
        <f t="shared" si="5"/>
        <v>13.934000000000001</v>
      </c>
      <c r="F32" s="237">
        <f t="shared" si="5"/>
        <v>13.934000000000001</v>
      </c>
      <c r="G32" s="237">
        <f t="shared" si="5"/>
        <v>13.934000000000001</v>
      </c>
      <c r="H32" s="237">
        <f t="shared" si="5"/>
        <v>13.934000000000001</v>
      </c>
      <c r="I32" s="248">
        <f t="shared" si="5"/>
        <v>13.934000000000001</v>
      </c>
      <c r="J32" s="276">
        <f t="shared" si="5"/>
        <v>13.934000000000001</v>
      </c>
      <c r="K32" s="238">
        <v>25.6</v>
      </c>
      <c r="L32" s="238">
        <v>25.6</v>
      </c>
      <c r="M32" s="277">
        <v>25.6</v>
      </c>
      <c r="N32" s="239">
        <v>25.6</v>
      </c>
      <c r="O32" s="239">
        <v>25.6</v>
      </c>
      <c r="P32" s="239">
        <v>25.6</v>
      </c>
      <c r="Q32" s="257"/>
    </row>
    <row r="33" spans="1:17" s="21" customFormat="1" ht="20.100000000000001" customHeight="1">
      <c r="A33" s="213" t="s">
        <v>16</v>
      </c>
      <c r="B33" s="224">
        <f>432.265</f>
        <v>432.26499999999999</v>
      </c>
      <c r="C33" s="205">
        <v>0</v>
      </c>
      <c r="D33" s="205">
        <v>0</v>
      </c>
      <c r="E33" s="279">
        <v>0</v>
      </c>
      <c r="F33" s="205">
        <v>0</v>
      </c>
      <c r="G33" s="205">
        <v>0</v>
      </c>
      <c r="H33" s="205">
        <v>0</v>
      </c>
      <c r="I33" s="249">
        <v>0</v>
      </c>
      <c r="J33" s="278">
        <v>0</v>
      </c>
      <c r="K33" s="205">
        <v>0</v>
      </c>
      <c r="L33" s="205">
        <v>0</v>
      </c>
      <c r="M33" s="279">
        <v>0</v>
      </c>
      <c r="N33" s="205">
        <v>0</v>
      </c>
      <c r="O33" s="205">
        <v>0</v>
      </c>
      <c r="P33" s="205">
        <v>0</v>
      </c>
      <c r="Q33" s="252"/>
    </row>
    <row r="34" spans="1:17" s="21" customFormat="1" ht="20.100000000000001" customHeight="1">
      <c r="A34" s="213" t="s">
        <v>17</v>
      </c>
      <c r="B34" s="225">
        <f>1305.277</f>
        <v>1305.277</v>
      </c>
      <c r="C34" s="205">
        <v>0</v>
      </c>
      <c r="D34" s="205">
        <v>0</v>
      </c>
      <c r="E34" s="279">
        <v>0</v>
      </c>
      <c r="F34" s="205">
        <v>0</v>
      </c>
      <c r="G34" s="205">
        <v>0</v>
      </c>
      <c r="H34" s="205">
        <v>0</v>
      </c>
      <c r="I34" s="249">
        <v>0</v>
      </c>
      <c r="J34" s="278">
        <v>0</v>
      </c>
      <c r="K34" s="205">
        <v>0</v>
      </c>
      <c r="L34" s="205">
        <v>0</v>
      </c>
      <c r="M34" s="279">
        <v>0</v>
      </c>
      <c r="N34" s="205">
        <v>0</v>
      </c>
      <c r="O34" s="205">
        <v>0</v>
      </c>
      <c r="P34" s="205">
        <v>0</v>
      </c>
      <c r="Q34" s="252"/>
    </row>
    <row r="35" spans="1:17" s="21" customFormat="1" ht="20.100000000000001" customHeight="1">
      <c r="A35" s="213" t="s">
        <v>155</v>
      </c>
      <c r="B35" s="226" t="s">
        <v>67</v>
      </c>
      <c r="C35" s="190">
        <f t="shared" ref="C35:J35" si="6">(1295103)*0.001</f>
        <v>1295.1030000000001</v>
      </c>
      <c r="D35" s="190">
        <f t="shared" si="6"/>
        <v>1295.1030000000001</v>
      </c>
      <c r="E35" s="524">
        <f t="shared" si="6"/>
        <v>1295.1030000000001</v>
      </c>
      <c r="F35" s="190">
        <f t="shared" si="6"/>
        <v>1295.1030000000001</v>
      </c>
      <c r="G35" s="190">
        <f t="shared" si="6"/>
        <v>1295.1030000000001</v>
      </c>
      <c r="H35" s="190">
        <f t="shared" si="6"/>
        <v>1295.1030000000001</v>
      </c>
      <c r="I35" s="524">
        <f t="shared" si="6"/>
        <v>1295.1030000000001</v>
      </c>
      <c r="J35" s="190">
        <f t="shared" si="6"/>
        <v>1295.1030000000001</v>
      </c>
      <c r="K35" s="228">
        <v>7237.5</v>
      </c>
      <c r="L35" s="228">
        <v>7237.5</v>
      </c>
      <c r="M35" s="280">
        <v>7174</v>
      </c>
      <c r="N35" s="191">
        <v>7237.4</v>
      </c>
      <c r="O35" s="191">
        <v>7174</v>
      </c>
      <c r="P35" s="191">
        <v>7174</v>
      </c>
      <c r="Q35" s="252"/>
    </row>
    <row r="36" spans="1:17" s="21" customFormat="1" ht="20.100000000000001" customHeight="1">
      <c r="A36" s="213" t="s">
        <v>63</v>
      </c>
      <c r="B36" s="236">
        <f>-3.17</f>
        <v>-3.17</v>
      </c>
      <c r="C36" s="205">
        <v>0</v>
      </c>
      <c r="D36" s="205">
        <v>0</v>
      </c>
      <c r="E36" s="279">
        <v>0</v>
      </c>
      <c r="F36" s="205">
        <v>0</v>
      </c>
      <c r="G36" s="205">
        <v>0</v>
      </c>
      <c r="H36" s="205">
        <v>0</v>
      </c>
      <c r="I36" s="249">
        <v>0</v>
      </c>
      <c r="J36" s="278">
        <v>0</v>
      </c>
      <c r="K36" s="205">
        <v>0</v>
      </c>
      <c r="L36" s="205">
        <v>0</v>
      </c>
      <c r="M36" s="279">
        <v>0</v>
      </c>
      <c r="N36" s="205">
        <v>0</v>
      </c>
      <c r="O36" s="205">
        <v>0</v>
      </c>
      <c r="P36" s="205">
        <v>0</v>
      </c>
      <c r="Q36" s="252"/>
    </row>
    <row r="37" spans="1:17" s="21" customFormat="1" ht="20.100000000000001" customHeight="1">
      <c r="A37" s="213" t="s">
        <v>64</v>
      </c>
      <c r="B37" s="224">
        <f>2.396</f>
        <v>2.3959999999999999</v>
      </c>
      <c r="C37" s="205">
        <v>0</v>
      </c>
      <c r="D37" s="205">
        <v>0</v>
      </c>
      <c r="E37" s="279">
        <v>0</v>
      </c>
      <c r="F37" s="205">
        <v>0</v>
      </c>
      <c r="G37" s="205">
        <v>0</v>
      </c>
      <c r="H37" s="205">
        <v>0</v>
      </c>
      <c r="I37" s="249">
        <v>0</v>
      </c>
      <c r="J37" s="278">
        <v>0</v>
      </c>
      <c r="K37" s="205">
        <v>0</v>
      </c>
      <c r="L37" s="205">
        <v>0</v>
      </c>
      <c r="M37" s="279">
        <v>0</v>
      </c>
      <c r="N37" s="205">
        <v>0</v>
      </c>
      <c r="O37" s="205">
        <v>0</v>
      </c>
      <c r="P37" s="205">
        <v>0</v>
      </c>
      <c r="Q37" s="252"/>
    </row>
    <row r="38" spans="1:17" s="21" customFormat="1" ht="20.100000000000001" customHeight="1">
      <c r="A38" s="213" t="s">
        <v>156</v>
      </c>
      <c r="B38" s="229" t="s">
        <v>67</v>
      </c>
      <c r="C38" s="224">
        <f>(1225)*0.001</f>
        <v>1.2250000000000001</v>
      </c>
      <c r="D38" s="236">
        <f>(-8191)*0.001</f>
        <v>-8.1910000000000007</v>
      </c>
      <c r="E38" s="291">
        <f>(-16327)*0.001</f>
        <v>-16.327000000000002</v>
      </c>
      <c r="F38" s="236">
        <f>(-17667)*0.001</f>
        <v>-17.667000000000002</v>
      </c>
      <c r="G38" s="236">
        <f>(-13285)*0.001</f>
        <v>-13.285</v>
      </c>
      <c r="H38" s="236">
        <f>(-11455)*0.001</f>
        <v>-11.455</v>
      </c>
      <c r="I38" s="250">
        <f>(-8964)*0.001</f>
        <v>-8.9640000000000004</v>
      </c>
      <c r="J38" s="278">
        <v>0</v>
      </c>
      <c r="K38" s="205">
        <v>0</v>
      </c>
      <c r="L38" s="230">
        <v>-9.1999999999999993</v>
      </c>
      <c r="M38" s="281">
        <v>-12.2</v>
      </c>
      <c r="N38" s="230">
        <v>-12.7</v>
      </c>
      <c r="O38" s="230">
        <v>-7.9</v>
      </c>
      <c r="P38" s="230">
        <v>-8.1999999999999993</v>
      </c>
      <c r="Q38" s="252"/>
    </row>
    <row r="39" spans="1:17" s="21" customFormat="1" ht="20.100000000000001" customHeight="1" thickBot="1">
      <c r="A39" s="213" t="s">
        <v>82</v>
      </c>
      <c r="B39" s="224">
        <f>340.065</f>
        <v>340.065</v>
      </c>
      <c r="C39" s="224">
        <f>(882007)*0.001</f>
        <v>882.00700000000006</v>
      </c>
      <c r="D39" s="190">
        <f>(1054069)*0.001</f>
        <v>1054.069</v>
      </c>
      <c r="E39" s="524">
        <f>(1175693)*0.001</f>
        <v>1175.693</v>
      </c>
      <c r="F39" s="190">
        <f>(1270798)*0.001</f>
        <v>1270.798</v>
      </c>
      <c r="G39" s="190">
        <f>(1351543)*0.001</f>
        <v>1351.5430000000001</v>
      </c>
      <c r="H39" s="190">
        <f>(1527994)*0.001</f>
        <v>1527.9940000000001</v>
      </c>
      <c r="I39" s="524">
        <f>(1701138)*0.001</f>
        <v>1701.1380000000001</v>
      </c>
      <c r="J39" s="190">
        <f>(1799310)*0.001</f>
        <v>1799.31</v>
      </c>
      <c r="K39" s="228">
        <v>1828.6</v>
      </c>
      <c r="L39" s="228">
        <v>1876.8</v>
      </c>
      <c r="M39" s="282">
        <v>1890.8</v>
      </c>
      <c r="N39" s="228">
        <v>2061.6</v>
      </c>
      <c r="O39" s="228">
        <v>2366.1</v>
      </c>
      <c r="P39" s="228">
        <v>2868.6</v>
      </c>
      <c r="Q39" s="252"/>
    </row>
    <row r="40" spans="1:17" s="62" customFormat="1" ht="24.95" customHeight="1" thickBot="1">
      <c r="A40" s="22" t="s">
        <v>86</v>
      </c>
      <c r="B40" s="216">
        <f t="shared" ref="B40:C40" si="7">SUM(B32:B39)</f>
        <v>2090.7669999999998</v>
      </c>
      <c r="C40" s="216">
        <f t="shared" si="7"/>
        <v>2192.2690000000002</v>
      </c>
      <c r="D40" s="216">
        <f t="shared" ref="D40:H40" si="8">SUM(D32:D39)</f>
        <v>2354.915</v>
      </c>
      <c r="E40" s="292">
        <f t="shared" si="8"/>
        <v>2468.4030000000002</v>
      </c>
      <c r="F40" s="216">
        <f t="shared" si="8"/>
        <v>2562.1680000000001</v>
      </c>
      <c r="G40" s="216">
        <f t="shared" si="8"/>
        <v>2647.2950000000001</v>
      </c>
      <c r="H40" s="216">
        <f t="shared" si="8"/>
        <v>2825.576</v>
      </c>
      <c r="I40" s="216">
        <f t="shared" ref="I40:J40" si="9">SUM(I32:I39)</f>
        <v>3001.2110000000002</v>
      </c>
      <c r="J40" s="271">
        <f t="shared" si="9"/>
        <v>3108.3469999999998</v>
      </c>
      <c r="K40" s="217">
        <f t="shared" ref="K40:P40" si="10">SUM(K32:K39)</f>
        <v>9091.7000000000007</v>
      </c>
      <c r="L40" s="217">
        <f t="shared" si="10"/>
        <v>9130.7000000000007</v>
      </c>
      <c r="M40" s="259">
        <f t="shared" si="10"/>
        <v>9078.2000000000007</v>
      </c>
      <c r="N40" s="218">
        <f t="shared" si="10"/>
        <v>9311.9</v>
      </c>
      <c r="O40" s="218">
        <f t="shared" si="10"/>
        <v>9557.8000000000011</v>
      </c>
      <c r="P40" s="218">
        <f t="shared" si="10"/>
        <v>10060</v>
      </c>
      <c r="Q40" s="259"/>
    </row>
    <row r="41" spans="1:17" s="62" customFormat="1" ht="20.100000000000001" customHeight="1" thickBot="1">
      <c r="A41" s="240" t="s">
        <v>84</v>
      </c>
      <c r="B41" s="205">
        <v>0</v>
      </c>
      <c r="C41" s="205">
        <v>0</v>
      </c>
      <c r="D41" s="205">
        <v>0</v>
      </c>
      <c r="E41" s="279">
        <v>0</v>
      </c>
      <c r="F41" s="205">
        <v>0</v>
      </c>
      <c r="G41" s="205">
        <v>0</v>
      </c>
      <c r="H41" s="38">
        <f>2/1000</f>
        <v>2E-3</v>
      </c>
      <c r="I41" s="251">
        <f>2/1000</f>
        <v>2E-3</v>
      </c>
      <c r="J41" s="283">
        <f>2/1000</f>
        <v>2E-3</v>
      </c>
      <c r="K41" s="210">
        <v>0</v>
      </c>
      <c r="L41" s="210">
        <v>0</v>
      </c>
      <c r="M41" s="279">
        <v>0</v>
      </c>
      <c r="N41" s="210">
        <v>0</v>
      </c>
      <c r="O41" s="210">
        <v>0</v>
      </c>
      <c r="P41" s="210">
        <v>0</v>
      </c>
      <c r="Q41" s="258"/>
    </row>
    <row r="42" spans="1:17" s="62" customFormat="1" ht="24.95" customHeight="1" thickBot="1">
      <c r="A42" s="22" t="s">
        <v>18</v>
      </c>
      <c r="B42" s="216">
        <f t="shared" ref="B42" si="11">B40+B41</f>
        <v>2090.7669999999998</v>
      </c>
      <c r="C42" s="216">
        <f t="shared" ref="C42" si="12">C40+C41</f>
        <v>2192.2690000000002</v>
      </c>
      <c r="D42" s="216">
        <f t="shared" ref="D42" si="13">D40+D41</f>
        <v>2354.915</v>
      </c>
      <c r="E42" s="292">
        <f t="shared" ref="E42:G42" si="14">E40</f>
        <v>2468.4030000000002</v>
      </c>
      <c r="F42" s="216">
        <f t="shared" si="14"/>
        <v>2562.1680000000001</v>
      </c>
      <c r="G42" s="216">
        <f t="shared" si="14"/>
        <v>2647.2950000000001</v>
      </c>
      <c r="H42" s="216">
        <f>SUM(H40:H41)</f>
        <v>2825.578</v>
      </c>
      <c r="I42" s="216">
        <f t="shared" ref="I42:O42" si="15">I40+I41</f>
        <v>3001.2130000000002</v>
      </c>
      <c r="J42" s="271">
        <f t="shared" si="15"/>
        <v>3108.3489999999997</v>
      </c>
      <c r="K42" s="217">
        <f t="shared" si="15"/>
        <v>9091.7000000000007</v>
      </c>
      <c r="L42" s="217">
        <f t="shared" si="15"/>
        <v>9130.7000000000007</v>
      </c>
      <c r="M42" s="259">
        <f t="shared" si="15"/>
        <v>9078.2000000000007</v>
      </c>
      <c r="N42" s="218">
        <f t="shared" si="15"/>
        <v>9311.9</v>
      </c>
      <c r="O42" s="218">
        <f t="shared" si="15"/>
        <v>9557.8000000000011</v>
      </c>
      <c r="P42" s="218">
        <f t="shared" ref="P42" si="16">P40+P41</f>
        <v>10060</v>
      </c>
      <c r="Q42" s="259"/>
    </row>
    <row r="43" spans="1:17" s="21" customFormat="1" ht="20.100000000000001" customHeight="1">
      <c r="A43" s="213" t="s">
        <v>19</v>
      </c>
      <c r="B43" s="224">
        <f>932.068</f>
        <v>932.06799999999998</v>
      </c>
      <c r="C43" s="224">
        <f>(889155)*0.001</f>
        <v>889.15499999999997</v>
      </c>
      <c r="D43" s="224">
        <f>(680371)*0.001</f>
        <v>680.37099999999998</v>
      </c>
      <c r="E43" s="286">
        <f>(592003)*0.001</f>
        <v>592.00300000000004</v>
      </c>
      <c r="F43" s="224">
        <f>(572819)*0.001</f>
        <v>572.81899999999996</v>
      </c>
      <c r="G43" s="224">
        <f>(422858)*0.001</f>
        <v>422.858</v>
      </c>
      <c r="H43" s="224">
        <f>(329798)*0.001</f>
        <v>329.798</v>
      </c>
      <c r="I43" s="243">
        <f>(239889)*0.001</f>
        <v>239.88900000000001</v>
      </c>
      <c r="J43" s="265">
        <f>(236277)*0.001</f>
        <v>236.27700000000002</v>
      </c>
      <c r="K43" s="192">
        <v>8446.1</v>
      </c>
      <c r="L43" s="192">
        <v>7976.3</v>
      </c>
      <c r="M43" s="280">
        <v>7683.5</v>
      </c>
      <c r="N43" s="228">
        <v>7357.9</v>
      </c>
      <c r="O43" s="228">
        <v>7034.6</v>
      </c>
      <c r="P43" s="192">
        <v>5644.9</v>
      </c>
      <c r="Q43" s="252"/>
    </row>
    <row r="44" spans="1:17" s="21" customFormat="1" ht="20.100000000000001" customHeight="1">
      <c r="A44" s="213" t="s">
        <v>101</v>
      </c>
      <c r="B44" s="190">
        <f>1360.637</f>
        <v>1360.6369999999999</v>
      </c>
      <c r="C44" s="190">
        <f>(1369593)*0.001</f>
        <v>1369.5930000000001</v>
      </c>
      <c r="D44" s="190">
        <f>(1347224)*0.001</f>
        <v>1347.2239999999999</v>
      </c>
      <c r="E44" s="524">
        <f>(1316479)*0.001</f>
        <v>1316.479</v>
      </c>
      <c r="F44" s="190">
        <f>(1370119)*0.001</f>
        <v>1370.1190000000001</v>
      </c>
      <c r="G44" s="190">
        <f>(1395972)*0.001</f>
        <v>1395.972</v>
      </c>
      <c r="H44" s="190">
        <f>(1385314)*0.001</f>
        <v>1385.3140000000001</v>
      </c>
      <c r="I44" s="524">
        <f>(1340010)*0.001</f>
        <v>1340.01</v>
      </c>
      <c r="J44" s="190">
        <f>(1396071)*0.001</f>
        <v>1396.0710000000001</v>
      </c>
      <c r="K44" s="192">
        <v>4286.8999999999996</v>
      </c>
      <c r="L44" s="192">
        <v>4302.1000000000004</v>
      </c>
      <c r="M44" s="280">
        <v>4550.2</v>
      </c>
      <c r="N44" s="228">
        <v>4470</v>
      </c>
      <c r="O44" s="228">
        <v>4582.5</v>
      </c>
      <c r="P44" s="192">
        <v>964.4</v>
      </c>
      <c r="Q44" s="252"/>
    </row>
    <row r="45" spans="1:17" s="21" customFormat="1" ht="20.100000000000001" customHeight="1">
      <c r="A45" s="213" t="s">
        <v>20</v>
      </c>
      <c r="B45" s="224">
        <f>0.81</f>
        <v>0.81</v>
      </c>
      <c r="C45" s="224">
        <f>(741)*0.001</f>
        <v>0.74099999999999999</v>
      </c>
      <c r="D45" s="224">
        <f>(638)*0.001</f>
        <v>0.63800000000000001</v>
      </c>
      <c r="E45" s="286">
        <f>(551)*0.001</f>
        <v>0.55100000000000005</v>
      </c>
      <c r="F45" s="224">
        <f>(474)*0.001</f>
        <v>0.47400000000000003</v>
      </c>
      <c r="G45" s="224">
        <f>(424)*0.001</f>
        <v>0.42399999999999999</v>
      </c>
      <c r="H45" s="224">
        <f>(306)*0.001</f>
        <v>0.30599999999999999</v>
      </c>
      <c r="I45" s="243">
        <f>(227)*0.001</f>
        <v>0.22700000000000001</v>
      </c>
      <c r="J45" s="265">
        <f>(166)*0.001</f>
        <v>0.16600000000000001</v>
      </c>
      <c r="K45" s="191">
        <v>4.5</v>
      </c>
      <c r="L45" s="191">
        <v>7.9</v>
      </c>
      <c r="M45" s="282">
        <v>11.7</v>
      </c>
      <c r="N45" s="231">
        <v>13.4</v>
      </c>
      <c r="O45" s="231">
        <v>15.7</v>
      </c>
      <c r="P45" s="191">
        <v>21.3</v>
      </c>
      <c r="Q45" s="252"/>
    </row>
    <row r="46" spans="1:17" s="21" customFormat="1" ht="20.100000000000001" customHeight="1">
      <c r="A46" s="213" t="s">
        <v>157</v>
      </c>
      <c r="B46" s="194">
        <f t="shared" ref="B46" si="17">0*($A$75)</f>
        <v>0</v>
      </c>
      <c r="C46" s="194">
        <f>0</f>
        <v>0</v>
      </c>
      <c r="D46" s="194">
        <f>0</f>
        <v>0</v>
      </c>
      <c r="E46" s="288">
        <v>0</v>
      </c>
      <c r="F46" s="194">
        <v>0</v>
      </c>
      <c r="G46" s="194">
        <f>0</f>
        <v>0</v>
      </c>
      <c r="H46" s="194">
        <v>0</v>
      </c>
      <c r="I46" s="246">
        <v>0</v>
      </c>
      <c r="J46" s="267">
        <v>0</v>
      </c>
      <c r="K46" s="191">
        <v>835.8</v>
      </c>
      <c r="L46" s="191">
        <v>730.2</v>
      </c>
      <c r="M46" s="282">
        <v>750.3</v>
      </c>
      <c r="N46" s="231">
        <v>724.4</v>
      </c>
      <c r="O46" s="231">
        <v>747.9</v>
      </c>
      <c r="P46" s="191">
        <v>645.1</v>
      </c>
      <c r="Q46" s="252"/>
    </row>
    <row r="47" spans="1:17" s="21" customFormat="1" ht="20.100000000000001" customHeight="1">
      <c r="A47" s="213" t="s">
        <v>21</v>
      </c>
      <c r="B47" s="224">
        <f>87.307</f>
        <v>87.307000000000002</v>
      </c>
      <c r="C47" s="224">
        <f>(88480)*0.001</f>
        <v>88.48</v>
      </c>
      <c r="D47" s="224">
        <f>(97271)*0.001</f>
        <v>97.271000000000001</v>
      </c>
      <c r="E47" s="286">
        <f>(94258)*0.001</f>
        <v>94.257999999999996</v>
      </c>
      <c r="F47" s="224">
        <f>(93487)*0.001</f>
        <v>93.487000000000009</v>
      </c>
      <c r="G47" s="224">
        <f>(93150)*0.001</f>
        <v>93.15</v>
      </c>
      <c r="H47" s="224">
        <f>(98799)*0.001</f>
        <v>98.799000000000007</v>
      </c>
      <c r="I47" s="243">
        <f>(108066)*0.001</f>
        <v>108.066</v>
      </c>
      <c r="J47" s="265">
        <f>(95950)*0.001</f>
        <v>95.95</v>
      </c>
      <c r="K47" s="192">
        <v>1010.7</v>
      </c>
      <c r="L47" s="192">
        <v>1038.8</v>
      </c>
      <c r="M47" s="282">
        <v>908.7</v>
      </c>
      <c r="N47" s="231">
        <v>888.6</v>
      </c>
      <c r="O47" s="231">
        <v>821.1</v>
      </c>
      <c r="P47" s="192">
        <v>770.4</v>
      </c>
      <c r="Q47" s="252"/>
    </row>
    <row r="48" spans="1:17" s="21" customFormat="1" ht="20.100000000000001" customHeight="1">
      <c r="A48" s="213" t="s">
        <v>158</v>
      </c>
      <c r="B48" s="229" t="s">
        <v>70</v>
      </c>
      <c r="C48" s="224">
        <f>(6285)*0.001</f>
        <v>6.2850000000000001</v>
      </c>
      <c r="D48" s="224">
        <f>(5716)*0.001</f>
        <v>5.7160000000000002</v>
      </c>
      <c r="E48" s="286">
        <f>(5181)*0.001</f>
        <v>5.181</v>
      </c>
      <c r="F48" s="224">
        <f>(4978)*0.001</f>
        <v>4.9779999999999998</v>
      </c>
      <c r="G48" s="224">
        <f>(4754)*0.001</f>
        <v>4.7540000000000004</v>
      </c>
      <c r="H48" s="224">
        <f>(4303)*0.001</f>
        <v>4.3029999999999999</v>
      </c>
      <c r="I48" s="243">
        <f>(4079)*0.001</f>
        <v>4.0789999999999997</v>
      </c>
      <c r="J48" s="265">
        <f>(3008)*0.001</f>
        <v>3.008</v>
      </c>
      <c r="K48" s="191">
        <v>2.8</v>
      </c>
      <c r="L48" s="191">
        <v>3.9</v>
      </c>
      <c r="M48" s="282">
        <v>4.7</v>
      </c>
      <c r="N48" s="231">
        <v>5.5</v>
      </c>
      <c r="O48" s="231">
        <v>5</v>
      </c>
      <c r="P48" s="191">
        <v>4.5</v>
      </c>
      <c r="Q48" s="252"/>
    </row>
    <row r="49" spans="1:17" s="21" customFormat="1" ht="20.100000000000001" customHeight="1">
      <c r="A49" s="213" t="s">
        <v>22</v>
      </c>
      <c r="B49" s="224">
        <f>13.779</f>
        <v>13.779</v>
      </c>
      <c r="C49" s="224">
        <f>(17835)*0.001</f>
        <v>17.835000000000001</v>
      </c>
      <c r="D49" s="224">
        <f>(19037)*0.001</f>
        <v>19.036999999999999</v>
      </c>
      <c r="E49" s="286">
        <f>(17690)*0.001</f>
        <v>17.690000000000001</v>
      </c>
      <c r="F49" s="224">
        <f>(17684)*0.001</f>
        <v>17.684000000000001</v>
      </c>
      <c r="G49" s="224">
        <f>(10154)*0.001</f>
        <v>10.154</v>
      </c>
      <c r="H49" s="224">
        <f>(8594)*0.001</f>
        <v>8.5939999999999994</v>
      </c>
      <c r="I49" s="243">
        <f>(7915)*0.001</f>
        <v>7.915</v>
      </c>
      <c r="J49" s="265">
        <f>(7828)*0.001</f>
        <v>7.8280000000000003</v>
      </c>
      <c r="K49" s="191">
        <v>158.19999999999999</v>
      </c>
      <c r="L49" s="191">
        <v>164.6</v>
      </c>
      <c r="M49" s="282">
        <v>184.2</v>
      </c>
      <c r="N49" s="231">
        <v>167.4</v>
      </c>
      <c r="O49" s="231">
        <v>132.4</v>
      </c>
      <c r="P49" s="191">
        <v>133.1</v>
      </c>
      <c r="Q49" s="252"/>
    </row>
    <row r="50" spans="1:17" s="185" customFormat="1" ht="20.100000000000001" customHeight="1" thickBot="1">
      <c r="A50" s="219" t="s">
        <v>114</v>
      </c>
      <c r="B50" s="194">
        <f t="shared" ref="B50:L50" si="18">0*($A$75)</f>
        <v>0</v>
      </c>
      <c r="C50" s="194">
        <f>0</f>
        <v>0</v>
      </c>
      <c r="D50" s="194">
        <f>0</f>
        <v>0</v>
      </c>
      <c r="E50" s="288">
        <v>0</v>
      </c>
      <c r="F50" s="194">
        <v>0</v>
      </c>
      <c r="G50" s="194">
        <f>0</f>
        <v>0</v>
      </c>
      <c r="H50" s="194">
        <v>0</v>
      </c>
      <c r="I50" s="284">
        <v>0.1</v>
      </c>
      <c r="J50" s="267">
        <v>0</v>
      </c>
      <c r="K50" s="194">
        <f t="shared" si="18"/>
        <v>0</v>
      </c>
      <c r="L50" s="194">
        <f t="shared" si="18"/>
        <v>0</v>
      </c>
      <c r="M50" s="284">
        <v>40.1</v>
      </c>
      <c r="N50" s="232">
        <v>22.6</v>
      </c>
      <c r="O50" s="232">
        <v>2</v>
      </c>
      <c r="P50" s="206">
        <v>1.9</v>
      </c>
      <c r="Q50" s="253"/>
    </row>
    <row r="51" spans="1:17" s="62" customFormat="1" ht="24.95" customHeight="1" thickBot="1">
      <c r="A51" s="22" t="s">
        <v>23</v>
      </c>
      <c r="B51" s="216">
        <f t="shared" ref="B51" si="19">SUM(B43:B49)</f>
        <v>2394.6009999999997</v>
      </c>
      <c r="C51" s="216">
        <f t="shared" ref="C51" si="20">SUM(C43:C49)</f>
        <v>2372.0889999999999</v>
      </c>
      <c r="D51" s="216">
        <f t="shared" ref="D51" si="21">SUM(D43:D49)</f>
        <v>2150.2569999999996</v>
      </c>
      <c r="E51" s="292">
        <f t="shared" ref="E51:H51" si="22">SUM(E43:E49)</f>
        <v>2026.162</v>
      </c>
      <c r="F51" s="216">
        <f t="shared" si="22"/>
        <v>2059.5610000000001</v>
      </c>
      <c r="G51" s="216">
        <f t="shared" si="22"/>
        <v>1927.3119999999999</v>
      </c>
      <c r="H51" s="216">
        <f t="shared" si="22"/>
        <v>1827.1140000000003</v>
      </c>
      <c r="I51" s="216">
        <f t="shared" ref="I51:J51" si="23">SUM(I43:I49)</f>
        <v>1700.1859999999999</v>
      </c>
      <c r="J51" s="271">
        <f t="shared" si="23"/>
        <v>1739.3000000000002</v>
      </c>
      <c r="K51" s="217">
        <f t="shared" ref="K51:L51" si="24">SUM(K43:K49)</f>
        <v>14745</v>
      </c>
      <c r="L51" s="217">
        <f t="shared" si="24"/>
        <v>14223.800000000001</v>
      </c>
      <c r="M51" s="259">
        <f>SUM(M43:M50)-M50</f>
        <v>14093.300000000003</v>
      </c>
      <c r="N51" s="218">
        <f>SUM(N43:N50)-N50</f>
        <v>13627.199999999999</v>
      </c>
      <c r="O51" s="218">
        <f>SUM(O43:O50)-O50</f>
        <v>13339.2</v>
      </c>
      <c r="P51" s="218">
        <f>SUM(P43:P50)-P50</f>
        <v>8183.7</v>
      </c>
      <c r="Q51" s="259"/>
    </row>
    <row r="52" spans="1:17" s="21" customFormat="1" ht="20.100000000000001" customHeight="1">
      <c r="A52" s="213" t="s">
        <v>19</v>
      </c>
      <c r="B52" s="224">
        <f>250.363</f>
        <v>250.363</v>
      </c>
      <c r="C52" s="224">
        <f>(265796)*0.001</f>
        <v>265.79599999999999</v>
      </c>
      <c r="D52" s="224">
        <f>(238676)*0.001</f>
        <v>238.67600000000002</v>
      </c>
      <c r="E52" s="286">
        <f>(275608)*0.001</f>
        <v>275.608</v>
      </c>
      <c r="F52" s="224">
        <f>(250329)*0.001</f>
        <v>250.32900000000001</v>
      </c>
      <c r="G52" s="224">
        <f>(263389)*0.001</f>
        <v>263.38900000000001</v>
      </c>
      <c r="H52" s="224">
        <f>(214673)*0.001</f>
        <v>214.673</v>
      </c>
      <c r="I52" s="243">
        <f>(245994)*0.001</f>
        <v>245.994</v>
      </c>
      <c r="J52" s="265">
        <f>(240921)*0.001</f>
        <v>240.92099999999999</v>
      </c>
      <c r="K52" s="192">
        <v>1094.3</v>
      </c>
      <c r="L52" s="192">
        <v>1365.1</v>
      </c>
      <c r="M52" s="280">
        <v>1322.6</v>
      </c>
      <c r="N52" s="228">
        <v>1543.9</v>
      </c>
      <c r="O52" s="228">
        <v>1169.9000000000001</v>
      </c>
      <c r="P52" s="192">
        <v>963.7</v>
      </c>
      <c r="Q52" s="252"/>
    </row>
    <row r="53" spans="1:17" s="21" customFormat="1" ht="20.100000000000001" customHeight="1">
      <c r="A53" s="213" t="s">
        <v>101</v>
      </c>
      <c r="B53" s="224">
        <f>100.836</f>
        <v>100.836</v>
      </c>
      <c r="C53" s="224">
        <f>(101342)*0.001</f>
        <v>101.342</v>
      </c>
      <c r="D53" s="224">
        <f>(99687)*0.001</f>
        <v>99.686999999999998</v>
      </c>
      <c r="E53" s="286">
        <f>(97256)*0.001</f>
        <v>97.256</v>
      </c>
      <c r="F53" s="224">
        <f>(101219)*0.001</f>
        <v>101.21900000000001</v>
      </c>
      <c r="G53" s="224">
        <f>(102957)*0.001</f>
        <v>102.95700000000001</v>
      </c>
      <c r="H53" s="224">
        <f>(102171)*0.001</f>
        <v>102.17100000000001</v>
      </c>
      <c r="I53" s="243">
        <f>(98659)*0.001</f>
        <v>98.659000000000006</v>
      </c>
      <c r="J53" s="265">
        <f>(101071)*0.001</f>
        <v>101.071</v>
      </c>
      <c r="K53" s="191">
        <v>431.9</v>
      </c>
      <c r="L53" s="191">
        <v>439.1</v>
      </c>
      <c r="M53" s="282">
        <v>464.4</v>
      </c>
      <c r="N53" s="231">
        <v>462.5</v>
      </c>
      <c r="O53" s="231">
        <v>479.4</v>
      </c>
      <c r="P53" s="191">
        <v>4607.5</v>
      </c>
      <c r="Q53" s="252"/>
    </row>
    <row r="54" spans="1:17" s="21" customFormat="1" ht="20.100000000000001" customHeight="1">
      <c r="A54" s="213" t="s">
        <v>20</v>
      </c>
      <c r="B54" s="224">
        <f>0.237</f>
        <v>0.23699999999999999</v>
      </c>
      <c r="C54" s="224">
        <f>(243)*0.001</f>
        <v>0.24299999999999999</v>
      </c>
      <c r="D54" s="224">
        <f>(234)*0.001</f>
        <v>0.23400000000000001</v>
      </c>
      <c r="E54" s="286">
        <f>(233)*0.001</f>
        <v>0.23300000000000001</v>
      </c>
      <c r="F54" s="224">
        <f>(238)*0.001</f>
        <v>0.23800000000000002</v>
      </c>
      <c r="G54" s="224">
        <f>(247)*0.001</f>
        <v>0.247</v>
      </c>
      <c r="H54" s="224">
        <f>(240)*0.001</f>
        <v>0.24</v>
      </c>
      <c r="I54" s="243">
        <f>(236)*0.001</f>
        <v>0.23600000000000002</v>
      </c>
      <c r="J54" s="265">
        <f>(237)*0.001</f>
        <v>0.23700000000000002</v>
      </c>
      <c r="K54" s="191">
        <v>5.3</v>
      </c>
      <c r="L54" s="191">
        <v>5.8</v>
      </c>
      <c r="M54" s="282">
        <v>6.8</v>
      </c>
      <c r="N54" s="231">
        <v>2.7</v>
      </c>
      <c r="O54" s="231">
        <v>3.7</v>
      </c>
      <c r="P54" s="191">
        <v>4.3</v>
      </c>
      <c r="Q54" s="252"/>
    </row>
    <row r="55" spans="1:17" s="21" customFormat="1" ht="20.100000000000001" customHeight="1">
      <c r="A55" s="213" t="s">
        <v>157</v>
      </c>
      <c r="B55" s="195">
        <v>0</v>
      </c>
      <c r="C55" s="195">
        <v>0</v>
      </c>
      <c r="D55" s="195">
        <v>0</v>
      </c>
      <c r="E55" s="273">
        <v>0</v>
      </c>
      <c r="F55" s="195">
        <v>0</v>
      </c>
      <c r="G55" s="195">
        <v>0</v>
      </c>
      <c r="H55" s="195">
        <v>0</v>
      </c>
      <c r="I55" s="244">
        <v>0</v>
      </c>
      <c r="J55" s="285">
        <v>0</v>
      </c>
      <c r="K55" s="191">
        <v>115.8</v>
      </c>
      <c r="L55" s="191">
        <v>113.9</v>
      </c>
      <c r="M55" s="282">
        <v>117.1</v>
      </c>
      <c r="N55" s="231">
        <v>113</v>
      </c>
      <c r="O55" s="231">
        <v>116.7</v>
      </c>
      <c r="P55" s="191">
        <v>115.6</v>
      </c>
      <c r="Q55" s="252"/>
    </row>
    <row r="56" spans="1:17" s="21" customFormat="1" ht="20.100000000000001" customHeight="1">
      <c r="A56" s="213" t="s">
        <v>25</v>
      </c>
      <c r="B56" s="224">
        <f>435.427</f>
        <v>435.42700000000002</v>
      </c>
      <c r="C56" s="224">
        <f>(436188)*0.001</f>
        <v>436.18799999999999</v>
      </c>
      <c r="D56" s="224">
        <f>(441676)*0.001</f>
        <v>441.67599999999999</v>
      </c>
      <c r="E56" s="286">
        <f>(472094)*0.001</f>
        <v>472.09399999999999</v>
      </c>
      <c r="F56" s="224">
        <f>(432897)*0.001</f>
        <v>432.89699999999999</v>
      </c>
      <c r="G56" s="224">
        <f>(428004)*0.001</f>
        <v>428.00400000000002</v>
      </c>
      <c r="H56" s="224">
        <f>(390829)*0.001</f>
        <v>390.82900000000001</v>
      </c>
      <c r="I56" s="243">
        <f>(413210)*0.001</f>
        <v>413.21000000000004</v>
      </c>
      <c r="J56" s="265">
        <f>(418100)*0.001</f>
        <v>418.1</v>
      </c>
      <c r="K56" s="192">
        <v>1618.8</v>
      </c>
      <c r="L56" s="192">
        <v>1505.3</v>
      </c>
      <c r="M56" s="280">
        <v>1523</v>
      </c>
      <c r="N56" s="228">
        <v>1333.5</v>
      </c>
      <c r="O56" s="228">
        <v>1670.4</v>
      </c>
      <c r="P56" s="192">
        <v>1431.5</v>
      </c>
      <c r="Q56" s="252"/>
    </row>
    <row r="57" spans="1:17" s="21" customFormat="1" ht="20.100000000000001" customHeight="1">
      <c r="A57" s="219" t="s">
        <v>114</v>
      </c>
      <c r="B57" s="195">
        <v>0</v>
      </c>
      <c r="C57" s="195">
        <v>0</v>
      </c>
      <c r="D57" s="195">
        <v>0</v>
      </c>
      <c r="E57" s="273">
        <v>0</v>
      </c>
      <c r="F57" s="195">
        <v>0</v>
      </c>
      <c r="G57" s="195">
        <v>0</v>
      </c>
      <c r="H57" s="195">
        <v>0</v>
      </c>
      <c r="I57" s="284">
        <v>12</v>
      </c>
      <c r="J57" s="285">
        <v>0</v>
      </c>
      <c r="K57" s="195">
        <v>0</v>
      </c>
      <c r="L57" s="195">
        <v>0</v>
      </c>
      <c r="M57" s="284">
        <v>87</v>
      </c>
      <c r="N57" s="232">
        <v>99.7</v>
      </c>
      <c r="O57" s="232">
        <v>79</v>
      </c>
      <c r="P57" s="199">
        <v>57.1</v>
      </c>
      <c r="Q57" s="252"/>
    </row>
    <row r="58" spans="1:17" s="21" customFormat="1" ht="20.100000000000001" customHeight="1">
      <c r="A58" s="213" t="s">
        <v>24</v>
      </c>
      <c r="B58" s="224">
        <f>29.589</f>
        <v>29.588999999999999</v>
      </c>
      <c r="C58" s="224">
        <f>(7799)*0.001</f>
        <v>7.7990000000000004</v>
      </c>
      <c r="D58" s="224">
        <f>(6782)*0.001</f>
        <v>6.782</v>
      </c>
      <c r="E58" s="286">
        <f>(7092)*0.001</f>
        <v>7.0920000000000005</v>
      </c>
      <c r="F58" s="224">
        <f>(1990)*0.001</f>
        <v>1.99</v>
      </c>
      <c r="G58" s="224">
        <f>(6510)*0.001</f>
        <v>6.51</v>
      </c>
      <c r="H58" s="224">
        <f>(14152)*0.001</f>
        <v>14.152000000000001</v>
      </c>
      <c r="I58" s="243">
        <f>(4520)*0.001</f>
        <v>4.5200000000000005</v>
      </c>
      <c r="J58" s="265">
        <f>(12203)*0.001</f>
        <v>12.202999999999999</v>
      </c>
      <c r="K58" s="191">
        <v>43.7</v>
      </c>
      <c r="L58" s="191">
        <v>22.1</v>
      </c>
      <c r="M58" s="282">
        <v>48.028993427171699</v>
      </c>
      <c r="N58" s="231">
        <v>22.5</v>
      </c>
      <c r="O58" s="231">
        <v>132.69999999999999</v>
      </c>
      <c r="P58" s="191">
        <v>96.3</v>
      </c>
      <c r="Q58" s="252"/>
    </row>
    <row r="59" spans="1:17" s="21" customFormat="1" ht="20.100000000000001" customHeight="1">
      <c r="A59" s="213" t="s">
        <v>49</v>
      </c>
      <c r="B59" s="224">
        <f>12.532</f>
        <v>12.532</v>
      </c>
      <c r="C59" s="224">
        <f>(12125)*0.001</f>
        <v>12.125</v>
      </c>
      <c r="D59" s="224">
        <f>(12084)*0.001</f>
        <v>12.084</v>
      </c>
      <c r="E59" s="286">
        <f>(13259)*0.001</f>
        <v>13.259</v>
      </c>
      <c r="F59" s="224">
        <f>(13182)*0.001</f>
        <v>13.182</v>
      </c>
      <c r="G59" s="224">
        <f>(12551)*0.001</f>
        <v>12.551</v>
      </c>
      <c r="H59" s="224">
        <f>(12536)*0.001</f>
        <v>12.536</v>
      </c>
      <c r="I59" s="243">
        <f>(2727)*0.001</f>
        <v>2.7269999999999999</v>
      </c>
      <c r="J59" s="265">
        <f>(2843)*0.001</f>
        <v>2.843</v>
      </c>
      <c r="K59" s="191">
        <v>2.6</v>
      </c>
      <c r="L59" s="191">
        <v>2.7</v>
      </c>
      <c r="M59" s="282">
        <v>1.4</v>
      </c>
      <c r="N59" s="231">
        <v>1.4</v>
      </c>
      <c r="O59" s="211" t="s">
        <v>109</v>
      </c>
      <c r="P59" s="211" t="s">
        <v>109</v>
      </c>
      <c r="Q59" s="252"/>
    </row>
    <row r="60" spans="1:17" s="21" customFormat="1" ht="20.100000000000001" customHeight="1">
      <c r="A60" s="213" t="s">
        <v>158</v>
      </c>
      <c r="B60" s="224">
        <f>188.402</f>
        <v>188.40199999999999</v>
      </c>
      <c r="C60" s="224">
        <f>(209950)*0.001</f>
        <v>209.95000000000002</v>
      </c>
      <c r="D60" s="224">
        <f>(210563)*0.001</f>
        <v>210.56300000000002</v>
      </c>
      <c r="E60" s="286">
        <f>(201238)*0.001</f>
        <v>201.238</v>
      </c>
      <c r="F60" s="224">
        <f>(207890)*0.001</f>
        <v>207.89000000000001</v>
      </c>
      <c r="G60" s="224">
        <f>(204442)*0.001</f>
        <v>204.44200000000001</v>
      </c>
      <c r="H60" s="224">
        <f>(210688)*0.001</f>
        <v>210.68800000000002</v>
      </c>
      <c r="I60" s="243">
        <f>(209485)*0.001</f>
        <v>209.48500000000001</v>
      </c>
      <c r="J60" s="265">
        <f>(228170)*0.001</f>
        <v>228.17000000000002</v>
      </c>
      <c r="K60" s="191">
        <v>678</v>
      </c>
      <c r="L60" s="191">
        <v>672.7</v>
      </c>
      <c r="M60" s="282">
        <v>683.9</v>
      </c>
      <c r="N60" s="231">
        <v>670.3</v>
      </c>
      <c r="O60" s="231">
        <v>672</v>
      </c>
      <c r="P60" s="191">
        <v>680.9</v>
      </c>
      <c r="Q60" s="252"/>
    </row>
    <row r="61" spans="1:17" s="21" customFormat="1" ht="20.100000000000001" customHeight="1" thickBot="1">
      <c r="A61" s="213" t="s">
        <v>45</v>
      </c>
      <c r="B61" s="205">
        <v>0</v>
      </c>
      <c r="C61" s="205">
        <v>0</v>
      </c>
      <c r="D61" s="205">
        <v>0</v>
      </c>
      <c r="E61" s="279">
        <v>0</v>
      </c>
      <c r="F61" s="205">
        <v>0</v>
      </c>
      <c r="G61" s="205">
        <v>0</v>
      </c>
      <c r="H61" s="205">
        <v>0</v>
      </c>
      <c r="I61" s="249">
        <v>0</v>
      </c>
      <c r="J61" s="278">
        <v>0</v>
      </c>
      <c r="K61" s="205">
        <v>0</v>
      </c>
      <c r="L61" s="205">
        <v>0</v>
      </c>
      <c r="M61" s="279">
        <v>0</v>
      </c>
      <c r="N61" s="205">
        <v>0</v>
      </c>
      <c r="O61" s="205">
        <v>0</v>
      </c>
      <c r="P61" s="205">
        <v>0</v>
      </c>
      <c r="Q61" s="252"/>
    </row>
    <row r="62" spans="1:17" s="62" customFormat="1" ht="24.95" customHeight="1" thickBot="1">
      <c r="A62" s="22" t="s">
        <v>26</v>
      </c>
      <c r="B62" s="216">
        <f t="shared" ref="B62" si="25">SUM(B52:B61)</f>
        <v>1017.386</v>
      </c>
      <c r="C62" s="216">
        <f t="shared" ref="C62" si="26">SUM(C52:C61)</f>
        <v>1033.443</v>
      </c>
      <c r="D62" s="216">
        <f t="shared" ref="D62" si="27">SUM(D52:D61)</f>
        <v>1009.7019999999999</v>
      </c>
      <c r="E62" s="292">
        <f t="shared" ref="E62:H62" si="28">SUM(E52:E61)</f>
        <v>1066.78</v>
      </c>
      <c r="F62" s="216">
        <f t="shared" si="28"/>
        <v>1007.745</v>
      </c>
      <c r="G62" s="216">
        <f t="shared" si="28"/>
        <v>1018.1</v>
      </c>
      <c r="H62" s="216">
        <f t="shared" si="28"/>
        <v>945.28899999999999</v>
      </c>
      <c r="I62" s="216">
        <f t="shared" ref="I62:J62" si="29">SUM(I52:I61)</f>
        <v>986.83100000000002</v>
      </c>
      <c r="J62" s="271">
        <f t="shared" si="29"/>
        <v>1003.5449999999998</v>
      </c>
      <c r="K62" s="217">
        <f t="shared" ref="K62:L62" si="30">SUM(K52:K61)</f>
        <v>3990.3999999999992</v>
      </c>
      <c r="L62" s="217">
        <f t="shared" si="30"/>
        <v>4126.7</v>
      </c>
      <c r="M62" s="259">
        <f>SUM(M52:M61)-M57</f>
        <v>4167.2289934271712</v>
      </c>
      <c r="N62" s="218">
        <f>SUM(N52:N61)-N57</f>
        <v>4149.8</v>
      </c>
      <c r="O62" s="218">
        <f>SUM(O52:O61)-O57</f>
        <v>4244.8</v>
      </c>
      <c r="P62" s="218">
        <f>SUM(P52:P61)-P57</f>
        <v>7899.8</v>
      </c>
      <c r="Q62" s="259"/>
    </row>
    <row r="63" spans="1:17" s="62" customFormat="1" ht="24.95" customHeight="1" thickBot="1">
      <c r="A63" s="22" t="s">
        <v>27</v>
      </c>
      <c r="B63" s="216">
        <f t="shared" ref="B63" si="31">B51+B62</f>
        <v>3411.9869999999996</v>
      </c>
      <c r="C63" s="216">
        <f t="shared" ref="C63" si="32">C51+C62</f>
        <v>3405.5320000000002</v>
      </c>
      <c r="D63" s="216">
        <f t="shared" ref="D63" si="33">D51+D62</f>
        <v>3159.9589999999994</v>
      </c>
      <c r="E63" s="292">
        <f t="shared" ref="E63:H63" si="34">E62+E51</f>
        <v>3092.942</v>
      </c>
      <c r="F63" s="216">
        <f t="shared" si="34"/>
        <v>3067.306</v>
      </c>
      <c r="G63" s="216">
        <f t="shared" si="34"/>
        <v>2945.4119999999998</v>
      </c>
      <c r="H63" s="216">
        <f t="shared" si="34"/>
        <v>2772.4030000000002</v>
      </c>
      <c r="I63" s="216">
        <f t="shared" ref="I63:J63" si="35">I62+I51</f>
        <v>2687.0169999999998</v>
      </c>
      <c r="J63" s="271">
        <f t="shared" si="35"/>
        <v>2742.8450000000003</v>
      </c>
      <c r="K63" s="217">
        <f t="shared" ref="K63:N63" si="36">K62+K51</f>
        <v>18735.399999999998</v>
      </c>
      <c r="L63" s="217">
        <f t="shared" si="36"/>
        <v>18350.5</v>
      </c>
      <c r="M63" s="259">
        <f t="shared" si="36"/>
        <v>18260.528993427175</v>
      </c>
      <c r="N63" s="218">
        <f t="shared" si="36"/>
        <v>17777</v>
      </c>
      <c r="O63" s="218">
        <f t="shared" ref="O63" si="37">O62+O51</f>
        <v>17584</v>
      </c>
      <c r="P63" s="218">
        <f t="shared" ref="P63" si="38">P62+P51</f>
        <v>16083.5</v>
      </c>
      <c r="Q63" s="259"/>
    </row>
    <row r="64" spans="1:17" s="62" customFormat="1" ht="24.95" customHeight="1" thickBot="1">
      <c r="A64" s="221" t="s">
        <v>28</v>
      </c>
      <c r="B64" s="222">
        <f t="shared" ref="B64" si="39">B63+B42</f>
        <v>5502.753999999999</v>
      </c>
      <c r="C64" s="222">
        <f t="shared" ref="C64" si="40">C63+C42</f>
        <v>5597.8010000000004</v>
      </c>
      <c r="D64" s="222">
        <f t="shared" ref="D64" si="41">D63+D42</f>
        <v>5514.8739999999998</v>
      </c>
      <c r="E64" s="289">
        <f t="shared" ref="E64:H64" si="42">E63+E42</f>
        <v>5561.3450000000003</v>
      </c>
      <c r="F64" s="222">
        <f t="shared" si="42"/>
        <v>5629.4740000000002</v>
      </c>
      <c r="G64" s="222">
        <f t="shared" si="42"/>
        <v>5592.7070000000003</v>
      </c>
      <c r="H64" s="222">
        <f t="shared" si="42"/>
        <v>5597.9809999999998</v>
      </c>
      <c r="I64" s="247">
        <f t="shared" ref="I64:J64" si="43">I63+I42</f>
        <v>5688.23</v>
      </c>
      <c r="J64" s="274">
        <f t="shared" si="43"/>
        <v>5851.1939999999995</v>
      </c>
      <c r="K64" s="223">
        <f t="shared" ref="K64:N64" si="44">K63+K42</f>
        <v>27827.1</v>
      </c>
      <c r="L64" s="223">
        <f t="shared" si="44"/>
        <v>27481.200000000001</v>
      </c>
      <c r="M64" s="275">
        <f t="shared" si="44"/>
        <v>27338.728993427176</v>
      </c>
      <c r="N64" s="223">
        <f t="shared" si="44"/>
        <v>27088.9</v>
      </c>
      <c r="O64" s="223">
        <f t="shared" ref="O64" si="45">O63+O42</f>
        <v>27141.800000000003</v>
      </c>
      <c r="P64" s="223">
        <f t="shared" ref="P64" si="46">P63+P42</f>
        <v>26143.5</v>
      </c>
      <c r="Q64" s="256"/>
    </row>
    <row r="65" spans="1:17" s="21" customFormat="1">
      <c r="A65" s="215"/>
      <c r="K65" s="53"/>
      <c r="L65" s="53"/>
      <c r="P65" s="53"/>
    </row>
    <row r="66" spans="1:17" s="21" customFormat="1">
      <c r="A66" s="215"/>
      <c r="K66" s="53"/>
      <c r="L66" s="53"/>
      <c r="P66" s="53"/>
    </row>
    <row r="67" spans="1:17" s="21" customFormat="1" ht="34.5" customHeight="1">
      <c r="A67" s="538" t="s">
        <v>246</v>
      </c>
      <c r="B67" s="538"/>
      <c r="C67" s="538"/>
      <c r="D67" s="538"/>
      <c r="E67" s="538"/>
      <c r="F67" s="538"/>
      <c r="G67" s="538"/>
      <c r="H67" s="538"/>
      <c r="I67" s="538"/>
      <c r="J67" s="538"/>
      <c r="K67" s="538"/>
      <c r="L67" s="538"/>
      <c r="M67" s="538"/>
      <c r="N67" s="538"/>
      <c r="O67" s="538"/>
      <c r="P67" s="538"/>
      <c r="Q67" s="538"/>
    </row>
    <row r="68" spans="1:17" s="21" customFormat="1" ht="20.100000000000001" customHeight="1">
      <c r="A68" s="538" t="s">
        <v>245</v>
      </c>
      <c r="B68" s="538"/>
      <c r="C68" s="538"/>
      <c r="D68" s="538"/>
      <c r="E68" s="538"/>
      <c r="F68" s="538"/>
      <c r="G68" s="538"/>
      <c r="H68" s="538"/>
      <c r="I68" s="538"/>
      <c r="J68" s="538"/>
      <c r="K68" s="538"/>
      <c r="L68" s="538"/>
      <c r="M68" s="538"/>
      <c r="N68" s="538"/>
      <c r="O68" s="538"/>
      <c r="P68" s="538"/>
      <c r="Q68" s="538"/>
    </row>
    <row r="69" spans="1:17" s="21" customFormat="1" ht="20.100000000000001" customHeight="1">
      <c r="A69" s="538" t="s">
        <v>159</v>
      </c>
      <c r="B69" s="538"/>
      <c r="C69" s="538"/>
      <c r="D69" s="538"/>
      <c r="E69" s="538"/>
      <c r="F69" s="538"/>
      <c r="G69" s="538"/>
      <c r="H69" s="538"/>
      <c r="I69" s="538"/>
      <c r="J69" s="538"/>
      <c r="K69" s="538"/>
      <c r="L69" s="538"/>
      <c r="M69" s="538"/>
      <c r="N69" s="538"/>
      <c r="O69" s="538"/>
      <c r="P69" s="538"/>
      <c r="Q69" s="538"/>
    </row>
    <row r="70" spans="1:17" s="186" customFormat="1" ht="20.100000000000001" customHeight="1">
      <c r="A70" s="538" t="s">
        <v>160</v>
      </c>
      <c r="B70" s="538"/>
      <c r="C70" s="538"/>
      <c r="D70" s="538"/>
      <c r="E70" s="538"/>
      <c r="F70" s="538"/>
      <c r="G70" s="538"/>
      <c r="H70" s="538"/>
      <c r="I70" s="538"/>
      <c r="J70" s="538"/>
      <c r="K70" s="538"/>
      <c r="L70" s="538"/>
      <c r="M70" s="538"/>
      <c r="N70" s="538"/>
      <c r="O70" s="538"/>
      <c r="P70" s="538"/>
      <c r="Q70" s="538"/>
    </row>
    <row r="71" spans="1:17" s="21" customFormat="1" ht="20.100000000000001" customHeight="1">
      <c r="A71" s="538" t="s">
        <v>161</v>
      </c>
      <c r="B71" s="538"/>
      <c r="C71" s="538"/>
      <c r="D71" s="538"/>
      <c r="E71" s="538"/>
      <c r="F71" s="538"/>
      <c r="G71" s="538"/>
      <c r="H71" s="538"/>
      <c r="I71" s="538"/>
      <c r="J71" s="538"/>
      <c r="K71" s="538"/>
      <c r="L71" s="538"/>
      <c r="M71" s="538"/>
      <c r="N71" s="538"/>
      <c r="O71" s="538"/>
      <c r="P71" s="538"/>
      <c r="Q71" s="538"/>
    </row>
    <row r="72" spans="1:17" s="21" customFormat="1" ht="20.100000000000001" customHeight="1">
      <c r="A72" s="538" t="s">
        <v>162</v>
      </c>
      <c r="B72" s="538"/>
      <c r="C72" s="538"/>
      <c r="D72" s="538"/>
      <c r="E72" s="538"/>
      <c r="F72" s="538"/>
      <c r="G72" s="538"/>
      <c r="H72" s="538"/>
      <c r="I72" s="538"/>
      <c r="J72" s="538"/>
      <c r="K72" s="538"/>
      <c r="L72" s="538"/>
      <c r="M72" s="538"/>
      <c r="N72" s="538"/>
      <c r="O72" s="538"/>
      <c r="P72" s="538"/>
      <c r="Q72" s="538"/>
    </row>
    <row r="73" spans="1:17" s="21" customFormat="1">
      <c r="A73" s="18"/>
      <c r="K73" s="53"/>
      <c r="L73" s="53"/>
      <c r="P73" s="53"/>
    </row>
    <row r="74" spans="1:17" s="21" customFormat="1">
      <c r="A74" s="224"/>
      <c r="K74" s="53"/>
      <c r="L74" s="53"/>
      <c r="P74" s="53"/>
    </row>
    <row r="75" spans="1:17" s="21" customFormat="1">
      <c r="A75" s="18"/>
      <c r="K75" s="53"/>
      <c r="L75" s="53"/>
      <c r="P75" s="53"/>
    </row>
    <row r="76" spans="1:17" s="21" customFormat="1">
      <c r="A76" s="18"/>
      <c r="K76" s="53"/>
      <c r="L76" s="53"/>
      <c r="P76" s="53"/>
    </row>
  </sheetData>
  <mergeCells count="10">
    <mergeCell ref="A71:Q71"/>
    <mergeCell ref="A72:Q72"/>
    <mergeCell ref="B2:E2"/>
    <mergeCell ref="F2:I2"/>
    <mergeCell ref="J2:M2"/>
    <mergeCell ref="N2:Q2"/>
    <mergeCell ref="A67:Q67"/>
    <mergeCell ref="A68:Q68"/>
    <mergeCell ref="A69:Q69"/>
    <mergeCell ref="A70:Q70"/>
  </mergeCells>
  <phoneticPr fontId="7" type="noConversion"/>
  <pageMargins left="0.70866141732283472" right="0.70866141732283472" top="0.74803149606299213" bottom="0.74803149606299213" header="0.31496062992125984" footer="0.31496062992125984"/>
  <pageSetup paperSize="9" scale="31" orientation="landscape" r:id="rId1"/>
  <ignoredErrors>
    <ignoredError sqref="F27 H27 C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C133"/>
  <sheetViews>
    <sheetView zoomScale="90" zoomScaleNormal="90" zoomScaleSheetLayoutView="110" workbookViewId="0">
      <pane xSplit="1" ySplit="3" topLeftCell="K4" activePane="bottomRight" state="frozen"/>
      <selection pane="topRight" activeCell="B1" sqref="B1"/>
      <selection pane="bottomLeft" activeCell="A4" sqref="A4"/>
      <selection pane="bottomRight" activeCell="B4" sqref="B4"/>
    </sheetView>
  </sheetViews>
  <sheetFormatPr defaultRowHeight="12.75"/>
  <cols>
    <col min="1" max="1" width="60.75" style="6" customWidth="1"/>
    <col min="2" max="2" width="13.125" style="6" customWidth="1"/>
    <col min="3" max="4" width="13" style="6" bestFit="1" customWidth="1"/>
    <col min="5" max="5" width="12.5" style="6" bestFit="1" customWidth="1"/>
    <col min="6" max="6" width="13" style="6" bestFit="1" customWidth="1"/>
    <col min="7" max="8" width="12.875" style="6" customWidth="1"/>
    <col min="9" max="9" width="12.5" style="6" customWidth="1"/>
    <col min="10" max="11" width="13" style="6" bestFit="1" customWidth="1"/>
    <col min="12" max="12" width="12.875" style="6" customWidth="1"/>
    <col min="13" max="13" width="12.5" style="6" customWidth="1"/>
    <col min="14" max="16" width="13" style="6" bestFit="1" customWidth="1"/>
    <col min="17" max="17" width="13" style="6" customWidth="1"/>
    <col min="18" max="64" width="9" style="18"/>
    <col min="65" max="16384" width="9" style="6"/>
  </cols>
  <sheetData>
    <row r="1" spans="1:497" s="72" customFormat="1" ht="50.25" customHeight="1" thickBot="1">
      <c r="A1" s="5" t="s">
        <v>247</v>
      </c>
      <c r="B1" s="5"/>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1"/>
      <c r="IX1" s="71"/>
      <c r="IY1" s="71"/>
      <c r="IZ1" s="71"/>
      <c r="JA1" s="71"/>
      <c r="JB1" s="71"/>
      <c r="JC1" s="71"/>
      <c r="JD1" s="71"/>
      <c r="JE1" s="71"/>
      <c r="JF1" s="71"/>
      <c r="JG1" s="71"/>
      <c r="JH1" s="71"/>
      <c r="JI1" s="71"/>
      <c r="JJ1" s="71"/>
      <c r="JK1" s="71"/>
      <c r="JL1" s="71"/>
      <c r="JM1" s="71"/>
      <c r="JN1" s="71"/>
      <c r="JO1" s="71"/>
      <c r="JP1" s="71"/>
      <c r="JQ1" s="71"/>
      <c r="JR1" s="71"/>
      <c r="JS1" s="71"/>
      <c r="JT1" s="71"/>
      <c r="JU1" s="71"/>
      <c r="JV1" s="71"/>
      <c r="JW1" s="71"/>
      <c r="JX1" s="71"/>
      <c r="JY1" s="71"/>
      <c r="JZ1" s="71"/>
      <c r="KA1" s="71"/>
      <c r="KB1" s="71"/>
      <c r="KC1" s="71"/>
      <c r="KD1" s="71"/>
      <c r="KE1" s="71"/>
      <c r="KF1" s="71"/>
      <c r="KG1" s="71"/>
      <c r="KH1" s="71"/>
      <c r="KI1" s="71"/>
      <c r="KJ1" s="71"/>
      <c r="KK1" s="71"/>
      <c r="KL1" s="71"/>
      <c r="KM1" s="71"/>
      <c r="KN1" s="71"/>
      <c r="KO1" s="71"/>
      <c r="KP1" s="71"/>
      <c r="KQ1" s="71"/>
      <c r="KR1" s="71"/>
      <c r="KS1" s="71"/>
      <c r="KT1" s="71"/>
      <c r="KU1" s="71"/>
      <c r="KV1" s="71"/>
      <c r="KW1" s="71"/>
      <c r="KX1" s="71"/>
      <c r="KY1" s="71"/>
      <c r="KZ1" s="71"/>
      <c r="LA1" s="71"/>
      <c r="LB1" s="71"/>
      <c r="LC1" s="71"/>
      <c r="LD1" s="71"/>
      <c r="LE1" s="71"/>
      <c r="LF1" s="71"/>
      <c r="LG1" s="71"/>
      <c r="LH1" s="71"/>
      <c r="LI1" s="71"/>
      <c r="LJ1" s="71"/>
      <c r="LK1" s="71"/>
      <c r="LL1" s="71"/>
      <c r="LM1" s="71"/>
      <c r="LN1" s="71"/>
      <c r="LO1" s="71"/>
      <c r="LP1" s="71"/>
      <c r="LQ1" s="71"/>
      <c r="LR1" s="71"/>
      <c r="LS1" s="71"/>
      <c r="LT1" s="71"/>
      <c r="LU1" s="71"/>
      <c r="LV1" s="71"/>
      <c r="LW1" s="71"/>
      <c r="LX1" s="71"/>
      <c r="LY1" s="71"/>
      <c r="LZ1" s="71"/>
      <c r="MA1" s="71"/>
      <c r="MB1" s="71"/>
      <c r="MC1" s="71"/>
      <c r="MD1" s="71"/>
      <c r="ME1" s="71"/>
      <c r="MF1" s="71"/>
      <c r="MG1" s="71"/>
      <c r="MH1" s="71"/>
      <c r="MI1" s="71"/>
      <c r="MJ1" s="71"/>
      <c r="MK1" s="71"/>
      <c r="ML1" s="71"/>
      <c r="MM1" s="71"/>
      <c r="MN1" s="71"/>
      <c r="MO1" s="71"/>
      <c r="MP1" s="71"/>
      <c r="MQ1" s="71"/>
      <c r="MR1" s="71"/>
      <c r="MS1" s="71"/>
      <c r="MT1" s="71"/>
      <c r="MU1" s="71"/>
      <c r="MV1" s="71"/>
      <c r="MW1" s="71"/>
      <c r="MX1" s="71"/>
      <c r="MY1" s="71"/>
      <c r="MZ1" s="71"/>
      <c r="NA1" s="71"/>
      <c r="NB1" s="71"/>
      <c r="NC1" s="71"/>
      <c r="ND1" s="71"/>
      <c r="NE1" s="71"/>
      <c r="NF1" s="71"/>
      <c r="NG1" s="71"/>
      <c r="NH1" s="71"/>
      <c r="NI1" s="71"/>
      <c r="NJ1" s="71"/>
      <c r="NK1" s="71"/>
      <c r="NL1" s="71"/>
      <c r="NM1" s="71"/>
      <c r="NN1" s="71"/>
      <c r="NO1" s="71"/>
      <c r="NP1" s="71"/>
      <c r="NQ1" s="71"/>
      <c r="NR1" s="71"/>
      <c r="NS1" s="71"/>
      <c r="NT1" s="71"/>
      <c r="NU1" s="71"/>
      <c r="NV1" s="71"/>
      <c r="NW1" s="71"/>
      <c r="NX1" s="71"/>
      <c r="NY1" s="71"/>
      <c r="NZ1" s="71"/>
      <c r="OA1" s="71"/>
      <c r="OB1" s="71"/>
      <c r="OC1" s="71"/>
      <c r="OD1" s="71"/>
      <c r="OE1" s="71"/>
      <c r="OF1" s="71"/>
      <c r="OG1" s="71"/>
      <c r="OH1" s="71"/>
      <c r="OI1" s="71"/>
      <c r="OJ1" s="71"/>
      <c r="OK1" s="71"/>
      <c r="OL1" s="71"/>
      <c r="OM1" s="71"/>
      <c r="ON1" s="71"/>
      <c r="OO1" s="71"/>
      <c r="OP1" s="71"/>
      <c r="OQ1" s="71"/>
      <c r="OR1" s="71"/>
      <c r="OS1" s="71"/>
      <c r="OT1" s="71"/>
      <c r="OU1" s="71"/>
      <c r="OV1" s="71"/>
      <c r="OW1" s="71"/>
      <c r="OX1" s="71"/>
      <c r="OY1" s="71"/>
      <c r="OZ1" s="71"/>
      <c r="PA1" s="71"/>
      <c r="PB1" s="71"/>
      <c r="PC1" s="71"/>
      <c r="PD1" s="71"/>
      <c r="PE1" s="71"/>
      <c r="PF1" s="71"/>
      <c r="PG1" s="71"/>
      <c r="PH1" s="71"/>
      <c r="PI1" s="71"/>
      <c r="PJ1" s="71"/>
      <c r="PK1" s="71"/>
      <c r="PL1" s="71"/>
      <c r="PM1" s="71"/>
      <c r="PN1" s="71"/>
      <c r="PO1" s="71"/>
      <c r="PP1" s="71"/>
      <c r="PQ1" s="71"/>
      <c r="PR1" s="71"/>
      <c r="PS1" s="71"/>
      <c r="PT1" s="71"/>
      <c r="PU1" s="71"/>
      <c r="PV1" s="71"/>
      <c r="PW1" s="71"/>
      <c r="PX1" s="71"/>
      <c r="PY1" s="71"/>
      <c r="PZ1" s="71"/>
      <c r="QA1" s="71"/>
      <c r="QB1" s="71"/>
      <c r="QC1" s="71"/>
      <c r="QD1" s="71"/>
      <c r="QE1" s="71"/>
      <c r="QF1" s="71"/>
      <c r="QG1" s="71"/>
      <c r="QH1" s="71"/>
      <c r="QI1" s="71"/>
      <c r="QJ1" s="71"/>
      <c r="QK1" s="71"/>
      <c r="QL1" s="71"/>
      <c r="QM1" s="71"/>
      <c r="QN1" s="71"/>
      <c r="QO1" s="71"/>
      <c r="QP1" s="71"/>
      <c r="QQ1" s="71"/>
      <c r="QR1" s="71"/>
      <c r="QS1" s="71"/>
      <c r="QT1" s="71"/>
      <c r="QU1" s="71"/>
      <c r="QV1" s="71"/>
      <c r="QW1" s="71"/>
      <c r="QX1" s="71"/>
      <c r="QY1" s="71"/>
      <c r="QZ1" s="71"/>
      <c r="RA1" s="71"/>
      <c r="RB1" s="71"/>
      <c r="RC1" s="71"/>
      <c r="RD1" s="71"/>
      <c r="RE1" s="71"/>
      <c r="RF1" s="71"/>
      <c r="RG1" s="71"/>
      <c r="RH1" s="71"/>
      <c r="RI1" s="71"/>
      <c r="RJ1" s="71"/>
      <c r="RK1" s="71"/>
      <c r="RL1" s="71"/>
      <c r="RM1" s="71"/>
      <c r="RN1" s="71"/>
      <c r="RO1" s="71"/>
      <c r="RP1" s="71"/>
      <c r="RQ1" s="71"/>
      <c r="RR1" s="71"/>
      <c r="RS1" s="71"/>
      <c r="RT1" s="71"/>
      <c r="RU1" s="71"/>
      <c r="RV1" s="71"/>
      <c r="RW1" s="71"/>
      <c r="RX1" s="71"/>
      <c r="RY1" s="71"/>
      <c r="RZ1" s="71"/>
      <c r="SA1" s="71"/>
      <c r="SB1" s="71"/>
      <c r="SC1" s="71"/>
    </row>
    <row r="2" spans="1:497" s="72" customFormat="1" ht="24.95" customHeight="1">
      <c r="A2" s="11" t="s">
        <v>169</v>
      </c>
      <c r="B2" s="553">
        <v>2012</v>
      </c>
      <c r="C2" s="553"/>
      <c r="D2" s="553"/>
      <c r="E2" s="554"/>
      <c r="F2" s="555">
        <v>2013</v>
      </c>
      <c r="G2" s="553"/>
      <c r="H2" s="553"/>
      <c r="I2" s="554"/>
      <c r="J2" s="553">
        <v>2014</v>
      </c>
      <c r="K2" s="553"/>
      <c r="L2" s="553"/>
      <c r="M2" s="553"/>
      <c r="N2" s="558">
        <v>2015</v>
      </c>
      <c r="O2" s="556"/>
      <c r="P2" s="556"/>
      <c r="Q2" s="557"/>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c r="IS2" s="71"/>
      <c r="IT2" s="71"/>
      <c r="IU2" s="71"/>
      <c r="IV2" s="71"/>
      <c r="IW2" s="71"/>
      <c r="IX2" s="71"/>
      <c r="IY2" s="71"/>
      <c r="IZ2" s="71"/>
      <c r="JA2" s="71"/>
      <c r="JB2" s="71"/>
      <c r="JC2" s="71"/>
      <c r="JD2" s="71"/>
      <c r="JE2" s="71"/>
      <c r="JF2" s="71"/>
      <c r="JG2" s="71"/>
      <c r="JH2" s="71"/>
      <c r="JI2" s="71"/>
      <c r="JJ2" s="71"/>
      <c r="JK2" s="71"/>
      <c r="JL2" s="71"/>
      <c r="JM2" s="71"/>
      <c r="JN2" s="71"/>
      <c r="JO2" s="71"/>
      <c r="JP2" s="71"/>
      <c r="JQ2" s="71"/>
      <c r="JR2" s="71"/>
      <c r="JS2" s="71"/>
      <c r="JT2" s="71"/>
      <c r="JU2" s="71"/>
      <c r="JV2" s="71"/>
      <c r="JW2" s="71"/>
      <c r="JX2" s="71"/>
      <c r="JY2" s="71"/>
      <c r="JZ2" s="71"/>
      <c r="KA2" s="71"/>
      <c r="KB2" s="71"/>
      <c r="KC2" s="71"/>
      <c r="KD2" s="71"/>
      <c r="KE2" s="71"/>
      <c r="KF2" s="71"/>
      <c r="KG2" s="71"/>
      <c r="KH2" s="71"/>
      <c r="KI2" s="71"/>
      <c r="KJ2" s="71"/>
      <c r="KK2" s="71"/>
      <c r="KL2" s="71"/>
      <c r="KM2" s="71"/>
      <c r="KN2" s="71"/>
      <c r="KO2" s="71"/>
      <c r="KP2" s="71"/>
      <c r="KQ2" s="71"/>
      <c r="KR2" s="71"/>
      <c r="KS2" s="71"/>
      <c r="KT2" s="71"/>
      <c r="KU2" s="71"/>
      <c r="KV2" s="71"/>
      <c r="KW2" s="71"/>
      <c r="KX2" s="71"/>
      <c r="KY2" s="71"/>
      <c r="KZ2" s="71"/>
      <c r="LA2" s="71"/>
      <c r="LB2" s="71"/>
      <c r="LC2" s="71"/>
      <c r="LD2" s="71"/>
      <c r="LE2" s="71"/>
      <c r="LF2" s="71"/>
      <c r="LG2" s="71"/>
      <c r="LH2" s="71"/>
      <c r="LI2" s="71"/>
      <c r="LJ2" s="71"/>
      <c r="LK2" s="71"/>
      <c r="LL2" s="71"/>
      <c r="LM2" s="71"/>
      <c r="LN2" s="71"/>
      <c r="LO2" s="71"/>
      <c r="LP2" s="71"/>
      <c r="LQ2" s="71"/>
      <c r="LR2" s="71"/>
      <c r="LS2" s="71"/>
      <c r="LT2" s="71"/>
      <c r="LU2" s="71"/>
      <c r="LV2" s="71"/>
      <c r="LW2" s="71"/>
      <c r="LX2" s="71"/>
      <c r="LY2" s="71"/>
      <c r="LZ2" s="71"/>
      <c r="MA2" s="71"/>
      <c r="MB2" s="71"/>
      <c r="MC2" s="71"/>
      <c r="MD2" s="71"/>
      <c r="ME2" s="71"/>
      <c r="MF2" s="71"/>
      <c r="MG2" s="71"/>
      <c r="MH2" s="71"/>
      <c r="MI2" s="71"/>
      <c r="MJ2" s="71"/>
      <c r="MK2" s="71"/>
      <c r="ML2" s="71"/>
      <c r="MM2" s="71"/>
      <c r="MN2" s="71"/>
      <c r="MO2" s="71"/>
      <c r="MP2" s="71"/>
      <c r="MQ2" s="71"/>
      <c r="MR2" s="71"/>
      <c r="MS2" s="71"/>
      <c r="MT2" s="71"/>
      <c r="MU2" s="71"/>
      <c r="MV2" s="71"/>
      <c r="MW2" s="71"/>
      <c r="MX2" s="71"/>
      <c r="MY2" s="71"/>
      <c r="MZ2" s="71"/>
      <c r="NA2" s="71"/>
      <c r="NB2" s="71"/>
      <c r="NC2" s="71"/>
      <c r="ND2" s="71"/>
      <c r="NE2" s="71"/>
      <c r="NF2" s="71"/>
      <c r="NG2" s="71"/>
      <c r="NH2" s="71"/>
      <c r="NI2" s="71"/>
      <c r="NJ2" s="71"/>
      <c r="NK2" s="71"/>
      <c r="NL2" s="71"/>
      <c r="NM2" s="71"/>
      <c r="NN2" s="71"/>
      <c r="NO2" s="71"/>
      <c r="NP2" s="71"/>
      <c r="NQ2" s="71"/>
      <c r="NR2" s="71"/>
      <c r="NS2" s="71"/>
      <c r="NT2" s="71"/>
      <c r="NU2" s="71"/>
      <c r="NV2" s="71"/>
      <c r="NW2" s="71"/>
      <c r="NX2" s="71"/>
      <c r="NY2" s="71"/>
      <c r="NZ2" s="71"/>
      <c r="OA2" s="71"/>
      <c r="OB2" s="71"/>
      <c r="OC2" s="71"/>
      <c r="OD2" s="71"/>
      <c r="OE2" s="71"/>
      <c r="OF2" s="71"/>
      <c r="OG2" s="71"/>
      <c r="OH2" s="71"/>
      <c r="OI2" s="71"/>
      <c r="OJ2" s="71"/>
      <c r="OK2" s="71"/>
      <c r="OL2" s="71"/>
      <c r="OM2" s="71"/>
      <c r="ON2" s="71"/>
      <c r="OO2" s="71"/>
      <c r="OP2" s="71"/>
      <c r="OQ2" s="71"/>
      <c r="OR2" s="71"/>
      <c r="OS2" s="71"/>
      <c r="OT2" s="71"/>
      <c r="OU2" s="71"/>
      <c r="OV2" s="71"/>
      <c r="OW2" s="71"/>
      <c r="OX2" s="71"/>
      <c r="OY2" s="71"/>
      <c r="OZ2" s="71"/>
      <c r="PA2" s="71"/>
      <c r="PB2" s="71"/>
      <c r="PC2" s="71"/>
      <c r="PD2" s="71"/>
      <c r="PE2" s="71"/>
      <c r="PF2" s="71"/>
      <c r="PG2" s="71"/>
      <c r="PH2" s="71"/>
      <c r="PI2" s="71"/>
      <c r="PJ2" s="71"/>
      <c r="PK2" s="71"/>
      <c r="PL2" s="71"/>
      <c r="PM2" s="71"/>
      <c r="PN2" s="71"/>
      <c r="PO2" s="71"/>
      <c r="PP2" s="71"/>
      <c r="PQ2" s="71"/>
      <c r="PR2" s="71"/>
      <c r="PS2" s="71"/>
      <c r="PT2" s="71"/>
      <c r="PU2" s="71"/>
      <c r="PV2" s="71"/>
      <c r="PW2" s="71"/>
      <c r="PX2" s="71"/>
      <c r="PY2" s="71"/>
      <c r="PZ2" s="71"/>
      <c r="QA2" s="71"/>
      <c r="QB2" s="71"/>
      <c r="QC2" s="71"/>
      <c r="QD2" s="71"/>
      <c r="QE2" s="71"/>
      <c r="QF2" s="71"/>
      <c r="QG2" s="71"/>
      <c r="QH2" s="71"/>
      <c r="QI2" s="71"/>
      <c r="QJ2" s="71"/>
      <c r="QK2" s="71"/>
      <c r="QL2" s="71"/>
      <c r="QM2" s="71"/>
      <c r="QN2" s="71"/>
      <c r="QO2" s="71"/>
      <c r="QP2" s="71"/>
      <c r="QQ2" s="71"/>
      <c r="QR2" s="71"/>
      <c r="QS2" s="71"/>
      <c r="QT2" s="71"/>
      <c r="QU2" s="71"/>
      <c r="QV2" s="71"/>
      <c r="QW2" s="71"/>
      <c r="QX2" s="71"/>
      <c r="QY2" s="71"/>
      <c r="QZ2" s="71"/>
      <c r="RA2" s="71"/>
      <c r="RB2" s="71"/>
      <c r="RC2" s="71"/>
      <c r="RD2" s="71"/>
      <c r="RE2" s="71"/>
      <c r="RF2" s="71"/>
      <c r="RG2" s="71"/>
      <c r="RH2" s="71"/>
      <c r="RI2" s="71"/>
      <c r="RJ2" s="71"/>
      <c r="RK2" s="71"/>
      <c r="RL2" s="71"/>
      <c r="RM2" s="71"/>
      <c r="RN2" s="71"/>
      <c r="RO2" s="71"/>
      <c r="RP2" s="71"/>
      <c r="RQ2" s="71"/>
      <c r="RR2" s="71"/>
      <c r="RS2" s="71"/>
      <c r="RT2" s="71"/>
      <c r="RU2" s="71"/>
      <c r="RV2" s="71"/>
      <c r="RW2" s="71"/>
      <c r="RX2" s="71"/>
      <c r="RY2" s="71"/>
      <c r="RZ2" s="71"/>
      <c r="SA2" s="71"/>
      <c r="SB2" s="71"/>
      <c r="SC2" s="71"/>
    </row>
    <row r="3" spans="1:497" ht="34.5" customHeight="1" thickBot="1">
      <c r="A3" s="12" t="s">
        <v>119</v>
      </c>
      <c r="B3" s="293" t="s">
        <v>164</v>
      </c>
      <c r="C3" s="293" t="s">
        <v>165</v>
      </c>
      <c r="D3" s="293" t="s">
        <v>166</v>
      </c>
      <c r="E3" s="315" t="s">
        <v>167</v>
      </c>
      <c r="F3" s="314" t="s">
        <v>164</v>
      </c>
      <c r="G3" s="293" t="s">
        <v>165</v>
      </c>
      <c r="H3" s="293" t="s">
        <v>166</v>
      </c>
      <c r="I3" s="315" t="s">
        <v>167</v>
      </c>
      <c r="J3" s="293" t="s">
        <v>164</v>
      </c>
      <c r="K3" s="293" t="s">
        <v>165</v>
      </c>
      <c r="L3" s="342" t="s">
        <v>166</v>
      </c>
      <c r="M3" s="293" t="s">
        <v>167</v>
      </c>
      <c r="N3" s="314" t="s">
        <v>164</v>
      </c>
      <c r="O3" s="293" t="s">
        <v>165</v>
      </c>
      <c r="P3" s="342" t="s">
        <v>166</v>
      </c>
      <c r="Q3" s="315" t="s">
        <v>167</v>
      </c>
    </row>
    <row r="4" spans="1:497" s="18" customFormat="1" ht="20.100000000000001" customHeight="1" thickBot="1">
      <c r="A4" s="526" t="s">
        <v>168</v>
      </c>
      <c r="B4" s="300">
        <v>205.10900000000001</v>
      </c>
      <c r="C4" s="300">
        <v>304.61200000000002</v>
      </c>
      <c r="D4" s="300">
        <v>476.67400000000004</v>
      </c>
      <c r="E4" s="316">
        <v>598.298</v>
      </c>
      <c r="F4" s="299">
        <v>95.105000000000004</v>
      </c>
      <c r="G4" s="300">
        <v>175.85</v>
      </c>
      <c r="H4" s="300">
        <v>352.30099999999999</v>
      </c>
      <c r="I4" s="316">
        <v>525.44500000000005</v>
      </c>
      <c r="J4" s="300">
        <v>98.171999999999997</v>
      </c>
      <c r="K4" s="301">
        <f>'Skonsolidowany RZiS'!M25+'Skonsolidowany RZiS'!L25</f>
        <v>230.30000000000004</v>
      </c>
      <c r="L4" s="343">
        <v>278.5</v>
      </c>
      <c r="M4" s="302">
        <f>'Skonsolidowany RZiS'!P25</f>
        <v>292.3999999999989</v>
      </c>
      <c r="N4" s="331">
        <v>170.8</v>
      </c>
      <c r="O4" s="301">
        <v>475.29999999999984</v>
      </c>
      <c r="P4" s="343">
        <f>SUM('Skonsolidowany RZiS'!Q25:S25)</f>
        <v>977.79999999999973</v>
      </c>
      <c r="Q4" s="303"/>
    </row>
    <row r="5" spans="1:497" s="18" customFormat="1" ht="20.100000000000001" customHeight="1" thickBot="1">
      <c r="A5" s="526" t="s">
        <v>29</v>
      </c>
      <c r="B5" s="304">
        <f t="shared" ref="B5:P5" si="0">SUM(B6:B23)</f>
        <v>28.31799999999998</v>
      </c>
      <c r="C5" s="304">
        <f t="shared" si="0"/>
        <v>110.99899999999997</v>
      </c>
      <c r="D5" s="304">
        <f t="shared" si="0"/>
        <v>152.09600000000003</v>
      </c>
      <c r="E5" s="316">
        <f t="shared" si="0"/>
        <v>244.9200000000001</v>
      </c>
      <c r="F5" s="299">
        <f t="shared" si="0"/>
        <v>70.556999999999988</v>
      </c>
      <c r="G5" s="300">
        <f t="shared" si="0"/>
        <v>176.07799999999997</v>
      </c>
      <c r="H5" s="300">
        <f t="shared" si="0"/>
        <v>195.94299999999996</v>
      </c>
      <c r="I5" s="316">
        <f t="shared" si="0"/>
        <v>334.28999999999991</v>
      </c>
      <c r="J5" s="300">
        <f t="shared" si="0"/>
        <v>86.532000000000011</v>
      </c>
      <c r="K5" s="301">
        <f t="shared" si="0"/>
        <v>505.4000000000002</v>
      </c>
      <c r="L5" s="344">
        <f t="shared" si="0"/>
        <v>1145.4000000000001</v>
      </c>
      <c r="M5" s="302">
        <f t="shared" si="0"/>
        <v>1825.3000000000002</v>
      </c>
      <c r="N5" s="331">
        <f t="shared" si="0"/>
        <v>282.2000000000001</v>
      </c>
      <c r="O5" s="302">
        <f t="shared" si="0"/>
        <v>852.69999999999982</v>
      </c>
      <c r="P5" s="344">
        <f t="shared" si="0"/>
        <v>1195.6999999999994</v>
      </c>
      <c r="Q5" s="303"/>
    </row>
    <row r="6" spans="1:497" s="18" customFormat="1" ht="20.100000000000001" customHeight="1">
      <c r="A6" s="527" t="s">
        <v>87</v>
      </c>
      <c r="B6" s="227">
        <v>54.433</v>
      </c>
      <c r="C6" s="227">
        <v>111.117</v>
      </c>
      <c r="D6" s="227">
        <v>171.35499999999999</v>
      </c>
      <c r="E6" s="318">
        <v>243.066</v>
      </c>
      <c r="F6" s="317">
        <v>60.698</v>
      </c>
      <c r="G6" s="227">
        <v>122.961</v>
      </c>
      <c r="H6" s="227">
        <v>187.82599999999999</v>
      </c>
      <c r="I6" s="318">
        <v>256.416</v>
      </c>
      <c r="J6" s="208">
        <v>62.434000000000005</v>
      </c>
      <c r="K6" s="296">
        <v>373.8</v>
      </c>
      <c r="L6" s="294">
        <v>852.1</v>
      </c>
      <c r="M6" s="209">
        <v>1295.9000000000001</v>
      </c>
      <c r="N6" s="332">
        <v>467.9</v>
      </c>
      <c r="O6" s="333">
        <v>861.4</v>
      </c>
      <c r="P6" s="345">
        <v>1262.5999999999999</v>
      </c>
      <c r="Q6" s="193"/>
    </row>
    <row r="7" spans="1:497" s="18" customFormat="1" ht="20.100000000000001" customHeight="1">
      <c r="A7" s="527" t="s">
        <v>54</v>
      </c>
      <c r="B7" s="320">
        <v>-29.711000000000002</v>
      </c>
      <c r="C7" s="320">
        <v>-88.683000000000007</v>
      </c>
      <c r="D7" s="320">
        <v>-140.589</v>
      </c>
      <c r="E7" s="321">
        <v>-177.86799999999999</v>
      </c>
      <c r="F7" s="319">
        <v>-44.32</v>
      </c>
      <c r="G7" s="320">
        <v>-122.45100000000001</v>
      </c>
      <c r="H7" s="320">
        <v>-189.477</v>
      </c>
      <c r="I7" s="321">
        <v>-222.45600000000002</v>
      </c>
      <c r="J7" s="308">
        <v>-109.42100000000001</v>
      </c>
      <c r="K7" s="309">
        <v>-148.9</v>
      </c>
      <c r="L7" s="352">
        <v>-224.7</v>
      </c>
      <c r="M7" s="309">
        <v>-306.8</v>
      </c>
      <c r="N7" s="334">
        <v>-41.5</v>
      </c>
      <c r="O7" s="335">
        <v>-115.2</v>
      </c>
      <c r="P7" s="346">
        <v>-195.4</v>
      </c>
      <c r="Q7" s="336"/>
    </row>
    <row r="8" spans="1:497" s="18" customFormat="1" ht="20.100000000000001" customHeight="1">
      <c r="A8" s="527" t="s">
        <v>55</v>
      </c>
      <c r="B8" s="227">
        <v>46.908999999999999</v>
      </c>
      <c r="C8" s="227">
        <v>99.832000000000008</v>
      </c>
      <c r="D8" s="227">
        <v>145.40600000000001</v>
      </c>
      <c r="E8" s="318">
        <v>194.52100000000002</v>
      </c>
      <c r="F8" s="317">
        <v>46.048999999999999</v>
      </c>
      <c r="G8" s="227">
        <v>102.423</v>
      </c>
      <c r="H8" s="227">
        <v>162.63200000000001</v>
      </c>
      <c r="I8" s="318">
        <v>220.37100000000001</v>
      </c>
      <c r="J8" s="208">
        <v>40.084000000000003</v>
      </c>
      <c r="K8" s="296">
        <v>85.1</v>
      </c>
      <c r="L8" s="294">
        <v>162.19999999999999</v>
      </c>
      <c r="M8" s="209">
        <v>224.4</v>
      </c>
      <c r="N8" s="332">
        <v>43.7</v>
      </c>
      <c r="O8" s="333">
        <v>90.5</v>
      </c>
      <c r="P8" s="345">
        <v>149.9</v>
      </c>
      <c r="Q8" s="193"/>
    </row>
    <row r="9" spans="1:497" s="18" customFormat="1" ht="20.100000000000001" customHeight="1">
      <c r="A9" s="527" t="s">
        <v>103</v>
      </c>
      <c r="B9" s="320">
        <v>-1.0999999999999999E-2</v>
      </c>
      <c r="C9" s="320">
        <v>-0.25700000000000001</v>
      </c>
      <c r="D9" s="320">
        <v>-0.48299999999999998</v>
      </c>
      <c r="E9" s="321">
        <v>-0.111</v>
      </c>
      <c r="F9" s="317">
        <v>5.8000000000000003E-2</v>
      </c>
      <c r="G9" s="227">
        <v>7.2999999999999995E-2</v>
      </c>
      <c r="H9" s="320">
        <v>-38.896000000000001</v>
      </c>
      <c r="I9" s="321">
        <v>-35.765000000000001</v>
      </c>
      <c r="J9" s="308">
        <v>-5.2999999999999999E-2</v>
      </c>
      <c r="K9" s="309">
        <v>-0.7</v>
      </c>
      <c r="L9" s="352">
        <v>-2.4</v>
      </c>
      <c r="M9" s="309">
        <v>-2.9</v>
      </c>
      <c r="N9" s="334">
        <v>-0.4</v>
      </c>
      <c r="O9" s="335">
        <v>-4.8</v>
      </c>
      <c r="P9" s="346">
        <v>-5.7</v>
      </c>
      <c r="Q9" s="193"/>
    </row>
    <row r="10" spans="1:497" s="18" customFormat="1" ht="20.100000000000001" customHeight="1">
      <c r="A10" s="527" t="s">
        <v>56</v>
      </c>
      <c r="B10" s="227">
        <v>2.3109999999999999</v>
      </c>
      <c r="C10" s="227">
        <v>4.6020000000000003</v>
      </c>
      <c r="D10" s="227">
        <v>6.1379999999999999</v>
      </c>
      <c r="E10" s="318">
        <v>9.2439999999999998</v>
      </c>
      <c r="F10" s="317">
        <v>3.504</v>
      </c>
      <c r="G10" s="227">
        <v>5.843</v>
      </c>
      <c r="H10" s="227">
        <v>6.3049999999999997</v>
      </c>
      <c r="I10" s="318">
        <v>6.407</v>
      </c>
      <c r="J10" s="208">
        <v>4.1000000000000002E-2</v>
      </c>
      <c r="K10" s="296">
        <v>0.1</v>
      </c>
      <c r="L10" s="294">
        <v>30.4</v>
      </c>
      <c r="M10" s="209">
        <v>30.5</v>
      </c>
      <c r="N10" s="332">
        <v>0.1</v>
      </c>
      <c r="O10" s="333">
        <v>0.5</v>
      </c>
      <c r="P10" s="345">
        <v>0.5</v>
      </c>
      <c r="Q10" s="193"/>
    </row>
    <row r="11" spans="1:497" s="18" customFormat="1" ht="20.100000000000001" customHeight="1">
      <c r="A11" s="527" t="s">
        <v>30</v>
      </c>
      <c r="B11" s="227">
        <v>52.017000000000003</v>
      </c>
      <c r="C11" s="227">
        <v>105.822</v>
      </c>
      <c r="D11" s="227">
        <v>156.893</v>
      </c>
      <c r="E11" s="318">
        <v>205.185</v>
      </c>
      <c r="F11" s="317">
        <v>46.368000000000002</v>
      </c>
      <c r="G11" s="227">
        <v>93.388999999999996</v>
      </c>
      <c r="H11" s="227">
        <v>140.42699999999999</v>
      </c>
      <c r="I11" s="318">
        <v>183.81100000000001</v>
      </c>
      <c r="J11" s="208">
        <v>90.381</v>
      </c>
      <c r="K11" s="296">
        <v>248.5</v>
      </c>
      <c r="L11" s="294">
        <v>421.4</v>
      </c>
      <c r="M11" s="209">
        <v>603.70000000000005</v>
      </c>
      <c r="N11" s="332">
        <v>177.4</v>
      </c>
      <c r="O11" s="333">
        <v>348.5</v>
      </c>
      <c r="P11" s="345">
        <v>581.29999999999995</v>
      </c>
      <c r="Q11" s="193"/>
    </row>
    <row r="12" spans="1:497" s="18" customFormat="1" ht="20.100000000000001" customHeight="1">
      <c r="A12" s="527" t="s">
        <v>31</v>
      </c>
      <c r="B12" s="320">
        <v>-7.2490000000000006</v>
      </c>
      <c r="C12" s="320">
        <v>-7.3810000000000002</v>
      </c>
      <c r="D12" s="227">
        <v>1.093</v>
      </c>
      <c r="E12" s="318">
        <v>16.173000000000002</v>
      </c>
      <c r="F12" s="317">
        <v>11.273</v>
      </c>
      <c r="G12" s="227">
        <v>4.4740000000000002</v>
      </c>
      <c r="H12" s="227">
        <v>5.9119999999999999</v>
      </c>
      <c r="I12" s="318">
        <v>14.839</v>
      </c>
      <c r="J12" s="308">
        <v>-16.302</v>
      </c>
      <c r="K12" s="309">
        <v>-41.8</v>
      </c>
      <c r="L12" s="352">
        <v>-14.7</v>
      </c>
      <c r="M12" s="209">
        <v>0.5</v>
      </c>
      <c r="N12" s="332">
        <v>48.6</v>
      </c>
      <c r="O12" s="333">
        <v>45.6</v>
      </c>
      <c r="P12" s="345">
        <v>43.3</v>
      </c>
      <c r="Q12" s="193"/>
    </row>
    <row r="13" spans="1:497" s="18" customFormat="1" ht="20.100000000000001" customHeight="1">
      <c r="A13" s="527" t="s">
        <v>32</v>
      </c>
      <c r="B13" s="320">
        <v>-48.496000000000002</v>
      </c>
      <c r="C13" s="320">
        <v>-85.073000000000008</v>
      </c>
      <c r="D13" s="320">
        <v>-90.59</v>
      </c>
      <c r="E13" s="321">
        <v>-106.816</v>
      </c>
      <c r="F13" s="319">
        <v>-18.654</v>
      </c>
      <c r="G13" s="320">
        <v>-16.358000000000001</v>
      </c>
      <c r="H13" s="227">
        <v>16.681000000000001</v>
      </c>
      <c r="I13" s="318">
        <v>60.908000000000001</v>
      </c>
      <c r="J13" s="308">
        <v>-5.1610000000000005</v>
      </c>
      <c r="K13" s="309">
        <v>-29.2</v>
      </c>
      <c r="L13" s="352">
        <v>-87.6</v>
      </c>
      <c r="M13" s="309">
        <v>-191.9</v>
      </c>
      <c r="N13" s="334">
        <v>-211.8</v>
      </c>
      <c r="O13" s="335">
        <v>-581.20000000000005</v>
      </c>
      <c r="P13" s="346">
        <v>-349.3</v>
      </c>
      <c r="Q13" s="193"/>
    </row>
    <row r="14" spans="1:497" s="18" customFormat="1" ht="20.100000000000001" customHeight="1">
      <c r="A14" s="527" t="s">
        <v>71</v>
      </c>
      <c r="B14" s="227">
        <v>53.564</v>
      </c>
      <c r="C14" s="227">
        <v>51.881</v>
      </c>
      <c r="D14" s="227">
        <v>66.406999999999996</v>
      </c>
      <c r="E14" s="318">
        <v>67.872</v>
      </c>
      <c r="F14" s="319">
        <v>-36.840000000000003</v>
      </c>
      <c r="G14" s="320">
        <v>-56.231999999999999</v>
      </c>
      <c r="H14" s="320">
        <v>-85.896000000000001</v>
      </c>
      <c r="I14" s="321">
        <v>-104.93900000000001</v>
      </c>
      <c r="J14" s="208">
        <v>31.469000000000001</v>
      </c>
      <c r="K14" s="309">
        <v>-73.8</v>
      </c>
      <c r="L14" s="352">
        <v>-175.9</v>
      </c>
      <c r="M14" s="309">
        <v>-195.6</v>
      </c>
      <c r="N14" s="334">
        <v>-216.1</v>
      </c>
      <c r="O14" s="333">
        <v>69.3</v>
      </c>
      <c r="P14" s="346">
        <v>-184.3</v>
      </c>
      <c r="Q14" s="193"/>
    </row>
    <row r="15" spans="1:497" s="18" customFormat="1" ht="20.100000000000001" customHeight="1">
      <c r="A15" s="527" t="s">
        <v>57</v>
      </c>
      <c r="B15" s="320">
        <v>-0.186</v>
      </c>
      <c r="C15" s="227">
        <v>4.0730000000000004</v>
      </c>
      <c r="D15" s="227">
        <v>0.502</v>
      </c>
      <c r="E15" s="318">
        <v>2.093</v>
      </c>
      <c r="F15" s="319">
        <v>-1.048</v>
      </c>
      <c r="G15" s="227">
        <v>2.4170000000000003</v>
      </c>
      <c r="H15" s="320">
        <v>-3.5390000000000001</v>
      </c>
      <c r="I15" s="318">
        <v>6.4770000000000003</v>
      </c>
      <c r="J15" s="308">
        <v>-13.309000000000001</v>
      </c>
      <c r="K15" s="309">
        <v>-1.5</v>
      </c>
      <c r="L15" s="352">
        <v>-17.399999999999999</v>
      </c>
      <c r="M15" s="309">
        <v>-4.9000000000000004</v>
      </c>
      <c r="N15" s="334">
        <v>-11.7</v>
      </c>
      <c r="O15" s="335">
        <v>-7.6</v>
      </c>
      <c r="P15" s="346">
        <v>-17.7</v>
      </c>
      <c r="Q15" s="193"/>
    </row>
    <row r="16" spans="1:497" s="18" customFormat="1" ht="20.100000000000001" customHeight="1">
      <c r="A16" s="527" t="s">
        <v>58</v>
      </c>
      <c r="B16" s="320">
        <v>-9.7880000000000003</v>
      </c>
      <c r="C16" s="320">
        <v>-10.354000000000001</v>
      </c>
      <c r="D16" s="320">
        <v>-21.978000000000002</v>
      </c>
      <c r="E16" s="321">
        <v>-31.345000000000002</v>
      </c>
      <c r="F16" s="317">
        <v>3.66</v>
      </c>
      <c r="G16" s="227">
        <v>9.0690000000000008</v>
      </c>
      <c r="H16" s="227">
        <v>11.329000000000001</v>
      </c>
      <c r="I16" s="318">
        <v>14.404</v>
      </c>
      <c r="J16" s="208">
        <v>11.066000000000001</v>
      </c>
      <c r="K16" s="296">
        <v>11.1</v>
      </c>
      <c r="L16" s="352">
        <v>-0.2</v>
      </c>
      <c r="M16" s="309">
        <v>-3.9</v>
      </c>
      <c r="N16" s="334">
        <v>-0.6</v>
      </c>
      <c r="O16" s="333">
        <v>5.3</v>
      </c>
      <c r="P16" s="345">
        <v>4.8</v>
      </c>
      <c r="Q16" s="193"/>
    </row>
    <row r="17" spans="1:17" s="18" customFormat="1" ht="20.100000000000001" customHeight="1">
      <c r="A17" s="527" t="s">
        <v>112</v>
      </c>
      <c r="B17" s="320">
        <v>-0.73</v>
      </c>
      <c r="C17" s="320">
        <v>-1.5010000000000001</v>
      </c>
      <c r="D17" s="320">
        <v>-2.044</v>
      </c>
      <c r="E17" s="321">
        <v>-2.8970000000000002</v>
      </c>
      <c r="F17" s="319">
        <v>-0.76200000000000001</v>
      </c>
      <c r="G17" s="320">
        <v>-1.58</v>
      </c>
      <c r="H17" s="320">
        <v>-2.3290000000000002</v>
      </c>
      <c r="I17" s="321">
        <v>-2.9239999999999999</v>
      </c>
      <c r="J17" s="308">
        <v>-0.63300000000000001</v>
      </c>
      <c r="K17" s="309">
        <v>-1.3</v>
      </c>
      <c r="L17" s="352">
        <v>-2</v>
      </c>
      <c r="M17" s="309">
        <v>-2.6</v>
      </c>
      <c r="N17" s="334">
        <v>-0.5</v>
      </c>
      <c r="O17" s="335">
        <v>-1.4</v>
      </c>
      <c r="P17" s="346">
        <v>-1.9</v>
      </c>
      <c r="Q17" s="193"/>
    </row>
    <row r="18" spans="1:17" s="18" customFormat="1" ht="20.100000000000001" customHeight="1">
      <c r="A18" s="527" t="s">
        <v>66</v>
      </c>
      <c r="B18" s="320">
        <v>-87.786000000000001</v>
      </c>
      <c r="C18" s="320">
        <v>-51.798000000000002</v>
      </c>
      <c r="D18" s="320">
        <v>-102.06700000000001</v>
      </c>
      <c r="E18" s="321">
        <v>-111.07600000000001</v>
      </c>
      <c r="F18" s="317">
        <v>25.975999999999999</v>
      </c>
      <c r="G18" s="227">
        <v>77.412999999999997</v>
      </c>
      <c r="H18" s="227">
        <v>39.252000000000002</v>
      </c>
      <c r="I18" s="318">
        <v>16.294</v>
      </c>
      <c r="J18" s="208">
        <v>10.337</v>
      </c>
      <c r="K18" s="296">
        <v>8.8000000000000007</v>
      </c>
      <c r="L18" s="294">
        <v>164.9</v>
      </c>
      <c r="M18" s="209">
        <v>369.9</v>
      </c>
      <c r="N18" s="332">
        <v>37.1</v>
      </c>
      <c r="O18" s="333">
        <v>99.2</v>
      </c>
      <c r="P18" s="345">
        <v>135.80000000000001</v>
      </c>
      <c r="Q18" s="193"/>
    </row>
    <row r="19" spans="1:17" s="18" customFormat="1" ht="20.100000000000001" customHeight="1">
      <c r="A19" s="527" t="s">
        <v>33</v>
      </c>
      <c r="B19" s="227">
        <v>41.158999999999999</v>
      </c>
      <c r="C19" s="227">
        <v>54.56</v>
      </c>
      <c r="D19" s="227">
        <v>80.768000000000001</v>
      </c>
      <c r="E19" s="318">
        <v>97.349000000000004</v>
      </c>
      <c r="F19" s="317">
        <v>14.031000000000001</v>
      </c>
      <c r="G19" s="227">
        <v>27.457000000000001</v>
      </c>
      <c r="H19" s="227">
        <v>51.835000000000001</v>
      </c>
      <c r="I19" s="318">
        <v>67.376000000000005</v>
      </c>
      <c r="J19" s="208">
        <v>14.384</v>
      </c>
      <c r="K19" s="296">
        <v>31.1</v>
      </c>
      <c r="L19" s="294">
        <v>32.200000000000003</v>
      </c>
      <c r="M19" s="209">
        <v>21.7</v>
      </c>
      <c r="N19" s="332">
        <v>26</v>
      </c>
      <c r="O19" s="333">
        <v>71.900000000000006</v>
      </c>
      <c r="P19" s="345">
        <v>182.7</v>
      </c>
      <c r="Q19" s="193"/>
    </row>
    <row r="20" spans="1:17" s="18" customFormat="1" ht="20.100000000000001" customHeight="1">
      <c r="A20" s="527" t="s">
        <v>72</v>
      </c>
      <c r="B20" s="320">
        <v>-38.363</v>
      </c>
      <c r="C20" s="320">
        <v>-76.626000000000005</v>
      </c>
      <c r="D20" s="320">
        <v>-120.02500000000001</v>
      </c>
      <c r="E20" s="321">
        <v>-164.00800000000001</v>
      </c>
      <c r="F20" s="319">
        <v>-40.92</v>
      </c>
      <c r="G20" s="320">
        <v>-81.858999999999995</v>
      </c>
      <c r="H20" s="320">
        <v>-116.813</v>
      </c>
      <c r="I20" s="321">
        <v>-158.85900000000001</v>
      </c>
      <c r="J20" s="308">
        <v>-30.564</v>
      </c>
      <c r="K20" s="309">
        <v>-65.3</v>
      </c>
      <c r="L20" s="352">
        <v>-142.1</v>
      </c>
      <c r="M20" s="309">
        <v>-193.1</v>
      </c>
      <c r="N20" s="334">
        <v>-43.6</v>
      </c>
      <c r="O20" s="335">
        <v>-72.2</v>
      </c>
      <c r="P20" s="346">
        <v>-96.7</v>
      </c>
      <c r="Q20" s="193"/>
    </row>
    <row r="21" spans="1:17" s="18" customFormat="1" ht="20.100000000000001" customHeight="1">
      <c r="A21" s="527" t="s">
        <v>104</v>
      </c>
      <c r="B21" s="195">
        <v>0</v>
      </c>
      <c r="C21" s="195">
        <v>0</v>
      </c>
      <c r="D21" s="195">
        <v>0</v>
      </c>
      <c r="E21" s="324">
        <v>0</v>
      </c>
      <c r="F21" s="285">
        <v>0</v>
      </c>
      <c r="G21" s="195">
        <v>0</v>
      </c>
      <c r="H21" s="195">
        <v>0</v>
      </c>
      <c r="I21" s="324">
        <v>0</v>
      </c>
      <c r="J21" s="204">
        <v>0</v>
      </c>
      <c r="K21" s="296">
        <v>16.5</v>
      </c>
      <c r="L21" s="294">
        <v>55.4</v>
      </c>
      <c r="M21" s="209">
        <v>84.3</v>
      </c>
      <c r="N21" s="332">
        <v>10.6</v>
      </c>
      <c r="O21" s="333">
        <v>33.9</v>
      </c>
      <c r="P21" s="345">
        <v>37.6</v>
      </c>
      <c r="Q21" s="193"/>
    </row>
    <row r="22" spans="1:17" s="18" customFormat="1" ht="30" customHeight="1">
      <c r="A22" s="528" t="s">
        <v>239</v>
      </c>
      <c r="B22" s="195">
        <v>0</v>
      </c>
      <c r="C22" s="195">
        <v>0</v>
      </c>
      <c r="D22" s="195">
        <v>0</v>
      </c>
      <c r="E22" s="324">
        <v>0</v>
      </c>
      <c r="F22" s="285">
        <v>0</v>
      </c>
      <c r="G22" s="195">
        <v>0</v>
      </c>
      <c r="H22" s="195">
        <v>0</v>
      </c>
      <c r="I22" s="324">
        <v>0</v>
      </c>
      <c r="J22" s="285">
        <v>0</v>
      </c>
      <c r="K22" s="195">
        <v>0</v>
      </c>
      <c r="L22" s="294">
        <v>82.1</v>
      </c>
      <c r="M22" s="324">
        <v>0</v>
      </c>
      <c r="N22" s="285">
        <v>0</v>
      </c>
      <c r="O22" s="195">
        <v>0</v>
      </c>
      <c r="P22" s="346">
        <v>-371.4</v>
      </c>
      <c r="Q22" s="193"/>
    </row>
    <row r="23" spans="1:17" s="18" customFormat="1" ht="20.100000000000001" customHeight="1" thickBot="1">
      <c r="A23" s="527" t="s">
        <v>34</v>
      </c>
      <c r="B23" s="227">
        <v>0.245</v>
      </c>
      <c r="C23" s="227">
        <v>0.78500000000000003</v>
      </c>
      <c r="D23" s="227">
        <v>1.31</v>
      </c>
      <c r="E23" s="318">
        <v>3.5380000000000003</v>
      </c>
      <c r="F23" s="317">
        <v>1.484</v>
      </c>
      <c r="G23" s="530">
        <f>4.197+4.842</f>
        <v>9.0389999999999997</v>
      </c>
      <c r="H23" s="530">
        <f>5.852+4.842</f>
        <v>10.693999999999999</v>
      </c>
      <c r="I23" s="318">
        <v>11.93</v>
      </c>
      <c r="J23" s="208">
        <v>1.7790000000000001</v>
      </c>
      <c r="K23" s="296">
        <v>92.9</v>
      </c>
      <c r="L23" s="294">
        <v>11.7</v>
      </c>
      <c r="M23" s="209">
        <v>96.1</v>
      </c>
      <c r="N23" s="334">
        <v>-3</v>
      </c>
      <c r="O23" s="333">
        <v>9</v>
      </c>
      <c r="P23" s="345">
        <v>19.600000000000001</v>
      </c>
      <c r="Q23" s="193"/>
    </row>
    <row r="24" spans="1:17" s="18" customFormat="1" ht="20.100000000000001" customHeight="1" thickBot="1">
      <c r="A24" s="526" t="s">
        <v>37</v>
      </c>
      <c r="B24" s="300">
        <f t="shared" ref="B24:P24" si="1">B4+B5</f>
        <v>233.42699999999999</v>
      </c>
      <c r="C24" s="300">
        <f t="shared" si="1"/>
        <v>415.61099999999999</v>
      </c>
      <c r="D24" s="300">
        <f t="shared" si="1"/>
        <v>628.7700000000001</v>
      </c>
      <c r="E24" s="316">
        <f t="shared" si="1"/>
        <v>843.21800000000007</v>
      </c>
      <c r="F24" s="299">
        <f t="shared" si="1"/>
        <v>165.66199999999998</v>
      </c>
      <c r="G24" s="300">
        <f t="shared" si="1"/>
        <v>351.928</v>
      </c>
      <c r="H24" s="300">
        <f t="shared" si="1"/>
        <v>548.24399999999991</v>
      </c>
      <c r="I24" s="316">
        <f t="shared" si="1"/>
        <v>859.7349999999999</v>
      </c>
      <c r="J24" s="300">
        <f t="shared" si="1"/>
        <v>184.70400000000001</v>
      </c>
      <c r="K24" s="301">
        <f t="shared" si="1"/>
        <v>735.70000000000027</v>
      </c>
      <c r="L24" s="344">
        <f t="shared" si="1"/>
        <v>1423.9</v>
      </c>
      <c r="M24" s="302">
        <f t="shared" si="1"/>
        <v>2117.6999999999989</v>
      </c>
      <c r="N24" s="331">
        <f t="shared" si="1"/>
        <v>453.00000000000011</v>
      </c>
      <c r="O24" s="302">
        <f t="shared" si="1"/>
        <v>1327.9999999999995</v>
      </c>
      <c r="P24" s="344">
        <f t="shared" si="1"/>
        <v>2173.4999999999991</v>
      </c>
      <c r="Q24" s="303"/>
    </row>
    <row r="25" spans="1:17" s="18" customFormat="1" ht="20.100000000000001" customHeight="1">
      <c r="A25" s="527" t="s">
        <v>35</v>
      </c>
      <c r="B25" s="320">
        <v>-12.561</v>
      </c>
      <c r="C25" s="320">
        <v>-47.188000000000002</v>
      </c>
      <c r="D25" s="320">
        <v>-59.765999999999998</v>
      </c>
      <c r="E25" s="321">
        <v>-78.733000000000004</v>
      </c>
      <c r="F25" s="319">
        <v>-13.763</v>
      </c>
      <c r="G25" s="320">
        <v>-26.318999999999999</v>
      </c>
      <c r="H25" s="320">
        <v>-37.451999999999998</v>
      </c>
      <c r="I25" s="321">
        <v>-67.486000000000004</v>
      </c>
      <c r="J25" s="308">
        <v>-17.809000000000001</v>
      </c>
      <c r="K25" s="309">
        <v>-99.5</v>
      </c>
      <c r="L25" s="352">
        <v>-135.19999999999999</v>
      </c>
      <c r="M25" s="309">
        <v>-189.1</v>
      </c>
      <c r="N25" s="334">
        <v>-48.5</v>
      </c>
      <c r="O25" s="335">
        <v>-44.2</v>
      </c>
      <c r="P25" s="346">
        <v>-94.2</v>
      </c>
      <c r="Q25" s="193"/>
    </row>
    <row r="26" spans="1:17" s="18" customFormat="1" ht="20.100000000000001" customHeight="1" thickBot="1">
      <c r="A26" s="527" t="s">
        <v>36</v>
      </c>
      <c r="B26" s="227">
        <v>3.843</v>
      </c>
      <c r="C26" s="227">
        <v>8.1440000000000001</v>
      </c>
      <c r="D26" s="227">
        <v>12.96</v>
      </c>
      <c r="E26" s="318">
        <v>16.882000000000001</v>
      </c>
      <c r="F26" s="317">
        <v>3.544</v>
      </c>
      <c r="G26" s="227">
        <v>6.1040000000000001</v>
      </c>
      <c r="H26" s="227">
        <v>8.5630000000000006</v>
      </c>
      <c r="I26" s="318">
        <v>10.41</v>
      </c>
      <c r="J26" s="208">
        <v>2.165</v>
      </c>
      <c r="K26" s="296">
        <v>13.4</v>
      </c>
      <c r="L26" s="294">
        <v>33.1</v>
      </c>
      <c r="M26" s="209">
        <v>45.2</v>
      </c>
      <c r="N26" s="332">
        <v>13.2</v>
      </c>
      <c r="O26" s="333">
        <v>20.5</v>
      </c>
      <c r="P26" s="345">
        <v>30.5</v>
      </c>
      <c r="Q26" s="193"/>
    </row>
    <row r="27" spans="1:17" s="18" customFormat="1" ht="24.95" customHeight="1" thickBot="1">
      <c r="A27" s="22" t="s">
        <v>73</v>
      </c>
      <c r="B27" s="311">
        <f t="shared" ref="B27:P27" si="2">SUM(B24:B26)</f>
        <v>224.70899999999997</v>
      </c>
      <c r="C27" s="311">
        <f t="shared" si="2"/>
        <v>376.56700000000001</v>
      </c>
      <c r="D27" s="311">
        <f t="shared" si="2"/>
        <v>581.96400000000017</v>
      </c>
      <c r="E27" s="325">
        <f t="shared" si="2"/>
        <v>781.36700000000008</v>
      </c>
      <c r="F27" s="310">
        <f t="shared" si="2"/>
        <v>155.44299999999998</v>
      </c>
      <c r="G27" s="311">
        <f t="shared" si="2"/>
        <v>331.71299999999997</v>
      </c>
      <c r="H27" s="311">
        <f t="shared" si="2"/>
        <v>519.3549999999999</v>
      </c>
      <c r="I27" s="325">
        <f t="shared" si="2"/>
        <v>802.65899999999988</v>
      </c>
      <c r="J27" s="311">
        <f t="shared" si="2"/>
        <v>169.06</v>
      </c>
      <c r="K27" s="312">
        <f t="shared" si="2"/>
        <v>649.60000000000025</v>
      </c>
      <c r="L27" s="347">
        <f t="shared" si="2"/>
        <v>1321.8</v>
      </c>
      <c r="M27" s="217">
        <f t="shared" si="2"/>
        <v>1973.799999999999</v>
      </c>
      <c r="N27" s="337">
        <f t="shared" si="2"/>
        <v>417.7000000000001</v>
      </c>
      <c r="O27" s="217">
        <f t="shared" si="2"/>
        <v>1304.2999999999995</v>
      </c>
      <c r="P27" s="347">
        <f t="shared" si="2"/>
        <v>2109.7999999999993</v>
      </c>
      <c r="Q27" s="313"/>
    </row>
    <row r="28" spans="1:17" s="18" customFormat="1" ht="20.100000000000001" customHeight="1">
      <c r="A28" s="527" t="s">
        <v>39</v>
      </c>
      <c r="B28" s="320">
        <v>-13.759</v>
      </c>
      <c r="C28" s="320">
        <v>-28.18</v>
      </c>
      <c r="D28" s="320">
        <v>-40.478000000000002</v>
      </c>
      <c r="E28" s="321">
        <v>-54.936999999999998</v>
      </c>
      <c r="F28" s="319">
        <v>-21.702999999999999</v>
      </c>
      <c r="G28" s="320">
        <v>-40.633000000000003</v>
      </c>
      <c r="H28" s="320">
        <v>-53.000999999999998</v>
      </c>
      <c r="I28" s="321">
        <v>-60.844999999999999</v>
      </c>
      <c r="J28" s="308">
        <v>-19.433</v>
      </c>
      <c r="K28" s="309">
        <v>-93</v>
      </c>
      <c r="L28" s="352">
        <v>-180</v>
      </c>
      <c r="M28" s="309">
        <v>-263.60000000000002</v>
      </c>
      <c r="N28" s="334">
        <v>-137.6</v>
      </c>
      <c r="O28" s="335">
        <v>-187</v>
      </c>
      <c r="P28" s="346">
        <v>-323.2</v>
      </c>
      <c r="Q28" s="193"/>
    </row>
    <row r="29" spans="1:17" s="18" customFormat="1" ht="20.100000000000001" customHeight="1">
      <c r="A29" s="527" t="s">
        <v>38</v>
      </c>
      <c r="B29" s="320">
        <v>-7.0449999999999999</v>
      </c>
      <c r="C29" s="320">
        <v>-11.33</v>
      </c>
      <c r="D29" s="320">
        <v>-23.225000000000001</v>
      </c>
      <c r="E29" s="321">
        <v>-36.24</v>
      </c>
      <c r="F29" s="319">
        <v>-13.377000000000001</v>
      </c>
      <c r="G29" s="320">
        <v>-20.378</v>
      </c>
      <c r="H29" s="320">
        <v>-45.453000000000003</v>
      </c>
      <c r="I29" s="321">
        <v>-62.041000000000004</v>
      </c>
      <c r="J29" s="308">
        <v>-19.987000000000002</v>
      </c>
      <c r="K29" s="309">
        <v>-46.6</v>
      </c>
      <c r="L29" s="352">
        <v>-57.4</v>
      </c>
      <c r="M29" s="309">
        <v>-71.8</v>
      </c>
      <c r="N29" s="334">
        <v>-19.100000000000001</v>
      </c>
      <c r="O29" s="335">
        <v>-90.7</v>
      </c>
      <c r="P29" s="346">
        <v>-111.1</v>
      </c>
      <c r="Q29" s="193"/>
    </row>
    <row r="30" spans="1:17" s="18" customFormat="1" ht="20.100000000000001" customHeight="1">
      <c r="A30" s="527" t="s">
        <v>111</v>
      </c>
      <c r="B30" s="326">
        <v>0</v>
      </c>
      <c r="C30" s="326">
        <v>0</v>
      </c>
      <c r="D30" s="326">
        <v>0</v>
      </c>
      <c r="E30" s="323">
        <v>0</v>
      </c>
      <c r="F30" s="322">
        <v>0</v>
      </c>
      <c r="G30" s="326">
        <v>0</v>
      </c>
      <c r="H30" s="326">
        <v>0</v>
      </c>
      <c r="I30" s="323">
        <v>0</v>
      </c>
      <c r="J30" s="322">
        <v>0</v>
      </c>
      <c r="K30" s="326">
        <v>0</v>
      </c>
      <c r="L30" s="352">
        <v>-482.3</v>
      </c>
      <c r="M30" s="309">
        <v>-482.3</v>
      </c>
      <c r="N30" s="322">
        <v>0</v>
      </c>
      <c r="O30" s="326">
        <v>0</v>
      </c>
      <c r="P30" s="346">
        <v>-118.7</v>
      </c>
      <c r="Q30" s="193"/>
    </row>
    <row r="31" spans="1:17" s="18" customFormat="1" ht="20.100000000000001" customHeight="1">
      <c r="A31" s="527" t="s">
        <v>76</v>
      </c>
      <c r="B31" s="320">
        <v>-2.3290000000000002</v>
      </c>
      <c r="C31" s="320">
        <v>-45.099000000000004</v>
      </c>
      <c r="D31" s="320">
        <v>-45.329000000000001</v>
      </c>
      <c r="E31" s="321">
        <v>-45.710999999999999</v>
      </c>
      <c r="F31" s="319">
        <v>-0.153</v>
      </c>
      <c r="G31" s="320">
        <v>-0.26800000000000002</v>
      </c>
      <c r="H31" s="320">
        <v>-64.186999999999998</v>
      </c>
      <c r="I31" s="321">
        <v>-64.266000000000005</v>
      </c>
      <c r="J31" s="297">
        <v>0</v>
      </c>
      <c r="K31" s="296">
        <v>1800.4</v>
      </c>
      <c r="L31" s="353">
        <v>1800.4</v>
      </c>
      <c r="M31" s="209">
        <v>1800.4</v>
      </c>
      <c r="N31" s="334">
        <v>-4.2</v>
      </c>
      <c r="O31" s="335">
        <v>-29.5</v>
      </c>
      <c r="P31" s="346">
        <v>-29.5</v>
      </c>
      <c r="Q31" s="193"/>
    </row>
    <row r="32" spans="1:17" s="18" customFormat="1" ht="20.100000000000001" customHeight="1">
      <c r="A32" s="527" t="s">
        <v>85</v>
      </c>
      <c r="B32" s="326">
        <v>0</v>
      </c>
      <c r="C32" s="326">
        <v>0</v>
      </c>
      <c r="D32" s="326">
        <v>0</v>
      </c>
      <c r="E32" s="323">
        <v>0</v>
      </c>
      <c r="F32" s="322">
        <v>0</v>
      </c>
      <c r="G32" s="326">
        <v>0</v>
      </c>
      <c r="H32" s="227">
        <v>48.219000000000001</v>
      </c>
      <c r="I32" s="318">
        <v>48.736000000000004</v>
      </c>
      <c r="J32" s="297">
        <v>0</v>
      </c>
      <c r="K32" s="297">
        <v>0</v>
      </c>
      <c r="L32" s="295">
        <v>0</v>
      </c>
      <c r="M32" s="204">
        <v>0</v>
      </c>
      <c r="N32" s="322">
        <v>0</v>
      </c>
      <c r="O32" s="326">
        <v>0</v>
      </c>
      <c r="P32" s="348">
        <v>0</v>
      </c>
      <c r="Q32" s="193"/>
    </row>
    <row r="33" spans="1:17" s="18" customFormat="1" ht="20.100000000000001" customHeight="1">
      <c r="A33" s="527" t="s">
        <v>51</v>
      </c>
      <c r="B33" s="227">
        <v>0.09</v>
      </c>
      <c r="C33" s="227">
        <v>0.121</v>
      </c>
      <c r="D33" s="227">
        <v>0.69000000000000006</v>
      </c>
      <c r="E33" s="318">
        <v>0.751</v>
      </c>
      <c r="F33" s="317">
        <v>0.35000000000000003</v>
      </c>
      <c r="G33" s="227">
        <v>0.41000000000000003</v>
      </c>
      <c r="H33" s="227">
        <v>1.756</v>
      </c>
      <c r="I33" s="318">
        <v>2.0640000000000001</v>
      </c>
      <c r="J33" s="208">
        <v>0.33700000000000002</v>
      </c>
      <c r="K33" s="296">
        <v>1.6</v>
      </c>
      <c r="L33" s="353">
        <v>4</v>
      </c>
      <c r="M33" s="209">
        <v>4.0999999999999996</v>
      </c>
      <c r="N33" s="338">
        <v>0.2</v>
      </c>
      <c r="O33" s="333">
        <v>13.3</v>
      </c>
      <c r="P33" s="345">
        <v>15.1</v>
      </c>
      <c r="Q33" s="193"/>
    </row>
    <row r="34" spans="1:17" s="18" customFormat="1" ht="20.100000000000001" customHeight="1">
      <c r="A34" s="527" t="s">
        <v>106</v>
      </c>
      <c r="B34" s="326">
        <v>0</v>
      </c>
      <c r="C34" s="326">
        <v>0</v>
      </c>
      <c r="D34" s="326">
        <v>0</v>
      </c>
      <c r="E34" s="323">
        <v>0</v>
      </c>
      <c r="F34" s="322">
        <v>0</v>
      </c>
      <c r="G34" s="326">
        <v>0</v>
      </c>
      <c r="H34" s="326">
        <v>0</v>
      </c>
      <c r="I34" s="323">
        <v>0</v>
      </c>
      <c r="J34" s="297">
        <v>0</v>
      </c>
      <c r="K34" s="309">
        <v>-270</v>
      </c>
      <c r="L34" s="352">
        <v>-30</v>
      </c>
      <c r="M34" s="204">
        <v>0</v>
      </c>
      <c r="N34" s="334">
        <v>-42.7</v>
      </c>
      <c r="O34" s="335">
        <v>-42.7</v>
      </c>
      <c r="P34" s="348">
        <v>0</v>
      </c>
      <c r="Q34" s="193"/>
    </row>
    <row r="35" spans="1:17" s="18" customFormat="1" ht="20.100000000000001" customHeight="1">
      <c r="A35" s="527" t="s">
        <v>50</v>
      </c>
      <c r="B35" s="320">
        <v>-1.1000000000000001</v>
      </c>
      <c r="C35" s="320">
        <v>-1.1000000000000001</v>
      </c>
      <c r="D35" s="320">
        <v>-1.1000000000000001</v>
      </c>
      <c r="E35" s="321">
        <v>-1.1000000000000001</v>
      </c>
      <c r="F35" s="322">
        <v>0</v>
      </c>
      <c r="G35" s="326">
        <v>0</v>
      </c>
      <c r="H35" s="326">
        <v>0</v>
      </c>
      <c r="I35" s="323">
        <v>0</v>
      </c>
      <c r="J35" s="297">
        <v>0</v>
      </c>
      <c r="K35" s="309">
        <v>-5.8</v>
      </c>
      <c r="L35" s="352">
        <v>-20.399999999999999</v>
      </c>
      <c r="M35" s="309">
        <v>-23.1</v>
      </c>
      <c r="N35" s="334">
        <v>-6</v>
      </c>
      <c r="O35" s="335">
        <v>-8.9</v>
      </c>
      <c r="P35" s="346">
        <v>-12.1</v>
      </c>
      <c r="Q35" s="193"/>
    </row>
    <row r="36" spans="1:17" s="18" customFormat="1" ht="20.100000000000001" customHeight="1">
      <c r="A36" s="527" t="s">
        <v>52</v>
      </c>
      <c r="B36" s="326">
        <v>0</v>
      </c>
      <c r="C36" s="227">
        <v>1.1000000000000001</v>
      </c>
      <c r="D36" s="227">
        <v>1.1000000000000001</v>
      </c>
      <c r="E36" s="318">
        <v>1.1000000000000001</v>
      </c>
      <c r="F36" s="322">
        <v>0</v>
      </c>
      <c r="G36" s="326">
        <v>0</v>
      </c>
      <c r="H36" s="326">
        <v>0</v>
      </c>
      <c r="I36" s="323">
        <v>0</v>
      </c>
      <c r="J36" s="297">
        <v>0</v>
      </c>
      <c r="K36" s="297">
        <v>0</v>
      </c>
      <c r="L36" s="295">
        <v>0</v>
      </c>
      <c r="M36" s="204">
        <v>0</v>
      </c>
      <c r="N36" s="322">
        <v>0</v>
      </c>
      <c r="O36" s="326">
        <v>0</v>
      </c>
      <c r="P36" s="348">
        <v>0</v>
      </c>
      <c r="Q36" s="193"/>
    </row>
    <row r="37" spans="1:17" s="18" customFormat="1" ht="20.100000000000001" customHeight="1">
      <c r="A37" s="527" t="s">
        <v>105</v>
      </c>
      <c r="B37" s="326">
        <v>0</v>
      </c>
      <c r="C37" s="326">
        <v>0</v>
      </c>
      <c r="D37" s="326">
        <v>0</v>
      </c>
      <c r="E37" s="323">
        <v>0</v>
      </c>
      <c r="F37" s="322">
        <v>0</v>
      </c>
      <c r="G37" s="326">
        <v>0</v>
      </c>
      <c r="H37" s="326">
        <v>0</v>
      </c>
      <c r="I37" s="323">
        <v>0</v>
      </c>
      <c r="J37" s="297">
        <v>0</v>
      </c>
      <c r="K37" s="296">
        <v>5</v>
      </c>
      <c r="L37" s="353">
        <v>5.5</v>
      </c>
      <c r="M37" s="209">
        <v>6.6</v>
      </c>
      <c r="N37" s="339">
        <v>1.2</v>
      </c>
      <c r="O37" s="335">
        <v>-2.1</v>
      </c>
      <c r="P37" s="345">
        <v>3.2</v>
      </c>
      <c r="Q37" s="193"/>
    </row>
    <row r="38" spans="1:17" s="18" customFormat="1" ht="20.100000000000001" customHeight="1">
      <c r="A38" s="527" t="s">
        <v>88</v>
      </c>
      <c r="B38" s="326">
        <v>0</v>
      </c>
      <c r="C38" s="227">
        <v>1.258</v>
      </c>
      <c r="D38" s="227">
        <v>1.258</v>
      </c>
      <c r="E38" s="318">
        <v>2.706</v>
      </c>
      <c r="F38" s="322">
        <v>0</v>
      </c>
      <c r="G38" s="227">
        <v>2.5150000000000001</v>
      </c>
      <c r="H38" s="227">
        <v>2.5150000000000001</v>
      </c>
      <c r="I38" s="318">
        <v>2.5150000000000001</v>
      </c>
      <c r="J38" s="208">
        <v>2.5300000000000002</v>
      </c>
      <c r="K38" s="296">
        <v>2.5</v>
      </c>
      <c r="L38" s="353">
        <v>2.5</v>
      </c>
      <c r="M38" s="209">
        <v>2.5</v>
      </c>
      <c r="N38" s="322">
        <v>0</v>
      </c>
      <c r="O38" s="326">
        <v>0</v>
      </c>
      <c r="P38" s="348">
        <v>0</v>
      </c>
      <c r="Q38" s="193"/>
    </row>
    <row r="39" spans="1:17" s="18" customFormat="1" ht="20.100000000000001" customHeight="1" thickBot="1">
      <c r="A39" s="527" t="s">
        <v>77</v>
      </c>
      <c r="B39" s="326">
        <v>0</v>
      </c>
      <c r="C39" s="326">
        <v>0</v>
      </c>
      <c r="D39" s="326">
        <v>0</v>
      </c>
      <c r="E39" s="323">
        <v>0</v>
      </c>
      <c r="F39" s="322">
        <v>0</v>
      </c>
      <c r="G39" s="326">
        <v>0</v>
      </c>
      <c r="H39" s="326">
        <v>0</v>
      </c>
      <c r="I39" s="323">
        <v>0</v>
      </c>
      <c r="J39" s="297">
        <v>0</v>
      </c>
      <c r="K39" s="297">
        <v>0</v>
      </c>
      <c r="L39" s="295">
        <v>0</v>
      </c>
      <c r="M39" s="204">
        <v>0</v>
      </c>
      <c r="N39" s="322">
        <v>0</v>
      </c>
      <c r="O39" s="326">
        <v>0</v>
      </c>
      <c r="P39" s="348">
        <v>0</v>
      </c>
      <c r="Q39" s="193"/>
    </row>
    <row r="40" spans="1:17" s="18" customFormat="1" ht="24.95" customHeight="1" thickBot="1">
      <c r="A40" s="22" t="s">
        <v>74</v>
      </c>
      <c r="B40" s="356">
        <f t="shared" ref="B40:P40" si="3">SUM(B28:B39)</f>
        <v>-24.143000000000004</v>
      </c>
      <c r="C40" s="356">
        <f t="shared" si="3"/>
        <v>-83.230000000000018</v>
      </c>
      <c r="D40" s="356">
        <f t="shared" si="3"/>
        <v>-107.08400000000002</v>
      </c>
      <c r="E40" s="357">
        <f t="shared" si="3"/>
        <v>-133.43099999999998</v>
      </c>
      <c r="F40" s="355">
        <f t="shared" si="3"/>
        <v>-34.882999999999996</v>
      </c>
      <c r="G40" s="356">
        <f t="shared" si="3"/>
        <v>-58.354000000000006</v>
      </c>
      <c r="H40" s="356">
        <f t="shared" si="3"/>
        <v>-110.15100000000002</v>
      </c>
      <c r="I40" s="357">
        <f t="shared" si="3"/>
        <v>-133.83700000000002</v>
      </c>
      <c r="J40" s="355">
        <f t="shared" si="3"/>
        <v>-36.552999999999997</v>
      </c>
      <c r="K40" s="312">
        <f t="shared" si="3"/>
        <v>1394.1000000000001</v>
      </c>
      <c r="L40" s="347">
        <f t="shared" si="3"/>
        <v>1042.3</v>
      </c>
      <c r="M40" s="217">
        <f t="shared" si="3"/>
        <v>972.80000000000007</v>
      </c>
      <c r="N40" s="360">
        <f t="shared" si="3"/>
        <v>-208.2</v>
      </c>
      <c r="O40" s="358">
        <f t="shared" si="3"/>
        <v>-347.59999999999997</v>
      </c>
      <c r="P40" s="359">
        <f t="shared" si="3"/>
        <v>-576.29999999999995</v>
      </c>
      <c r="Q40" s="313"/>
    </row>
    <row r="41" spans="1:17" s="18" customFormat="1" ht="20.100000000000001" customHeight="1">
      <c r="A41" s="527" t="s">
        <v>47</v>
      </c>
      <c r="B41" s="320">
        <v>-26.754999999999999</v>
      </c>
      <c r="C41" s="320">
        <v>-155.76300000000001</v>
      </c>
      <c r="D41" s="320">
        <v>-397.57499999999999</v>
      </c>
      <c r="E41" s="321">
        <v>-453.32400000000001</v>
      </c>
      <c r="F41" s="319">
        <v>-49.813000000000002</v>
      </c>
      <c r="G41" s="320">
        <v>-192.59</v>
      </c>
      <c r="H41" s="320">
        <v>-366.16200000000003</v>
      </c>
      <c r="I41" s="321">
        <v>-431.11700000000002</v>
      </c>
      <c r="J41" s="308">
        <v>-37.393999999999998</v>
      </c>
      <c r="K41" s="309">
        <v>-547.1</v>
      </c>
      <c r="L41" s="352">
        <v>-747.1</v>
      </c>
      <c r="M41" s="309">
        <v>-1087.0999999999999</v>
      </c>
      <c r="N41" s="334">
        <v>-157</v>
      </c>
      <c r="O41" s="335">
        <v>-954.2</v>
      </c>
      <c r="P41" s="346">
        <v>-9222.2000000000007</v>
      </c>
      <c r="Q41" s="193"/>
    </row>
    <row r="42" spans="1:17" s="18" customFormat="1" ht="20.100000000000001" customHeight="1">
      <c r="A42" s="527" t="s">
        <v>116</v>
      </c>
      <c r="B42" s="326">
        <v>0</v>
      </c>
      <c r="C42" s="326">
        <v>0</v>
      </c>
      <c r="D42" s="326">
        <v>0</v>
      </c>
      <c r="E42" s="323">
        <v>0</v>
      </c>
      <c r="F42" s="322">
        <v>0</v>
      </c>
      <c r="G42" s="326">
        <v>0</v>
      </c>
      <c r="H42" s="326">
        <v>0</v>
      </c>
      <c r="I42" s="323">
        <v>0</v>
      </c>
      <c r="J42" s="297">
        <v>0</v>
      </c>
      <c r="K42" s="298">
        <v>2800</v>
      </c>
      <c r="L42" s="354">
        <v>2800</v>
      </c>
      <c r="M42" s="209">
        <v>2800</v>
      </c>
      <c r="N42" s="339">
        <v>50</v>
      </c>
      <c r="O42" s="340">
        <v>120</v>
      </c>
      <c r="P42" s="349">
        <v>6820</v>
      </c>
      <c r="Q42" s="193"/>
    </row>
    <row r="43" spans="1:17" s="18" customFormat="1" ht="20.100000000000001" customHeight="1">
      <c r="A43" s="527" t="s">
        <v>59</v>
      </c>
      <c r="B43" s="326">
        <v>0</v>
      </c>
      <c r="C43" s="326">
        <v>0</v>
      </c>
      <c r="D43" s="326">
        <v>0</v>
      </c>
      <c r="E43" s="323">
        <v>0</v>
      </c>
      <c r="F43" s="322">
        <v>0</v>
      </c>
      <c r="G43" s="326">
        <v>0</v>
      </c>
      <c r="H43" s="326">
        <v>0</v>
      </c>
      <c r="I43" s="323">
        <v>0</v>
      </c>
      <c r="J43" s="297">
        <v>0</v>
      </c>
      <c r="K43" s="297">
        <v>0</v>
      </c>
      <c r="L43" s="295">
        <v>0</v>
      </c>
      <c r="M43" s="204">
        <v>0</v>
      </c>
      <c r="N43" s="322">
        <v>0</v>
      </c>
      <c r="O43" s="326">
        <v>0</v>
      </c>
      <c r="P43" s="349">
        <v>1000</v>
      </c>
      <c r="Q43" s="193"/>
    </row>
    <row r="44" spans="1:17" s="18" customFormat="1" ht="20.100000000000001" customHeight="1">
      <c r="A44" s="527" t="s">
        <v>108</v>
      </c>
      <c r="B44" s="327"/>
      <c r="C44" s="327"/>
      <c r="D44" s="327"/>
      <c r="E44" s="328"/>
      <c r="F44" s="322">
        <v>0</v>
      </c>
      <c r="G44" s="326">
        <v>0</v>
      </c>
      <c r="H44" s="326">
        <v>0</v>
      </c>
      <c r="I44" s="323">
        <v>0</v>
      </c>
      <c r="J44" s="297">
        <v>0</v>
      </c>
      <c r="K44" s="309">
        <v>-2275.9</v>
      </c>
      <c r="L44" s="352">
        <v>-2275.9</v>
      </c>
      <c r="M44" s="309">
        <v>-2275.9</v>
      </c>
      <c r="N44" s="322">
        <v>0</v>
      </c>
      <c r="O44" s="326">
        <v>0</v>
      </c>
      <c r="P44" s="348">
        <v>0</v>
      </c>
      <c r="Q44" s="193"/>
    </row>
    <row r="45" spans="1:17" s="18" customFormat="1" ht="20.100000000000001" customHeight="1">
      <c r="A45" s="527" t="s">
        <v>40</v>
      </c>
      <c r="B45" s="320">
        <v>-8.4000000000000005E-2</v>
      </c>
      <c r="C45" s="320">
        <v>-0.16600000000000001</v>
      </c>
      <c r="D45" s="320">
        <v>-0.24299999999999999</v>
      </c>
      <c r="E45" s="321">
        <v>-0.33500000000000002</v>
      </c>
      <c r="F45" s="319">
        <v>-7.8E-2</v>
      </c>
      <c r="G45" s="320">
        <v>-0.16800000000000001</v>
      </c>
      <c r="H45" s="320">
        <v>-0.25600000000000001</v>
      </c>
      <c r="I45" s="321">
        <v>-0.33</v>
      </c>
      <c r="J45" s="308">
        <v>-6.2E-2</v>
      </c>
      <c r="K45" s="309">
        <v>-0.3</v>
      </c>
      <c r="L45" s="352">
        <v>-0.7</v>
      </c>
      <c r="M45" s="309">
        <v>-0.9</v>
      </c>
      <c r="N45" s="334">
        <v>-2.5</v>
      </c>
      <c r="O45" s="335">
        <v>-3.5</v>
      </c>
      <c r="P45" s="346">
        <v>-4.5</v>
      </c>
      <c r="Q45" s="193"/>
    </row>
    <row r="46" spans="1:17" s="18" customFormat="1" ht="30" customHeight="1">
      <c r="A46" s="528" t="s">
        <v>243</v>
      </c>
      <c r="B46" s="320">
        <v>-26.132999999999999</v>
      </c>
      <c r="C46" s="320">
        <f>(-103258-821)*0.001</f>
        <v>-104.07900000000001</v>
      </c>
      <c r="D46" s="320">
        <f>(-125824-2250)*0.001</f>
        <v>-128.07400000000001</v>
      </c>
      <c r="E46" s="321">
        <f>(-195934-3683)*0.001</f>
        <v>-199.61699999999999</v>
      </c>
      <c r="F46" s="319">
        <f>(-15811-1035)*0.001</f>
        <v>-16.846</v>
      </c>
      <c r="G46" s="320">
        <f>(-84439-1241)*0.001</f>
        <v>-85.68</v>
      </c>
      <c r="H46" s="320">
        <f>(-96215-1689)*0.001</f>
        <v>-97.903999999999996</v>
      </c>
      <c r="I46" s="321">
        <v>-165.017</v>
      </c>
      <c r="J46" s="308">
        <v>-9.0950000000000006</v>
      </c>
      <c r="K46" s="309">
        <v>-348.3</v>
      </c>
      <c r="L46" s="352">
        <v>-733.5</v>
      </c>
      <c r="M46" s="309">
        <v>-872.2</v>
      </c>
      <c r="N46" s="334">
        <v>-357.9</v>
      </c>
      <c r="O46" s="335">
        <v>-472.3</v>
      </c>
      <c r="P46" s="346">
        <v>-804.1</v>
      </c>
      <c r="Q46" s="193"/>
    </row>
    <row r="47" spans="1:17" s="18" customFormat="1" ht="20.100000000000001" customHeight="1">
      <c r="A47" s="527" t="s">
        <v>46</v>
      </c>
      <c r="B47" s="326">
        <v>0</v>
      </c>
      <c r="C47" s="326">
        <v>0</v>
      </c>
      <c r="D47" s="326">
        <v>0</v>
      </c>
      <c r="E47" s="323">
        <v>0</v>
      </c>
      <c r="F47" s="322">
        <v>0</v>
      </c>
      <c r="G47" s="326">
        <v>0</v>
      </c>
      <c r="H47" s="326">
        <v>0</v>
      </c>
      <c r="I47" s="323">
        <v>0</v>
      </c>
      <c r="J47" s="297">
        <v>0</v>
      </c>
      <c r="K47" s="309">
        <v>-102.9</v>
      </c>
      <c r="L47" s="352">
        <v>-102.9</v>
      </c>
      <c r="M47" s="309">
        <v>-102.9</v>
      </c>
      <c r="N47" s="322">
        <v>0</v>
      </c>
      <c r="O47" s="326">
        <v>0</v>
      </c>
      <c r="P47" s="348">
        <v>0</v>
      </c>
      <c r="Q47" s="193"/>
    </row>
    <row r="48" spans="1:17" s="18" customFormat="1" ht="20.100000000000001" customHeight="1">
      <c r="A48" s="527" t="s">
        <v>41</v>
      </c>
      <c r="B48" s="326">
        <v>0</v>
      </c>
      <c r="C48" s="320">
        <v>-7.2999999999999995E-2</v>
      </c>
      <c r="D48" s="320">
        <v>-7.2000000000000008E-2</v>
      </c>
      <c r="E48" s="321">
        <v>-7.1000000000000008E-2</v>
      </c>
      <c r="F48" s="322">
        <v>0</v>
      </c>
      <c r="G48" s="326">
        <v>0</v>
      </c>
      <c r="H48" s="326">
        <v>0</v>
      </c>
      <c r="I48" s="323">
        <v>0</v>
      </c>
      <c r="J48" s="297">
        <v>0</v>
      </c>
      <c r="K48" s="297">
        <v>0</v>
      </c>
      <c r="L48" s="295">
        <v>0</v>
      </c>
      <c r="M48" s="204">
        <v>0</v>
      </c>
      <c r="N48" s="322">
        <v>0</v>
      </c>
      <c r="O48" s="326">
        <v>0</v>
      </c>
      <c r="P48" s="348">
        <v>0</v>
      </c>
      <c r="Q48" s="193"/>
    </row>
    <row r="49" spans="1:17" s="18" customFormat="1" ht="20.100000000000001" customHeight="1" thickBot="1">
      <c r="A49" s="527" t="s">
        <v>107</v>
      </c>
      <c r="B49" s="361">
        <v>0</v>
      </c>
      <c r="C49" s="361">
        <v>0</v>
      </c>
      <c r="D49" s="361">
        <v>0</v>
      </c>
      <c r="E49" s="323">
        <v>0</v>
      </c>
      <c r="F49" s="322">
        <v>0</v>
      </c>
      <c r="G49" s="326">
        <v>0</v>
      </c>
      <c r="H49" s="326">
        <v>0</v>
      </c>
      <c r="I49" s="323">
        <v>0</v>
      </c>
      <c r="J49" s="297">
        <v>0</v>
      </c>
      <c r="K49" s="309">
        <v>-3.8</v>
      </c>
      <c r="L49" s="352">
        <v>-3.9</v>
      </c>
      <c r="M49" s="309">
        <v>-3.9</v>
      </c>
      <c r="N49" s="322">
        <v>0</v>
      </c>
      <c r="O49" s="326">
        <v>0</v>
      </c>
      <c r="P49" s="348">
        <v>0</v>
      </c>
      <c r="Q49" s="193"/>
    </row>
    <row r="50" spans="1:17" s="18" customFormat="1" ht="20.100000000000001" customHeight="1" thickBot="1">
      <c r="A50" s="22" t="s">
        <v>75</v>
      </c>
      <c r="B50" s="356">
        <f t="shared" ref="B50:O50" si="4">SUM(B41:B49)</f>
        <v>-52.971999999999994</v>
      </c>
      <c r="C50" s="356">
        <f t="shared" si="4"/>
        <v>-260.08100000000002</v>
      </c>
      <c r="D50" s="356">
        <f t="shared" si="4"/>
        <v>-525.96400000000006</v>
      </c>
      <c r="E50" s="357">
        <f t="shared" si="4"/>
        <v>-653.34699999999998</v>
      </c>
      <c r="F50" s="355">
        <f t="shared" si="4"/>
        <v>-66.737000000000009</v>
      </c>
      <c r="G50" s="356">
        <f t="shared" si="4"/>
        <v>-278.43799999999999</v>
      </c>
      <c r="H50" s="356">
        <f t="shared" si="4"/>
        <v>-464.322</v>
      </c>
      <c r="I50" s="357">
        <f t="shared" si="4"/>
        <v>-596.46399999999994</v>
      </c>
      <c r="J50" s="355">
        <f t="shared" si="4"/>
        <v>-46.550999999999995</v>
      </c>
      <c r="K50" s="358">
        <f t="shared" si="4"/>
        <v>-478.3</v>
      </c>
      <c r="L50" s="359">
        <f t="shared" si="4"/>
        <v>-1064.0000000000002</v>
      </c>
      <c r="M50" s="358">
        <f t="shared" si="4"/>
        <v>-1542.9</v>
      </c>
      <c r="N50" s="360">
        <f t="shared" si="4"/>
        <v>-467.4</v>
      </c>
      <c r="O50" s="358">
        <f t="shared" si="4"/>
        <v>-1310</v>
      </c>
      <c r="P50" s="359">
        <f>SUM(P41:P49)</f>
        <v>-2210.8000000000006</v>
      </c>
      <c r="Q50" s="313"/>
    </row>
    <row r="51" spans="1:17" s="18" customFormat="1" ht="20.100000000000001" customHeight="1" thickBot="1">
      <c r="A51" s="22" t="s">
        <v>42</v>
      </c>
      <c r="B51" s="311">
        <f>B27+B40+B50</f>
        <v>147.59399999999999</v>
      </c>
      <c r="C51" s="311">
        <f t="shared" ref="C51:P51" si="5">C50+C40+C27</f>
        <v>33.255999999999972</v>
      </c>
      <c r="D51" s="356">
        <f t="shared" si="5"/>
        <v>-51.083999999999946</v>
      </c>
      <c r="E51" s="357">
        <f t="shared" si="5"/>
        <v>-5.4109999999999445</v>
      </c>
      <c r="F51" s="310">
        <f t="shared" si="5"/>
        <v>53.822999999999979</v>
      </c>
      <c r="G51" s="311">
        <f t="shared" si="5"/>
        <v>-5.0790000000000077</v>
      </c>
      <c r="H51" s="311">
        <f t="shared" si="5"/>
        <v>-55.118000000000166</v>
      </c>
      <c r="I51" s="325">
        <f t="shared" si="5"/>
        <v>72.357999999999947</v>
      </c>
      <c r="J51" s="311">
        <f t="shared" si="5"/>
        <v>85.956000000000017</v>
      </c>
      <c r="K51" s="312">
        <f t="shared" si="5"/>
        <v>1565.4000000000005</v>
      </c>
      <c r="L51" s="347">
        <f t="shared" si="5"/>
        <v>1300.0999999999997</v>
      </c>
      <c r="M51" s="217">
        <f t="shared" si="5"/>
        <v>1403.6999999999989</v>
      </c>
      <c r="N51" s="360">
        <f t="shared" si="5"/>
        <v>-257.89999999999981</v>
      </c>
      <c r="O51" s="358">
        <f t="shared" si="5"/>
        <v>-353.30000000000041</v>
      </c>
      <c r="P51" s="359">
        <f t="shared" si="5"/>
        <v>-677.30000000000109</v>
      </c>
      <c r="Q51" s="313"/>
    </row>
    <row r="52" spans="1:17" s="20" customFormat="1" ht="20.100000000000001" customHeight="1">
      <c r="A52" s="529" t="s">
        <v>43</v>
      </c>
      <c r="B52" s="305">
        <v>277.53399999999999</v>
      </c>
      <c r="C52" s="305">
        <v>277.53399999999999</v>
      </c>
      <c r="D52" s="305">
        <v>277.53399999999999</v>
      </c>
      <c r="E52" s="330">
        <v>277.53399999999999</v>
      </c>
      <c r="F52" s="329">
        <v>270.35399999999998</v>
      </c>
      <c r="G52" s="305">
        <v>270.35399999999998</v>
      </c>
      <c r="H52" s="305">
        <v>270.35399999999998</v>
      </c>
      <c r="I52" s="330">
        <v>270.35399999999998</v>
      </c>
      <c r="J52" s="305">
        <v>342.25100000000003</v>
      </c>
      <c r="K52" s="306">
        <v>342.2</v>
      </c>
      <c r="L52" s="350">
        <v>342.2</v>
      </c>
      <c r="M52" s="307">
        <v>342.2</v>
      </c>
      <c r="N52" s="341">
        <v>1747.9</v>
      </c>
      <c r="O52" s="307">
        <v>1747.9</v>
      </c>
      <c r="P52" s="350">
        <v>1747.9</v>
      </c>
      <c r="Q52" s="193"/>
    </row>
    <row r="53" spans="1:17" s="20" customFormat="1" ht="20.100000000000001" customHeight="1" thickBot="1">
      <c r="A53" s="527" t="s">
        <v>44</v>
      </c>
      <c r="B53" s="320">
        <v>-2.5009999999999999</v>
      </c>
      <c r="C53" s="320">
        <v>-1.2710000000000001</v>
      </c>
      <c r="D53" s="320">
        <v>-1.339</v>
      </c>
      <c r="E53" s="321">
        <v>-1.7690000000000001</v>
      </c>
      <c r="F53" s="317">
        <v>0.161</v>
      </c>
      <c r="G53" s="227">
        <v>0.52800000000000002</v>
      </c>
      <c r="H53" s="227">
        <v>0.16</v>
      </c>
      <c r="I53" s="321">
        <v>-0.46100000000000002</v>
      </c>
      <c r="J53" s="308">
        <v>-1.7000000000000001E-2</v>
      </c>
      <c r="K53" s="309">
        <v>-0.7</v>
      </c>
      <c r="L53" s="351">
        <v>0.9</v>
      </c>
      <c r="M53" s="191">
        <v>1.9</v>
      </c>
      <c r="N53" s="332">
        <v>1.6</v>
      </c>
      <c r="O53" s="191">
        <v>2</v>
      </c>
      <c r="P53" s="351">
        <v>1.4</v>
      </c>
      <c r="Q53" s="193"/>
    </row>
    <row r="54" spans="1:17" s="18" customFormat="1" ht="20.100000000000001" customHeight="1" thickBot="1">
      <c r="A54" s="22" t="s">
        <v>115</v>
      </c>
      <c r="B54" s="311">
        <f>B51+B52+B53</f>
        <v>422.62700000000001</v>
      </c>
      <c r="C54" s="311">
        <f t="shared" ref="C54:P54" si="6">C52+C51+C53</f>
        <v>309.51899999999995</v>
      </c>
      <c r="D54" s="311">
        <f t="shared" si="6"/>
        <v>225.11100000000005</v>
      </c>
      <c r="E54" s="325">
        <f t="shared" si="6"/>
        <v>270.35400000000004</v>
      </c>
      <c r="F54" s="310">
        <f t="shared" si="6"/>
        <v>324.33799999999997</v>
      </c>
      <c r="G54" s="311">
        <f t="shared" si="6"/>
        <v>265.803</v>
      </c>
      <c r="H54" s="311">
        <f t="shared" si="6"/>
        <v>215.39599999999982</v>
      </c>
      <c r="I54" s="325">
        <f t="shared" si="6"/>
        <v>342.25099999999992</v>
      </c>
      <c r="J54" s="311">
        <f t="shared" si="6"/>
        <v>428.19000000000005</v>
      </c>
      <c r="K54" s="312">
        <f t="shared" si="6"/>
        <v>1906.9000000000005</v>
      </c>
      <c r="L54" s="347">
        <f t="shared" si="6"/>
        <v>1643.1999999999998</v>
      </c>
      <c r="M54" s="217">
        <f t="shared" si="6"/>
        <v>1747.799999999999</v>
      </c>
      <c r="N54" s="337">
        <f t="shared" si="6"/>
        <v>1491.6000000000001</v>
      </c>
      <c r="O54" s="217">
        <f t="shared" si="6"/>
        <v>1396.5999999999997</v>
      </c>
      <c r="P54" s="347">
        <f t="shared" si="6"/>
        <v>1071.9999999999991</v>
      </c>
      <c r="Q54" s="313"/>
    </row>
    <row r="55" spans="1:17" s="18" customFormat="1">
      <c r="M55" s="209"/>
    </row>
    <row r="56" spans="1:17" s="18" customFormat="1">
      <c r="A56" s="18" t="s">
        <v>244</v>
      </c>
      <c r="M56" s="209"/>
    </row>
    <row r="57" spans="1:17" s="18" customFormat="1">
      <c r="M57" s="209"/>
    </row>
    <row r="58" spans="1:17" s="18" customFormat="1">
      <c r="M58" s="209"/>
    </row>
    <row r="59" spans="1:17" s="18" customFormat="1">
      <c r="M59" s="209"/>
    </row>
    <row r="60" spans="1:17" s="18" customFormat="1">
      <c r="M60" s="209"/>
    </row>
    <row r="61" spans="1:17" s="18" customFormat="1">
      <c r="M61" s="209"/>
    </row>
    <row r="62" spans="1:17" s="18" customFormat="1">
      <c r="M62" s="209"/>
    </row>
    <row r="63" spans="1:17" s="18" customFormat="1">
      <c r="M63" s="209"/>
    </row>
    <row r="64" spans="1:17" s="18" customFormat="1">
      <c r="M64" s="209"/>
    </row>
    <row r="65" spans="13:13" s="18" customFormat="1">
      <c r="M65" s="209"/>
    </row>
    <row r="66" spans="13:13" s="18" customFormat="1">
      <c r="M66" s="209"/>
    </row>
    <row r="67" spans="13:13" s="18" customFormat="1">
      <c r="M67" s="209"/>
    </row>
    <row r="68" spans="13:13" s="18" customFormat="1">
      <c r="M68" s="209"/>
    </row>
    <row r="69" spans="13:13" s="18" customFormat="1">
      <c r="M69" s="209"/>
    </row>
    <row r="70" spans="13:13" s="18" customFormat="1">
      <c r="M70" s="209"/>
    </row>
    <row r="71" spans="13:13" s="18" customFormat="1">
      <c r="M71" s="209"/>
    </row>
    <row r="72" spans="13:13" s="18" customFormat="1">
      <c r="M72" s="209"/>
    </row>
    <row r="73" spans="13:13" s="18" customFormat="1">
      <c r="M73" s="209"/>
    </row>
    <row r="74" spans="13:13" s="18" customFormat="1">
      <c r="M74" s="209"/>
    </row>
    <row r="75" spans="13:13" s="18" customFormat="1">
      <c r="M75" s="209"/>
    </row>
    <row r="76" spans="13:13" s="18" customFormat="1">
      <c r="M76" s="209"/>
    </row>
    <row r="77" spans="13:13" s="18" customFormat="1">
      <c r="M77" s="209"/>
    </row>
    <row r="78" spans="13:13" s="18" customFormat="1">
      <c r="M78" s="209"/>
    </row>
    <row r="79" spans="13:13" s="18" customFormat="1">
      <c r="M79" s="209"/>
    </row>
    <row r="80" spans="13:13" s="18" customFormat="1">
      <c r="M80" s="209"/>
    </row>
    <row r="81" spans="13:13" s="18" customFormat="1">
      <c r="M81" s="209"/>
    </row>
    <row r="82" spans="13:13" s="18" customFormat="1">
      <c r="M82" s="209"/>
    </row>
    <row r="83" spans="13:13" s="18" customFormat="1">
      <c r="M83" s="209"/>
    </row>
    <row r="84" spans="13:13" s="18" customFormat="1">
      <c r="M84" s="209"/>
    </row>
    <row r="85" spans="13:13" s="18" customFormat="1">
      <c r="M85" s="209"/>
    </row>
    <row r="86" spans="13:13" s="18" customFormat="1">
      <c r="M86" s="209"/>
    </row>
    <row r="87" spans="13:13" s="18" customFormat="1">
      <c r="M87" s="209"/>
    </row>
    <row r="88" spans="13:13" s="18" customFormat="1">
      <c r="M88" s="209"/>
    </row>
    <row r="89" spans="13:13" s="18" customFormat="1">
      <c r="M89" s="209"/>
    </row>
    <row r="90" spans="13:13" s="18" customFormat="1">
      <c r="M90" s="209"/>
    </row>
    <row r="91" spans="13:13" s="18" customFormat="1">
      <c r="M91" s="209"/>
    </row>
    <row r="92" spans="13:13" s="18" customFormat="1">
      <c r="M92" s="209"/>
    </row>
    <row r="93" spans="13:13" s="18" customFormat="1">
      <c r="M93" s="209"/>
    </row>
    <row r="94" spans="13:13" s="18" customFormat="1"/>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sheetData>
  <mergeCells count="4">
    <mergeCell ref="B2:E2"/>
    <mergeCell ref="F2:I2"/>
    <mergeCell ref="J2:M2"/>
    <mergeCell ref="N2:Q2"/>
  </mergeCells>
  <pageMargins left="0.70866141732283505" right="0.70866141732283505" top="0.74803149606299202" bottom="0.74803149606299202" header="0.31496062992126" footer="0.31496062992126"/>
  <pageSetup paperSize="9" scale="4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zoomScaleNormal="100" zoomScaleSheetLayoutView="100" workbookViewId="0">
      <pane xSplit="1" ySplit="4" topLeftCell="J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7" width="9" style="2"/>
    <col min="18" max="20" width="9" style="4"/>
    <col min="21" max="16384" width="9" style="2"/>
  </cols>
  <sheetData>
    <row r="1" spans="1:20" s="71" customFormat="1" ht="50.25" customHeight="1">
      <c r="A1" s="5" t="s">
        <v>247</v>
      </c>
      <c r="B1" s="5"/>
    </row>
    <row r="2" spans="1:20" s="471" customFormat="1" ht="87.75" customHeight="1" thickBot="1">
      <c r="A2" s="559" t="s">
        <v>170</v>
      </c>
      <c r="B2" s="559"/>
      <c r="C2" s="559"/>
      <c r="D2" s="559"/>
      <c r="E2" s="559"/>
      <c r="F2" s="559"/>
      <c r="G2" s="559"/>
      <c r="H2" s="559"/>
      <c r="I2" s="559"/>
      <c r="J2" s="559"/>
      <c r="K2" s="559"/>
      <c r="L2" s="559"/>
      <c r="M2" s="559"/>
      <c r="N2" s="559"/>
      <c r="R2" s="472"/>
      <c r="S2" s="472"/>
      <c r="T2" s="472"/>
    </row>
    <row r="3" spans="1:20" ht="20.100000000000001" customHeight="1" thickBot="1">
      <c r="A3" s="560" t="s">
        <v>171</v>
      </c>
      <c r="B3" s="562">
        <v>2012</v>
      </c>
      <c r="C3" s="563"/>
      <c r="D3" s="563"/>
      <c r="E3" s="563"/>
      <c r="F3" s="564">
        <v>2012</v>
      </c>
      <c r="G3" s="562">
        <v>2013</v>
      </c>
      <c r="H3" s="563"/>
      <c r="I3" s="563"/>
      <c r="J3" s="563"/>
      <c r="K3" s="564">
        <v>2013</v>
      </c>
      <c r="L3" s="562">
        <v>2014</v>
      </c>
      <c r="M3" s="563"/>
      <c r="N3" s="563"/>
      <c r="O3" s="563"/>
      <c r="P3" s="564">
        <v>2014</v>
      </c>
      <c r="Q3" s="562">
        <v>2015</v>
      </c>
      <c r="R3" s="563"/>
      <c r="S3" s="563"/>
      <c r="T3" s="362"/>
    </row>
    <row r="4" spans="1:20" ht="20.100000000000001" customHeight="1" thickBot="1">
      <c r="A4" s="561"/>
      <c r="B4" s="363" t="s">
        <v>172</v>
      </c>
      <c r="C4" s="364" t="s">
        <v>173</v>
      </c>
      <c r="D4" s="364" t="s">
        <v>174</v>
      </c>
      <c r="E4" s="364" t="s">
        <v>175</v>
      </c>
      <c r="F4" s="565"/>
      <c r="G4" s="363" t="s">
        <v>172</v>
      </c>
      <c r="H4" s="364" t="s">
        <v>173</v>
      </c>
      <c r="I4" s="364" t="s">
        <v>174</v>
      </c>
      <c r="J4" s="364" t="s">
        <v>175</v>
      </c>
      <c r="K4" s="565"/>
      <c r="L4" s="365" t="s">
        <v>172</v>
      </c>
      <c r="M4" s="364" t="s">
        <v>173</v>
      </c>
      <c r="N4" s="364" t="s">
        <v>174</v>
      </c>
      <c r="O4" s="366" t="s">
        <v>175</v>
      </c>
      <c r="P4" s="565"/>
      <c r="Q4" s="365" t="s">
        <v>172</v>
      </c>
      <c r="R4" s="364" t="s">
        <v>173</v>
      </c>
      <c r="S4" s="364" t="s">
        <v>174</v>
      </c>
      <c r="T4" s="367"/>
    </row>
    <row r="5" spans="1:20" ht="20.100000000000001" customHeight="1" thickBot="1">
      <c r="A5" s="368" t="s">
        <v>176</v>
      </c>
      <c r="B5" s="369" t="s">
        <v>177</v>
      </c>
      <c r="C5" s="370" t="s">
        <v>177</v>
      </c>
      <c r="D5" s="370" t="s">
        <v>177</v>
      </c>
      <c r="E5" s="370" t="s">
        <v>177</v>
      </c>
      <c r="F5" s="371" t="s">
        <v>177</v>
      </c>
      <c r="G5" s="372">
        <f t="shared" ref="G5:N5" si="0">G7+G23</f>
        <v>16348336</v>
      </c>
      <c r="H5" s="373">
        <f t="shared" si="0"/>
        <v>16434266</v>
      </c>
      <c r="I5" s="373">
        <f t="shared" si="0"/>
        <v>16627551</v>
      </c>
      <c r="J5" s="373">
        <f t="shared" si="0"/>
        <v>16447334</v>
      </c>
      <c r="K5" s="371">
        <f t="shared" si="0"/>
        <v>16447334</v>
      </c>
      <c r="L5" s="372">
        <f t="shared" si="0"/>
        <v>16333003</v>
      </c>
      <c r="M5" s="373">
        <f t="shared" si="0"/>
        <v>16250497</v>
      </c>
      <c r="N5" s="373">
        <f t="shared" si="0"/>
        <v>16449992</v>
      </c>
      <c r="O5" s="373">
        <f>O7+O23</f>
        <v>16482031</v>
      </c>
      <c r="P5" s="371">
        <f>P7+P23</f>
        <v>16482031</v>
      </c>
      <c r="Q5" s="372">
        <f t="shared" ref="Q5:S5" si="1">Q7+Q23</f>
        <v>16429469</v>
      </c>
      <c r="R5" s="373">
        <f t="shared" si="1"/>
        <v>16349090</v>
      </c>
      <c r="S5" s="373">
        <f t="shared" si="1"/>
        <v>16395514</v>
      </c>
      <c r="T5" s="374"/>
    </row>
    <row r="6" spans="1:20" ht="20.100000000000001" customHeight="1">
      <c r="A6" s="375" t="s">
        <v>178</v>
      </c>
      <c r="B6" s="376"/>
      <c r="C6" s="377"/>
      <c r="D6" s="377"/>
      <c r="E6" s="377"/>
      <c r="F6" s="378"/>
      <c r="G6" s="379"/>
      <c r="H6" s="377"/>
      <c r="I6" s="377"/>
      <c r="J6" s="377"/>
      <c r="K6" s="378"/>
      <c r="L6" s="380"/>
      <c r="M6" s="377"/>
      <c r="N6" s="377"/>
      <c r="O6" s="377"/>
      <c r="P6" s="381"/>
      <c r="Q6" s="380"/>
      <c r="R6" s="377"/>
      <c r="S6" s="377"/>
      <c r="T6" s="382"/>
    </row>
    <row r="7" spans="1:20" ht="20.100000000000001" customHeight="1">
      <c r="A7" s="383" t="s">
        <v>179</v>
      </c>
      <c r="B7" s="384">
        <f>B8+B10+B11</f>
        <v>11532547</v>
      </c>
      <c r="C7" s="385">
        <f t="shared" ref="C7:M7" si="2">C8+C10+C11</f>
        <v>11516833</v>
      </c>
      <c r="D7" s="385">
        <f t="shared" si="2"/>
        <v>11605099</v>
      </c>
      <c r="E7" s="385">
        <f t="shared" si="2"/>
        <v>11735100</v>
      </c>
      <c r="F7" s="386">
        <f>SUM(F8,F10:F11)</f>
        <v>11735100</v>
      </c>
      <c r="G7" s="384">
        <f t="shared" si="2"/>
        <v>11799951</v>
      </c>
      <c r="H7" s="385">
        <f t="shared" si="2"/>
        <v>11868947</v>
      </c>
      <c r="I7" s="385">
        <f t="shared" si="2"/>
        <v>11908422</v>
      </c>
      <c r="J7" s="385">
        <f t="shared" si="2"/>
        <v>11978807</v>
      </c>
      <c r="K7" s="386">
        <f>SUM(K8,K10:K11)</f>
        <v>11978807</v>
      </c>
      <c r="L7" s="384">
        <f t="shared" si="2"/>
        <v>11982678</v>
      </c>
      <c r="M7" s="385">
        <f t="shared" si="2"/>
        <v>12023369</v>
      </c>
      <c r="N7" s="385">
        <f>N8+N10+N11</f>
        <v>12230798</v>
      </c>
      <c r="O7" s="385">
        <f>O8+O10+O11</f>
        <v>12347828</v>
      </c>
      <c r="P7" s="387">
        <f>P8+P10+P11</f>
        <v>12347828</v>
      </c>
      <c r="Q7" s="384">
        <f t="shared" ref="Q7:S7" si="3">Q8+Q10+Q11</f>
        <v>12394712</v>
      </c>
      <c r="R7" s="385">
        <f t="shared" si="3"/>
        <v>12377021</v>
      </c>
      <c r="S7" s="385">
        <f t="shared" si="3"/>
        <v>12418707</v>
      </c>
      <c r="T7" s="374"/>
    </row>
    <row r="8" spans="1:20" ht="20.100000000000001" customHeight="1">
      <c r="A8" s="388" t="s">
        <v>180</v>
      </c>
      <c r="B8" s="389">
        <v>3885022</v>
      </c>
      <c r="C8" s="390">
        <v>3868733</v>
      </c>
      <c r="D8" s="390">
        <v>3921673</v>
      </c>
      <c r="E8" s="390">
        <v>3994875</v>
      </c>
      <c r="F8" s="391">
        <f>E8</f>
        <v>3994875</v>
      </c>
      <c r="G8" s="389">
        <v>4047592</v>
      </c>
      <c r="H8" s="390">
        <v>4127560</v>
      </c>
      <c r="I8" s="390">
        <v>4160343</v>
      </c>
      <c r="J8" s="390">
        <v>4212323</v>
      </c>
      <c r="K8" s="391">
        <f>J8</f>
        <v>4212323</v>
      </c>
      <c r="L8" s="389">
        <v>4236986</v>
      </c>
      <c r="M8" s="390">
        <v>4255544</v>
      </c>
      <c r="N8" s="392">
        <v>4344773</v>
      </c>
      <c r="O8" s="390">
        <v>4391702</v>
      </c>
      <c r="P8" s="393">
        <v>4391702</v>
      </c>
      <c r="Q8" s="389">
        <v>4405464</v>
      </c>
      <c r="R8" s="390">
        <v>4374517</v>
      </c>
      <c r="S8" s="390">
        <v>4396361</v>
      </c>
      <c r="T8" s="382"/>
    </row>
    <row r="9" spans="1:20" ht="20.100000000000001" customHeight="1">
      <c r="A9" s="394" t="s">
        <v>181</v>
      </c>
      <c r="B9" s="395">
        <v>394001</v>
      </c>
      <c r="C9" s="396">
        <v>416027</v>
      </c>
      <c r="D9" s="396">
        <v>470578</v>
      </c>
      <c r="E9" s="396">
        <v>510617</v>
      </c>
      <c r="F9" s="397">
        <f t="shared" ref="F9:F11" si="4">E9</f>
        <v>510617</v>
      </c>
      <c r="G9" s="395">
        <v>559997</v>
      </c>
      <c r="H9" s="396">
        <v>633475</v>
      </c>
      <c r="I9" s="396">
        <v>680316</v>
      </c>
      <c r="J9" s="396">
        <v>719935</v>
      </c>
      <c r="K9" s="397">
        <f>J9</f>
        <v>719935</v>
      </c>
      <c r="L9" s="395">
        <v>749319</v>
      </c>
      <c r="M9" s="396">
        <v>771481</v>
      </c>
      <c r="N9" s="398">
        <v>806064</v>
      </c>
      <c r="O9" s="396">
        <v>844809</v>
      </c>
      <c r="P9" s="399">
        <v>844809</v>
      </c>
      <c r="Q9" s="395">
        <v>872628</v>
      </c>
      <c r="R9" s="396">
        <v>886305</v>
      </c>
      <c r="S9" s="396">
        <v>901271</v>
      </c>
      <c r="T9" s="400"/>
    </row>
    <row r="10" spans="1:20" ht="20.100000000000001" customHeight="1">
      <c r="A10" s="388" t="s">
        <v>182</v>
      </c>
      <c r="B10" s="389">
        <v>6985015</v>
      </c>
      <c r="C10" s="390">
        <v>6978192</v>
      </c>
      <c r="D10" s="390">
        <v>6976594</v>
      </c>
      <c r="E10" s="390">
        <v>6979590</v>
      </c>
      <c r="F10" s="391">
        <f t="shared" si="4"/>
        <v>6979590</v>
      </c>
      <c r="G10" s="389">
        <v>6941638</v>
      </c>
      <c r="H10" s="390">
        <v>6891314</v>
      </c>
      <c r="I10" s="390">
        <v>6834719</v>
      </c>
      <c r="J10" s="390">
        <v>6778675</v>
      </c>
      <c r="K10" s="391">
        <f t="shared" ref="K10:K11" si="5">J10</f>
        <v>6778675</v>
      </c>
      <c r="L10" s="389">
        <v>6713629</v>
      </c>
      <c r="M10" s="390">
        <v>6644687</v>
      </c>
      <c r="N10" s="392">
        <v>6617382</v>
      </c>
      <c r="O10" s="390">
        <v>6587915</v>
      </c>
      <c r="P10" s="393">
        <v>6587915</v>
      </c>
      <c r="Q10" s="389">
        <v>6552365</v>
      </c>
      <c r="R10" s="390">
        <v>6519311</v>
      </c>
      <c r="S10" s="390">
        <v>6505016</v>
      </c>
      <c r="T10" s="382"/>
    </row>
    <row r="11" spans="1:20" ht="20.100000000000001" customHeight="1">
      <c r="A11" s="388" t="s">
        <v>183</v>
      </c>
      <c r="B11" s="389">
        <v>662510</v>
      </c>
      <c r="C11" s="390">
        <v>669908</v>
      </c>
      <c r="D11" s="390">
        <v>706832</v>
      </c>
      <c r="E11" s="390">
        <v>760635</v>
      </c>
      <c r="F11" s="391">
        <f t="shared" si="4"/>
        <v>760635</v>
      </c>
      <c r="G11" s="389">
        <v>810721</v>
      </c>
      <c r="H11" s="390">
        <v>850073</v>
      </c>
      <c r="I11" s="390">
        <v>913360</v>
      </c>
      <c r="J11" s="390">
        <v>987809</v>
      </c>
      <c r="K11" s="391">
        <f t="shared" si="5"/>
        <v>987809</v>
      </c>
      <c r="L11" s="401">
        <v>1032063</v>
      </c>
      <c r="M11" s="402">
        <v>1123138</v>
      </c>
      <c r="N11" s="392">
        <v>1268643</v>
      </c>
      <c r="O11" s="2">
        <v>1368211</v>
      </c>
      <c r="P11" s="393">
        <v>1368211</v>
      </c>
      <c r="Q11" s="401">
        <v>1436883</v>
      </c>
      <c r="R11" s="402">
        <v>1483193</v>
      </c>
      <c r="S11" s="402">
        <v>1517330</v>
      </c>
    </row>
    <row r="12" spans="1:20" ht="20.100000000000001" customHeight="1" thickBot="1">
      <c r="A12" s="403" t="s">
        <v>184</v>
      </c>
      <c r="B12" s="404">
        <v>6282300</v>
      </c>
      <c r="C12" s="405">
        <v>6264412</v>
      </c>
      <c r="D12" s="405">
        <v>6281184</v>
      </c>
      <c r="E12" s="405">
        <v>6313423</v>
      </c>
      <c r="F12" s="406">
        <f>E12</f>
        <v>6313423</v>
      </c>
      <c r="G12" s="404">
        <v>6318321</v>
      </c>
      <c r="H12" s="405">
        <v>6306877</v>
      </c>
      <c r="I12" s="405">
        <v>6285607</v>
      </c>
      <c r="J12" s="405">
        <v>6287658</v>
      </c>
      <c r="K12" s="406">
        <f>J12</f>
        <v>6287658</v>
      </c>
      <c r="L12" s="404">
        <v>6260662</v>
      </c>
      <c r="M12" s="405">
        <v>6221111</v>
      </c>
      <c r="N12" s="407">
        <v>6184775</v>
      </c>
      <c r="O12" s="405">
        <v>6137531</v>
      </c>
      <c r="P12" s="408">
        <v>6137531</v>
      </c>
      <c r="Q12" s="404">
        <v>6068839</v>
      </c>
      <c r="R12" s="405">
        <v>5990051</v>
      </c>
      <c r="S12" s="405">
        <v>5937768</v>
      </c>
      <c r="T12" s="374"/>
    </row>
    <row r="13" spans="1:20" ht="20.100000000000001" customHeight="1">
      <c r="A13" s="409" t="s">
        <v>185</v>
      </c>
      <c r="B13" s="410">
        <v>92.5</v>
      </c>
      <c r="C13" s="411">
        <v>94.4</v>
      </c>
      <c r="D13" s="411">
        <v>93.8</v>
      </c>
      <c r="E13" s="411">
        <v>93.8</v>
      </c>
      <c r="F13" s="412">
        <v>93.6</v>
      </c>
      <c r="G13" s="410">
        <v>89.1</v>
      </c>
      <c r="H13" s="411">
        <v>90.3</v>
      </c>
      <c r="I13" s="411">
        <v>87.6</v>
      </c>
      <c r="J13" s="411">
        <v>87.1</v>
      </c>
      <c r="K13" s="412">
        <v>88.5</v>
      </c>
      <c r="L13" s="410">
        <v>84.8</v>
      </c>
      <c r="M13" s="411">
        <v>85.3</v>
      </c>
      <c r="N13" s="413">
        <v>86.5</v>
      </c>
      <c r="O13" s="411">
        <v>87.2</v>
      </c>
      <c r="P13" s="414">
        <v>85.9</v>
      </c>
      <c r="Q13" s="410">
        <v>85.8</v>
      </c>
      <c r="R13" s="411">
        <v>87</v>
      </c>
      <c r="S13" s="411">
        <v>88.1</v>
      </c>
      <c r="T13" s="415"/>
    </row>
    <row r="14" spans="1:20" ht="20.100000000000001" customHeight="1">
      <c r="A14" s="416" t="s">
        <v>186</v>
      </c>
      <c r="B14" s="417" t="s">
        <v>177</v>
      </c>
      <c r="C14" s="418" t="s">
        <v>177</v>
      </c>
      <c r="D14" s="418" t="s">
        <v>177</v>
      </c>
      <c r="E14" s="419">
        <v>8.4252884188563901E-2</v>
      </c>
      <c r="F14" s="420">
        <f>E14</f>
        <v>8.4252884188563901E-2</v>
      </c>
      <c r="G14" s="421">
        <v>8.6500864834109098E-2</v>
      </c>
      <c r="H14" s="419">
        <v>8.7995678097648605E-2</v>
      </c>
      <c r="I14" s="419">
        <v>8.95665783401738E-2</v>
      </c>
      <c r="J14" s="419">
        <v>9.1612274770678806E-2</v>
      </c>
      <c r="K14" s="420">
        <f>J14</f>
        <v>9.1612274770678806E-2</v>
      </c>
      <c r="L14" s="421">
        <v>9.0641340484564806E-2</v>
      </c>
      <c r="M14" s="419">
        <v>8.7627794752018207E-2</v>
      </c>
      <c r="N14" s="422">
        <f>8.8%</f>
        <v>8.8000000000000009E-2</v>
      </c>
      <c r="O14" s="419">
        <v>9.0976359886998898E-2</v>
      </c>
      <c r="P14" s="423">
        <v>9.0999999999999998E-2</v>
      </c>
      <c r="Q14" s="421">
        <v>9.5000000000000001E-2</v>
      </c>
      <c r="R14" s="419">
        <v>0.10100000000000001</v>
      </c>
      <c r="S14" s="419">
        <v>0.10199999999999999</v>
      </c>
      <c r="T14" s="424"/>
    </row>
    <row r="15" spans="1:20" ht="20.100000000000001" customHeight="1" thickBot="1">
      <c r="A15" s="416" t="s">
        <v>187</v>
      </c>
      <c r="B15" s="425">
        <f t="shared" ref="B15:M15" si="6">B7/B12</f>
        <v>1.8357205163713926</v>
      </c>
      <c r="C15" s="426">
        <f t="shared" si="6"/>
        <v>1.838453952262399</v>
      </c>
      <c r="D15" s="426">
        <f t="shared" si="6"/>
        <v>1.8475973638091163</v>
      </c>
      <c r="E15" s="426">
        <f t="shared" si="6"/>
        <v>1.858753959619053</v>
      </c>
      <c r="F15" s="427">
        <f t="shared" si="6"/>
        <v>1.858753959619053</v>
      </c>
      <c r="G15" s="425">
        <f t="shared" si="6"/>
        <v>1.8675770034475931</v>
      </c>
      <c r="H15" s="426">
        <f t="shared" si="6"/>
        <v>1.8819055770391591</v>
      </c>
      <c r="I15" s="426">
        <f t="shared" si="6"/>
        <v>1.8945540184106324</v>
      </c>
      <c r="J15" s="426">
        <f t="shared" si="6"/>
        <v>1.9051301772456453</v>
      </c>
      <c r="K15" s="427">
        <f t="shared" si="6"/>
        <v>1.9051301772456453</v>
      </c>
      <c r="L15" s="425">
        <f t="shared" si="6"/>
        <v>1.9139634115369908</v>
      </c>
      <c r="M15" s="426">
        <f t="shared" si="6"/>
        <v>1.9326723152825918</v>
      </c>
      <c r="N15" s="428">
        <v>1.98</v>
      </c>
      <c r="O15" s="426">
        <v>2.0099999999999998</v>
      </c>
      <c r="P15" s="427">
        <v>2.0099999999999998</v>
      </c>
      <c r="Q15" s="425">
        <f t="shared" ref="Q15" si="7">Q7/Q12</f>
        <v>2.0423530760990696</v>
      </c>
      <c r="R15" s="426">
        <v>2.0699999999999998</v>
      </c>
      <c r="S15" s="426">
        <v>2.09</v>
      </c>
      <c r="T15" s="429"/>
    </row>
    <row r="16" spans="1:20" ht="20.100000000000001" customHeight="1">
      <c r="A16" s="430" t="s">
        <v>188</v>
      </c>
      <c r="B16" s="431">
        <f>B17+B19+B20</f>
        <v>11497022</v>
      </c>
      <c r="C16" s="432">
        <f t="shared" ref="C16:M16" si="8">C17+C19+C20</f>
        <v>11521707</v>
      </c>
      <c r="D16" s="432">
        <f t="shared" si="8"/>
        <v>11558288</v>
      </c>
      <c r="E16" s="432">
        <f t="shared" si="8"/>
        <v>11659474</v>
      </c>
      <c r="F16" s="386">
        <f t="shared" si="8"/>
        <v>11559122.75</v>
      </c>
      <c r="G16" s="431">
        <f t="shared" si="8"/>
        <v>11772318</v>
      </c>
      <c r="H16" s="432">
        <f t="shared" si="8"/>
        <v>11846507</v>
      </c>
      <c r="I16" s="432">
        <f t="shared" si="8"/>
        <v>11884574</v>
      </c>
      <c r="J16" s="432">
        <f t="shared" si="8"/>
        <v>11924710</v>
      </c>
      <c r="K16" s="386">
        <f t="shared" si="8"/>
        <v>11857027.25</v>
      </c>
      <c r="L16" s="431">
        <f t="shared" si="8"/>
        <v>11986199</v>
      </c>
      <c r="M16" s="432">
        <f t="shared" si="8"/>
        <v>11981389</v>
      </c>
      <c r="N16" s="432">
        <f>N17+N19+N20</f>
        <v>12125363</v>
      </c>
      <c r="O16" s="432">
        <f>O17+O19+O20</f>
        <v>12272311</v>
      </c>
      <c r="P16" s="387">
        <f>P17+P19+P20</f>
        <v>12091316</v>
      </c>
      <c r="Q16" s="431">
        <f t="shared" ref="Q16:S16" si="9">Q17+Q19+Q20</f>
        <v>12376603</v>
      </c>
      <c r="R16" s="432">
        <f t="shared" si="9"/>
        <v>12391326</v>
      </c>
      <c r="S16" s="432">
        <f t="shared" si="9"/>
        <v>12378586</v>
      </c>
      <c r="T16" s="374"/>
    </row>
    <row r="17" spans="1:20" ht="20.100000000000001" customHeight="1">
      <c r="A17" s="388" t="s">
        <v>180</v>
      </c>
      <c r="B17" s="389">
        <v>3858338</v>
      </c>
      <c r="C17" s="390">
        <v>3879834</v>
      </c>
      <c r="D17" s="390">
        <v>3894623</v>
      </c>
      <c r="E17" s="390">
        <v>3955082</v>
      </c>
      <c r="F17" s="391">
        <f>AVERAGE(B17:E17)</f>
        <v>3896969.25</v>
      </c>
      <c r="G17" s="389">
        <v>4018307</v>
      </c>
      <c r="H17" s="390">
        <v>4098051</v>
      </c>
      <c r="I17" s="390">
        <v>4144131</v>
      </c>
      <c r="J17" s="390">
        <v>4175145</v>
      </c>
      <c r="K17" s="391">
        <f>AVERAGE(G17:J17)</f>
        <v>4108908.5</v>
      </c>
      <c r="L17" s="389">
        <v>4227450</v>
      </c>
      <c r="M17" s="390">
        <v>4243880</v>
      </c>
      <c r="N17" s="392">
        <v>4301558</v>
      </c>
      <c r="O17" s="390">
        <v>4361890</v>
      </c>
      <c r="P17" s="393">
        <v>4283695</v>
      </c>
      <c r="Q17" s="389">
        <v>4403541</v>
      </c>
      <c r="R17" s="390">
        <v>4397999</v>
      </c>
      <c r="S17" s="390">
        <v>4376405</v>
      </c>
      <c r="T17" s="382"/>
    </row>
    <row r="18" spans="1:20" ht="20.100000000000001" customHeight="1">
      <c r="A18" s="394" t="s">
        <v>181</v>
      </c>
      <c r="B18" s="395">
        <v>358652</v>
      </c>
      <c r="C18" s="396">
        <v>406943</v>
      </c>
      <c r="D18" s="400">
        <v>443743.5</v>
      </c>
      <c r="E18" s="396">
        <v>494506</v>
      </c>
      <c r="F18" s="397">
        <f>AVERAGE(B18:E18)</f>
        <v>425961.125</v>
      </c>
      <c r="G18" s="395">
        <v>535271</v>
      </c>
      <c r="H18" s="396">
        <v>600411</v>
      </c>
      <c r="I18" s="396">
        <v>658475</v>
      </c>
      <c r="J18" s="396">
        <v>697978</v>
      </c>
      <c r="K18" s="397">
        <f t="shared" ref="K18:K20" si="10">AVERAGE(G18:J18)</f>
        <v>623033.75</v>
      </c>
      <c r="L18" s="433">
        <v>736315</v>
      </c>
      <c r="M18" s="396">
        <v>759922</v>
      </c>
      <c r="N18" s="398">
        <v>787736</v>
      </c>
      <c r="O18" s="396">
        <v>822568</v>
      </c>
      <c r="P18" s="399">
        <v>776635</v>
      </c>
      <c r="Q18" s="433">
        <v>860827</v>
      </c>
      <c r="R18" s="396">
        <v>881296</v>
      </c>
      <c r="S18" s="396">
        <v>893001</v>
      </c>
      <c r="T18" s="400"/>
    </row>
    <row r="19" spans="1:20" ht="20.100000000000001" customHeight="1">
      <c r="A19" s="388" t="s">
        <v>182</v>
      </c>
      <c r="B19" s="389">
        <v>6986951</v>
      </c>
      <c r="C19" s="390">
        <v>6977393</v>
      </c>
      <c r="D19" s="390">
        <v>6978772</v>
      </c>
      <c r="E19" s="390">
        <v>6974525</v>
      </c>
      <c r="F19" s="391">
        <f t="shared" ref="F19:F20" si="11">AVERAGE(B19:E19)</f>
        <v>6979410.25</v>
      </c>
      <c r="G19" s="389">
        <v>6965606</v>
      </c>
      <c r="H19" s="390">
        <v>6917102</v>
      </c>
      <c r="I19" s="390">
        <v>6862047</v>
      </c>
      <c r="J19" s="390">
        <v>6801845</v>
      </c>
      <c r="K19" s="391">
        <f t="shared" si="10"/>
        <v>6886650</v>
      </c>
      <c r="L19" s="434">
        <v>6749396</v>
      </c>
      <c r="M19" s="390">
        <v>6670820</v>
      </c>
      <c r="N19" s="392">
        <v>6628199</v>
      </c>
      <c r="O19" s="390">
        <v>6597742</v>
      </c>
      <c r="P19" s="393">
        <v>6661539</v>
      </c>
      <c r="Q19" s="434">
        <v>6570344</v>
      </c>
      <c r="R19" s="390">
        <v>6532488</v>
      </c>
      <c r="S19" s="390">
        <v>6508391</v>
      </c>
      <c r="T19" s="382"/>
    </row>
    <row r="20" spans="1:20" ht="20.100000000000001" customHeight="1">
      <c r="A20" s="388" t="s">
        <v>183</v>
      </c>
      <c r="B20" s="389">
        <v>651733</v>
      </c>
      <c r="C20" s="390">
        <v>664480</v>
      </c>
      <c r="D20" s="390">
        <v>684893</v>
      </c>
      <c r="E20" s="390">
        <v>729867</v>
      </c>
      <c r="F20" s="391">
        <f t="shared" si="11"/>
        <v>682743.25</v>
      </c>
      <c r="G20" s="389">
        <v>788405</v>
      </c>
      <c r="H20" s="390">
        <v>831354</v>
      </c>
      <c r="I20" s="390">
        <v>878396</v>
      </c>
      <c r="J20" s="390">
        <v>947720</v>
      </c>
      <c r="K20" s="391">
        <f t="shared" si="10"/>
        <v>861468.75</v>
      </c>
      <c r="L20" s="434">
        <v>1009353</v>
      </c>
      <c r="M20" s="390">
        <v>1066689</v>
      </c>
      <c r="N20" s="392">
        <v>1195606</v>
      </c>
      <c r="O20" s="390">
        <v>1312679</v>
      </c>
      <c r="P20" s="393">
        <v>1146082</v>
      </c>
      <c r="Q20" s="434">
        <v>1402718</v>
      </c>
      <c r="R20" s="390">
        <v>1460839</v>
      </c>
      <c r="S20" s="390">
        <v>1493790</v>
      </c>
      <c r="T20" s="382"/>
    </row>
    <row r="21" spans="1:20" ht="20.100000000000001" customHeight="1" thickBot="1">
      <c r="A21" s="435" t="s">
        <v>189</v>
      </c>
      <c r="B21" s="436">
        <v>6288609</v>
      </c>
      <c r="C21" s="437">
        <v>6272029</v>
      </c>
      <c r="D21" s="437">
        <v>6271838</v>
      </c>
      <c r="E21" s="437">
        <v>6291791</v>
      </c>
      <c r="F21" s="438">
        <f>AVERAGE(B21:E21)</f>
        <v>6281066.75</v>
      </c>
      <c r="G21" s="439">
        <v>6316275</v>
      </c>
      <c r="H21" s="437">
        <v>6317333</v>
      </c>
      <c r="I21" s="437">
        <v>6293472</v>
      </c>
      <c r="J21" s="437">
        <v>6279979</v>
      </c>
      <c r="K21" s="438">
        <f>AVERAGE(G21:J21)</f>
        <v>6301764.75</v>
      </c>
      <c r="L21" s="439">
        <v>6274951</v>
      </c>
      <c r="M21" s="437">
        <v>6242450</v>
      </c>
      <c r="N21" s="407">
        <v>6201335</v>
      </c>
      <c r="O21" s="437">
        <v>6159902.666666667</v>
      </c>
      <c r="P21" s="440">
        <v>6219660</v>
      </c>
      <c r="Q21" s="439">
        <v>6105250</v>
      </c>
      <c r="R21" s="437">
        <v>6031638</v>
      </c>
      <c r="S21" s="437">
        <v>5960463</v>
      </c>
      <c r="T21" s="441"/>
    </row>
    <row r="22" spans="1:20" ht="20.100000000000001" customHeight="1">
      <c r="A22" s="442" t="s">
        <v>190</v>
      </c>
      <c r="B22" s="443"/>
      <c r="C22" s="444"/>
      <c r="D22" s="444"/>
      <c r="E22" s="444"/>
      <c r="F22" s="445"/>
      <c r="G22" s="446"/>
      <c r="H22" s="447"/>
      <c r="I22" s="447"/>
      <c r="J22" s="447"/>
      <c r="K22" s="445"/>
      <c r="L22" s="446"/>
      <c r="M22" s="448"/>
      <c r="N22" s="448"/>
      <c r="O22" s="447"/>
      <c r="P22" s="445"/>
      <c r="Q22" s="446"/>
      <c r="R22" s="448"/>
      <c r="S22" s="448"/>
      <c r="T22" s="449"/>
    </row>
    <row r="23" spans="1:20" ht="20.100000000000001" customHeight="1">
      <c r="A23" s="383" t="s">
        <v>179</v>
      </c>
      <c r="B23" s="450" t="s">
        <v>177</v>
      </c>
      <c r="C23" s="451" t="s">
        <v>177</v>
      </c>
      <c r="D23" s="451" t="s">
        <v>177</v>
      </c>
      <c r="E23" s="451" t="s">
        <v>177</v>
      </c>
      <c r="F23" s="387" t="s">
        <v>177</v>
      </c>
      <c r="G23" s="384">
        <f>SUM(G24:G26)</f>
        <v>4548385</v>
      </c>
      <c r="H23" s="385">
        <f t="shared" ref="H23:M23" si="12">SUM(H24:H26)</f>
        <v>4565319</v>
      </c>
      <c r="I23" s="385">
        <f t="shared" si="12"/>
        <v>4719129</v>
      </c>
      <c r="J23" s="385">
        <f t="shared" si="12"/>
        <v>4468527</v>
      </c>
      <c r="K23" s="386">
        <f t="shared" si="12"/>
        <v>4468527</v>
      </c>
      <c r="L23" s="384">
        <f t="shared" si="12"/>
        <v>4350325</v>
      </c>
      <c r="M23" s="385">
        <f t="shared" si="12"/>
        <v>4227128</v>
      </c>
      <c r="N23" s="385">
        <f>SUM(N24:N26)</f>
        <v>4219194</v>
      </c>
      <c r="O23" s="385">
        <f>SUM(O24:O26)</f>
        <v>4134203</v>
      </c>
      <c r="P23" s="387">
        <f>SUM(P24:P26)</f>
        <v>4134203</v>
      </c>
      <c r="Q23" s="384">
        <f t="shared" ref="Q23:S23" si="13">SUM(Q24:Q26)</f>
        <v>4034757</v>
      </c>
      <c r="R23" s="385">
        <f t="shared" si="13"/>
        <v>3972069</v>
      </c>
      <c r="S23" s="385">
        <f t="shared" si="13"/>
        <v>3976807</v>
      </c>
      <c r="T23" s="374"/>
    </row>
    <row r="24" spans="1:20" ht="20.100000000000001" customHeight="1">
      <c r="A24" s="388" t="s">
        <v>191</v>
      </c>
      <c r="B24" s="417" t="s">
        <v>177</v>
      </c>
      <c r="C24" s="418" t="s">
        <v>177</v>
      </c>
      <c r="D24" s="418" t="s">
        <v>177</v>
      </c>
      <c r="E24" s="418" t="s">
        <v>177</v>
      </c>
      <c r="F24" s="393" t="s">
        <v>177</v>
      </c>
      <c r="G24" s="389">
        <v>85574</v>
      </c>
      <c r="H24" s="390">
        <v>81441</v>
      </c>
      <c r="I24" s="390">
        <v>84538</v>
      </c>
      <c r="J24" s="390">
        <v>77771</v>
      </c>
      <c r="K24" s="393">
        <f>J24</f>
        <v>77771</v>
      </c>
      <c r="L24" s="389">
        <v>81619</v>
      </c>
      <c r="M24" s="390">
        <v>66578</v>
      </c>
      <c r="N24" s="392">
        <v>98136</v>
      </c>
      <c r="O24" s="390">
        <v>122787</v>
      </c>
      <c r="P24" s="393">
        <v>122787</v>
      </c>
      <c r="Q24" s="389">
        <v>66163</v>
      </c>
      <c r="R24" s="390">
        <v>41517</v>
      </c>
      <c r="S24" s="390">
        <v>60471</v>
      </c>
      <c r="T24" s="382"/>
    </row>
    <row r="25" spans="1:20" ht="20.100000000000001" customHeight="1">
      <c r="A25" s="388" t="s">
        <v>182</v>
      </c>
      <c r="B25" s="417" t="s">
        <v>177</v>
      </c>
      <c r="C25" s="418" t="s">
        <v>177</v>
      </c>
      <c r="D25" s="418" t="s">
        <v>177</v>
      </c>
      <c r="E25" s="418" t="s">
        <v>177</v>
      </c>
      <c r="F25" s="393" t="s">
        <v>177</v>
      </c>
      <c r="G25" s="389">
        <v>4385742</v>
      </c>
      <c r="H25" s="390">
        <v>4379630</v>
      </c>
      <c r="I25" s="390">
        <v>4475541</v>
      </c>
      <c r="J25" s="390">
        <v>4171810</v>
      </c>
      <c r="K25" s="393">
        <f>J25</f>
        <v>4171810</v>
      </c>
      <c r="L25" s="389">
        <v>4042605</v>
      </c>
      <c r="M25" s="390">
        <v>3923778</v>
      </c>
      <c r="N25" s="392">
        <v>3855669</v>
      </c>
      <c r="O25" s="390">
        <v>3792978</v>
      </c>
      <c r="P25" s="393">
        <v>3792978</v>
      </c>
      <c r="Q25" s="389">
        <v>3775976</v>
      </c>
      <c r="R25" s="390">
        <v>3737282</v>
      </c>
      <c r="S25" s="390">
        <v>3685092</v>
      </c>
      <c r="T25" s="382"/>
    </row>
    <row r="26" spans="1:20" ht="20.100000000000001" customHeight="1" thickBot="1">
      <c r="A26" s="388" t="s">
        <v>192</v>
      </c>
      <c r="B26" s="452" t="s">
        <v>177</v>
      </c>
      <c r="C26" s="453" t="s">
        <v>177</v>
      </c>
      <c r="D26" s="453" t="s">
        <v>177</v>
      </c>
      <c r="E26" s="453" t="s">
        <v>177</v>
      </c>
      <c r="F26" s="393" t="s">
        <v>177</v>
      </c>
      <c r="G26" s="389">
        <v>77069</v>
      </c>
      <c r="H26" s="390">
        <v>104248</v>
      </c>
      <c r="I26" s="390">
        <v>159050</v>
      </c>
      <c r="J26" s="390">
        <v>218946</v>
      </c>
      <c r="K26" s="393">
        <f>J26</f>
        <v>218946</v>
      </c>
      <c r="L26" s="389">
        <v>226101</v>
      </c>
      <c r="M26" s="390">
        <v>236772</v>
      </c>
      <c r="N26" s="392">
        <v>265389</v>
      </c>
      <c r="O26" s="390">
        <v>218438</v>
      </c>
      <c r="P26" s="393">
        <v>218438</v>
      </c>
      <c r="Q26" s="389">
        <v>192618</v>
      </c>
      <c r="R26" s="390">
        <v>193270</v>
      </c>
      <c r="S26" s="390">
        <v>231244</v>
      </c>
      <c r="T26" s="382"/>
    </row>
    <row r="27" spans="1:20" ht="20.100000000000001" customHeight="1" thickBot="1">
      <c r="A27" s="454" t="s">
        <v>193</v>
      </c>
      <c r="B27" s="455" t="s">
        <v>177</v>
      </c>
      <c r="C27" s="456" t="s">
        <v>177</v>
      </c>
      <c r="D27" s="456" t="s">
        <v>177</v>
      </c>
      <c r="E27" s="456" t="s">
        <v>177</v>
      </c>
      <c r="F27" s="457" t="s">
        <v>177</v>
      </c>
      <c r="G27" s="458">
        <v>18</v>
      </c>
      <c r="H27" s="459">
        <v>19.2</v>
      </c>
      <c r="I27" s="459">
        <v>18.2</v>
      </c>
      <c r="J27" s="459">
        <v>17.5</v>
      </c>
      <c r="K27" s="460">
        <v>18.2</v>
      </c>
      <c r="L27" s="458">
        <v>16.5</v>
      </c>
      <c r="M27" s="459">
        <v>17.899999999999999</v>
      </c>
      <c r="N27" s="461">
        <v>18.3</v>
      </c>
      <c r="O27" s="459">
        <v>18.2</v>
      </c>
      <c r="P27" s="460">
        <v>17.7</v>
      </c>
      <c r="Q27" s="458">
        <v>17.3</v>
      </c>
      <c r="R27" s="459">
        <v>18.3</v>
      </c>
      <c r="S27" s="459">
        <v>19</v>
      </c>
      <c r="T27" s="415"/>
    </row>
    <row r="28" spans="1:20" ht="20.100000000000001" customHeight="1">
      <c r="A28" s="462" t="s">
        <v>188</v>
      </c>
      <c r="B28" s="463" t="s">
        <v>177</v>
      </c>
      <c r="C28" s="464" t="s">
        <v>177</v>
      </c>
      <c r="D28" s="464" t="s">
        <v>177</v>
      </c>
      <c r="E28" s="464" t="s">
        <v>177</v>
      </c>
      <c r="F28" s="465" t="s">
        <v>177</v>
      </c>
      <c r="G28" s="431">
        <f>SUM(G29:G31)</f>
        <v>4549031</v>
      </c>
      <c r="H28" s="432">
        <f t="shared" ref="H28:M28" si="14">SUM(H29:H31)</f>
        <v>4532090</v>
      </c>
      <c r="I28" s="432">
        <f t="shared" si="14"/>
        <v>4635182</v>
      </c>
      <c r="J28" s="432">
        <f t="shared" si="14"/>
        <v>4599374</v>
      </c>
      <c r="K28" s="465">
        <f t="shared" si="14"/>
        <v>4578919.25</v>
      </c>
      <c r="L28" s="431">
        <f t="shared" si="14"/>
        <v>4398038</v>
      </c>
      <c r="M28" s="432">
        <f t="shared" si="14"/>
        <v>4285747</v>
      </c>
      <c r="N28" s="432">
        <f>SUM(N29:N31)</f>
        <v>4212274</v>
      </c>
      <c r="O28" s="432">
        <f>SUM(O29:O31)</f>
        <v>4172129</v>
      </c>
      <c r="P28" s="465">
        <f>SUM(P29:P31)</f>
        <v>4267047</v>
      </c>
      <c r="Q28" s="431">
        <f t="shared" ref="Q28:S28" si="15">SUM(Q29:Q31)</f>
        <v>4068646</v>
      </c>
      <c r="R28" s="432">
        <f t="shared" si="15"/>
        <v>4006108</v>
      </c>
      <c r="S28" s="432">
        <f t="shared" si="15"/>
        <v>3970091</v>
      </c>
      <c r="T28" s="374"/>
    </row>
    <row r="29" spans="1:20" ht="20.100000000000001" customHeight="1">
      <c r="A29" s="388" t="s">
        <v>191</v>
      </c>
      <c r="B29" s="417" t="s">
        <v>177</v>
      </c>
      <c r="C29" s="418" t="s">
        <v>177</v>
      </c>
      <c r="D29" s="418" t="s">
        <v>177</v>
      </c>
      <c r="E29" s="418" t="s">
        <v>177</v>
      </c>
      <c r="F29" s="393" t="s">
        <v>177</v>
      </c>
      <c r="G29" s="389">
        <v>78707</v>
      </c>
      <c r="H29" s="390">
        <v>73828</v>
      </c>
      <c r="I29" s="390">
        <v>68740</v>
      </c>
      <c r="J29" s="390">
        <v>77953</v>
      </c>
      <c r="K29" s="393">
        <f>AVERAGE(G29:J29)</f>
        <v>74807</v>
      </c>
      <c r="L29" s="389">
        <v>77779</v>
      </c>
      <c r="M29" s="390">
        <v>79253</v>
      </c>
      <c r="N29" s="392">
        <v>69522</v>
      </c>
      <c r="O29" s="390">
        <v>129021</v>
      </c>
      <c r="P29" s="393">
        <v>88894</v>
      </c>
      <c r="Q29" s="389">
        <v>67972</v>
      </c>
      <c r="R29" s="390">
        <v>61165</v>
      </c>
      <c r="S29" s="390">
        <v>41313</v>
      </c>
      <c r="T29" s="382"/>
    </row>
    <row r="30" spans="1:20" ht="20.100000000000001" customHeight="1">
      <c r="A30" s="388" t="s">
        <v>182</v>
      </c>
      <c r="B30" s="417" t="s">
        <v>177</v>
      </c>
      <c r="C30" s="418" t="s">
        <v>177</v>
      </c>
      <c r="D30" s="418" t="s">
        <v>177</v>
      </c>
      <c r="E30" s="418" t="s">
        <v>177</v>
      </c>
      <c r="F30" s="393" t="s">
        <v>177</v>
      </c>
      <c r="G30" s="389">
        <v>4397976</v>
      </c>
      <c r="H30" s="390">
        <v>4370181</v>
      </c>
      <c r="I30" s="390">
        <v>4431149</v>
      </c>
      <c r="J30" s="390">
        <v>4338987</v>
      </c>
      <c r="K30" s="393">
        <f t="shared" ref="K30:K31" si="16">AVERAGE(G30:J30)</f>
        <v>4384573.25</v>
      </c>
      <c r="L30" s="389">
        <v>4091609</v>
      </c>
      <c r="M30" s="390">
        <v>3975410</v>
      </c>
      <c r="N30" s="392">
        <v>3893375</v>
      </c>
      <c r="O30" s="390">
        <v>3798701</v>
      </c>
      <c r="P30" s="393">
        <v>3939774</v>
      </c>
      <c r="Q30" s="389">
        <v>3797423</v>
      </c>
      <c r="R30" s="390">
        <v>3755130</v>
      </c>
      <c r="S30" s="390">
        <v>3713656</v>
      </c>
      <c r="T30" s="382"/>
    </row>
    <row r="31" spans="1:20" ht="20.100000000000001" customHeight="1" thickBot="1">
      <c r="A31" s="466" t="s">
        <v>192</v>
      </c>
      <c r="B31" s="452" t="s">
        <v>177</v>
      </c>
      <c r="C31" s="453" t="s">
        <v>177</v>
      </c>
      <c r="D31" s="453" t="s">
        <v>177</v>
      </c>
      <c r="E31" s="453" t="s">
        <v>177</v>
      </c>
      <c r="F31" s="467" t="s">
        <v>177</v>
      </c>
      <c r="G31" s="468">
        <v>72348</v>
      </c>
      <c r="H31" s="469">
        <v>88081</v>
      </c>
      <c r="I31" s="469">
        <v>135293</v>
      </c>
      <c r="J31" s="469">
        <v>182434</v>
      </c>
      <c r="K31" s="467">
        <f t="shared" si="16"/>
        <v>119539</v>
      </c>
      <c r="L31" s="468">
        <v>228650</v>
      </c>
      <c r="M31" s="469">
        <v>231084</v>
      </c>
      <c r="N31" s="470">
        <v>249377</v>
      </c>
      <c r="O31" s="469">
        <v>244407</v>
      </c>
      <c r="P31" s="467">
        <v>238379</v>
      </c>
      <c r="Q31" s="468">
        <v>203251</v>
      </c>
      <c r="R31" s="469">
        <v>189813</v>
      </c>
      <c r="S31" s="469">
        <v>215122</v>
      </c>
      <c r="T31" s="382"/>
    </row>
    <row r="32" spans="1:20" s="471" customFormat="1" ht="20.100000000000001" customHeight="1">
      <c r="A32" s="472"/>
      <c r="R32" s="472"/>
      <c r="S32" s="472"/>
      <c r="T32" s="472"/>
    </row>
    <row r="33" spans="1:20" s="471" customFormat="1" ht="20.100000000000001" customHeight="1">
      <c r="A33" s="473" t="s">
        <v>194</v>
      </c>
      <c r="B33" s="474"/>
      <c r="C33" s="474"/>
      <c r="D33" s="474"/>
      <c r="E33" s="474"/>
      <c r="F33" s="474"/>
      <c r="G33" s="474"/>
      <c r="H33" s="474"/>
      <c r="I33" s="474"/>
      <c r="J33" s="474"/>
      <c r="K33" s="474"/>
      <c r="L33" s="474"/>
      <c r="M33" s="474"/>
      <c r="N33" s="474"/>
      <c r="O33" s="474"/>
      <c r="P33" s="474"/>
      <c r="Q33" s="474"/>
      <c r="R33" s="473"/>
      <c r="S33" s="473"/>
      <c r="T33" s="472"/>
    </row>
    <row r="34" spans="1:20" s="471" customFormat="1" ht="20.100000000000001" customHeight="1">
      <c r="A34" s="473" t="s">
        <v>195</v>
      </c>
      <c r="B34" s="474"/>
      <c r="C34" s="474"/>
      <c r="D34" s="474"/>
      <c r="E34" s="474"/>
      <c r="F34" s="474"/>
      <c r="G34" s="474"/>
      <c r="H34" s="474"/>
      <c r="I34" s="474"/>
      <c r="J34" s="474"/>
      <c r="K34" s="474"/>
      <c r="L34" s="474"/>
      <c r="M34" s="474"/>
      <c r="N34" s="474"/>
      <c r="O34" s="474"/>
      <c r="P34" s="474"/>
      <c r="Q34" s="474"/>
      <c r="R34" s="473"/>
      <c r="S34" s="473"/>
      <c r="T34" s="472"/>
    </row>
    <row r="35" spans="1:20" s="471" customFormat="1" ht="20.100000000000001" customHeight="1">
      <c r="A35" s="566" t="s">
        <v>196</v>
      </c>
      <c r="B35" s="567"/>
      <c r="C35" s="567"/>
      <c r="D35" s="567"/>
      <c r="E35" s="567"/>
      <c r="F35" s="567"/>
      <c r="G35" s="567"/>
      <c r="H35" s="567"/>
      <c r="I35" s="567"/>
      <c r="J35" s="474"/>
      <c r="K35" s="474"/>
      <c r="L35" s="474"/>
      <c r="M35" s="474"/>
      <c r="N35" s="474"/>
      <c r="O35" s="474"/>
      <c r="P35" s="474"/>
      <c r="Q35" s="474"/>
      <c r="R35" s="473"/>
      <c r="S35" s="473"/>
      <c r="T35" s="472"/>
    </row>
    <row r="36" spans="1:20" s="471" customFormat="1" ht="30" customHeight="1">
      <c r="A36" s="566" t="s">
        <v>197</v>
      </c>
      <c r="B36" s="566"/>
      <c r="C36" s="566"/>
      <c r="D36" s="566"/>
      <c r="E36" s="566"/>
      <c r="F36" s="566"/>
      <c r="G36" s="566"/>
      <c r="H36" s="566"/>
      <c r="I36" s="566"/>
      <c r="J36" s="566"/>
      <c r="K36" s="566"/>
      <c r="L36" s="566"/>
      <c r="M36" s="566"/>
      <c r="N36" s="566"/>
      <c r="O36" s="566"/>
      <c r="P36" s="566"/>
      <c r="Q36" s="566"/>
      <c r="R36" s="566"/>
      <c r="S36" s="566"/>
      <c r="T36" s="472"/>
    </row>
    <row r="37" spans="1:20" s="471" customFormat="1" ht="20.100000000000001" customHeight="1">
      <c r="A37" s="567" t="s">
        <v>198</v>
      </c>
      <c r="B37" s="567"/>
      <c r="C37" s="567"/>
      <c r="D37" s="567"/>
      <c r="E37" s="567"/>
      <c r="F37" s="567"/>
      <c r="G37" s="567"/>
      <c r="H37" s="567"/>
      <c r="I37" s="567"/>
      <c r="J37" s="567"/>
      <c r="K37" s="567"/>
      <c r="L37" s="567"/>
      <c r="M37" s="567"/>
      <c r="N37" s="474"/>
      <c r="O37" s="474"/>
      <c r="P37" s="474"/>
      <c r="Q37" s="474"/>
      <c r="R37" s="473"/>
      <c r="S37" s="473"/>
      <c r="T37" s="472"/>
    </row>
    <row r="38" spans="1:20" s="471" customFormat="1" ht="20.100000000000001" customHeight="1">
      <c r="A38" s="472"/>
      <c r="R38" s="472"/>
      <c r="S38" s="472"/>
      <c r="T38" s="472"/>
    </row>
    <row r="39" spans="1:20" ht="20.100000000000001" customHeight="1"/>
    <row r="40" spans="1:20" ht="20.100000000000001" customHeight="1"/>
    <row r="41" spans="1:20" ht="20.100000000000001" customHeight="1"/>
    <row r="42" spans="1:20" ht="20.100000000000001" customHeight="1"/>
    <row r="43" spans="1:20" ht="20.100000000000001" customHeight="1"/>
    <row r="44" spans="1:20" ht="20.100000000000001" customHeight="1"/>
    <row r="45" spans="1:20" ht="20.100000000000001" customHeight="1"/>
    <row r="46" spans="1:20" ht="20.100000000000001" customHeight="1"/>
    <row r="47" spans="1:20" ht="20.100000000000001" customHeight="1"/>
    <row r="48" spans="1:20" ht="20.100000000000001" customHeight="1"/>
    <row r="49" spans="2:20" ht="20.100000000000001" customHeight="1"/>
    <row r="50" spans="2:20" s="1" customFormat="1" ht="20.100000000000001" customHeight="1">
      <c r="B50" s="2"/>
      <c r="C50" s="2"/>
      <c r="D50" s="2"/>
      <c r="E50" s="2"/>
      <c r="F50" s="2"/>
      <c r="G50" s="2"/>
      <c r="H50" s="2"/>
      <c r="I50" s="2"/>
      <c r="J50" s="2"/>
      <c r="K50" s="2"/>
      <c r="L50" s="2"/>
      <c r="M50" s="2"/>
      <c r="N50" s="2"/>
      <c r="O50" s="2"/>
      <c r="P50" s="2"/>
      <c r="Q50" s="2"/>
      <c r="R50" s="4"/>
      <c r="S50" s="4"/>
      <c r="T50" s="4"/>
    </row>
    <row r="51" spans="2:20" s="1" customFormat="1" ht="20.100000000000001" customHeight="1">
      <c r="B51" s="2"/>
      <c r="C51" s="2"/>
      <c r="D51" s="2"/>
      <c r="E51" s="2"/>
      <c r="F51" s="2"/>
      <c r="G51" s="2"/>
      <c r="H51" s="2"/>
      <c r="I51" s="2"/>
      <c r="J51" s="2"/>
      <c r="K51" s="2"/>
      <c r="L51" s="2"/>
      <c r="M51" s="2"/>
      <c r="N51" s="2"/>
      <c r="O51" s="2"/>
      <c r="P51" s="2"/>
      <c r="Q51" s="2"/>
      <c r="R51" s="4"/>
      <c r="S51" s="4"/>
      <c r="T51" s="4"/>
    </row>
    <row r="52" spans="2:20" s="1" customFormat="1" ht="20.100000000000001" customHeight="1">
      <c r="B52" s="2"/>
      <c r="C52" s="2"/>
      <c r="D52" s="2"/>
      <c r="E52" s="2"/>
      <c r="F52" s="2"/>
      <c r="G52" s="2"/>
      <c r="H52" s="2"/>
      <c r="I52" s="2"/>
      <c r="J52" s="2"/>
      <c r="K52" s="2"/>
      <c r="L52" s="2"/>
      <c r="M52" s="2"/>
      <c r="N52" s="2"/>
      <c r="O52" s="2"/>
      <c r="P52" s="2"/>
      <c r="Q52" s="2"/>
      <c r="R52" s="4"/>
      <c r="S52" s="4"/>
      <c r="T52" s="4"/>
    </row>
    <row r="53" spans="2:20" s="1" customFormat="1" ht="20.100000000000001" customHeight="1">
      <c r="B53" s="2"/>
      <c r="C53" s="2"/>
      <c r="D53" s="2"/>
      <c r="E53" s="2"/>
      <c r="F53" s="2"/>
      <c r="G53" s="2"/>
      <c r="H53" s="2"/>
      <c r="I53" s="2"/>
      <c r="J53" s="2"/>
      <c r="K53" s="2"/>
      <c r="L53" s="2"/>
      <c r="M53" s="2"/>
      <c r="N53" s="2"/>
      <c r="O53" s="2"/>
      <c r="P53" s="2"/>
      <c r="Q53" s="2"/>
      <c r="R53" s="4"/>
      <c r="S53" s="4"/>
      <c r="T53" s="4"/>
    </row>
    <row r="54" spans="2:20" s="1" customFormat="1" ht="20.100000000000001" customHeight="1">
      <c r="B54" s="2"/>
      <c r="C54" s="2"/>
      <c r="D54" s="2"/>
      <c r="E54" s="2"/>
      <c r="F54" s="2"/>
      <c r="G54" s="2"/>
      <c r="H54" s="2"/>
      <c r="I54" s="2"/>
      <c r="J54" s="2"/>
      <c r="K54" s="2"/>
      <c r="L54" s="2"/>
      <c r="M54" s="2"/>
      <c r="N54" s="2"/>
      <c r="O54" s="2"/>
      <c r="P54" s="2"/>
      <c r="Q54" s="2"/>
      <c r="R54" s="4"/>
      <c r="S54" s="4"/>
      <c r="T54" s="4"/>
    </row>
    <row r="55" spans="2:20" s="1" customFormat="1" ht="20.100000000000001" customHeight="1">
      <c r="B55" s="2"/>
      <c r="C55" s="2"/>
      <c r="D55" s="2"/>
      <c r="E55" s="2"/>
      <c r="F55" s="2"/>
      <c r="G55" s="2"/>
      <c r="H55" s="2"/>
      <c r="I55" s="2"/>
      <c r="J55" s="2"/>
      <c r="K55" s="2"/>
      <c r="L55" s="2"/>
      <c r="M55" s="2"/>
      <c r="N55" s="2"/>
      <c r="O55" s="2"/>
      <c r="P55" s="2"/>
      <c r="Q55" s="2"/>
      <c r="R55" s="4"/>
      <c r="S55" s="4"/>
      <c r="T55" s="4"/>
    </row>
  </sheetData>
  <mergeCells count="12">
    <mergeCell ref="P3:P4"/>
    <mergeCell ref="Q3:S3"/>
    <mergeCell ref="A35:I35"/>
    <mergeCell ref="A37:M37"/>
    <mergeCell ref="A36:S36"/>
    <mergeCell ref="A2:N2"/>
    <mergeCell ref="A3:A4"/>
    <mergeCell ref="B3:E3"/>
    <mergeCell ref="F3:F4"/>
    <mergeCell ref="G3:J3"/>
    <mergeCell ref="K3:K4"/>
    <mergeCell ref="L3:O3"/>
  </mergeCells>
  <pageMargins left="0.7" right="0.7" top="0.75" bottom="0.75" header="0.3" footer="0.3"/>
  <pageSetup paperSize="9" scale="53" orientation="landscape" horizontalDpi="4294967294" r:id="rId1"/>
  <ignoredErrors>
    <ignoredError sqref="F7 K7" formula="1"/>
    <ignoredError sqref="L23:S23 G23:J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4"/>
  <sheetViews>
    <sheetView zoomScale="90" zoomScaleNormal="90" workbookViewId="0">
      <pane ySplit="1" topLeftCell="A2" activePane="bottomLeft" state="frozen"/>
      <selection pane="bottomLeft" activeCell="L15" sqref="L15"/>
    </sheetView>
  </sheetViews>
  <sheetFormatPr defaultRowHeight="14.25"/>
  <cols>
    <col min="1" max="1" width="1.625" style="64" customWidth="1"/>
    <col min="2" max="2" width="30.75" customWidth="1"/>
    <col min="3" max="8" width="12.625" customWidth="1"/>
    <col min="9" max="33" width="9" style="64"/>
  </cols>
  <sheetData>
    <row r="1" spans="2:15" s="64" customFormat="1" ht="50.25" customHeight="1" thickBot="1">
      <c r="B1" s="3" t="s">
        <v>117</v>
      </c>
    </row>
    <row r="2" spans="2:15" ht="20.25" customHeight="1" thickBot="1">
      <c r="B2" s="568" t="s">
        <v>126</v>
      </c>
      <c r="C2" s="546" t="s">
        <v>199</v>
      </c>
      <c r="D2" s="547"/>
      <c r="E2" s="548"/>
      <c r="F2" s="546" t="s">
        <v>200</v>
      </c>
      <c r="G2" s="547"/>
      <c r="H2" s="548"/>
    </row>
    <row r="3" spans="2:15" ht="20.25" customHeight="1" thickBot="1">
      <c r="B3" s="569"/>
      <c r="C3" s="535">
        <v>2015</v>
      </c>
      <c r="D3" s="536">
        <v>2014</v>
      </c>
      <c r="E3" s="537" t="s">
        <v>201</v>
      </c>
      <c r="F3" s="535">
        <v>2015</v>
      </c>
      <c r="G3" s="536">
        <v>2014</v>
      </c>
      <c r="H3" s="537" t="s">
        <v>201</v>
      </c>
      <c r="I3" s="475"/>
      <c r="J3" s="475"/>
      <c r="K3" s="475"/>
      <c r="L3" s="475"/>
      <c r="M3" s="475"/>
      <c r="N3" s="475"/>
      <c r="O3" s="475"/>
    </row>
    <row r="4" spans="2:15" ht="25.5" customHeight="1">
      <c r="B4" s="476" t="s">
        <v>202</v>
      </c>
      <c r="C4" s="477">
        <v>0.25240000000000001</v>
      </c>
      <c r="D4" s="478">
        <v>0.2414</v>
      </c>
      <c r="E4" s="479">
        <f t="shared" ref="E4:E27" si="0">IFERROR((C4-D4)/D4,"n/d")</f>
        <v>4.556752278376143E-2</v>
      </c>
      <c r="F4" s="477">
        <v>0.24579999999999999</v>
      </c>
      <c r="G4" s="478">
        <v>0.2336</v>
      </c>
      <c r="H4" s="479">
        <f t="shared" ref="H4:H27" si="1">IFERROR((F4-G4)/G4,"n/d")</f>
        <v>5.2226027397260226E-2</v>
      </c>
      <c r="I4" s="480"/>
      <c r="J4" s="480"/>
      <c r="K4" s="480"/>
      <c r="L4" s="480"/>
      <c r="M4" s="475"/>
      <c r="N4" s="475"/>
      <c r="O4" s="475"/>
    </row>
    <row r="5" spans="2:15" ht="25.5" customHeight="1">
      <c r="B5" s="481" t="s">
        <v>203</v>
      </c>
      <c r="C5" s="482">
        <v>0.128</v>
      </c>
      <c r="D5" s="483">
        <v>0.12790000000000001</v>
      </c>
      <c r="E5" s="484">
        <f t="shared" si="0"/>
        <v>7.8186082877239229E-4</v>
      </c>
      <c r="F5" s="482">
        <v>0.13220000000000001</v>
      </c>
      <c r="G5" s="483">
        <v>0.13170000000000001</v>
      </c>
      <c r="H5" s="484">
        <f t="shared" si="1"/>
        <v>3.7965072133637084E-3</v>
      </c>
      <c r="I5" s="480"/>
      <c r="J5" s="480"/>
      <c r="K5" s="480"/>
      <c r="L5" s="480"/>
      <c r="M5" s="475"/>
      <c r="N5" s="475"/>
      <c r="O5" s="475"/>
    </row>
    <row r="6" spans="2:15" ht="25.5" customHeight="1">
      <c r="B6" s="481" t="s">
        <v>204</v>
      </c>
      <c r="C6" s="477">
        <v>0.1244</v>
      </c>
      <c r="D6" s="478">
        <v>0.1135</v>
      </c>
      <c r="E6" s="485">
        <f t="shared" si="0"/>
        <v>9.6035242290748835E-2</v>
      </c>
      <c r="F6" s="477">
        <v>0.1137</v>
      </c>
      <c r="G6" s="478">
        <v>0.1019</v>
      </c>
      <c r="H6" s="485">
        <f t="shared" si="1"/>
        <v>0.11579980372914613</v>
      </c>
      <c r="I6" s="480"/>
      <c r="J6" s="480"/>
      <c r="K6" s="480"/>
      <c r="L6" s="480"/>
      <c r="M6" s="475"/>
      <c r="N6" s="475"/>
      <c r="O6" s="475"/>
    </row>
    <row r="7" spans="2:15" ht="18" customHeight="1">
      <c r="B7" s="486" t="s">
        <v>205</v>
      </c>
      <c r="C7" s="487">
        <v>1.5599999999999999E-2</v>
      </c>
      <c r="D7" s="488">
        <v>2.0899999999999998E-2</v>
      </c>
      <c r="E7" s="489">
        <f t="shared" si="0"/>
        <v>-0.25358851674641147</v>
      </c>
      <c r="F7" s="487">
        <v>1.46E-2</v>
      </c>
      <c r="G7" s="488">
        <v>1.7600000000000001E-2</v>
      </c>
      <c r="H7" s="489">
        <f t="shared" si="1"/>
        <v>-0.1704545454545455</v>
      </c>
      <c r="I7" s="490"/>
      <c r="J7" s="490"/>
      <c r="K7" s="490"/>
      <c r="L7" s="490"/>
      <c r="M7" s="475"/>
      <c r="N7" s="475"/>
      <c r="O7" s="475"/>
    </row>
    <row r="8" spans="2:15" ht="18" customHeight="1">
      <c r="B8" s="486" t="s">
        <v>206</v>
      </c>
      <c r="C8" s="487">
        <v>9.1000000000000004E-3</v>
      </c>
      <c r="D8" s="488">
        <v>1.01E-2</v>
      </c>
      <c r="E8" s="489">
        <f t="shared" si="0"/>
        <v>-9.9009900990098931E-2</v>
      </c>
      <c r="F8" s="487">
        <v>8.3000000000000001E-3</v>
      </c>
      <c r="G8" s="488">
        <v>9.5999999999999992E-3</v>
      </c>
      <c r="H8" s="489">
        <f t="shared" si="1"/>
        <v>-0.13541666666666657</v>
      </c>
      <c r="I8" s="490"/>
      <c r="J8" s="490"/>
      <c r="K8" s="490"/>
      <c r="L8" s="490"/>
      <c r="M8" s="475"/>
      <c r="N8" s="475"/>
      <c r="O8" s="475"/>
    </row>
    <row r="9" spans="2:15" ht="18" customHeight="1">
      <c r="B9" s="486" t="s">
        <v>207</v>
      </c>
      <c r="C9" s="487">
        <v>7.4999999999999997E-3</v>
      </c>
      <c r="D9" s="488">
        <v>4.5999999999999999E-3</v>
      </c>
      <c r="E9" s="489">
        <f t="shared" si="0"/>
        <v>0.63043478260869557</v>
      </c>
      <c r="F9" s="487">
        <v>5.4999999999999997E-3</v>
      </c>
      <c r="G9" s="488">
        <v>5.0000000000000001E-3</v>
      </c>
      <c r="H9" s="489">
        <f t="shared" si="1"/>
        <v>9.9999999999999908E-2</v>
      </c>
      <c r="I9" s="490"/>
      <c r="J9" s="490"/>
      <c r="K9" s="490"/>
      <c r="L9" s="490"/>
      <c r="M9" s="475"/>
      <c r="N9" s="475"/>
      <c r="O9" s="475"/>
    </row>
    <row r="10" spans="2:15" ht="18" customHeight="1">
      <c r="B10" s="486" t="s">
        <v>208</v>
      </c>
      <c r="C10" s="487">
        <v>1.6000000000000001E-3</v>
      </c>
      <c r="D10" s="488">
        <v>8.9999999999999998E-4</v>
      </c>
      <c r="E10" s="489">
        <f t="shared" si="0"/>
        <v>0.7777777777777779</v>
      </c>
      <c r="F10" s="487">
        <v>1.1999999999999999E-3</v>
      </c>
      <c r="G10" s="488">
        <v>1.1999999999999999E-3</v>
      </c>
      <c r="H10" s="489">
        <f t="shared" si="1"/>
        <v>0</v>
      </c>
      <c r="I10" s="490"/>
      <c r="J10" s="490"/>
      <c r="K10" s="490"/>
      <c r="L10" s="490"/>
      <c r="M10" s="475"/>
      <c r="N10" s="475"/>
      <c r="O10" s="475"/>
    </row>
    <row r="11" spans="2:15" ht="18" customHeight="1">
      <c r="B11" s="486" t="s">
        <v>209</v>
      </c>
      <c r="C11" s="487">
        <v>6.0000000000000001E-3</v>
      </c>
      <c r="D11" s="488">
        <v>2.8999999999999998E-3</v>
      </c>
      <c r="E11" s="489">
        <f t="shared" si="0"/>
        <v>1.0689655172413794</v>
      </c>
      <c r="F11" s="487">
        <v>4.5999999999999999E-3</v>
      </c>
      <c r="G11" s="488">
        <v>2.8E-3</v>
      </c>
      <c r="H11" s="489">
        <f t="shared" si="1"/>
        <v>0.64285714285714279</v>
      </c>
      <c r="I11" s="490"/>
      <c r="J11" s="490"/>
      <c r="K11" s="490"/>
      <c r="L11" s="490"/>
      <c r="M11" s="475"/>
      <c r="N11" s="475"/>
      <c r="O11" s="475"/>
    </row>
    <row r="12" spans="2:15" ht="18" customHeight="1">
      <c r="B12" s="486" t="s">
        <v>210</v>
      </c>
      <c r="C12" s="487">
        <v>8.0000000000000002E-3</v>
      </c>
      <c r="D12" s="488">
        <v>7.7999999999999996E-3</v>
      </c>
      <c r="E12" s="489">
        <f t="shared" si="0"/>
        <v>2.564102564102571E-2</v>
      </c>
      <c r="F12" s="487">
        <v>7.4999999999999997E-3</v>
      </c>
      <c r="G12" s="488">
        <v>6.8999999999999999E-3</v>
      </c>
      <c r="H12" s="489">
        <f t="shared" si="1"/>
        <v>8.6956521739130418E-2</v>
      </c>
      <c r="I12" s="491"/>
      <c r="J12" s="491"/>
      <c r="K12" s="490"/>
      <c r="L12" s="490"/>
      <c r="M12" s="475"/>
      <c r="N12" s="475"/>
      <c r="O12" s="475"/>
    </row>
    <row r="13" spans="2:15" ht="18" customHeight="1">
      <c r="B13" s="486" t="s">
        <v>211</v>
      </c>
      <c r="C13" s="487">
        <v>1.1999999999999999E-3</v>
      </c>
      <c r="D13" s="488">
        <v>1.6999999999999999E-3</v>
      </c>
      <c r="E13" s="489">
        <f t="shared" si="0"/>
        <v>-0.29411764705882354</v>
      </c>
      <c r="F13" s="487">
        <v>1.4E-3</v>
      </c>
      <c r="G13" s="488">
        <v>2E-3</v>
      </c>
      <c r="H13" s="489">
        <f t="shared" si="1"/>
        <v>-0.30000000000000004</v>
      </c>
      <c r="I13" s="492"/>
      <c r="J13" s="492"/>
      <c r="K13" s="490"/>
      <c r="L13" s="490"/>
      <c r="M13" s="475"/>
      <c r="N13" s="475"/>
      <c r="O13" s="475"/>
    </row>
    <row r="14" spans="2:15" ht="18" customHeight="1">
      <c r="B14" s="486" t="s">
        <v>212</v>
      </c>
      <c r="C14" s="487">
        <v>4.1999999999999997E-3</v>
      </c>
      <c r="D14" s="488">
        <v>4.1999999999999997E-3</v>
      </c>
      <c r="E14" s="489">
        <f t="shared" si="0"/>
        <v>0</v>
      </c>
      <c r="F14" s="487">
        <v>4.1000000000000003E-3</v>
      </c>
      <c r="G14" s="488">
        <v>4.0000000000000001E-3</v>
      </c>
      <c r="H14" s="489">
        <f t="shared" si="1"/>
        <v>2.5000000000000064E-2</v>
      </c>
      <c r="I14" s="492"/>
      <c r="J14" s="492"/>
      <c r="K14" s="490"/>
      <c r="L14" s="490"/>
      <c r="M14" s="475"/>
      <c r="N14" s="475"/>
      <c r="O14" s="475"/>
    </row>
    <row r="15" spans="2:15" ht="18" customHeight="1">
      <c r="B15" s="486" t="s">
        <v>213</v>
      </c>
      <c r="C15" s="487">
        <v>6.4000000000000003E-3</v>
      </c>
      <c r="D15" s="488">
        <v>7.1000000000000004E-3</v>
      </c>
      <c r="E15" s="489">
        <f t="shared" si="0"/>
        <v>-9.8591549295774655E-2</v>
      </c>
      <c r="F15" s="487">
        <v>6.7000000000000002E-3</v>
      </c>
      <c r="G15" s="488">
        <v>6.4999999999999997E-3</v>
      </c>
      <c r="H15" s="489">
        <f t="shared" si="1"/>
        <v>3.0769230769230851E-2</v>
      </c>
      <c r="I15" s="493"/>
      <c r="J15" s="493"/>
      <c r="K15" s="490"/>
      <c r="L15" s="490"/>
      <c r="M15" s="475"/>
      <c r="N15" s="475"/>
      <c r="O15" s="475"/>
    </row>
    <row r="16" spans="2:15" ht="18" customHeight="1">
      <c r="B16" s="486" t="s">
        <v>214</v>
      </c>
      <c r="C16" s="487">
        <v>1.4E-3</v>
      </c>
      <c r="D16" s="488">
        <v>1.1000000000000001E-3</v>
      </c>
      <c r="E16" s="489">
        <f t="shared" si="0"/>
        <v>0.27272727272727265</v>
      </c>
      <c r="F16" s="487">
        <v>1.1999999999999999E-3</v>
      </c>
      <c r="G16" s="488">
        <v>8.9999999999999998E-4</v>
      </c>
      <c r="H16" s="489">
        <f t="shared" si="1"/>
        <v>0.33333333333333326</v>
      </c>
      <c r="I16" s="493"/>
      <c r="J16" s="493"/>
      <c r="K16" s="490"/>
      <c r="L16" s="490"/>
      <c r="M16" s="475"/>
      <c r="N16" s="475"/>
      <c r="O16" s="475"/>
    </row>
    <row r="17" spans="2:15" ht="18" customHeight="1">
      <c r="B17" s="486" t="s">
        <v>215</v>
      </c>
      <c r="C17" s="487">
        <v>8.9999999999999998E-4</v>
      </c>
      <c r="D17" s="488">
        <v>8.0000000000000004E-4</v>
      </c>
      <c r="E17" s="489">
        <f t="shared" si="0"/>
        <v>0.12499999999999992</v>
      </c>
      <c r="F17" s="487">
        <v>8.9999999999999998E-4</v>
      </c>
      <c r="G17" s="488">
        <v>6.9999999999999999E-4</v>
      </c>
      <c r="H17" s="489">
        <f t="shared" si="1"/>
        <v>0.2857142857142857</v>
      </c>
      <c r="I17" s="493"/>
      <c r="J17" s="493"/>
      <c r="K17" s="490"/>
      <c r="L17" s="490"/>
      <c r="M17" s="475"/>
      <c r="N17" s="475"/>
      <c r="O17" s="475"/>
    </row>
    <row r="18" spans="2:15" ht="18" customHeight="1">
      <c r="B18" s="486" t="s">
        <v>216</v>
      </c>
      <c r="C18" s="487">
        <v>1.1999999999999999E-3</v>
      </c>
      <c r="D18" s="488">
        <v>8.9999999999999998E-4</v>
      </c>
      <c r="E18" s="489">
        <f t="shared" si="0"/>
        <v>0.33333333333333326</v>
      </c>
      <c r="F18" s="487">
        <v>8.9999999999999998E-4</v>
      </c>
      <c r="G18" s="488">
        <v>8.0000000000000004E-4</v>
      </c>
      <c r="H18" s="489">
        <f t="shared" si="1"/>
        <v>0.12499999999999992</v>
      </c>
      <c r="I18" s="493"/>
      <c r="J18" s="493"/>
      <c r="K18" s="490"/>
      <c r="L18" s="490"/>
      <c r="M18" s="475"/>
      <c r="N18" s="475"/>
      <c r="O18" s="475"/>
    </row>
    <row r="19" spans="2:15" ht="18" customHeight="1">
      <c r="B19" s="486" t="s">
        <v>217</v>
      </c>
      <c r="C19" s="487">
        <v>6.9999999999999999E-4</v>
      </c>
      <c r="D19" s="488">
        <v>5.0000000000000001E-4</v>
      </c>
      <c r="E19" s="489">
        <f t="shared" si="0"/>
        <v>0.39999999999999997</v>
      </c>
      <c r="F19" s="487">
        <v>5.9999999999999995E-4</v>
      </c>
      <c r="G19" s="488">
        <v>5.0000000000000001E-4</v>
      </c>
      <c r="H19" s="489">
        <f t="shared" si="1"/>
        <v>0.19999999999999987</v>
      </c>
      <c r="I19" s="493"/>
      <c r="J19" s="493"/>
      <c r="K19" s="490"/>
      <c r="L19" s="490"/>
      <c r="M19" s="475"/>
      <c r="N19" s="475"/>
      <c r="O19" s="475"/>
    </row>
    <row r="20" spans="2:15" ht="18" customHeight="1">
      <c r="B20" s="486" t="s">
        <v>218</v>
      </c>
      <c r="C20" s="487">
        <v>1.1999999999999999E-3</v>
      </c>
      <c r="D20" s="488">
        <v>1.1999999999999999E-3</v>
      </c>
      <c r="E20" s="489">
        <f t="shared" si="0"/>
        <v>0</v>
      </c>
      <c r="F20" s="487">
        <v>1.1000000000000001E-3</v>
      </c>
      <c r="G20" s="488">
        <v>1.2999999999999999E-3</v>
      </c>
      <c r="H20" s="489">
        <f t="shared" si="1"/>
        <v>-0.15384615384615374</v>
      </c>
      <c r="I20" s="493"/>
      <c r="J20" s="493"/>
      <c r="K20" s="490"/>
      <c r="L20" s="490"/>
      <c r="M20" s="475"/>
      <c r="N20" s="475"/>
      <c r="O20" s="475"/>
    </row>
    <row r="21" spans="2:15" ht="18" customHeight="1">
      <c r="B21" s="486" t="s">
        <v>219</v>
      </c>
      <c r="C21" s="487">
        <v>2.9999999999999997E-4</v>
      </c>
      <c r="D21" s="488">
        <v>2.0000000000000001E-4</v>
      </c>
      <c r="E21" s="489">
        <f t="shared" si="0"/>
        <v>0.49999999999999978</v>
      </c>
      <c r="F21" s="487">
        <v>2.9999999999999997E-4</v>
      </c>
      <c r="G21" s="488">
        <v>2.0000000000000001E-4</v>
      </c>
      <c r="H21" s="489">
        <f t="shared" si="1"/>
        <v>0.49999999999999978</v>
      </c>
      <c r="I21" s="493"/>
      <c r="J21" s="493"/>
      <c r="K21" s="490"/>
      <c r="L21" s="490"/>
      <c r="M21" s="475"/>
      <c r="N21" s="475"/>
      <c r="O21" s="475"/>
    </row>
    <row r="22" spans="2:15" ht="18" customHeight="1">
      <c r="B22" s="486" t="s">
        <v>220</v>
      </c>
      <c r="C22" s="487">
        <v>1.5E-3</v>
      </c>
      <c r="D22" s="488">
        <v>1.2999999999999999E-3</v>
      </c>
      <c r="E22" s="489">
        <f t="shared" si="0"/>
        <v>0.15384615384615391</v>
      </c>
      <c r="F22" s="487">
        <v>1.4E-3</v>
      </c>
      <c r="G22" s="488">
        <v>1.2999999999999999E-3</v>
      </c>
      <c r="H22" s="489">
        <f t="shared" si="1"/>
        <v>7.6923076923076955E-2</v>
      </c>
      <c r="I22" s="493"/>
      <c r="J22" s="493"/>
      <c r="K22" s="490"/>
      <c r="L22" s="490"/>
      <c r="M22" s="475"/>
      <c r="N22" s="475"/>
      <c r="O22" s="475"/>
    </row>
    <row r="23" spans="2:15" ht="18" customHeight="1">
      <c r="B23" s="486" t="s">
        <v>221</v>
      </c>
      <c r="C23" s="487">
        <v>2.7000000000000001E-3</v>
      </c>
      <c r="D23" s="488">
        <v>2.3999999999999998E-3</v>
      </c>
      <c r="E23" s="489">
        <f t="shared" si="0"/>
        <v>0.12500000000000017</v>
      </c>
      <c r="F23" s="487">
        <v>2.7000000000000001E-3</v>
      </c>
      <c r="G23" s="488">
        <v>2.5000000000000001E-3</v>
      </c>
      <c r="H23" s="489">
        <f t="shared" si="1"/>
        <v>8.0000000000000029E-2</v>
      </c>
      <c r="I23" s="493"/>
      <c r="J23" s="493"/>
      <c r="K23" s="490"/>
      <c r="L23" s="490"/>
      <c r="M23" s="475"/>
      <c r="N23" s="475"/>
      <c r="O23" s="475"/>
    </row>
    <row r="24" spans="2:15" ht="18" customHeight="1">
      <c r="B24" s="486" t="s">
        <v>222</v>
      </c>
      <c r="C24" s="487">
        <v>3.9100000000000003E-2</v>
      </c>
      <c r="D24" s="488">
        <v>2.7900000000000001E-2</v>
      </c>
      <c r="E24" s="489">
        <f t="shared" si="0"/>
        <v>0.40143369175627241</v>
      </c>
      <c r="F24" s="487">
        <v>3.5799999999999998E-2</v>
      </c>
      <c r="G24" s="488">
        <v>2.7E-2</v>
      </c>
      <c r="H24" s="489">
        <f t="shared" si="1"/>
        <v>0.3259259259259259</v>
      </c>
      <c r="I24" s="493"/>
      <c r="J24" s="493"/>
      <c r="K24" s="490"/>
      <c r="L24" s="490"/>
      <c r="M24" s="475"/>
      <c r="N24" s="475"/>
      <c r="O24" s="475"/>
    </row>
    <row r="25" spans="2:15" ht="18" customHeight="1">
      <c r="B25" s="486" t="s">
        <v>223</v>
      </c>
      <c r="C25" s="487">
        <v>1.5599999999999999E-2</v>
      </c>
      <c r="D25" s="488">
        <v>1.0699999999999999E-2</v>
      </c>
      <c r="E25" s="489">
        <f t="shared" si="0"/>
        <v>0.45794392523364486</v>
      </c>
      <c r="F25" s="487">
        <v>1.47E-2</v>
      </c>
      <c r="G25" s="488">
        <v>1.0200000000000001E-2</v>
      </c>
      <c r="H25" s="489">
        <f t="shared" si="1"/>
        <v>0.44117647058823517</v>
      </c>
      <c r="I25" s="493"/>
      <c r="J25" s="493"/>
      <c r="K25" s="490"/>
      <c r="L25" s="490"/>
      <c r="M25" s="475"/>
      <c r="N25" s="475"/>
      <c r="O25" s="475"/>
    </row>
    <row r="26" spans="2:15" ht="18" customHeight="1">
      <c r="B26" s="486" t="s">
        <v>224</v>
      </c>
      <c r="C26" s="487">
        <v>2.9999999999999997E-4</v>
      </c>
      <c r="D26" s="488">
        <v>2.9999999999999997E-4</v>
      </c>
      <c r="E26" s="489">
        <f t="shared" si="0"/>
        <v>0</v>
      </c>
      <c r="F26" s="487">
        <v>2.0000000000000001E-4</v>
      </c>
      <c r="G26" s="488">
        <v>2.9999999999999997E-4</v>
      </c>
      <c r="H26" s="489">
        <f t="shared" si="1"/>
        <v>-0.33333333333333326</v>
      </c>
      <c r="I26" s="493"/>
      <c r="J26" s="493"/>
      <c r="K26" s="490"/>
      <c r="L26" s="490"/>
      <c r="M26" s="475"/>
      <c r="N26" s="475"/>
      <c r="O26" s="475"/>
    </row>
    <row r="27" spans="2:15" ht="18" customHeight="1" thickBot="1">
      <c r="B27" s="486" t="s">
        <v>225</v>
      </c>
      <c r="C27" s="487" t="s">
        <v>177</v>
      </c>
      <c r="D27" s="488">
        <v>2.4299999999999999E-2</v>
      </c>
      <c r="E27" s="489" t="str">
        <f t="shared" si="0"/>
        <v>n/d</v>
      </c>
      <c r="F27" s="487" t="s">
        <v>177</v>
      </c>
      <c r="G27" s="488">
        <v>2.4299999999999999E-2</v>
      </c>
      <c r="H27" s="489" t="str">
        <f t="shared" si="1"/>
        <v>n/d</v>
      </c>
      <c r="I27" s="493"/>
      <c r="J27" s="493"/>
      <c r="K27" s="490"/>
      <c r="L27" s="490"/>
      <c r="M27" s="475"/>
      <c r="N27" s="475"/>
      <c r="O27" s="475"/>
    </row>
    <row r="28" spans="2:15" ht="30" customHeight="1" thickBot="1">
      <c r="B28" s="494" t="s">
        <v>226</v>
      </c>
      <c r="C28" s="495">
        <v>0.27600000000000002</v>
      </c>
      <c r="D28" s="496">
        <v>0.26300000000000001</v>
      </c>
      <c r="E28" s="497">
        <v>5.0999999999999997E-2</v>
      </c>
      <c r="F28" s="495">
        <v>0.26</v>
      </c>
      <c r="G28" s="496">
        <v>0.252</v>
      </c>
      <c r="H28" s="497">
        <v>3.3000000000000002E-2</v>
      </c>
      <c r="I28" s="493"/>
      <c r="J28" s="493"/>
      <c r="K28" s="498"/>
      <c r="L28" s="498"/>
      <c r="M28" s="475"/>
      <c r="N28" s="475"/>
      <c r="O28" s="475"/>
    </row>
    <row r="29" spans="2:15" s="64" customFormat="1" ht="10.5" customHeight="1">
      <c r="I29" s="493"/>
      <c r="J29" s="493"/>
      <c r="K29" s="475"/>
      <c r="L29" s="475"/>
      <c r="M29" s="475"/>
      <c r="N29" s="475"/>
      <c r="O29" s="475"/>
    </row>
    <row r="30" spans="2:15" s="64" customFormat="1" ht="98.25" customHeight="1">
      <c r="B30" s="570" t="s">
        <v>227</v>
      </c>
      <c r="C30" s="570"/>
      <c r="D30" s="570"/>
      <c r="E30" s="570"/>
      <c r="F30" s="570"/>
      <c r="G30" s="570"/>
      <c r="H30" s="570"/>
      <c r="I30" s="570"/>
      <c r="J30" s="493"/>
      <c r="K30" s="475"/>
      <c r="L30" s="475"/>
      <c r="M30" s="475"/>
      <c r="N30" s="475"/>
      <c r="O30" s="475"/>
    </row>
    <row r="31" spans="2:15" s="64" customFormat="1" ht="14.25" customHeight="1">
      <c r="B31" s="499"/>
    </row>
    <row r="32" spans="2:15" s="64" customFormat="1" ht="15" thickBot="1"/>
    <row r="33" spans="2:8" ht="20.25" customHeight="1" thickBot="1">
      <c r="B33" s="571" t="s">
        <v>228</v>
      </c>
      <c r="C33" s="546" t="s">
        <v>229</v>
      </c>
      <c r="D33" s="547"/>
      <c r="E33" s="548"/>
      <c r="F33" s="546" t="s">
        <v>230</v>
      </c>
      <c r="G33" s="547"/>
      <c r="H33" s="548"/>
    </row>
    <row r="34" spans="2:8" ht="20.25" customHeight="1" thickBot="1">
      <c r="B34" s="572"/>
      <c r="C34" s="535">
        <v>2015</v>
      </c>
      <c r="D34" s="536">
        <v>2014</v>
      </c>
      <c r="E34" s="537" t="s">
        <v>201</v>
      </c>
      <c r="F34" s="535">
        <v>2015</v>
      </c>
      <c r="G34" s="536">
        <v>2014</v>
      </c>
      <c r="H34" s="537" t="s">
        <v>201</v>
      </c>
    </row>
    <row r="35" spans="2:8" ht="18" customHeight="1">
      <c r="B35" s="500" t="s">
        <v>231</v>
      </c>
      <c r="C35" s="501">
        <v>0.999</v>
      </c>
      <c r="D35" s="502">
        <v>0.999</v>
      </c>
      <c r="E35" s="503">
        <f>IFERROR((C35-D35)/D35,"n/d")</f>
        <v>0</v>
      </c>
      <c r="F35" s="501">
        <v>0.999</v>
      </c>
      <c r="G35" s="502">
        <v>0.998</v>
      </c>
      <c r="H35" s="503">
        <f>IFERROR((F35-G35)/G35,"n/d")</f>
        <v>1.0020040080160328E-3</v>
      </c>
    </row>
    <row r="36" spans="2:8" ht="18" customHeight="1">
      <c r="B36" s="504" t="s">
        <v>205</v>
      </c>
      <c r="C36" s="501">
        <v>0.61899999999999999</v>
      </c>
      <c r="D36" s="502">
        <v>0.64</v>
      </c>
      <c r="E36" s="503">
        <f t="shared" ref="E36:E56" si="2">IFERROR((C36-D36)/D36,"n/d")</f>
        <v>-3.2812500000000029E-2</v>
      </c>
      <c r="F36" s="501">
        <v>0.61799999999999999</v>
      </c>
      <c r="G36" s="502">
        <v>0.64300000000000002</v>
      </c>
      <c r="H36" s="503">
        <f t="shared" ref="H36:H56" si="3">IFERROR((F36-G36)/G36,"n/d")</f>
        <v>-3.8880248833592569E-2</v>
      </c>
    </row>
    <row r="37" spans="2:8" ht="18" customHeight="1">
      <c r="B37" s="504" t="s">
        <v>206</v>
      </c>
      <c r="C37" s="501">
        <v>0.55500000000000005</v>
      </c>
      <c r="D37" s="502">
        <v>0.56799999999999995</v>
      </c>
      <c r="E37" s="503">
        <f t="shared" si="2"/>
        <v>-2.2887323943661799E-2</v>
      </c>
      <c r="F37" s="501">
        <v>0.55500000000000005</v>
      </c>
      <c r="G37" s="502">
        <v>0.56100000000000005</v>
      </c>
      <c r="H37" s="503">
        <f t="shared" si="3"/>
        <v>-1.0695187165775409E-2</v>
      </c>
    </row>
    <row r="38" spans="2:8" ht="18" customHeight="1">
      <c r="B38" s="504" t="s">
        <v>207</v>
      </c>
      <c r="C38" s="501">
        <v>0.48199999999999998</v>
      </c>
      <c r="D38" s="502">
        <v>0.495</v>
      </c>
      <c r="E38" s="503">
        <f t="shared" si="2"/>
        <v>-2.6262626262626286E-2</v>
      </c>
      <c r="F38" s="501">
        <v>0.48099999999999998</v>
      </c>
      <c r="G38" s="502">
        <v>0.498</v>
      </c>
      <c r="H38" s="503">
        <f t="shared" si="3"/>
        <v>-3.4136546184738985E-2</v>
      </c>
    </row>
    <row r="39" spans="2:8" ht="18" customHeight="1">
      <c r="B39" s="504" t="s">
        <v>208</v>
      </c>
      <c r="C39" s="501">
        <v>0.35099999999999998</v>
      </c>
      <c r="D39" s="502">
        <v>0.35499999999999998</v>
      </c>
      <c r="E39" s="503">
        <f t="shared" si="2"/>
        <v>-1.1267605633802828E-2</v>
      </c>
      <c r="F39" s="501">
        <v>0.34899999999999998</v>
      </c>
      <c r="G39" s="502">
        <v>0.35399999999999998</v>
      </c>
      <c r="H39" s="503">
        <f t="shared" si="3"/>
        <v>-1.4124293785310748E-2</v>
      </c>
    </row>
    <row r="40" spans="2:8" ht="18" customHeight="1">
      <c r="B40" s="504" t="s">
        <v>209</v>
      </c>
      <c r="C40" s="501">
        <v>0.94199999999999995</v>
      </c>
      <c r="D40" s="502">
        <v>0.90900000000000003</v>
      </c>
      <c r="E40" s="503">
        <f t="shared" si="2"/>
        <v>3.6303630363036216E-2</v>
      </c>
      <c r="F40" s="501">
        <v>0.93899999999999995</v>
      </c>
      <c r="G40" s="502">
        <v>0.89600000000000002</v>
      </c>
      <c r="H40" s="503">
        <f t="shared" si="3"/>
        <v>4.7991071428571348E-2</v>
      </c>
    </row>
    <row r="41" spans="2:8" ht="18" customHeight="1">
      <c r="B41" s="504" t="s">
        <v>210</v>
      </c>
      <c r="C41" s="501">
        <v>0.48899999999999999</v>
      </c>
      <c r="D41" s="502">
        <v>0.51500000000000001</v>
      </c>
      <c r="E41" s="503">
        <f t="shared" si="2"/>
        <v>-5.0485436893203929E-2</v>
      </c>
      <c r="F41" s="501">
        <v>0.496</v>
      </c>
      <c r="G41" s="502">
        <v>0.51100000000000001</v>
      </c>
      <c r="H41" s="503">
        <f t="shared" si="3"/>
        <v>-2.9354207436399243E-2</v>
      </c>
    </row>
    <row r="42" spans="2:8" ht="18" customHeight="1">
      <c r="B42" s="504" t="s">
        <v>211</v>
      </c>
      <c r="C42" s="501">
        <v>0.433</v>
      </c>
      <c r="D42" s="502">
        <v>0.434</v>
      </c>
      <c r="E42" s="503">
        <f t="shared" si="2"/>
        <v>-2.3041474654377902E-3</v>
      </c>
      <c r="F42" s="501">
        <v>0.432</v>
      </c>
      <c r="G42" s="502">
        <v>0.42799999999999999</v>
      </c>
      <c r="H42" s="503">
        <f t="shared" si="3"/>
        <v>9.3457943925233725E-3</v>
      </c>
    </row>
    <row r="43" spans="2:8" ht="18" customHeight="1">
      <c r="B43" s="504" t="s">
        <v>212</v>
      </c>
      <c r="C43" s="501">
        <v>0.54100000000000004</v>
      </c>
      <c r="D43" s="502">
        <v>0.55200000000000005</v>
      </c>
      <c r="E43" s="503">
        <f t="shared" si="2"/>
        <v>-1.9927536231884074E-2</v>
      </c>
      <c r="F43" s="501">
        <v>0.54</v>
      </c>
      <c r="G43" s="502">
        <v>0.54900000000000004</v>
      </c>
      <c r="H43" s="503">
        <f t="shared" si="3"/>
        <v>-1.6393442622950834E-2</v>
      </c>
    </row>
    <row r="44" spans="2:8" ht="18" customHeight="1">
      <c r="B44" s="504" t="s">
        <v>213</v>
      </c>
      <c r="C44" s="501">
        <v>0.46899999999999997</v>
      </c>
      <c r="D44" s="502">
        <v>0.47599999999999998</v>
      </c>
      <c r="E44" s="503">
        <f t="shared" si="2"/>
        <v>-1.470588235294119E-2</v>
      </c>
      <c r="F44" s="501">
        <v>0.46899999999999997</v>
      </c>
      <c r="G44" s="502">
        <v>0.47099999999999997</v>
      </c>
      <c r="H44" s="503">
        <f t="shared" si="3"/>
        <v>-4.2462845010615754E-3</v>
      </c>
    </row>
    <row r="45" spans="2:8" ht="18" customHeight="1">
      <c r="B45" s="504" t="s">
        <v>214</v>
      </c>
      <c r="C45" s="501">
        <v>0.38</v>
      </c>
      <c r="D45" s="502">
        <v>0.38300000000000001</v>
      </c>
      <c r="E45" s="503">
        <f t="shared" si="2"/>
        <v>-7.832898172323766E-3</v>
      </c>
      <c r="F45" s="501">
        <v>0.377</v>
      </c>
      <c r="G45" s="502">
        <v>0.38</v>
      </c>
      <c r="H45" s="503">
        <f t="shared" si="3"/>
        <v>-7.8947368421052704E-3</v>
      </c>
    </row>
    <row r="46" spans="2:8" ht="18" customHeight="1">
      <c r="B46" s="504" t="s">
        <v>232</v>
      </c>
      <c r="C46" s="501">
        <v>0.53800000000000003</v>
      </c>
      <c r="D46" s="502">
        <v>0.55700000000000005</v>
      </c>
      <c r="E46" s="503">
        <f t="shared" si="2"/>
        <v>-3.4111310592459629E-2</v>
      </c>
      <c r="F46" s="501">
        <v>0.53900000000000003</v>
      </c>
      <c r="G46" s="502">
        <v>0.55700000000000005</v>
      </c>
      <c r="H46" s="503">
        <f t="shared" si="3"/>
        <v>-3.2315978456014388E-2</v>
      </c>
    </row>
    <row r="47" spans="2:8" ht="18" customHeight="1">
      <c r="B47" s="504" t="s">
        <v>216</v>
      </c>
      <c r="C47" s="501">
        <v>0.24199999999999999</v>
      </c>
      <c r="D47" s="502">
        <v>0.21</v>
      </c>
      <c r="E47" s="503">
        <f t="shared" si="2"/>
        <v>0.15238095238095239</v>
      </c>
      <c r="F47" s="501">
        <v>0.215</v>
      </c>
      <c r="G47" s="502">
        <v>0.21099999999999999</v>
      </c>
      <c r="H47" s="503">
        <f t="shared" si="3"/>
        <v>1.8957345971564E-2</v>
      </c>
    </row>
    <row r="48" spans="2:8" ht="18" customHeight="1">
      <c r="B48" s="504" t="s">
        <v>233</v>
      </c>
      <c r="C48" s="501">
        <v>0.27700000000000002</v>
      </c>
      <c r="D48" s="502">
        <v>0.251</v>
      </c>
      <c r="E48" s="503">
        <f t="shared" si="2"/>
        <v>0.10358565737051802</v>
      </c>
      <c r="F48" s="501">
        <v>0.26900000000000002</v>
      </c>
      <c r="G48" s="502">
        <v>0.251</v>
      </c>
      <c r="H48" s="503">
        <f t="shared" si="3"/>
        <v>7.1713147410358627E-2</v>
      </c>
    </row>
    <row r="49" spans="2:12" ht="18" customHeight="1">
      <c r="B49" s="504" t="s">
        <v>218</v>
      </c>
      <c r="C49" s="501">
        <v>0.33500000000000002</v>
      </c>
      <c r="D49" s="502">
        <v>0.34699999999999998</v>
      </c>
      <c r="E49" s="503">
        <f t="shared" si="2"/>
        <v>-3.458213256484137E-2</v>
      </c>
      <c r="F49" s="501">
        <v>0.33600000000000002</v>
      </c>
      <c r="G49" s="502">
        <v>0.35199999999999998</v>
      </c>
      <c r="H49" s="503">
        <f t="shared" si="3"/>
        <v>-4.5454545454545338E-2</v>
      </c>
    </row>
    <row r="50" spans="2:12" ht="18" customHeight="1">
      <c r="B50" s="504" t="s">
        <v>219</v>
      </c>
      <c r="C50" s="501">
        <v>0.26300000000000001</v>
      </c>
      <c r="D50" s="502">
        <v>0.23799999999999999</v>
      </c>
      <c r="E50" s="503">
        <f t="shared" si="2"/>
        <v>0.10504201680672279</v>
      </c>
      <c r="F50" s="501">
        <v>0.26</v>
      </c>
      <c r="G50" s="502">
        <v>0.23599999999999999</v>
      </c>
      <c r="H50" s="503">
        <f t="shared" si="3"/>
        <v>0.10169491525423738</v>
      </c>
    </row>
    <row r="51" spans="2:12" ht="18" customHeight="1">
      <c r="B51" s="504" t="s">
        <v>234</v>
      </c>
      <c r="C51" s="501">
        <v>0.45700000000000002</v>
      </c>
      <c r="D51" s="502">
        <v>0.377</v>
      </c>
      <c r="E51" s="503">
        <f t="shared" si="2"/>
        <v>0.21220159151193638</v>
      </c>
      <c r="F51" s="501">
        <v>0.44600000000000001</v>
      </c>
      <c r="G51" s="502">
        <v>0.379</v>
      </c>
      <c r="H51" s="503">
        <f t="shared" si="3"/>
        <v>0.17678100263852245</v>
      </c>
    </row>
    <row r="52" spans="2:12" ht="18" customHeight="1">
      <c r="B52" s="504" t="s">
        <v>235</v>
      </c>
      <c r="C52" s="501">
        <v>0.44800000000000001</v>
      </c>
      <c r="D52" s="502">
        <v>0.40100000000000002</v>
      </c>
      <c r="E52" s="503">
        <f t="shared" si="2"/>
        <v>0.11720698254364086</v>
      </c>
      <c r="F52" s="501">
        <v>0.44600000000000001</v>
      </c>
      <c r="G52" s="502">
        <v>0.38300000000000001</v>
      </c>
      <c r="H52" s="503">
        <f t="shared" si="3"/>
        <v>0.16449086161879894</v>
      </c>
    </row>
    <row r="53" spans="2:12" ht="18" customHeight="1">
      <c r="B53" s="504" t="s">
        <v>222</v>
      </c>
      <c r="C53" s="501">
        <v>0.999</v>
      </c>
      <c r="D53" s="502">
        <v>0.997</v>
      </c>
      <c r="E53" s="503">
        <f t="shared" si="2"/>
        <v>2.0060180541624892E-3</v>
      </c>
      <c r="F53" s="501">
        <v>0.998</v>
      </c>
      <c r="G53" s="502">
        <v>0.996</v>
      </c>
      <c r="H53" s="503">
        <f t="shared" si="3"/>
        <v>2.0080321285140582E-3</v>
      </c>
    </row>
    <row r="54" spans="2:12" ht="18" customHeight="1">
      <c r="B54" s="504" t="s">
        <v>223</v>
      </c>
      <c r="C54" s="501">
        <v>0.93400000000000005</v>
      </c>
      <c r="D54" s="502">
        <v>0.9</v>
      </c>
      <c r="E54" s="503">
        <f t="shared" si="2"/>
        <v>3.7777777777777813E-2</v>
      </c>
      <c r="F54" s="501">
        <v>0.93300000000000005</v>
      </c>
      <c r="G54" s="502">
        <v>0.9</v>
      </c>
      <c r="H54" s="503">
        <f t="shared" si="3"/>
        <v>3.6666666666666702E-2</v>
      </c>
    </row>
    <row r="55" spans="2:12" ht="18" customHeight="1">
      <c r="B55" s="504" t="s">
        <v>236</v>
      </c>
      <c r="C55" s="501">
        <v>0.38400000000000001</v>
      </c>
      <c r="D55" s="502">
        <v>0.26400000000000001</v>
      </c>
      <c r="E55" s="503">
        <f t="shared" si="2"/>
        <v>0.45454545454545453</v>
      </c>
      <c r="F55" s="501">
        <v>0.38400000000000001</v>
      </c>
      <c r="G55" s="502">
        <v>0.26400000000000001</v>
      </c>
      <c r="H55" s="503">
        <f t="shared" si="3"/>
        <v>0.45454545454545453</v>
      </c>
    </row>
    <row r="56" spans="2:12" ht="18" customHeight="1" thickBot="1">
      <c r="B56" s="505" t="s">
        <v>237</v>
      </c>
      <c r="C56" s="506" t="s">
        <v>177</v>
      </c>
      <c r="D56" s="507">
        <v>0.27800000000000002</v>
      </c>
      <c r="E56" s="508" t="str">
        <f t="shared" si="2"/>
        <v>n/d</v>
      </c>
      <c r="F56" s="506" t="s">
        <v>177</v>
      </c>
      <c r="G56" s="507">
        <v>0.27800000000000002</v>
      </c>
      <c r="H56" s="508" t="str">
        <f t="shared" si="3"/>
        <v>n/d</v>
      </c>
    </row>
    <row r="57" spans="2:12" s="64" customFormat="1" ht="10.5" customHeight="1"/>
    <row r="58" spans="2:12" s="64" customFormat="1" ht="81" customHeight="1">
      <c r="B58" s="570" t="s">
        <v>238</v>
      </c>
      <c r="C58" s="570"/>
      <c r="D58" s="570"/>
      <c r="E58" s="570"/>
      <c r="F58" s="570"/>
      <c r="G58" s="570"/>
      <c r="H58" s="570"/>
      <c r="I58" s="570"/>
      <c r="J58" s="570"/>
      <c r="K58" s="570"/>
      <c r="L58" s="570"/>
    </row>
    <row r="59" spans="2:12" s="64" customFormat="1">
      <c r="B59" s="574"/>
      <c r="C59" s="574"/>
      <c r="D59" s="574"/>
      <c r="E59" s="574"/>
      <c r="F59" s="574"/>
      <c r="G59" s="574"/>
      <c r="H59" s="574"/>
      <c r="I59" s="509"/>
      <c r="J59" s="509"/>
    </row>
    <row r="60" spans="2:12" s="510" customFormat="1" ht="27.75" customHeight="1">
      <c r="B60" s="570"/>
      <c r="C60" s="570"/>
      <c r="D60" s="570"/>
      <c r="E60" s="570"/>
      <c r="F60" s="570"/>
      <c r="G60" s="570"/>
      <c r="H60" s="570"/>
      <c r="I60" s="511"/>
      <c r="J60" s="511"/>
    </row>
    <row r="61" spans="2:12" s="64" customFormat="1">
      <c r="B61" s="574"/>
      <c r="C61" s="574"/>
      <c r="D61" s="574"/>
      <c r="E61" s="574"/>
      <c r="F61" s="574"/>
      <c r="G61" s="574"/>
      <c r="H61" s="574"/>
      <c r="I61" s="509"/>
      <c r="J61" s="509"/>
    </row>
    <row r="62" spans="2:12" s="64" customFormat="1" ht="14.25" customHeight="1">
      <c r="B62" s="570"/>
      <c r="C62" s="570"/>
      <c r="D62" s="570"/>
      <c r="E62" s="570"/>
      <c r="F62" s="570"/>
      <c r="G62" s="570"/>
      <c r="H62" s="570"/>
      <c r="I62" s="509"/>
      <c r="J62" s="509"/>
    </row>
    <row r="63" spans="2:12" s="64" customFormat="1" ht="14.25" customHeight="1">
      <c r="B63" s="570"/>
      <c r="C63" s="570"/>
      <c r="D63" s="570"/>
      <c r="E63" s="570"/>
      <c r="F63" s="509"/>
      <c r="G63" s="509"/>
      <c r="H63" s="509"/>
      <c r="I63" s="509"/>
      <c r="J63" s="509"/>
    </row>
    <row r="64" spans="2:12" s="64" customFormat="1">
      <c r="B64" s="512"/>
      <c r="C64" s="512"/>
      <c r="D64" s="512"/>
      <c r="E64" s="512"/>
      <c r="F64" s="512"/>
      <c r="G64" s="512"/>
      <c r="H64" s="512"/>
      <c r="I64" s="509"/>
      <c r="J64" s="509"/>
    </row>
    <row r="65" spans="2:10" s="64" customFormat="1">
      <c r="B65" s="512"/>
      <c r="C65" s="513"/>
      <c r="D65" s="513"/>
      <c r="E65" s="513"/>
      <c r="F65" s="513"/>
      <c r="G65" s="513"/>
      <c r="H65" s="513"/>
      <c r="I65" s="509"/>
      <c r="J65" s="509"/>
    </row>
    <row r="66" spans="2:10" s="64" customFormat="1">
      <c r="B66" s="573"/>
      <c r="C66" s="573"/>
      <c r="D66" s="573"/>
    </row>
    <row r="67" spans="2:10" s="64" customFormat="1" ht="18" customHeight="1">
      <c r="B67" s="573"/>
      <c r="C67" s="573"/>
      <c r="D67" s="573"/>
    </row>
    <row r="68" spans="2:10" s="64" customFormat="1"/>
    <row r="69" spans="2:10" s="64" customFormat="1"/>
    <row r="70" spans="2:10" s="64" customFormat="1"/>
    <row r="71" spans="2:10" s="64" customFormat="1"/>
    <row r="72" spans="2:10" s="64" customFormat="1"/>
    <row r="73" spans="2:10" s="64" customFormat="1"/>
    <row r="74" spans="2:10" s="64" customFormat="1"/>
    <row r="75" spans="2:10" s="64" customFormat="1"/>
    <row r="76" spans="2:10" s="64" customFormat="1"/>
    <row r="77" spans="2:10" s="64" customFormat="1"/>
    <row r="78" spans="2:10" s="64" customFormat="1"/>
    <row r="79" spans="2:10" s="64" customFormat="1"/>
    <row r="80" spans="2:1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sheetData>
  <mergeCells count="15">
    <mergeCell ref="B66:D66"/>
    <mergeCell ref="B67:D67"/>
    <mergeCell ref="B58:L58"/>
    <mergeCell ref="B59:H59"/>
    <mergeCell ref="B60:H60"/>
    <mergeCell ref="B61:H61"/>
    <mergeCell ref="B62:H62"/>
    <mergeCell ref="B63:E63"/>
    <mergeCell ref="B2:B3"/>
    <mergeCell ref="C2:E2"/>
    <mergeCell ref="F2:H2"/>
    <mergeCell ref="B30:I30"/>
    <mergeCell ref="B33:B34"/>
    <mergeCell ref="C33:E33"/>
    <mergeCell ref="F33:H33"/>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8</vt:i4>
      </vt:variant>
    </vt:vector>
  </HeadingPairs>
  <TitlesOfParts>
    <vt:vector size="14" baseType="lpstr">
      <vt:lpstr>Skonsolidowany RZiS</vt:lpstr>
      <vt:lpstr>Segmenty</vt:lpstr>
      <vt:lpstr>Skonsolidowant bilans</vt:lpstr>
      <vt:lpstr>Skonsolidowany CF</vt:lpstr>
      <vt:lpstr>KPI_segment B2B&amp;B2C</vt:lpstr>
      <vt:lpstr>KPI - segment TV</vt:lpstr>
      <vt:lpstr>'KPI - segment TV'!_Toc377043859</vt:lpstr>
      <vt:lpstr>'KPI - segment TV'!_Toc377043860</vt:lpstr>
      <vt:lpstr>'KPI - segment TV'!Obszar_wydruku</vt:lpstr>
      <vt:lpstr>'KPI_segment B2B&amp;B2C'!Obszar_wydruku</vt:lpstr>
      <vt:lpstr>'Skonsolidowant bilans'!Obszar_wydruku</vt:lpstr>
      <vt:lpstr>'Skonsolidowany CF'!Obszar_wydruku</vt:lpstr>
      <vt:lpstr>'Skonsolidowany RZiS'!Obszar_wydruku</vt:lpstr>
      <vt:lpstr>'Skonsolidowany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2015-11-10T12:34:56Z</cp:lastPrinted>
  <dcterms:created xsi:type="dcterms:W3CDTF">2008-08-25T12:12:22Z</dcterms:created>
  <dcterms:modified xsi:type="dcterms:W3CDTF">2015-11-11T18:52:35Z</dcterms:modified>
</cp:coreProperties>
</file>