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4400" windowHeight="11535"/>
  </bookViews>
  <sheets>
    <sheet name="Skonsolidowany RZiS" sheetId="9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TV'!$C$36</definedName>
    <definedName name="_Toc377043860" localSheetId="5">'KPI - segment TV'!$D$36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TV'!$A$1:$E$63</definedName>
    <definedName name="_xlnm.Print_Area" localSheetId="4">'KPI_segment B2B&amp;B2C'!$A$1:$S$37</definedName>
    <definedName name="_xlnm.Print_Area" localSheetId="2">'Skonsolidowant bilans'!$A$1:$Q$69</definedName>
    <definedName name="_xlnm.Print_Area" localSheetId="3">'Skonsolidowany CF'!$A$1:$Q$62</definedName>
    <definedName name="_xlnm.Print_Area" localSheetId="0">'Skonsolidowany RZiS'!$A$1:$S$33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S4" i="6" l="1"/>
  <c r="W28" i="9"/>
  <c r="J10" i="13" l="1"/>
  <c r="E10" i="13"/>
  <c r="E7" i="13"/>
  <c r="C7" i="13"/>
  <c r="C10" i="13"/>
  <c r="E28" i="15" l="1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W28" i="14" l="1"/>
  <c r="W23" i="14"/>
  <c r="W16" i="14"/>
  <c r="W7" i="14"/>
  <c r="S53" i="6"/>
  <c r="S42" i="6"/>
  <c r="S5" i="6"/>
  <c r="S62" i="4"/>
  <c r="S52" i="4"/>
  <c r="S41" i="4"/>
  <c r="S43" i="4" s="1"/>
  <c r="S30" i="4"/>
  <c r="S18" i="4"/>
  <c r="W9" i="9"/>
  <c r="W4" i="9"/>
  <c r="W5" i="14" l="1"/>
  <c r="S63" i="4"/>
  <c r="S64" i="4" s="1"/>
  <c r="S31" i="4"/>
  <c r="W19" i="9"/>
  <c r="W30" i="9" s="1"/>
  <c r="W31" i="9" s="1"/>
  <c r="B5" i="4"/>
  <c r="W23" i="9" l="1"/>
  <c r="W25" i="9" s="1"/>
  <c r="S25" i="6" s="1"/>
  <c r="S28" i="6" s="1"/>
  <c r="S54" i="6" s="1"/>
  <c r="S57" i="6" s="1"/>
  <c r="Q28" i="9"/>
  <c r="P28" i="9"/>
  <c r="M28" i="9"/>
  <c r="R4" i="6" l="1"/>
  <c r="G14" i="13"/>
  <c r="V28" i="14" l="1"/>
  <c r="V23" i="14"/>
  <c r="V16" i="14"/>
  <c r="V7" i="14"/>
  <c r="R53" i="6"/>
  <c r="R42" i="6"/>
  <c r="R5" i="6"/>
  <c r="R25" i="6" s="1"/>
  <c r="R28" i="6" s="1"/>
  <c r="R62" i="4"/>
  <c r="R52" i="4"/>
  <c r="R41" i="4"/>
  <c r="R43" i="4" s="1"/>
  <c r="R30" i="4"/>
  <c r="R18" i="4"/>
  <c r="Q12" i="13"/>
  <c r="O10" i="13"/>
  <c r="M10" i="13"/>
  <c r="H10" i="13"/>
  <c r="O7" i="13"/>
  <c r="M7" i="13"/>
  <c r="J7" i="13"/>
  <c r="H7" i="13"/>
  <c r="V9" i="9"/>
  <c r="V4" i="9"/>
  <c r="S10" i="13" l="1"/>
  <c r="V19" i="9"/>
  <c r="V30" i="9" s="1"/>
  <c r="V31" i="9" s="1"/>
  <c r="V5" i="14"/>
  <c r="R54" i="6"/>
  <c r="R63" i="4"/>
  <c r="R64" i="4" s="1"/>
  <c r="R31" i="4"/>
  <c r="V23" i="9" l="1"/>
  <c r="V25" i="9" s="1"/>
  <c r="V28" i="9" s="1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56" i="15"/>
  <c r="U25" i="14"/>
  <c r="U26" i="14"/>
  <c r="U24" i="14"/>
  <c r="U23" i="14" s="1"/>
  <c r="U12" i="14"/>
  <c r="U11" i="14"/>
  <c r="U10" i="14"/>
  <c r="U9" i="14"/>
  <c r="U8" i="14"/>
  <c r="U7" i="14" s="1"/>
  <c r="T7" i="14"/>
  <c r="U28" i="14"/>
  <c r="T28" i="14"/>
  <c r="T23" i="14"/>
  <c r="U16" i="14"/>
  <c r="T16" i="14"/>
  <c r="Q53" i="6"/>
  <c r="Q42" i="6"/>
  <c r="Q5" i="6"/>
  <c r="Q62" i="4"/>
  <c r="Q52" i="4"/>
  <c r="Q41" i="4"/>
  <c r="Q43" i="4" s="1"/>
  <c r="Q30" i="4"/>
  <c r="Q18" i="4"/>
  <c r="U4" i="9"/>
  <c r="U9" i="9"/>
  <c r="T9" i="9"/>
  <c r="T4" i="9"/>
  <c r="U5" i="14" l="1"/>
  <c r="E4" i="15"/>
  <c r="T5" i="14"/>
  <c r="Q63" i="4"/>
  <c r="Q64" i="4" s="1"/>
  <c r="Q31" i="4"/>
  <c r="U19" i="9"/>
  <c r="U23" i="9" s="1"/>
  <c r="U25" i="9" s="1"/>
  <c r="T19" i="9"/>
  <c r="T30" i="9" s="1"/>
  <c r="T31" i="9" s="1"/>
  <c r="Q4" i="6" l="1"/>
  <c r="Q25" i="6" s="1"/>
  <c r="Q28" i="6" s="1"/>
  <c r="Q54" i="6" s="1"/>
  <c r="Q57" i="6" s="1"/>
  <c r="R55" i="6" s="1"/>
  <c r="R57" i="6" s="1"/>
  <c r="U26" i="9"/>
  <c r="U28" i="9" s="1"/>
  <c r="U30" i="9"/>
  <c r="U31" i="9" s="1"/>
  <c r="T23" i="9"/>
  <c r="T25" i="9" s="1"/>
  <c r="T26" i="9" s="1"/>
  <c r="T28" i="9" s="1"/>
  <c r="G24" i="6" l="1"/>
  <c r="H24" i="6"/>
  <c r="E55" i="15" l="1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K31" i="14" l="1"/>
  <c r="K30" i="14"/>
  <c r="K28" i="14" s="1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3" i="14" s="1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F17" i="14"/>
  <c r="F16" i="14" s="1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K7" i="14" s="1"/>
  <c r="F8" i="14"/>
  <c r="S7" i="14"/>
  <c r="R7" i="14"/>
  <c r="R5" i="14" s="1"/>
  <c r="Q7" i="14"/>
  <c r="Q15" i="14" s="1"/>
  <c r="P7" i="14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Q5" i="14"/>
  <c r="P5" i="14"/>
  <c r="L5" i="14"/>
  <c r="I5" i="14"/>
  <c r="H5" i="14"/>
  <c r="K5" i="14" l="1"/>
  <c r="K15" i="14"/>
  <c r="M5" i="14"/>
  <c r="G15" i="14"/>
  <c r="O5" i="14"/>
  <c r="S5" i="14"/>
  <c r="J5" i="14"/>
  <c r="B53" i="6" l="1"/>
  <c r="I53" i="6"/>
  <c r="J53" i="6"/>
  <c r="K53" i="6"/>
  <c r="L53" i="6"/>
  <c r="M53" i="6"/>
  <c r="N53" i="6"/>
  <c r="O53" i="6"/>
  <c r="P53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O30" i="4"/>
  <c r="P30" i="4"/>
  <c r="L26" i="4"/>
  <c r="L30" i="4" s="1"/>
  <c r="K26" i="4"/>
  <c r="K30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G10" i="13"/>
  <c r="S9" i="13"/>
  <c r="R9" i="13"/>
  <c r="Q9" i="13"/>
  <c r="L9" i="13"/>
  <c r="G9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0" i="4" l="1"/>
  <c r="B30" i="4"/>
  <c r="B52" i="4"/>
  <c r="T11" i="13"/>
  <c r="T8" i="13"/>
  <c r="T7" i="13"/>
  <c r="T6" i="13"/>
  <c r="T14" i="13"/>
  <c r="T9" i="13"/>
  <c r="T10" i="13"/>
  <c r="T13" i="13"/>
  <c r="T5" i="13"/>
  <c r="J30" i="4"/>
  <c r="I30" i="4"/>
  <c r="H30" i="4"/>
  <c r="F30" i="4"/>
  <c r="E30" i="4"/>
  <c r="D30" i="4"/>
  <c r="C30" i="4"/>
  <c r="Q10" i="13"/>
  <c r="P42" i="6" l="1"/>
  <c r="P5" i="6"/>
  <c r="P62" i="4"/>
  <c r="P52" i="4"/>
  <c r="P41" i="4"/>
  <c r="P43" i="4" s="1"/>
  <c r="P18" i="4"/>
  <c r="P63" i="4" l="1"/>
  <c r="P64" i="4" s="1"/>
  <c r="P31" i="4"/>
  <c r="S9" i="9" l="1"/>
  <c r="S4" i="9"/>
  <c r="S19" i="9" l="1"/>
  <c r="S23" i="9" s="1"/>
  <c r="S25" i="9" s="1"/>
  <c r="S26" i="9" s="1"/>
  <c r="S28" i="9" s="1"/>
  <c r="O42" i="6"/>
  <c r="O5" i="6"/>
  <c r="O25" i="6" s="1"/>
  <c r="O28" i="6" s="1"/>
  <c r="O52" i="4"/>
  <c r="O62" i="4"/>
  <c r="O41" i="4"/>
  <c r="O43" i="4" s="1"/>
  <c r="O18" i="4"/>
  <c r="R9" i="9"/>
  <c r="R4" i="9"/>
  <c r="N62" i="4"/>
  <c r="M62" i="4"/>
  <c r="N52" i="4"/>
  <c r="M52" i="4"/>
  <c r="N18" i="4"/>
  <c r="M18" i="4"/>
  <c r="N42" i="6"/>
  <c r="N5" i="6"/>
  <c r="N25" i="6" s="1"/>
  <c r="N28" i="6" s="1"/>
  <c r="N41" i="4"/>
  <c r="N43" i="4" s="1"/>
  <c r="Q9" i="9"/>
  <c r="Q4" i="9"/>
  <c r="O63" i="4" l="1"/>
  <c r="S30" i="9"/>
  <c r="S31" i="9" s="1"/>
  <c r="O54" i="6"/>
  <c r="O57" i="6" s="1"/>
  <c r="R19" i="9"/>
  <c r="R23" i="9" s="1"/>
  <c r="R25" i="9" s="1"/>
  <c r="R26" i="9" s="1"/>
  <c r="R28" i="9" s="1"/>
  <c r="O31" i="4"/>
  <c r="N54" i="6"/>
  <c r="N57" i="6" s="1"/>
  <c r="N63" i="4"/>
  <c r="Q19" i="9"/>
  <c r="Q23" i="9" s="1"/>
  <c r="Q25" i="9" s="1"/>
  <c r="Q26" i="9" s="1"/>
  <c r="M42" i="6"/>
  <c r="M5" i="6"/>
  <c r="M41" i="4"/>
  <c r="M43" i="4" s="1"/>
  <c r="O9" i="9"/>
  <c r="O4" i="9"/>
  <c r="P24" i="9"/>
  <c r="P22" i="9"/>
  <c r="P18" i="9"/>
  <c r="P17" i="9"/>
  <c r="P16" i="9"/>
  <c r="P15" i="9"/>
  <c r="P14" i="9"/>
  <c r="P13" i="9"/>
  <c r="P12" i="9"/>
  <c r="P11" i="9"/>
  <c r="P8" i="9"/>
  <c r="P7" i="9"/>
  <c r="P6" i="9"/>
  <c r="P5" i="9"/>
  <c r="O64" i="4" l="1"/>
  <c r="R30" i="9"/>
  <c r="R31" i="9" s="1"/>
  <c r="P4" i="6"/>
  <c r="P25" i="6" s="1"/>
  <c r="P28" i="6" s="1"/>
  <c r="P54" i="6" s="1"/>
  <c r="P57" i="6" s="1"/>
  <c r="N64" i="4"/>
  <c r="Q30" i="9"/>
  <c r="Q31" i="9" s="1"/>
  <c r="M63" i="4"/>
  <c r="O19" i="9"/>
  <c r="O30" i="9" s="1"/>
  <c r="O31" i="9" s="1"/>
  <c r="P4" i="9"/>
  <c r="P9" i="9"/>
  <c r="N9" i="9"/>
  <c r="N4" i="9"/>
  <c r="L42" i="6"/>
  <c r="L5" i="6"/>
  <c r="L62" i="4"/>
  <c r="L52" i="4"/>
  <c r="L41" i="4"/>
  <c r="L43" i="4" s="1"/>
  <c r="L18" i="4"/>
  <c r="F12" i="9"/>
  <c r="K12" i="9"/>
  <c r="F13" i="9"/>
  <c r="K13" i="9"/>
  <c r="F15" i="9"/>
  <c r="K15" i="9"/>
  <c r="F16" i="9"/>
  <c r="K16" i="9"/>
  <c r="M64" i="4" l="1"/>
  <c r="N19" i="9"/>
  <c r="N30" i="9" s="1"/>
  <c r="N31" i="9" s="1"/>
  <c r="O23" i="9"/>
  <c r="O25" i="9" s="1"/>
  <c r="O26" i="9" s="1"/>
  <c r="O28" i="9" s="1"/>
  <c r="P19" i="9"/>
  <c r="L25" i="6"/>
  <c r="L28" i="6" s="1"/>
  <c r="L54" i="6" s="1"/>
  <c r="L57" i="6" s="1"/>
  <c r="L63" i="4"/>
  <c r="L31" i="4"/>
  <c r="L64" i="4" l="1"/>
  <c r="P30" i="9"/>
  <c r="N23" i="9"/>
  <c r="N25" i="9" s="1"/>
  <c r="N26" i="9" s="1"/>
  <c r="N28" i="9" s="1"/>
  <c r="P23" i="9"/>
  <c r="P31" i="9" l="1"/>
  <c r="P25" i="9"/>
  <c r="P26" i="9" s="1"/>
  <c r="M25" i="6" l="1"/>
  <c r="D5" i="6"/>
  <c r="C5" i="6"/>
  <c r="B5" i="6"/>
  <c r="H49" i="6"/>
  <c r="H53" i="6" s="1"/>
  <c r="G49" i="6"/>
  <c r="G53" i="6" s="1"/>
  <c r="F49" i="6"/>
  <c r="F53" i="6" s="1"/>
  <c r="E49" i="6"/>
  <c r="E53" i="6" s="1"/>
  <c r="D49" i="6"/>
  <c r="D53" i="6" s="1"/>
  <c r="C49" i="6"/>
  <c r="C53" i="6" s="1"/>
  <c r="M28" i="6" l="1"/>
  <c r="I42" i="4"/>
  <c r="J42" i="4"/>
  <c r="H42" i="4"/>
  <c r="B42" i="6"/>
  <c r="C42" i="6"/>
  <c r="D42" i="6"/>
  <c r="E42" i="6"/>
  <c r="F42" i="6"/>
  <c r="G42" i="6"/>
  <c r="H42" i="6"/>
  <c r="I42" i="6"/>
  <c r="J42" i="6"/>
  <c r="K42" i="6"/>
  <c r="N21" i="4" l="1"/>
  <c r="N30" i="4" s="1"/>
  <c r="M21" i="4"/>
  <c r="M27" i="4"/>
  <c r="M54" i="6"/>
  <c r="K5" i="6"/>
  <c r="K62" i="4"/>
  <c r="K52" i="4"/>
  <c r="K41" i="4"/>
  <c r="K43" i="4" s="1"/>
  <c r="K18" i="4"/>
  <c r="C9" i="9"/>
  <c r="D9" i="9"/>
  <c r="E9" i="9"/>
  <c r="G9" i="9"/>
  <c r="H9" i="9"/>
  <c r="I9" i="9"/>
  <c r="J9" i="9"/>
  <c r="M9" i="9"/>
  <c r="B9" i="9"/>
  <c r="M4" i="9"/>
  <c r="H4" i="9"/>
  <c r="I4" i="9"/>
  <c r="J4" i="9"/>
  <c r="G4" i="9"/>
  <c r="K24" i="9"/>
  <c r="F24" i="9"/>
  <c r="K21" i="9"/>
  <c r="K22" i="9"/>
  <c r="K20" i="9"/>
  <c r="F21" i="9"/>
  <c r="F22" i="9"/>
  <c r="F20" i="9"/>
  <c r="K11" i="9"/>
  <c r="K14" i="9"/>
  <c r="K17" i="9"/>
  <c r="K18" i="9"/>
  <c r="K10" i="9"/>
  <c r="F11" i="9"/>
  <c r="F14" i="9"/>
  <c r="F17" i="9"/>
  <c r="F18" i="9"/>
  <c r="F10" i="9"/>
  <c r="K6" i="9"/>
  <c r="K7" i="9"/>
  <c r="K8" i="9"/>
  <c r="K5" i="9"/>
  <c r="F6" i="9"/>
  <c r="F7" i="9"/>
  <c r="F8" i="9"/>
  <c r="F5" i="9"/>
  <c r="C4" i="9"/>
  <c r="D4" i="9"/>
  <c r="E4" i="9"/>
  <c r="B4" i="9"/>
  <c r="M30" i="4" l="1"/>
  <c r="H41" i="4"/>
  <c r="H43" i="4" s="1"/>
  <c r="D62" i="4"/>
  <c r="C52" i="4"/>
  <c r="I62" i="4"/>
  <c r="G41" i="4"/>
  <c r="G43" i="4" s="1"/>
  <c r="H52" i="4"/>
  <c r="I41" i="4"/>
  <c r="I43" i="4" s="1"/>
  <c r="C62" i="4"/>
  <c r="E62" i="4"/>
  <c r="I52" i="4"/>
  <c r="F41" i="4"/>
  <c r="F43" i="4" s="1"/>
  <c r="D41" i="4"/>
  <c r="D43" i="4" s="1"/>
  <c r="J62" i="4"/>
  <c r="E52" i="4"/>
  <c r="B41" i="4"/>
  <c r="B43" i="4" s="1"/>
  <c r="D52" i="4"/>
  <c r="G62" i="4"/>
  <c r="F62" i="4"/>
  <c r="J52" i="4"/>
  <c r="G52" i="4"/>
  <c r="B62" i="4"/>
  <c r="E41" i="4"/>
  <c r="E43" i="4" s="1"/>
  <c r="J18" i="4"/>
  <c r="H62" i="4"/>
  <c r="F52" i="4"/>
  <c r="C41" i="4"/>
  <c r="C43" i="4" s="1"/>
  <c r="J41" i="4"/>
  <c r="J43" i="4" s="1"/>
  <c r="M57" i="6"/>
  <c r="F9" i="9"/>
  <c r="L9" i="9"/>
  <c r="L4" i="9"/>
  <c r="F18" i="4"/>
  <c r="E18" i="4"/>
  <c r="G18" i="4"/>
  <c r="B18" i="4"/>
  <c r="H18" i="4"/>
  <c r="I18" i="4"/>
  <c r="D18" i="4"/>
  <c r="C18" i="4"/>
  <c r="K31" i="4"/>
  <c r="K63" i="4"/>
  <c r="K9" i="9"/>
  <c r="B19" i="9"/>
  <c r="D63" i="4" l="1"/>
  <c r="H63" i="4"/>
  <c r="H64" i="4" s="1"/>
  <c r="B63" i="4"/>
  <c r="B64" i="4" s="1"/>
  <c r="J63" i="4"/>
  <c r="J64" i="4" s="1"/>
  <c r="I63" i="4"/>
  <c r="I64" i="4" s="1"/>
  <c r="F31" i="4"/>
  <c r="E63" i="4"/>
  <c r="E64" i="4" s="1"/>
  <c r="C63" i="4"/>
  <c r="C64" i="4" s="1"/>
  <c r="D64" i="4"/>
  <c r="G63" i="4"/>
  <c r="G64" i="4" s="1"/>
  <c r="I31" i="4"/>
  <c r="N31" i="4"/>
  <c r="F63" i="4"/>
  <c r="F64" i="4" s="1"/>
  <c r="G31" i="4"/>
  <c r="M31" i="4"/>
  <c r="D31" i="4"/>
  <c r="B23" i="9"/>
  <c r="B30" i="9"/>
  <c r="B31" i="9" s="1"/>
  <c r="C31" i="4"/>
  <c r="K64" i="4"/>
  <c r="B31" i="4"/>
  <c r="E31" i="4"/>
  <c r="J31" i="4"/>
  <c r="H31" i="4"/>
  <c r="M19" i="9" l="1"/>
  <c r="M30" i="9" s="1"/>
  <c r="L19" i="9"/>
  <c r="L30" i="9" s="1"/>
  <c r="J19" i="9"/>
  <c r="J30" i="9" s="1"/>
  <c r="I19" i="9"/>
  <c r="I30" i="9" s="1"/>
  <c r="H19" i="9"/>
  <c r="H30" i="9" s="1"/>
  <c r="G19" i="9"/>
  <c r="G30" i="9" s="1"/>
  <c r="E19" i="9"/>
  <c r="E30" i="9" s="1"/>
  <c r="D19" i="9"/>
  <c r="D30" i="9" s="1"/>
  <c r="C19" i="9"/>
  <c r="C30" i="9" s="1"/>
  <c r="B25" i="9"/>
  <c r="B26" i="9" s="1"/>
  <c r="B28" i="9" s="1"/>
  <c r="K4" i="9"/>
  <c r="F4" i="9"/>
  <c r="F19" i="9" s="1"/>
  <c r="F30" i="9" s="1"/>
  <c r="D23" i="9" l="1"/>
  <c r="D25" i="9" s="1"/>
  <c r="D26" i="9" s="1"/>
  <c r="D28" i="9" s="1"/>
  <c r="D31" i="9"/>
  <c r="L23" i="9"/>
  <c r="L25" i="9" s="1"/>
  <c r="L26" i="9" s="1"/>
  <c r="L28" i="9" s="1"/>
  <c r="L31" i="9"/>
  <c r="G31" i="9"/>
  <c r="G23" i="9"/>
  <c r="G25" i="9" s="1"/>
  <c r="G26" i="9" s="1"/>
  <c r="G28" i="9" s="1"/>
  <c r="J31" i="9"/>
  <c r="J23" i="9"/>
  <c r="J25" i="9" s="1"/>
  <c r="J26" i="9" s="1"/>
  <c r="J28" i="9" s="1"/>
  <c r="H23" i="9"/>
  <c r="H25" i="9" s="1"/>
  <c r="H26" i="9" s="1"/>
  <c r="H28" i="9" s="1"/>
  <c r="H31" i="9"/>
  <c r="C23" i="9"/>
  <c r="C25" i="9" s="1"/>
  <c r="C26" i="9" s="1"/>
  <c r="C28" i="9" s="1"/>
  <c r="C31" i="9"/>
  <c r="E31" i="9"/>
  <c r="E23" i="9"/>
  <c r="E25" i="9" s="1"/>
  <c r="E26" i="9" s="1"/>
  <c r="E28" i="9" s="1"/>
  <c r="I23" i="9"/>
  <c r="I25" i="9" s="1"/>
  <c r="I26" i="9" s="1"/>
  <c r="I28" i="9" s="1"/>
  <c r="I31" i="9"/>
  <c r="M23" i="9"/>
  <c r="M25" i="9" s="1"/>
  <c r="M26" i="9" s="1"/>
  <c r="M31" i="9"/>
  <c r="K19" i="9"/>
  <c r="F23" i="9"/>
  <c r="F25" i="9" s="1"/>
  <c r="F26" i="9" s="1"/>
  <c r="F28" i="9" s="1"/>
  <c r="F31" i="9"/>
  <c r="K23" i="9" l="1"/>
  <c r="K25" i="9" s="1"/>
  <c r="K26" i="9" s="1"/>
  <c r="K28" i="9" s="1"/>
  <c r="K30" i="9"/>
  <c r="K31" i="9" s="1"/>
  <c r="K4" i="6"/>
  <c r="K25" i="6" s="1"/>
  <c r="K28" i="6" s="1"/>
  <c r="K54" i="6" s="1"/>
  <c r="K57" i="6" s="1"/>
  <c r="C25" i="6" l="1"/>
  <c r="C28" i="6" s="1"/>
  <c r="C54" i="6" l="1"/>
  <c r="C57" i="6" s="1"/>
  <c r="E5" i="6" l="1"/>
  <c r="E25" i="6" s="1"/>
  <c r="E28" i="6" s="1"/>
  <c r="E54" i="6" s="1"/>
  <c r="E57" i="6" s="1"/>
  <c r="J5" i="6"/>
  <c r="J25" i="6" s="1"/>
  <c r="J28" i="6" s="1"/>
  <c r="J54" i="6" s="1"/>
  <c r="J57" i="6" s="1"/>
  <c r="B25" i="6"/>
  <c r="B28" i="6" s="1"/>
  <c r="B54" i="6" s="1"/>
  <c r="B57" i="6" s="1"/>
  <c r="F5" i="6"/>
  <c r="F25" i="6" s="1"/>
  <c r="F28" i="6" s="1"/>
  <c r="F54" i="6" s="1"/>
  <c r="F57" i="6" s="1"/>
  <c r="G5" i="6"/>
  <c r="G25" i="6" s="1"/>
  <c r="G28" i="6" s="1"/>
  <c r="G54" i="6" s="1"/>
  <c r="G57" i="6" s="1"/>
  <c r="D25" i="6"/>
  <c r="D28" i="6" s="1"/>
  <c r="D54" i="6" s="1"/>
  <c r="D57" i="6" s="1"/>
  <c r="I5" i="6"/>
  <c r="I25" i="6" s="1"/>
  <c r="I28" i="6" s="1"/>
  <c r="I54" i="6" s="1"/>
  <c r="I57" i="6" s="1"/>
  <c r="H5" i="6"/>
  <c r="H25" i="6" s="1"/>
  <c r="H28" i="6" s="1"/>
  <c r="H54" i="6" s="1"/>
  <c r="H57" i="6" s="1"/>
</calcChain>
</file>

<file path=xl/sharedStrings.xml><?xml version="1.0" encoding="utf-8"?>
<sst xmlns="http://schemas.openxmlformats.org/spreadsheetml/2006/main" count="430" uniqueCount="242">
  <si>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</si>
  <si>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</si>
  <si>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</si>
  <si>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</si>
  <si>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</si>
  <si>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</si>
  <si>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</si>
  <si>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</si>
  <si>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</si>
  <si>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</si>
  <si>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</si>
  <si>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</si>
  <si>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</si>
  <si>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</si>
  <si>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</si>
  <si>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</si>
  <si>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</si>
  <si>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</si>
  <si>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</si>
  <si>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</si>
  <si>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</si>
  <si>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</si>
  <si>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</si>
  <si>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</si>
  <si>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</si>
  <si>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</si>
  <si>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</si>
  <si>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</si>
  <si>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</si>
  <si>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</si>
  <si>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</si>
  <si>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</si>
  <si>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</si>
  <si>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</si>
  <si>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</si>
  <si>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</si>
  <si>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</si>
  <si>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</si>
  <si>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</si>
  <si>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</si>
  <si>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Spłata zobowiązań z tytułu leasingu finansowego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</si>
  <si>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</si>
  <si>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</si>
  <si>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</si>
  <si>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</si>
  <si>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Wypłacone dywidendy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</si>
  <si>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</si>
  <si>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</si>
  <si>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</si>
  <si>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</si>
  <si>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</si>
  <si>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</si>
  <si>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</si>
  <si>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</si>
  <si>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</si>
  <si>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</si>
  <si>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</si>
  <si>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</si>
  <si>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</si>
  <si>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</si>
  <si>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</si>
  <si>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</si>
  <si>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</si>
  <si>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</si>
  <si>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</si>
  <si>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</si>
  <si>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</si>
  <si>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</si>
  <si>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</si>
  <si>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</si>
  <si>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</si>
  <si>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</si>
  <si>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</si>
  <si>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Pozostałe wpływy</t>
  </si>
  <si>
    <t>Zysk / (strata) netto za okres</t>
  </si>
  <si>
    <t>Zysk / (strata) brutto za okres</t>
  </si>
  <si>
    <t>Koszty operacyjne</t>
  </si>
  <si>
    <t>Przychody ze sprzedaży usług, produktów, towarów i materiałów</t>
  </si>
  <si>
    <t>Zyski/(straty) zatrzymane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</si>
  <si>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</si>
  <si>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</si>
  <si>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</si>
  <si>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</si>
  <si>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</si>
  <si>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</si>
  <si>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</si>
  <si>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</si>
  <si>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</si>
  <si>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</si>
  <si>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</si>
  <si>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</si>
  <si>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</si>
  <si>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</si>
  <si>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</si>
  <si>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>Pozostałe przychody / koszty operacyjne, netto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</si>
  <si>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</si>
  <si>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</si>
  <si>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</si>
  <si>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</si>
  <si>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Strata na instrumentach pochodnych, netto</t>
  </si>
  <si>
    <t>Wpływy z tytułu realizacji instrumentaów pochodnych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</si>
  <si>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</si>
  <si>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</si>
  <si>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</si>
  <si>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</si>
  <si>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</si>
  <si>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</si>
  <si>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</si>
  <si>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</si>
  <si>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</si>
  <si>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</si>
  <si>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</si>
  <si>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</si>
  <si>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</si>
  <si>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</si>
  <si>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</si>
  <si>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</si>
  <si>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</si>
  <si>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</si>
  <si>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</si>
  <si>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</si>
  <si>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</si>
  <si>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</si>
  <si>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</si>
  <si>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</si>
  <si>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</si>
  <si>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</si>
  <si>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</si>
  <si>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Pozycja ta obejmuje także nabycie zestawów odbiorczych w leasingu operacyjnym.</t>
    </r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</si>
  <si>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</si>
  <si>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</si>
  <si>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</si>
  <si>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</si>
  <si>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</si>
  <si>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</si>
  <si>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</si>
  <si>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</si>
  <si>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</si>
  <si>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</si>
  <si>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</si>
  <si>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</si>
  <si>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</si>
  <si>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</si>
  <si>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</si>
  <si>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</si>
  <si>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</si>
  <si>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</si>
  <si>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</si>
  <si>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</si>
  <si>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</si>
  <si>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</si>
  <si>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</si>
  <si>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</si>
  <si>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</si>
  <si>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</si>
  <si>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</si>
  <si>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</si>
  <si>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</si>
  <si>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</si>
  <si>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</si>
  <si>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</si>
  <si>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</si>
  <si>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</si>
  <si>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</si>
  <si>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</si>
  <si>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</si>
  <si>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</si>
  <si>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</si>
  <si>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</si>
  <si>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t>Zmiana / %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</si>
  <si>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</si>
  <si>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</si>
  <si>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(2)</t>
    </r>
  </si>
  <si>
    <t>Polsat News</t>
  </si>
  <si>
    <t>Polsat Sport</t>
  </si>
  <si>
    <t>Polsat Sport Extra</t>
  </si>
  <si>
    <t>Polsat Sport News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</si>
  <si>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</si>
  <si>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</si>
  <si>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</si>
  <si>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</si>
  <si>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</si>
  <si>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</si>
  <si>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</si>
  <si>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</si>
  <si>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</si>
  <si>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</si>
  <si>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</si>
  <si>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</si>
  <si>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>1) Obejmuje wpływ instrumentów IRC/CIRS/forward, premie za wcześniejszą spłatę obligacji oraz zapłatę za koszty związane z pozyskaniem finansowania</t>
  </si>
  <si>
    <t xml:space="preserve">GRUPA KAPITAŁOWA CYFROWY POLSAT S.A. </t>
  </si>
  <si>
    <t>Polsat Food Network</t>
  </si>
  <si>
    <t>Koszt premii za planowany wcześniejszy wykup obligacji</t>
  </si>
  <si>
    <t>Efekt przeliczenia wartości zobowiązań z tytułu planowanej wcześniejszej spłaty obligacji</t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</si>
  <si>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</si>
  <si>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</si>
  <si>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</si>
  <si>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</si>
  <si>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</si>
  <si>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</si>
  <si>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</si>
  <si>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</si>
  <si>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</si>
  <si>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</si>
  <si>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Muzo.tv</t>
  </si>
  <si>
    <r>
      <t>Polsat 1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</si>
  <si>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</si>
  <si>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(1) Nielsen Audience Measurement, udział w oglądalności w grupie wszyscy 16-49 lat, cała doba.
(2) Licząc sumaryczne udziały Grupy Polsat i kanałów tematycznych uwzględniamy moment włączenia kanałów do naszego portfolio. 
(3) Kanał uruchomiony 18 grudnia 2015 roku, nieobecny w badaniu telemetrycznym.
(4) Szacunki własne na podstawie danych SMG Poland (dawniej SMG Starlink).</t>
  </si>
  <si>
    <r>
      <t>Polsat 1</t>
    </r>
    <r>
      <rPr>
        <vertAlign val="superscript"/>
        <sz val="9"/>
        <color theme="1"/>
        <rFont val="Arial Narrow"/>
        <family val="2"/>
        <charset val="238"/>
      </rPr>
      <t>(2)</t>
    </r>
  </si>
  <si>
    <t>(1) Nielsen Audience Measurement, odsetek telewizyjnych gospodarstw domowych, które mają możliwość odbioru danego kanału; średnia arytmetyczna zasięgów miesięcznych.
(2) Kanał nadawany poza granicami Polski, nie objęty badaniem telemetrycznym.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</si>
  <si>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  <scheme val="minor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</si>
  <si>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  <scheme val="minor"/>
      </rPr>
      <t xml:space="preserve"> </t>
    </r>
  </si>
  <si>
    <t>1) Wyniki Grupy Midas konsolidowane od 29 lutego 2016 r.</t>
  </si>
  <si>
    <t>30 czerwca 2016</t>
  </si>
  <si>
    <t>30 czerwca 2015</t>
  </si>
  <si>
    <t>za okres 6 miesięcy zakończony</t>
  </si>
  <si>
    <t xml:space="preserve">ZASTRZEŻENIE
Prezentowane poniżej wskaźniki operacyjne (KPI) za drugi kwartał oraz pierwsze półrocze 2016 roku obejmują wyniki operacyjne Grupy Polsat oraz Grupy Midas, nabytej dnia 29 lutego 2016 roku. W związku z powyższym wyniki operacyjne za analizowane okresy 2016 roku nie są w pełni porównywalne z wynikami operacyjnymi za analogicznej okresy 2015 roku, jednakże wpływ konsolidacji wyników operacyjnych Grupy Midas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
</t>
  </si>
  <si>
    <t>6 miesięcy zakończonych 30 czerwca</t>
  </si>
  <si>
    <t>3 miesiące zakończone 30 czerwca</t>
  </si>
  <si>
    <t>Udział w zysku jednostki współkontrolowanej wycenianej metodą praw własności</t>
  </si>
  <si>
    <t>Zysk/(strata) netto przypadający na akcjonariuszy niekontrolujących</t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</si>
  <si>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Polski.</t>
    </r>
  </si>
  <si>
    <t>EBITDA (niebadana)</t>
  </si>
  <si>
    <t>Na dzień 30 czerwca (niebadany)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</si>
  <si>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</si>
  <si>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</si>
  <si>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</si>
  <si>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</si>
  <si>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</si>
  <si>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</si>
  <si>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</si>
  <si>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</si>
  <si>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</si>
  <si>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</si>
  <si>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t>1</t>
    </r>
    <r>
      <rPr>
        <vertAlign val="superscript"/>
        <sz val="10"/>
        <color indexed="8"/>
        <rFont val="Calibri"/>
        <family val="2"/>
        <charset val="238"/>
      </rPr>
      <t>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</si>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</sst>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%;\(#,##0.00%\)"/>
    <numFmt numFmtId="180" formatCode="#,##0.00;\(#,##0.00\)"/>
    <numFmt numFmtId="181" formatCode="##\.##0.0;\(##\.##0.0\)"/>
    <numFmt numFmtId="182" formatCode="#,##0.0\ ;\(#,##0.0\);\-"/>
    <numFmt numFmtId="183" formatCode="#,##0.0;\(#,##0.0\);\-"/>
    <numFmt numFmtId="184" formatCode="#,##0.000;\(#,##0.000\);\-"/>
    <numFmt numFmtId="185" formatCode="#,##0;\(#,##0\);\-"/>
    <numFmt numFmtId="186" formatCode="#,##0.0,;\(#,##0.0\)"/>
    <numFmt numFmtId="187" formatCode="#,##0.0,;\(#,##0.0\);\-"/>
  </numFmts>
  <fonts count="6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9" fontId="13" fillId="0" borderId="0" applyFont="0" applyFill="0" applyBorder="0" applyAlignment="0" applyProtection="0"/>
  </cellStyleXfs>
  <cellXfs count="539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2" fillId="3" borderId="4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/>
    <xf numFmtId="0" fontId="24" fillId="6" borderId="6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vertical="center" wrapText="1"/>
    </xf>
    <xf numFmtId="168" fontId="24" fillId="6" borderId="5" xfId="2" applyNumberFormat="1" applyFont="1" applyFill="1" applyBorder="1" applyAlignment="1">
      <alignment vertical="center" wrapText="1"/>
    </xf>
    <xf numFmtId="168" fontId="24" fillId="6" borderId="18" xfId="2" applyNumberFormat="1" applyFont="1" applyFill="1" applyBorder="1" applyAlignment="1">
      <alignment vertical="center" wrapText="1"/>
    </xf>
    <xf numFmtId="168" fontId="24" fillId="10" borderId="19" xfId="2" applyNumberFormat="1" applyFont="1" applyFill="1" applyBorder="1" applyAlignment="1">
      <alignment vertical="center" wrapText="1"/>
    </xf>
    <xf numFmtId="168" fontId="24" fillId="10" borderId="18" xfId="2" applyNumberFormat="1" applyFont="1" applyFill="1" applyBorder="1" applyAlignment="1">
      <alignment vertical="center" wrapText="1"/>
    </xf>
    <xf numFmtId="169" fontId="24" fillId="10" borderId="11" xfId="0" applyNumberFormat="1" applyFont="1" applyFill="1" applyBorder="1" applyAlignment="1">
      <alignment vertical="center" wrapText="1"/>
    </xf>
    <xf numFmtId="0" fontId="10" fillId="3" borderId="0" xfId="0" applyFont="1" applyFill="1" applyBorder="1"/>
    <xf numFmtId="0" fontId="2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4" fillId="3" borderId="22" xfId="0" applyFont="1" applyFill="1" applyBorder="1" applyAlignment="1">
      <alignment vertical="center" wrapText="1"/>
    </xf>
    <xf numFmtId="169" fontId="4" fillId="3" borderId="11" xfId="0" applyNumberFormat="1" applyFont="1" applyFill="1" applyBorder="1" applyAlignment="1">
      <alignment horizontal="right" vertical="center"/>
    </xf>
    <xf numFmtId="169" fontId="4" fillId="2" borderId="11" xfId="0" applyNumberFormat="1" applyFont="1" applyFill="1" applyBorder="1" applyAlignment="1">
      <alignment horizontal="right" vertical="center"/>
    </xf>
    <xf numFmtId="41" fontId="4" fillId="3" borderId="0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vertical="center" wrapText="1"/>
    </xf>
    <xf numFmtId="169" fontId="4" fillId="2" borderId="0" xfId="0" applyNumberFormat="1" applyFont="1" applyFill="1" applyBorder="1" applyAlignment="1">
      <alignment horizontal="right" vertical="center"/>
    </xf>
    <xf numFmtId="169" fontId="4" fillId="3" borderId="0" xfId="0" applyNumberFormat="1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vertical="center" wrapText="1"/>
    </xf>
    <xf numFmtId="177" fontId="14" fillId="2" borderId="0" xfId="0" applyNumberFormat="1" applyFont="1" applyFill="1" applyBorder="1" applyAlignment="1">
      <alignment horizontal="right" vertical="center"/>
    </xf>
    <xf numFmtId="169" fontId="14" fillId="3" borderId="0" xfId="0" applyNumberFormat="1" applyFont="1" applyFill="1" applyBorder="1" applyAlignment="1">
      <alignment horizontal="right" vertical="center"/>
    </xf>
    <xf numFmtId="174" fontId="14" fillId="3" borderId="0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3" fontId="14" fillId="3" borderId="0" xfId="0" applyNumberFormat="1" applyFont="1" applyFill="1" applyBorder="1" applyAlignment="1">
      <alignment horizontal="right" vertical="center" wrapText="1"/>
    </xf>
    <xf numFmtId="0" fontId="32" fillId="3" borderId="0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169" fontId="14" fillId="2" borderId="0" xfId="0" applyNumberFormat="1" applyFont="1" applyFill="1" applyBorder="1" applyAlignment="1">
      <alignment horizontal="right" vertical="center"/>
    </xf>
    <xf numFmtId="169" fontId="14" fillId="2" borderId="1" xfId="0" applyNumberFormat="1" applyFont="1" applyFill="1" applyBorder="1" applyAlignment="1">
      <alignment horizontal="right" vertical="center"/>
    </xf>
    <xf numFmtId="0" fontId="4" fillId="3" borderId="25" xfId="0" applyFont="1" applyFill="1" applyBorder="1" applyAlignment="1">
      <alignment vertical="center" wrapText="1"/>
    </xf>
    <xf numFmtId="169" fontId="4" fillId="3" borderId="27" xfId="0" applyNumberFormat="1" applyFont="1" applyFill="1" applyBorder="1" applyAlignment="1">
      <alignment horizontal="right" vertical="center"/>
    </xf>
    <xf numFmtId="169" fontId="4" fillId="2" borderId="27" xfId="0" applyNumberFormat="1" applyFont="1" applyFill="1" applyBorder="1" applyAlignment="1">
      <alignment horizontal="right" vertical="center"/>
    </xf>
    <xf numFmtId="0" fontId="30" fillId="3" borderId="4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5" fillId="3" borderId="0" xfId="0" applyFont="1" applyFill="1"/>
    <xf numFmtId="0" fontId="4" fillId="3" borderId="0" xfId="0" applyFont="1" applyFill="1"/>
    <xf numFmtId="3" fontId="28" fillId="3" borderId="0" xfId="0" applyNumberFormat="1" applyFont="1" applyFill="1" applyAlignment="1">
      <alignment horizontal="right"/>
    </xf>
    <xf numFmtId="0" fontId="35" fillId="3" borderId="0" xfId="0" applyFont="1" applyFill="1" applyAlignment="1"/>
    <xf numFmtId="0" fontId="35" fillId="3" borderId="0" xfId="0" applyFont="1" applyFill="1" applyAlignment="1">
      <alignment horizontal="left"/>
    </xf>
    <xf numFmtId="3" fontId="24" fillId="3" borderId="0" xfId="0" applyNumberFormat="1" applyFont="1" applyFill="1" applyBorder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0" fontId="29" fillId="3" borderId="0" xfId="0" applyFont="1" applyFill="1"/>
    <xf numFmtId="0" fontId="29" fillId="0" borderId="0" xfId="0" applyFont="1"/>
    <xf numFmtId="0" fontId="23" fillId="4" borderId="27" xfId="0" applyFont="1" applyFill="1" applyBorder="1" applyAlignment="1">
      <alignment horizontal="right" vertical="center"/>
    </xf>
    <xf numFmtId="0" fontId="40" fillId="3" borderId="0" xfId="0" applyFont="1" applyFill="1"/>
    <xf numFmtId="0" fontId="10" fillId="0" borderId="0" xfId="0" applyFont="1" applyBorder="1"/>
    <xf numFmtId="172" fontId="10" fillId="3" borderId="11" xfId="0" applyNumberFormat="1" applyFont="1" applyFill="1" applyBorder="1" applyAlignment="1">
      <alignment vertical="center"/>
    </xf>
    <xf numFmtId="169" fontId="10" fillId="3" borderId="0" xfId="0" applyNumberFormat="1" applyFont="1" applyFill="1" applyBorder="1" applyAlignment="1">
      <alignment vertical="center"/>
    </xf>
    <xf numFmtId="172" fontId="10" fillId="3" borderId="0" xfId="0" applyNumberFormat="1" applyFont="1" applyFill="1" applyBorder="1" applyAlignment="1">
      <alignment vertical="center"/>
    </xf>
    <xf numFmtId="173" fontId="38" fillId="3" borderId="0" xfId="1" applyNumberFormat="1" applyFont="1" applyFill="1" applyBorder="1" applyAlignment="1">
      <alignment horizontal="right" vertical="center"/>
    </xf>
    <xf numFmtId="173" fontId="10" fillId="3" borderId="0" xfId="0" applyNumberFormat="1" applyFont="1" applyFill="1" applyBorder="1" applyAlignment="1">
      <alignment vertical="center"/>
    </xf>
    <xf numFmtId="172" fontId="38" fillId="3" borderId="0" xfId="1" applyNumberFormat="1" applyFont="1" applyFill="1" applyBorder="1" applyAlignment="1">
      <alignment horizontal="right" vertical="center"/>
    </xf>
    <xf numFmtId="171" fontId="10" fillId="3" borderId="0" xfId="0" applyNumberFormat="1" applyFont="1" applyFill="1" applyBorder="1" applyAlignment="1">
      <alignment vertical="center"/>
    </xf>
    <xf numFmtId="172" fontId="40" fillId="3" borderId="0" xfId="0" applyNumberFormat="1" applyFont="1" applyFill="1" applyBorder="1" applyAlignment="1">
      <alignment vertical="center"/>
    </xf>
    <xf numFmtId="173" fontId="40" fillId="3" borderId="0" xfId="0" applyNumberFormat="1" applyFont="1" applyFill="1" applyBorder="1" applyAlignment="1">
      <alignment vertical="center"/>
    </xf>
    <xf numFmtId="171" fontId="10" fillId="3" borderId="18" xfId="0" applyNumberFormat="1" applyFont="1" applyFill="1" applyBorder="1" applyAlignment="1">
      <alignment vertical="center"/>
    </xf>
    <xf numFmtId="172" fontId="10" fillId="3" borderId="18" xfId="0" applyNumberFormat="1" applyFont="1" applyFill="1" applyBorder="1" applyAlignment="1">
      <alignment vertical="center"/>
    </xf>
    <xf numFmtId="164" fontId="38" fillId="3" borderId="0" xfId="0" applyNumberFormat="1" applyFont="1" applyFill="1" applyBorder="1" applyAlignment="1">
      <alignment horizontal="right" vertical="center"/>
    </xf>
    <xf numFmtId="169" fontId="40" fillId="3" borderId="0" xfId="0" applyNumberFormat="1" applyFont="1" applyFill="1" applyBorder="1" applyAlignment="1">
      <alignment vertical="center"/>
    </xf>
    <xf numFmtId="169" fontId="38" fillId="3" borderId="0" xfId="0" applyNumberFormat="1" applyFont="1" applyFill="1" applyBorder="1" applyAlignment="1">
      <alignment horizontal="right" vertical="center"/>
    </xf>
    <xf numFmtId="169" fontId="10" fillId="3" borderId="0" xfId="0" applyNumberFormat="1" applyFont="1" applyFill="1" applyAlignment="1">
      <alignment vertical="center"/>
    </xf>
    <xf numFmtId="164" fontId="41" fillId="3" borderId="0" xfId="0" applyNumberFormat="1" applyFont="1" applyFill="1" applyBorder="1" applyAlignment="1">
      <alignment horizontal="right" vertical="center"/>
    </xf>
    <xf numFmtId="164" fontId="42" fillId="3" borderId="0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9" fontId="23" fillId="12" borderId="7" xfId="0" applyNumberFormat="1" applyFont="1" applyFill="1" applyBorder="1" applyAlignment="1">
      <alignment vertical="center"/>
    </xf>
    <xf numFmtId="172" fontId="23" fillId="12" borderId="7" xfId="0" applyNumberFormat="1" applyFont="1" applyFill="1" applyBorder="1" applyAlignment="1">
      <alignment vertical="center"/>
    </xf>
    <xf numFmtId="0" fontId="39" fillId="3" borderId="3" xfId="0" applyFont="1" applyFill="1" applyBorder="1" applyAlignment="1">
      <alignment horizontal="left" vertical="center" indent="2"/>
    </xf>
    <xf numFmtId="171" fontId="10" fillId="3" borderId="11" xfId="0" applyNumberFormat="1" applyFont="1" applyFill="1" applyBorder="1" applyAlignment="1">
      <alignment vertical="center"/>
    </xf>
    <xf numFmtId="0" fontId="23" fillId="4" borderId="26" xfId="0" applyFont="1" applyFill="1" applyBorder="1" applyAlignment="1">
      <alignment horizontal="left" vertical="center"/>
    </xf>
    <xf numFmtId="172" fontId="23" fillId="4" borderId="27" xfId="0" applyNumberFormat="1" applyFont="1" applyFill="1" applyBorder="1" applyAlignment="1">
      <alignment vertical="center"/>
    </xf>
    <xf numFmtId="167" fontId="10" fillId="3" borderId="0" xfId="0" applyNumberFormat="1" applyFont="1" applyFill="1" applyBorder="1" applyAlignment="1">
      <alignment horizontal="right" vertical="center"/>
    </xf>
    <xf numFmtId="169" fontId="10" fillId="3" borderId="0" xfId="0" applyNumberFormat="1" applyFont="1" applyFill="1" applyBorder="1" applyAlignment="1">
      <alignment horizontal="right" vertical="center"/>
    </xf>
    <xf numFmtId="172" fontId="10" fillId="3" borderId="0" xfId="0" applyNumberFormat="1" applyFont="1" applyFill="1" applyBorder="1" applyAlignment="1">
      <alignment horizontal="right" vertical="center"/>
    </xf>
    <xf numFmtId="174" fontId="10" fillId="3" borderId="0" xfId="0" applyNumberFormat="1" applyFont="1" applyFill="1" applyBorder="1" applyAlignment="1">
      <alignment vertical="center"/>
    </xf>
    <xf numFmtId="174" fontId="40" fillId="3" borderId="0" xfId="0" applyNumberFormat="1" applyFont="1" applyFill="1" applyBorder="1" applyAlignment="1">
      <alignment vertical="center"/>
    </xf>
    <xf numFmtId="0" fontId="24" fillId="3" borderId="7" xfId="0" applyFont="1" applyFill="1" applyBorder="1" applyAlignment="1">
      <alignment vertical="center"/>
    </xf>
    <xf numFmtId="0" fontId="10" fillId="3" borderId="7" xfId="0" applyFont="1" applyFill="1" applyBorder="1"/>
    <xf numFmtId="0" fontId="10" fillId="3" borderId="7" xfId="0" applyFont="1" applyFill="1" applyBorder="1" applyAlignment="1">
      <alignment horizontal="right"/>
    </xf>
    <xf numFmtId="169" fontId="10" fillId="3" borderId="11" xfId="0" applyNumberFormat="1" applyFont="1" applyFill="1" applyBorder="1" applyAlignment="1">
      <alignment vertical="center"/>
    </xf>
    <xf numFmtId="174" fontId="10" fillId="3" borderId="11" xfId="0" applyNumberFormat="1" applyFont="1" applyFill="1" applyBorder="1" applyAlignment="1">
      <alignment vertical="center"/>
    </xf>
    <xf numFmtId="0" fontId="23" fillId="3" borderId="3" xfId="0" applyFont="1" applyFill="1" applyBorder="1" applyAlignment="1">
      <alignment horizontal="left" vertical="center"/>
    </xf>
    <xf numFmtId="0" fontId="23" fillId="13" borderId="27" xfId="0" applyFont="1" applyFill="1" applyBorder="1" applyAlignment="1">
      <alignment horizontal="right" vertical="center"/>
    </xf>
    <xf numFmtId="0" fontId="10" fillId="14" borderId="7" xfId="0" applyFont="1" applyFill="1" applyBorder="1"/>
    <xf numFmtId="173" fontId="10" fillId="14" borderId="0" xfId="0" applyNumberFormat="1" applyFont="1" applyFill="1" applyBorder="1" applyAlignment="1">
      <alignment vertical="center"/>
    </xf>
    <xf numFmtId="173" fontId="40" fillId="14" borderId="0" xfId="0" applyNumberFormat="1" applyFont="1" applyFill="1" applyBorder="1" applyAlignment="1">
      <alignment vertical="center"/>
    </xf>
    <xf numFmtId="173" fontId="38" fillId="14" borderId="0" xfId="1" applyNumberFormat="1" applyFont="1" applyFill="1" applyBorder="1" applyAlignment="1">
      <alignment horizontal="right" vertical="center"/>
    </xf>
    <xf numFmtId="164" fontId="38" fillId="14" borderId="0" xfId="0" applyNumberFormat="1" applyFont="1" applyFill="1" applyBorder="1" applyAlignment="1">
      <alignment horizontal="right" vertical="center"/>
    </xf>
    <xf numFmtId="172" fontId="23" fillId="12" borderId="8" xfId="0" applyNumberFormat="1" applyFont="1" applyFill="1" applyBorder="1" applyAlignment="1">
      <alignment vertical="center"/>
    </xf>
    <xf numFmtId="0" fontId="23" fillId="13" borderId="28" xfId="0" applyFont="1" applyFill="1" applyBorder="1" applyAlignment="1">
      <alignment horizontal="right" vertical="center"/>
    </xf>
    <xf numFmtId="0" fontId="23" fillId="4" borderId="26" xfId="0" applyFont="1" applyFill="1" applyBorder="1" applyAlignment="1">
      <alignment horizontal="right" vertical="center"/>
    </xf>
    <xf numFmtId="0" fontId="23" fillId="13" borderId="28" xfId="0" applyFont="1" applyFill="1" applyBorder="1" applyAlignment="1">
      <alignment horizontal="right" vertical="center" wrapText="1"/>
    </xf>
    <xf numFmtId="0" fontId="10" fillId="3" borderId="6" xfId="0" applyFont="1" applyFill="1" applyBorder="1"/>
    <xf numFmtId="0" fontId="10" fillId="14" borderId="8" xfId="0" applyFont="1" applyFill="1" applyBorder="1"/>
    <xf numFmtId="172" fontId="10" fillId="14" borderId="10" xfId="0" applyNumberFormat="1" applyFont="1" applyFill="1" applyBorder="1" applyAlignment="1">
      <alignment vertical="center"/>
    </xf>
    <xf numFmtId="173" fontId="38" fillId="3" borderId="3" xfId="1" applyNumberFormat="1" applyFont="1" applyFill="1" applyBorder="1" applyAlignment="1">
      <alignment horizontal="right" vertical="center"/>
    </xf>
    <xf numFmtId="173" fontId="40" fillId="3" borderId="3" xfId="0" applyNumberFormat="1" applyFont="1" applyFill="1" applyBorder="1" applyAlignment="1">
      <alignment vertical="center"/>
    </xf>
    <xf numFmtId="172" fontId="40" fillId="14" borderId="10" xfId="0" applyNumberFormat="1" applyFont="1" applyFill="1" applyBorder="1" applyAlignment="1">
      <alignment vertical="center"/>
    </xf>
    <xf numFmtId="172" fontId="10" fillId="14" borderId="19" xfId="0" applyNumberFormat="1" applyFont="1" applyFill="1" applyBorder="1" applyAlignment="1">
      <alignment vertical="center"/>
    </xf>
    <xf numFmtId="172" fontId="10" fillId="14" borderId="12" xfId="0" applyNumberFormat="1" applyFont="1" applyFill="1" applyBorder="1" applyAlignment="1">
      <alignment vertical="center"/>
    </xf>
    <xf numFmtId="173" fontId="10" fillId="14" borderId="10" xfId="0" applyNumberFormat="1" applyFont="1" applyFill="1" applyBorder="1" applyAlignment="1">
      <alignment vertical="center"/>
    </xf>
    <xf numFmtId="172" fontId="23" fillId="13" borderId="28" xfId="0" applyNumberFormat="1" applyFont="1" applyFill="1" applyBorder="1" applyAlignment="1">
      <alignment vertical="center"/>
    </xf>
    <xf numFmtId="174" fontId="10" fillId="14" borderId="12" xfId="0" applyNumberFormat="1" applyFont="1" applyFill="1" applyBorder="1" applyAlignment="1">
      <alignment vertical="center"/>
    </xf>
    <xf numFmtId="164" fontId="38" fillId="3" borderId="3" xfId="0" applyNumberFormat="1" applyFont="1" applyFill="1" applyBorder="1" applyAlignment="1">
      <alignment horizontal="right" vertical="center"/>
    </xf>
    <xf numFmtId="164" fontId="38" fillId="14" borderId="10" xfId="0" applyNumberFormat="1" applyFont="1" applyFill="1" applyBorder="1" applyAlignment="1">
      <alignment horizontal="right" vertical="center"/>
    </xf>
    <xf numFmtId="169" fontId="10" fillId="14" borderId="10" xfId="0" applyNumberFormat="1" applyFont="1" applyFill="1" applyBorder="1" applyAlignment="1">
      <alignment vertical="center"/>
    </xf>
    <xf numFmtId="176" fontId="10" fillId="14" borderId="10" xfId="0" applyNumberFormat="1" applyFont="1" applyFill="1" applyBorder="1" applyAlignment="1">
      <alignment vertical="center"/>
    </xf>
    <xf numFmtId="174" fontId="10" fillId="14" borderId="10" xfId="0" applyNumberFormat="1" applyFont="1" applyFill="1" applyBorder="1" applyAlignment="1">
      <alignment vertical="center"/>
    </xf>
    <xf numFmtId="174" fontId="40" fillId="14" borderId="10" xfId="0" applyNumberFormat="1" applyFont="1" applyFill="1" applyBorder="1" applyAlignment="1">
      <alignment vertical="center"/>
    </xf>
    <xf numFmtId="173" fontId="10" fillId="3" borderId="3" xfId="0" applyNumberFormat="1" applyFont="1" applyFill="1" applyBorder="1" applyAlignment="1">
      <alignment vertical="center"/>
    </xf>
    <xf numFmtId="173" fontId="40" fillId="14" borderId="10" xfId="0" applyNumberFormat="1" applyFont="1" applyFill="1" applyBorder="1" applyAlignment="1">
      <alignment vertical="center"/>
    </xf>
    <xf numFmtId="173" fontId="38" fillId="14" borderId="10" xfId="1" applyNumberFormat="1" applyFont="1" applyFill="1" applyBorder="1" applyAlignment="1">
      <alignment horizontal="right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15" borderId="27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 vertical="center"/>
    </xf>
    <xf numFmtId="0" fontId="44" fillId="11" borderId="0" xfId="0" applyFont="1" applyFill="1" applyBorder="1" applyAlignment="1">
      <alignment horizontal="center" vertical="center"/>
    </xf>
    <xf numFmtId="0" fontId="44" fillId="11" borderId="14" xfId="0" applyFont="1" applyFill="1" applyBorder="1" applyAlignment="1">
      <alignment horizontal="center" vertical="center"/>
    </xf>
    <xf numFmtId="0" fontId="44" fillId="11" borderId="11" xfId="0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horizontal="left" vertical="center" wrapText="1"/>
    </xf>
    <xf numFmtId="3" fontId="45" fillId="17" borderId="6" xfId="0" applyNumberFormat="1" applyFont="1" applyFill="1" applyBorder="1" applyAlignment="1">
      <alignment horizontal="center" vertical="center" wrapText="1"/>
    </xf>
    <xf numFmtId="3" fontId="45" fillId="17" borderId="7" xfId="0" applyNumberFormat="1" applyFont="1" applyFill="1" applyBorder="1" applyAlignment="1">
      <alignment horizontal="center" vertical="center" wrapText="1"/>
    </xf>
    <xf numFmtId="3" fontId="45" fillId="18" borderId="8" xfId="0" applyNumberFormat="1" applyFont="1" applyFill="1" applyBorder="1" applyAlignment="1">
      <alignment horizontal="center" vertical="center" wrapText="1"/>
    </xf>
    <xf numFmtId="3" fontId="45" fillId="3" borderId="6" xfId="0" applyNumberFormat="1" applyFont="1" applyFill="1" applyBorder="1" applyAlignment="1">
      <alignment horizontal="right" vertical="center" wrapText="1"/>
    </xf>
    <xf numFmtId="3" fontId="45" fillId="3" borderId="7" xfId="0" applyNumberFormat="1" applyFont="1" applyFill="1" applyBorder="1" applyAlignment="1">
      <alignment horizontal="right" vertical="center" wrapText="1"/>
    </xf>
    <xf numFmtId="0" fontId="47" fillId="2" borderId="3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20" fillId="19" borderId="0" xfId="0" applyNumberFormat="1" applyFont="1" applyFill="1" applyBorder="1" applyAlignment="1">
      <alignment horizontal="right" vertical="center" wrapText="1"/>
    </xf>
    <xf numFmtId="3" fontId="20" fillId="2" borderId="4" xfId="0" applyNumberFormat="1" applyFont="1" applyFill="1" applyBorder="1" applyAlignment="1">
      <alignment horizontal="right" vertical="center" wrapText="1"/>
    </xf>
    <xf numFmtId="168" fontId="20" fillId="2" borderId="3" xfId="7" applyNumberFormat="1" applyFont="1" applyFill="1" applyBorder="1" applyAlignment="1">
      <alignment horizontal="right" vertical="center" wrapText="1"/>
    </xf>
    <xf numFmtId="3" fontId="20" fillId="19" borderId="10" xfId="0" applyNumberFormat="1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left" vertical="center" wrapText="1"/>
    </xf>
    <xf numFmtId="3" fontId="45" fillId="3" borderId="3" xfId="0" applyNumberFormat="1" applyFont="1" applyFill="1" applyBorder="1" applyAlignment="1">
      <alignment horizontal="right" vertical="center" wrapText="1"/>
    </xf>
    <xf numFmtId="3" fontId="45" fillId="3" borderId="0" xfId="0" applyNumberFormat="1" applyFont="1" applyFill="1" applyBorder="1" applyAlignment="1">
      <alignment horizontal="right" vertical="center" wrapText="1"/>
    </xf>
    <xf numFmtId="3" fontId="45" fillId="18" borderId="0" xfId="0" applyNumberFormat="1" applyFont="1" applyFill="1" applyBorder="1" applyAlignment="1">
      <alignment horizontal="right" vertical="center" wrapText="1"/>
    </xf>
    <xf numFmtId="3" fontId="45" fillId="18" borderId="10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 indent="1"/>
    </xf>
    <xf numFmtId="3" fontId="20" fillId="3" borderId="3" xfId="0" applyNumberFormat="1" applyFont="1" applyFill="1" applyBorder="1" applyAlignment="1">
      <alignment horizontal="right" vertical="center" wrapText="1"/>
    </xf>
    <xf numFmtId="3" fontId="20" fillId="3" borderId="0" xfId="0" applyNumberFormat="1" applyFont="1" applyFill="1" applyBorder="1" applyAlignment="1">
      <alignment horizontal="right" vertical="center" wrapText="1"/>
    </xf>
    <xf numFmtId="3" fontId="20" fillId="18" borderId="0" xfId="0" applyNumberFormat="1" applyFont="1" applyFill="1" applyBorder="1" applyAlignment="1">
      <alignment horizontal="right" vertical="center" wrapText="1"/>
    </xf>
    <xf numFmtId="3" fontId="35" fillId="3" borderId="0" xfId="0" applyNumberFormat="1" applyFont="1" applyFill="1" applyBorder="1" applyAlignment="1">
      <alignment horizontal="right" vertical="center" wrapText="1"/>
    </xf>
    <xf numFmtId="3" fontId="20" fillId="18" borderId="10" xfId="0" applyNumberFormat="1" applyFont="1" applyFill="1" applyBorder="1" applyAlignment="1">
      <alignment horizontal="right" vertical="center" wrapText="1"/>
    </xf>
    <xf numFmtId="0" fontId="49" fillId="3" borderId="3" xfId="0" applyFont="1" applyFill="1" applyBorder="1" applyAlignment="1">
      <alignment horizontal="left" vertical="center" wrapText="1" indent="3"/>
    </xf>
    <xf numFmtId="3" fontId="50" fillId="3" borderId="3" xfId="0" applyNumberFormat="1" applyFont="1" applyFill="1" applyBorder="1" applyAlignment="1">
      <alignment horizontal="right" vertical="center" wrapText="1"/>
    </xf>
    <xf numFmtId="3" fontId="50" fillId="3" borderId="0" xfId="0" applyNumberFormat="1" applyFont="1" applyFill="1" applyBorder="1" applyAlignment="1">
      <alignment horizontal="right" vertical="center" wrapText="1"/>
    </xf>
    <xf numFmtId="3" fontId="50" fillId="18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50" fillId="18" borderId="10" xfId="0" applyNumberFormat="1" applyFont="1" applyFill="1" applyBorder="1" applyAlignment="1">
      <alignment horizontal="right" vertical="center" wrapText="1"/>
    </xf>
    <xf numFmtId="3" fontId="50" fillId="0" borderId="0" xfId="0" applyNumberFormat="1" applyFont="1" applyFill="1" applyBorder="1" applyAlignment="1">
      <alignment horizontal="right" vertical="center" wrapText="1"/>
    </xf>
    <xf numFmtId="3" fontId="20" fillId="3" borderId="29" xfId="0" applyNumberFormat="1" applyFont="1" applyFill="1" applyBorder="1" applyAlignment="1">
      <alignment horizontal="right" vertical="center" wrapText="1"/>
    </xf>
    <xf numFmtId="3" fontId="20" fillId="3" borderId="30" xfId="0" applyNumberFormat="1" applyFont="1" applyFill="1" applyBorder="1" applyAlignment="1">
      <alignment horizontal="right" vertical="center" wrapText="1"/>
    </xf>
    <xf numFmtId="0" fontId="18" fillId="3" borderId="31" xfId="0" applyFont="1" applyFill="1" applyBorder="1" applyAlignment="1">
      <alignment horizontal="left" vertical="center" wrapText="1"/>
    </xf>
    <xf numFmtId="3" fontId="45" fillId="3" borderId="32" xfId="0" applyNumberFormat="1" applyFont="1" applyFill="1" applyBorder="1" applyAlignment="1">
      <alignment horizontal="right" vertical="center" wrapText="1"/>
    </xf>
    <xf numFmtId="3" fontId="45" fillId="3" borderId="33" xfId="0" applyNumberFormat="1" applyFont="1" applyFill="1" applyBorder="1" applyAlignment="1">
      <alignment horizontal="right" vertical="center" wrapText="1"/>
    </xf>
    <xf numFmtId="3" fontId="45" fillId="18" borderId="33" xfId="0" applyNumberFormat="1" applyFont="1" applyFill="1" applyBorder="1" applyAlignment="1">
      <alignment horizontal="right" vertical="center" wrapText="1"/>
    </xf>
    <xf numFmtId="3" fontId="19" fillId="3" borderId="33" xfId="0" applyNumberFormat="1" applyFont="1" applyFill="1" applyBorder="1" applyAlignment="1">
      <alignment horizontal="right" vertical="center" wrapText="1"/>
    </xf>
    <xf numFmtId="3" fontId="45" fillId="18" borderId="34" xfId="0" applyNumberFormat="1" applyFont="1" applyFill="1" applyBorder="1" applyAlignment="1">
      <alignment horizontal="right" vertical="center" wrapText="1"/>
    </xf>
    <xf numFmtId="0" fontId="48" fillId="3" borderId="4" xfId="0" applyFont="1" applyFill="1" applyBorder="1" applyAlignment="1">
      <alignment horizontal="left" vertical="center"/>
    </xf>
    <xf numFmtId="166" fontId="20" fillId="3" borderId="4" xfId="0" applyNumberFormat="1" applyFont="1" applyFill="1" applyBorder="1" applyAlignment="1">
      <alignment horizontal="right" vertical="center" wrapText="1"/>
    </xf>
    <xf numFmtId="166" fontId="20" fillId="3" borderId="11" xfId="0" applyNumberFormat="1" applyFont="1" applyFill="1" applyBorder="1" applyAlignment="1">
      <alignment horizontal="right" vertical="center" wrapText="1"/>
    </xf>
    <xf numFmtId="166" fontId="20" fillId="18" borderId="11" xfId="0" applyNumberFormat="1" applyFont="1" applyFill="1" applyBorder="1" applyAlignment="1">
      <alignment horizontal="right" vertical="center" wrapText="1"/>
    </xf>
    <xf numFmtId="169" fontId="35" fillId="3" borderId="0" xfId="0" applyNumberFormat="1" applyFont="1" applyFill="1" applyBorder="1" applyAlignment="1">
      <alignment horizontal="right" vertical="center" wrapText="1"/>
    </xf>
    <xf numFmtId="166" fontId="20" fillId="18" borderId="12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/>
    </xf>
    <xf numFmtId="3" fontId="20" fillId="17" borderId="3" xfId="0" applyNumberFormat="1" applyFont="1" applyFill="1" applyBorder="1" applyAlignment="1">
      <alignment horizontal="right" vertical="center" wrapText="1"/>
    </xf>
    <xf numFmtId="3" fontId="20" fillId="17" borderId="0" xfId="0" applyNumberFormat="1" applyFont="1" applyFill="1" applyBorder="1" applyAlignment="1">
      <alignment horizontal="right" vertical="center" wrapText="1"/>
    </xf>
    <xf numFmtId="168" fontId="20" fillId="3" borderId="0" xfId="0" applyNumberFormat="1" applyFont="1" applyFill="1" applyBorder="1" applyAlignment="1">
      <alignment horizontal="right" vertical="center" wrapText="1"/>
    </xf>
    <xf numFmtId="168" fontId="20" fillId="18" borderId="0" xfId="0" applyNumberFormat="1" applyFont="1" applyFill="1" applyBorder="1" applyAlignment="1">
      <alignment horizontal="right" vertical="center" wrapText="1"/>
    </xf>
    <xf numFmtId="168" fontId="20" fillId="3" borderId="3" xfId="0" applyNumberFormat="1" applyFont="1" applyFill="1" applyBorder="1" applyAlignment="1">
      <alignment horizontal="right" vertical="center" wrapText="1"/>
    </xf>
    <xf numFmtId="168" fontId="35" fillId="3" borderId="0" xfId="0" applyNumberFormat="1" applyFont="1" applyFill="1" applyBorder="1" applyAlignment="1">
      <alignment horizontal="right" vertical="center" wrapText="1"/>
    </xf>
    <xf numFmtId="168" fontId="20" fillId="18" borderId="10" xfId="0" applyNumberFormat="1" applyFont="1" applyFill="1" applyBorder="1" applyAlignment="1">
      <alignment horizontal="right" vertical="center" wrapText="1"/>
    </xf>
    <xf numFmtId="2" fontId="20" fillId="3" borderId="5" xfId="0" applyNumberFormat="1" applyFont="1" applyFill="1" applyBorder="1" applyAlignment="1">
      <alignment horizontal="right" vertical="center" wrapText="1"/>
    </xf>
    <xf numFmtId="2" fontId="20" fillId="3" borderId="18" xfId="0" applyNumberFormat="1" applyFont="1" applyFill="1" applyBorder="1" applyAlignment="1">
      <alignment horizontal="right" vertical="center" wrapText="1"/>
    </xf>
    <xf numFmtId="2" fontId="20" fillId="18" borderId="19" xfId="0" applyNumberFormat="1" applyFont="1" applyFill="1" applyBorder="1" applyAlignment="1">
      <alignment horizontal="right" vertical="center" wrapText="1"/>
    </xf>
    <xf numFmtId="4" fontId="35" fillId="3" borderId="18" xfId="0" applyNumberFormat="1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left" vertical="center"/>
    </xf>
    <xf numFmtId="3" fontId="45" fillId="3" borderId="4" xfId="0" applyNumberFormat="1" applyFont="1" applyFill="1" applyBorder="1" applyAlignment="1">
      <alignment horizontal="right" vertical="center" wrapText="1"/>
    </xf>
    <xf numFmtId="3" fontId="45" fillId="3" borderId="11" xfId="0" applyNumberFormat="1" applyFont="1" applyFill="1" applyBorder="1" applyAlignment="1">
      <alignment horizontal="right" vertical="center" wrapText="1"/>
    </xf>
    <xf numFmtId="3" fontId="50" fillId="3" borderId="3" xfId="7" applyNumberFormat="1" applyFont="1" applyFill="1" applyBorder="1" applyAlignment="1">
      <alignment horizontal="right" vertical="center" wrapText="1"/>
    </xf>
    <xf numFmtId="3" fontId="20" fillId="3" borderId="3" xfId="7" applyNumberFormat="1" applyFont="1" applyFill="1" applyBorder="1" applyAlignment="1">
      <alignment horizontal="right" vertical="center" wrapText="1"/>
    </xf>
    <xf numFmtId="0" fontId="18" fillId="3" borderId="35" xfId="0" applyFont="1" applyFill="1" applyBorder="1" applyAlignment="1">
      <alignment horizontal="left" vertical="center" wrapText="1"/>
    </xf>
    <xf numFmtId="3" fontId="8" fillId="3" borderId="35" xfId="0" applyNumberFormat="1" applyFont="1" applyFill="1" applyBorder="1" applyAlignment="1">
      <alignment vertical="center"/>
    </xf>
    <xf numFmtId="3" fontId="8" fillId="3" borderId="33" xfId="0" applyNumberFormat="1" applyFont="1" applyFill="1" applyBorder="1" applyAlignment="1">
      <alignment vertical="center"/>
    </xf>
    <xf numFmtId="3" fontId="8" fillId="18" borderId="33" xfId="0" applyNumberFormat="1" applyFont="1" applyFill="1" applyBorder="1" applyAlignment="1">
      <alignment vertical="center"/>
    </xf>
    <xf numFmtId="3" fontId="8" fillId="3" borderId="32" xfId="0" applyNumberFormat="1" applyFont="1" applyFill="1" applyBorder="1" applyAlignment="1">
      <alignment vertical="center"/>
    </xf>
    <xf numFmtId="3" fontId="8" fillId="18" borderId="34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3" fontId="17" fillId="20" borderId="4" xfId="0" applyNumberFormat="1" applyFont="1" applyFill="1" applyBorder="1" applyAlignment="1">
      <alignment horizontal="right" vertical="center" wrapText="1"/>
    </xf>
    <xf numFmtId="3" fontId="17" fillId="20" borderId="11" xfId="0" applyNumberFormat="1" applyFont="1" applyFill="1" applyBorder="1" applyAlignment="1">
      <alignment horizontal="right" vertical="center" wrapText="1"/>
    </xf>
    <xf numFmtId="3" fontId="17" fillId="19" borderId="12" xfId="0" applyNumberFormat="1" applyFont="1" applyFill="1" applyBorder="1" applyAlignment="1">
      <alignment horizontal="right" vertical="center" wrapText="1"/>
    </xf>
    <xf numFmtId="166" fontId="52" fillId="2" borderId="4" xfId="0" applyNumberFormat="1" applyFont="1" applyFill="1" applyBorder="1" applyAlignment="1">
      <alignment horizontal="right" vertical="center" wrapText="1"/>
    </xf>
    <xf numFmtId="166" fontId="52" fillId="2" borderId="11" xfId="0" applyNumberFormat="1" applyFont="1" applyFill="1" applyBorder="1" applyAlignment="1">
      <alignment horizontal="right" vertical="center" wrapText="1"/>
    </xf>
    <xf numFmtId="166" fontId="17" fillId="2" borderId="0" xfId="0" applyNumberFormat="1" applyFont="1" applyFill="1" applyBorder="1" applyAlignment="1">
      <alignment horizontal="right" vertical="center" wrapText="1"/>
    </xf>
    <xf numFmtId="3" fontId="45" fillId="17" borderId="3" xfId="0" applyNumberFormat="1" applyFont="1" applyFill="1" applyBorder="1" applyAlignment="1">
      <alignment horizontal="right" vertical="center" wrapText="1"/>
    </xf>
    <xf numFmtId="3" fontId="45" fillId="17" borderId="0" xfId="0" applyNumberFormat="1" applyFont="1" applyFill="1" applyBorder="1" applyAlignment="1">
      <alignment horizontal="right" vertical="center" wrapText="1"/>
    </xf>
    <xf numFmtId="3" fontId="20" fillId="17" borderId="5" xfId="0" applyNumberFormat="1" applyFont="1" applyFill="1" applyBorder="1" applyAlignment="1">
      <alignment horizontal="right" vertical="center" wrapText="1"/>
    </xf>
    <xf numFmtId="3" fontId="20" fillId="17" borderId="18" xfId="0" applyNumberFormat="1" applyFont="1" applyFill="1" applyBorder="1" applyAlignment="1">
      <alignment horizontal="right" vertical="center" wrapText="1"/>
    </xf>
    <xf numFmtId="0" fontId="48" fillId="3" borderId="6" xfId="0" applyFont="1" applyFill="1" applyBorder="1" applyAlignment="1">
      <alignment horizontal="left" vertical="center" wrapText="1"/>
    </xf>
    <xf numFmtId="3" fontId="20" fillId="17" borderId="6" xfId="0" applyNumberFormat="1" applyFont="1" applyFill="1" applyBorder="1" applyAlignment="1">
      <alignment horizontal="right" vertical="center" wrapText="1"/>
    </xf>
    <xf numFmtId="3" fontId="20" fillId="17" borderId="7" xfId="0" applyNumberFormat="1" applyFont="1" applyFill="1" applyBorder="1" applyAlignment="1">
      <alignment horizontal="right" vertical="center" wrapText="1"/>
    </xf>
    <xf numFmtId="3" fontId="20" fillId="18" borderId="8" xfId="0" applyNumberFormat="1" applyFont="1" applyFill="1" applyBorder="1" applyAlignment="1">
      <alignment horizontal="right" vertical="center" wrapText="1"/>
    </xf>
    <xf numFmtId="166" fontId="20" fillId="3" borderId="6" xfId="0" applyNumberFormat="1" applyFont="1" applyFill="1" applyBorder="1" applyAlignment="1">
      <alignment horizontal="right" vertical="center" wrapText="1"/>
    </xf>
    <xf numFmtId="166" fontId="20" fillId="3" borderId="7" xfId="0" applyNumberFormat="1" applyFont="1" applyFill="1" applyBorder="1" applyAlignment="1">
      <alignment horizontal="right" vertical="center" wrapText="1"/>
    </xf>
    <xf numFmtId="169" fontId="20" fillId="18" borderId="8" xfId="0" applyNumberFormat="1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left" vertical="center" wrapText="1"/>
    </xf>
    <xf numFmtId="3" fontId="45" fillId="17" borderId="4" xfId="0" applyNumberFormat="1" applyFont="1" applyFill="1" applyBorder="1" applyAlignment="1">
      <alignment horizontal="right" vertical="center" wrapText="1"/>
    </xf>
    <xf numFmtId="3" fontId="45" fillId="17" borderId="11" xfId="0" applyNumberFormat="1" applyFont="1" applyFill="1" applyBorder="1" applyAlignment="1">
      <alignment horizontal="right" vertical="center" wrapText="1"/>
    </xf>
    <xf numFmtId="3" fontId="45" fillId="18" borderId="12" xfId="0" applyNumberFormat="1" applyFont="1" applyFill="1" applyBorder="1" applyAlignment="1">
      <alignment horizontal="right" vertical="center" wrapText="1"/>
    </xf>
    <xf numFmtId="0" fontId="48" fillId="3" borderId="5" xfId="0" applyFont="1" applyFill="1" applyBorder="1" applyAlignment="1">
      <alignment horizontal="left" vertical="center" wrapText="1" indent="1"/>
    </xf>
    <xf numFmtId="3" fontId="20" fillId="18" borderId="19" xfId="0" applyNumberFormat="1" applyFont="1" applyFill="1" applyBorder="1" applyAlignment="1">
      <alignment horizontal="right" vertical="center" wrapText="1"/>
    </xf>
    <xf numFmtId="3" fontId="20" fillId="3" borderId="5" xfId="0" applyNumberFormat="1" applyFont="1" applyFill="1" applyBorder="1" applyAlignment="1">
      <alignment horizontal="right" vertical="center" wrapText="1"/>
    </xf>
    <xf numFmtId="3" fontId="20" fillId="3" borderId="18" xfId="0" applyNumberFormat="1" applyFont="1" applyFill="1" applyBorder="1" applyAlignment="1">
      <alignment horizontal="right" vertical="center" wrapText="1"/>
    </xf>
    <xf numFmtId="3" fontId="35" fillId="3" borderId="18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0" fillId="3" borderId="0" xfId="0" applyFill="1" applyBorder="1"/>
    <xf numFmtId="0" fontId="14" fillId="3" borderId="22" xfId="0" applyFont="1" applyFill="1" applyBorder="1" applyAlignment="1">
      <alignment vertical="center" wrapText="1"/>
    </xf>
    <xf numFmtId="10" fontId="14" fillId="2" borderId="0" xfId="0" applyNumberFormat="1" applyFont="1" applyFill="1" applyAlignment="1">
      <alignment horizontal="right" vertical="center" wrapText="1" indent="1"/>
    </xf>
    <xf numFmtId="179" fontId="31" fillId="21" borderId="12" xfId="0" applyNumberFormat="1" applyFont="1" applyFill="1" applyBorder="1" applyAlignment="1">
      <alignment horizontal="right" vertical="center" wrapText="1" indent="1"/>
    </xf>
    <xf numFmtId="10" fontId="56" fillId="3" borderId="0" xfId="3" applyNumberFormat="1" applyFont="1" applyFill="1" applyBorder="1" applyAlignment="1">
      <alignment horizontal="right" vertical="center" wrapText="1"/>
    </xf>
    <xf numFmtId="0" fontId="16" fillId="3" borderId="23" xfId="0" applyFont="1" applyFill="1" applyBorder="1" applyAlignment="1">
      <alignment vertical="center" wrapText="1"/>
    </xf>
    <xf numFmtId="10" fontId="14" fillId="2" borderId="36" xfId="0" applyNumberFormat="1" applyFont="1" applyFill="1" applyBorder="1" applyAlignment="1">
      <alignment horizontal="right" vertical="center" wrapText="1" indent="1"/>
    </xf>
    <xf numFmtId="10" fontId="14" fillId="3" borderId="37" xfId="0" applyNumberFormat="1" applyFont="1" applyFill="1" applyBorder="1" applyAlignment="1">
      <alignment horizontal="right" vertical="center" wrapText="1" indent="1"/>
    </xf>
    <xf numFmtId="179" fontId="31" fillId="21" borderId="38" xfId="0" applyNumberFormat="1" applyFont="1" applyFill="1" applyBorder="1" applyAlignment="1">
      <alignment horizontal="right" vertical="center" wrapText="1" indent="1"/>
    </xf>
    <xf numFmtId="10" fontId="4" fillId="2" borderId="0" xfId="0" applyNumberFormat="1" applyFont="1" applyFill="1" applyAlignment="1">
      <alignment horizontal="right" vertical="center" wrapText="1" indent="1"/>
    </xf>
    <xf numFmtId="10" fontId="4" fillId="3" borderId="0" xfId="0" applyNumberFormat="1" applyFont="1" applyFill="1" applyAlignment="1">
      <alignment horizontal="right" vertical="center" wrapText="1" indent="1"/>
    </xf>
    <xf numFmtId="179" fontId="30" fillId="21" borderId="10" xfId="0" applyNumberFormat="1" applyFont="1" applyFill="1" applyBorder="1" applyAlignment="1">
      <alignment horizontal="right" vertical="center" wrapText="1" indent="1"/>
    </xf>
    <xf numFmtId="10" fontId="12" fillId="3" borderId="0" xfId="3" applyNumberFormat="1" applyFont="1" applyFill="1" applyBorder="1" applyAlignment="1">
      <alignment horizontal="right" vertical="center" wrapText="1"/>
    </xf>
    <xf numFmtId="10" fontId="59" fillId="3" borderId="0" xfId="0" applyNumberFormat="1" applyFont="1" applyFill="1" applyAlignment="1">
      <alignment horizontal="right" wrapText="1" indent="1"/>
    </xf>
    <xf numFmtId="0" fontId="56" fillId="3" borderId="6" xfId="0" applyFont="1" applyFill="1" applyBorder="1" applyAlignment="1">
      <alignment vertical="center" wrapText="1"/>
    </xf>
    <xf numFmtId="168" fontId="56" fillId="3" borderId="0" xfId="3" applyNumberFormat="1" applyFont="1" applyFill="1" applyBorder="1" applyAlignment="1">
      <alignment horizontal="right" vertical="center" wrapText="1"/>
    </xf>
    <xf numFmtId="0" fontId="36" fillId="3" borderId="0" xfId="0" applyFont="1" applyFill="1"/>
    <xf numFmtId="168" fontId="4" fillId="3" borderId="18" xfId="0" applyNumberFormat="1" applyFont="1" applyFill="1" applyBorder="1" applyAlignment="1">
      <alignment horizontal="right" wrapText="1" indent="1"/>
    </xf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 wrapText="1"/>
    </xf>
    <xf numFmtId="0" fontId="35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6" fillId="5" borderId="5" xfId="0" applyFont="1" applyFill="1" applyBorder="1" applyAlignment="1">
      <alignment horizontal="right" vertical="center"/>
    </xf>
    <xf numFmtId="0" fontId="26" fillId="5" borderId="18" xfId="0" applyFont="1" applyFill="1" applyBorder="1" applyAlignment="1">
      <alignment horizontal="right" vertical="center"/>
    </xf>
    <xf numFmtId="0" fontId="22" fillId="4" borderId="18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right" vertical="center" wrapText="1"/>
    </xf>
    <xf numFmtId="0" fontId="27" fillId="4" borderId="19" xfId="0" applyFont="1" applyFill="1" applyBorder="1" applyAlignment="1">
      <alignment horizontal="right" vertical="center" wrapText="1"/>
    </xf>
    <xf numFmtId="0" fontId="27" fillId="4" borderId="8" xfId="0" applyFont="1" applyFill="1" applyBorder="1" applyAlignment="1">
      <alignment horizontal="right" vertical="center" wrapText="1"/>
    </xf>
    <xf numFmtId="166" fontId="24" fillId="6" borderId="11" xfId="0" applyNumberFormat="1" applyFont="1" applyFill="1" applyBorder="1" applyAlignment="1">
      <alignment vertical="center" wrapText="1"/>
    </xf>
    <xf numFmtId="166" fontId="24" fillId="6" borderId="4" xfId="0" applyNumberFormat="1" applyFont="1" applyFill="1" applyBorder="1" applyAlignment="1">
      <alignment vertical="center" wrapText="1"/>
    </xf>
    <xf numFmtId="0" fontId="22" fillId="3" borderId="6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23" fillId="3" borderId="15" xfId="0" applyFont="1" applyFill="1" applyBorder="1" applyAlignment="1">
      <alignment vertical="center"/>
    </xf>
    <xf numFmtId="169" fontId="24" fillId="10" borderId="12" xfId="0" applyNumberFormat="1" applyFont="1" applyFill="1" applyBorder="1" applyAlignment="1">
      <alignment vertical="center" wrapText="1"/>
    </xf>
    <xf numFmtId="0" fontId="53" fillId="5" borderId="6" xfId="0" applyFont="1" applyFill="1" applyBorder="1" applyAlignment="1">
      <alignment horizontal="right" vertical="center"/>
    </xf>
    <xf numFmtId="0" fontId="16" fillId="4" borderId="7" xfId="0" applyFont="1" applyFill="1" applyBorder="1" applyAlignment="1">
      <alignment horizontal="right" vertical="center" wrapText="1"/>
    </xf>
    <xf numFmtId="0" fontId="54" fillId="4" borderId="8" xfId="0" applyFont="1" applyFill="1" applyBorder="1" applyAlignment="1">
      <alignment horizontal="right" vertical="center" wrapText="1"/>
    </xf>
    <xf numFmtId="0" fontId="23" fillId="15" borderId="28" xfId="0" applyFont="1" applyFill="1" applyBorder="1" applyAlignment="1">
      <alignment horizontal="center" vertical="center" wrapText="1"/>
    </xf>
    <xf numFmtId="0" fontId="3" fillId="21" borderId="23" xfId="0" applyFont="1" applyFill="1" applyBorder="1" applyAlignment="1">
      <alignment wrapText="1"/>
    </xf>
    <xf numFmtId="168" fontId="4" fillId="3" borderId="0" xfId="0" applyNumberFormat="1" applyFont="1" applyFill="1" applyBorder="1" applyAlignment="1">
      <alignment horizontal="right" wrapText="1" indent="1"/>
    </xf>
    <xf numFmtId="0" fontId="3" fillId="3" borderId="24" xfId="0" applyFont="1" applyFill="1" applyBorder="1"/>
    <xf numFmtId="182" fontId="10" fillId="14" borderId="10" xfId="0" applyNumberFormat="1" applyFont="1" applyFill="1" applyBorder="1" applyAlignment="1">
      <alignment vertical="center"/>
    </xf>
    <xf numFmtId="182" fontId="40" fillId="14" borderId="10" xfId="0" applyNumberFormat="1" applyFont="1" applyFill="1" applyBorder="1" applyAlignment="1">
      <alignment vertical="center"/>
    </xf>
    <xf numFmtId="182" fontId="23" fillId="12" borderId="8" xfId="0" applyNumberFormat="1" applyFont="1" applyFill="1" applyBorder="1" applyAlignment="1">
      <alignment vertical="center"/>
    </xf>
    <xf numFmtId="182" fontId="23" fillId="4" borderId="28" xfId="0" applyNumberFormat="1" applyFont="1" applyFill="1" applyBorder="1" applyAlignment="1">
      <alignment vertical="center"/>
    </xf>
    <xf numFmtId="182" fontId="10" fillId="14" borderId="12" xfId="0" applyNumberFormat="1" applyFont="1" applyFill="1" applyBorder="1" applyAlignment="1">
      <alignment vertical="center"/>
    </xf>
    <xf numFmtId="183" fontId="23" fillId="12" borderId="8" xfId="0" applyNumberFormat="1" applyFont="1" applyFill="1" applyBorder="1" applyAlignment="1">
      <alignment vertical="center"/>
    </xf>
    <xf numFmtId="183" fontId="10" fillId="14" borderId="10" xfId="0" applyNumberFormat="1" applyFont="1" applyFill="1" applyBorder="1" applyAlignment="1">
      <alignment vertical="center"/>
    </xf>
    <xf numFmtId="183" fontId="25" fillId="14" borderId="10" xfId="0" applyNumberFormat="1" applyFont="1" applyFill="1" applyBorder="1" applyAlignment="1">
      <alignment horizontal="right" vertical="center"/>
    </xf>
    <xf numFmtId="183" fontId="23" fillId="4" borderId="28" xfId="0" applyNumberFormat="1" applyFont="1" applyFill="1" applyBorder="1" applyAlignment="1">
      <alignment vertical="center"/>
    </xf>
    <xf numFmtId="183" fontId="23" fillId="3" borderId="6" xfId="0" applyNumberFormat="1" applyFont="1" applyFill="1" applyBorder="1" applyAlignment="1">
      <alignment vertical="center"/>
    </xf>
    <xf numFmtId="183" fontId="23" fillId="3" borderId="7" xfId="0" applyNumberFormat="1" applyFont="1" applyFill="1" applyBorder="1" applyAlignment="1">
      <alignment vertical="center"/>
    </xf>
    <xf numFmtId="183" fontId="23" fillId="2" borderId="8" xfId="0" applyNumberFormat="1" applyFont="1" applyFill="1" applyBorder="1" applyAlignment="1">
      <alignment vertical="center"/>
    </xf>
    <xf numFmtId="183" fontId="10" fillId="3" borderId="3" xfId="0" applyNumberFormat="1" applyFont="1" applyFill="1" applyBorder="1" applyAlignment="1">
      <alignment vertical="center"/>
    </xf>
    <xf numFmtId="183" fontId="10" fillId="3" borderId="0" xfId="0" applyNumberFormat="1" applyFont="1" applyFill="1" applyBorder="1" applyAlignment="1">
      <alignment vertical="center"/>
    </xf>
    <xf numFmtId="183" fontId="10" fillId="2" borderId="10" xfId="0" applyNumberFormat="1" applyFont="1" applyFill="1" applyBorder="1" applyAlignment="1">
      <alignment vertical="center"/>
    </xf>
    <xf numFmtId="183" fontId="23" fillId="12" borderId="6" xfId="0" applyNumberFormat="1" applyFont="1" applyFill="1" applyBorder="1" applyAlignment="1">
      <alignment vertical="center"/>
    </xf>
    <xf numFmtId="183" fontId="23" fillId="12" borderId="7" xfId="0" applyNumberFormat="1" applyFont="1" applyFill="1" applyBorder="1" applyAlignment="1">
      <alignment vertical="center"/>
    </xf>
    <xf numFmtId="183" fontId="23" fillId="7" borderId="8" xfId="0" applyNumberFormat="1" applyFont="1" applyFill="1" applyBorder="1" applyAlignment="1">
      <alignment vertical="center"/>
    </xf>
    <xf numFmtId="183" fontId="23" fillId="3" borderId="15" xfId="0" applyNumberFormat="1" applyFont="1" applyFill="1" applyBorder="1" applyAlignment="1">
      <alignment vertical="center"/>
    </xf>
    <xf numFmtId="183" fontId="23" fillId="3" borderId="2" xfId="0" applyNumberFormat="1" applyFont="1" applyFill="1" applyBorder="1" applyAlignment="1">
      <alignment vertical="center"/>
    </xf>
    <xf numFmtId="183" fontId="23" fillId="2" borderId="16" xfId="0" applyNumberFormat="1" applyFont="1" applyFill="1" applyBorder="1" applyAlignment="1">
      <alignment vertical="center"/>
    </xf>
    <xf numFmtId="183" fontId="23" fillId="2" borderId="7" xfId="0" applyNumberFormat="1" applyFont="1" applyFill="1" applyBorder="1" applyAlignment="1">
      <alignment vertical="center"/>
    </xf>
    <xf numFmtId="183" fontId="10" fillId="3" borderId="0" xfId="0" applyNumberFormat="1" applyFont="1" applyFill="1" applyAlignment="1">
      <alignment vertical="center"/>
    </xf>
    <xf numFmtId="183" fontId="10" fillId="2" borderId="0" xfId="0" applyNumberFormat="1" applyFont="1" applyFill="1" applyAlignment="1">
      <alignment vertical="center"/>
    </xf>
    <xf numFmtId="183" fontId="23" fillId="7" borderId="7" xfId="0" applyNumberFormat="1" applyFont="1" applyFill="1" applyBorder="1" applyAlignment="1">
      <alignment vertical="center"/>
    </xf>
    <xf numFmtId="183" fontId="23" fillId="2" borderId="2" xfId="0" applyNumberFormat="1" applyFont="1" applyFill="1" applyBorder="1" applyAlignment="1">
      <alignment vertical="center"/>
    </xf>
    <xf numFmtId="183" fontId="10" fillId="2" borderId="0" xfId="0" applyNumberFormat="1" applyFont="1" applyFill="1" applyBorder="1" applyAlignment="1">
      <alignment vertical="center"/>
    </xf>
    <xf numFmtId="184" fontId="10" fillId="3" borderId="0" xfId="0" applyNumberFormat="1" applyFont="1" applyFill="1" applyBorder="1" applyAlignment="1">
      <alignment vertical="center"/>
    </xf>
    <xf numFmtId="184" fontId="10" fillId="3" borderId="10" xfId="0" applyNumberFormat="1" applyFont="1" applyFill="1" applyBorder="1" applyAlignment="1">
      <alignment vertical="center"/>
    </xf>
    <xf numFmtId="184" fontId="10" fillId="3" borderId="3" xfId="0" applyNumberFormat="1" applyFont="1" applyFill="1" applyBorder="1" applyAlignment="1">
      <alignment vertical="center"/>
    </xf>
    <xf numFmtId="184" fontId="10" fillId="3" borderId="0" xfId="0" applyNumberFormat="1" applyFont="1" applyFill="1" applyAlignment="1">
      <alignment vertical="center"/>
    </xf>
    <xf numFmtId="184" fontId="10" fillId="3" borderId="18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83" fontId="10" fillId="0" borderId="0" xfId="0" applyNumberFormat="1" applyFont="1" applyFill="1" applyBorder="1" applyAlignment="1">
      <alignment vertical="center"/>
    </xf>
    <xf numFmtId="183" fontId="4" fillId="2" borderId="11" xfId="0" applyNumberFormat="1" applyFont="1" applyFill="1" applyBorder="1" applyAlignment="1">
      <alignment horizontal="right" vertical="center"/>
    </xf>
    <xf numFmtId="183" fontId="4" fillId="3" borderId="11" xfId="0" applyNumberFormat="1" applyFont="1" applyFill="1" applyBorder="1" applyAlignment="1">
      <alignment horizontal="right" vertical="center"/>
    </xf>
    <xf numFmtId="183" fontId="30" fillId="3" borderId="12" xfId="0" applyNumberFormat="1" applyFont="1" applyFill="1" applyBorder="1" applyAlignment="1">
      <alignment horizontal="right" vertical="center"/>
    </xf>
    <xf numFmtId="183" fontId="4" fillId="2" borderId="3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3" fontId="4" fillId="3" borderId="0" xfId="0" applyNumberFormat="1" applyFont="1" applyFill="1" applyBorder="1" applyAlignment="1">
      <alignment horizontal="right" vertical="center"/>
    </xf>
    <xf numFmtId="183" fontId="30" fillId="3" borderId="10" xfId="0" applyNumberFormat="1" applyFont="1" applyFill="1" applyBorder="1" applyAlignment="1">
      <alignment horizontal="right" vertical="center"/>
    </xf>
    <xf numFmtId="183" fontId="14" fillId="2" borderId="3" xfId="0" applyNumberFormat="1" applyFont="1" applyFill="1" applyBorder="1" applyAlignment="1">
      <alignment horizontal="right" vertical="center"/>
    </xf>
    <xf numFmtId="183" fontId="14" fillId="2" borderId="0" xfId="0" applyNumberFormat="1" applyFont="1" applyFill="1" applyBorder="1" applyAlignment="1">
      <alignment horizontal="right" vertical="center"/>
    </xf>
    <xf numFmtId="183" fontId="14" fillId="3" borderId="0" xfId="0" applyNumberFormat="1" applyFont="1" applyFill="1" applyBorder="1" applyAlignment="1">
      <alignment horizontal="right" vertical="center"/>
    </xf>
    <xf numFmtId="183" fontId="31" fillId="3" borderId="10" xfId="0" applyNumberFormat="1" applyFont="1" applyFill="1" applyBorder="1" applyAlignment="1">
      <alignment horizontal="right" vertical="center"/>
    </xf>
    <xf numFmtId="183" fontId="14" fillId="2" borderId="1" xfId="0" applyNumberFormat="1" applyFont="1" applyFill="1" applyBorder="1" applyAlignment="1">
      <alignment horizontal="right" vertical="center"/>
    </xf>
    <xf numFmtId="183" fontId="14" fillId="3" borderId="1" xfId="0" applyNumberFormat="1" applyFont="1" applyFill="1" applyBorder="1" applyAlignment="1">
      <alignment horizontal="right" vertical="center"/>
    </xf>
    <xf numFmtId="183" fontId="4" fillId="2" borderId="26" xfId="0" applyNumberFormat="1" applyFont="1" applyFill="1" applyBorder="1" applyAlignment="1">
      <alignment horizontal="right" vertical="center"/>
    </xf>
    <xf numFmtId="183" fontId="4" fillId="3" borderId="27" xfId="0" applyNumberFormat="1" applyFont="1" applyFill="1" applyBorder="1" applyAlignment="1">
      <alignment horizontal="right" vertical="center"/>
    </xf>
    <xf numFmtId="183" fontId="30" fillId="3" borderId="28" xfId="0" applyNumberFormat="1" applyFont="1" applyFill="1" applyBorder="1" applyAlignment="1">
      <alignment horizontal="right" vertical="center"/>
    </xf>
    <xf numFmtId="183" fontId="0" fillId="2" borderId="4" xfId="0" applyNumberFormat="1" applyFill="1" applyBorder="1" applyAlignment="1">
      <alignment vertical="center"/>
    </xf>
    <xf numFmtId="183" fontId="0" fillId="2" borderId="11" xfId="0" applyNumberFormat="1" applyFill="1" applyBorder="1" applyAlignment="1">
      <alignment vertical="center"/>
    </xf>
    <xf numFmtId="183" fontId="0" fillId="3" borderId="11" xfId="0" applyNumberFormat="1" applyFill="1" applyBorder="1" applyAlignment="1">
      <alignment vertical="center"/>
    </xf>
    <xf numFmtId="183" fontId="34" fillId="3" borderId="12" xfId="0" applyNumberFormat="1" applyFont="1" applyFill="1" applyBorder="1" applyAlignment="1">
      <alignment vertical="center"/>
    </xf>
    <xf numFmtId="183" fontId="4" fillId="2" borderId="0" xfId="0" applyNumberFormat="1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183" fontId="4" fillId="2" borderId="5" xfId="0" applyNumberFormat="1" applyFont="1" applyFill="1" applyBorder="1" applyAlignment="1">
      <alignment vertical="center"/>
    </xf>
    <xf numFmtId="183" fontId="4" fillId="2" borderId="18" xfId="0" applyNumberFormat="1" applyFont="1" applyFill="1" applyBorder="1" applyAlignment="1">
      <alignment vertical="center"/>
    </xf>
    <xf numFmtId="183" fontId="4" fillId="3" borderId="18" xfId="0" applyNumberFormat="1" applyFont="1" applyFill="1" applyBorder="1" applyAlignment="1">
      <alignment vertical="center"/>
    </xf>
    <xf numFmtId="185" fontId="33" fillId="2" borderId="27" xfId="0" applyNumberFormat="1" applyFont="1" applyFill="1" applyBorder="1" applyAlignment="1">
      <alignment horizontal="right" vertical="center"/>
    </xf>
    <xf numFmtId="185" fontId="33" fillId="3" borderId="27" xfId="0" applyNumberFormat="1" applyFont="1" applyFill="1" applyBorder="1" applyAlignment="1">
      <alignment horizontal="right" vertical="center"/>
    </xf>
    <xf numFmtId="183" fontId="30" fillId="3" borderId="19" xfId="0" applyNumberFormat="1" applyFont="1" applyFill="1" applyBorder="1" applyAlignment="1">
      <alignment vertical="center"/>
    </xf>
    <xf numFmtId="183" fontId="30" fillId="3" borderId="11" xfId="0" applyNumberFormat="1" applyFont="1" applyFill="1" applyBorder="1" applyAlignment="1">
      <alignment horizontal="right" vertical="center"/>
    </xf>
    <xf numFmtId="183" fontId="30" fillId="3" borderId="0" xfId="0" applyNumberFormat="1" applyFont="1" applyFill="1" applyBorder="1" applyAlignment="1">
      <alignment horizontal="right" vertical="center"/>
    </xf>
    <xf numFmtId="183" fontId="31" fillId="3" borderId="0" xfId="0" applyNumberFormat="1" applyFont="1" applyFill="1" applyBorder="1" applyAlignment="1">
      <alignment horizontal="right" vertical="center"/>
    </xf>
    <xf numFmtId="183" fontId="30" fillId="3" borderId="27" xfId="0" applyNumberFormat="1" applyFont="1" applyFill="1" applyBorder="1" applyAlignment="1">
      <alignment horizontal="right" vertical="center"/>
    </xf>
    <xf numFmtId="183" fontId="34" fillId="3" borderId="11" xfId="0" applyNumberFormat="1" applyFont="1" applyFill="1" applyBorder="1" applyAlignment="1">
      <alignment vertical="center"/>
    </xf>
    <xf numFmtId="183" fontId="30" fillId="3" borderId="19" xfId="0" applyNumberFormat="1" applyFont="1" applyFill="1" applyBorder="1" applyAlignment="1">
      <alignment horizontal="right" vertical="center"/>
    </xf>
    <xf numFmtId="183" fontId="4" fillId="2" borderId="3" xfId="0" applyNumberFormat="1" applyFont="1" applyFill="1" applyBorder="1" applyAlignment="1">
      <alignment horizontal="right" vertical="center" wrapText="1"/>
    </xf>
    <xf numFmtId="183" fontId="4" fillId="2" borderId="0" xfId="0" applyNumberFormat="1" applyFont="1" applyFill="1" applyBorder="1" applyAlignment="1">
      <alignment horizontal="right" vertical="center" wrapText="1"/>
    </xf>
    <xf numFmtId="183" fontId="4" fillId="3" borderId="0" xfId="0" applyNumberFormat="1" applyFont="1" applyFill="1" applyBorder="1" applyAlignment="1">
      <alignment horizontal="right" vertical="center" wrapText="1"/>
    </xf>
    <xf numFmtId="183" fontId="30" fillId="3" borderId="10" xfId="0" applyNumberFormat="1" applyFont="1" applyFill="1" applyBorder="1" applyAlignment="1">
      <alignment horizontal="right" vertical="center" wrapText="1"/>
    </xf>
    <xf numFmtId="183" fontId="31" fillId="3" borderId="10" xfId="0" applyNumberFormat="1" applyFont="1" applyFill="1" applyBorder="1" applyAlignment="1">
      <alignment horizontal="right" vertical="center" wrapText="1"/>
    </xf>
    <xf numFmtId="183" fontId="14" fillId="2" borderId="3" xfId="0" applyNumberFormat="1" applyFont="1" applyFill="1" applyBorder="1" applyAlignment="1">
      <alignment horizontal="right" vertical="center" wrapText="1"/>
    </xf>
    <xf numFmtId="183" fontId="14" fillId="2" borderId="0" xfId="0" applyNumberFormat="1" applyFont="1" applyFill="1" applyBorder="1" applyAlignment="1">
      <alignment horizontal="right" vertical="center" wrapText="1"/>
    </xf>
    <xf numFmtId="183" fontId="14" fillId="3" borderId="0" xfId="0" applyNumberFormat="1" applyFont="1" applyFill="1" applyBorder="1" applyAlignment="1">
      <alignment horizontal="right" vertical="center" wrapText="1"/>
    </xf>
    <xf numFmtId="183" fontId="4" fillId="2" borderId="26" xfId="0" applyNumberFormat="1" applyFont="1" applyFill="1" applyBorder="1" applyAlignment="1">
      <alignment horizontal="right" vertical="center" wrapText="1"/>
    </xf>
    <xf numFmtId="183" fontId="4" fillId="2" borderId="27" xfId="0" applyNumberFormat="1" applyFont="1" applyFill="1" applyBorder="1" applyAlignment="1">
      <alignment horizontal="right" vertical="center" wrapText="1"/>
    </xf>
    <xf numFmtId="183" fontId="4" fillId="3" borderId="27" xfId="0" applyNumberFormat="1" applyFont="1" applyFill="1" applyBorder="1" applyAlignment="1">
      <alignment horizontal="right" vertical="center" wrapText="1"/>
    </xf>
    <xf numFmtId="183" fontId="4" fillId="3" borderId="2" xfId="0" applyNumberFormat="1" applyFont="1" applyFill="1" applyBorder="1" applyAlignment="1">
      <alignment horizontal="right" vertical="center" wrapText="1"/>
    </xf>
    <xf numFmtId="183" fontId="30" fillId="3" borderId="16" xfId="0" applyNumberFormat="1" applyFont="1" applyFill="1" applyBorder="1" applyAlignment="1">
      <alignment horizontal="right" vertical="center" wrapText="1"/>
    </xf>
    <xf numFmtId="183" fontId="30" fillId="3" borderId="12" xfId="0" applyNumberFormat="1" applyFont="1" applyFill="1" applyBorder="1" applyAlignment="1">
      <alignment horizontal="right" vertical="center" wrapText="1"/>
    </xf>
    <xf numFmtId="183" fontId="33" fillId="2" borderId="0" xfId="0" applyNumberFormat="1" applyFont="1" applyFill="1" applyBorder="1" applyAlignment="1">
      <alignment vertical="center"/>
    </xf>
    <xf numFmtId="183" fontId="33" fillId="3" borderId="0" xfId="0" applyNumberFormat="1" applyFont="1" applyFill="1" applyBorder="1" applyAlignment="1">
      <alignment vertical="center"/>
    </xf>
    <xf numFmtId="183" fontId="4" fillId="2" borderId="5" xfId="0" applyNumberFormat="1" applyFont="1" applyFill="1" applyBorder="1" applyAlignment="1">
      <alignment horizontal="right" vertical="center" wrapText="1"/>
    </xf>
    <xf numFmtId="183" fontId="30" fillId="3" borderId="19" xfId="0" applyNumberFormat="1" applyFont="1" applyFill="1" applyBorder="1" applyAlignment="1">
      <alignment horizontal="right" vertical="center" wrapText="1"/>
    </xf>
    <xf numFmtId="183" fontId="4" fillId="2" borderId="11" xfId="0" applyNumberFormat="1" applyFont="1" applyFill="1" applyBorder="1" applyAlignment="1">
      <alignment horizontal="right" vertical="center" wrapText="1"/>
    </xf>
    <xf numFmtId="183" fontId="4" fillId="3" borderId="11" xfId="0" applyNumberFormat="1" applyFont="1" applyFill="1" applyBorder="1" applyAlignment="1">
      <alignment horizontal="right" vertical="center" wrapText="1"/>
    </xf>
    <xf numFmtId="183" fontId="30" fillId="3" borderId="28" xfId="0" applyNumberFormat="1" applyFont="1" applyFill="1" applyBorder="1" applyAlignment="1">
      <alignment horizontal="right" vertical="center" wrapText="1"/>
    </xf>
    <xf numFmtId="183" fontId="4" fillId="2" borderId="18" xfId="0" applyNumberFormat="1" applyFont="1" applyFill="1" applyBorder="1" applyAlignment="1">
      <alignment horizontal="right" vertical="center" wrapText="1"/>
    </xf>
    <xf numFmtId="183" fontId="4" fillId="3" borderId="18" xfId="0" applyNumberFormat="1" applyFont="1" applyFill="1" applyBorder="1" applyAlignment="1">
      <alignment horizontal="right" vertical="center" wrapText="1"/>
    </xf>
    <xf numFmtId="182" fontId="10" fillId="3" borderId="0" xfId="0" applyNumberFormat="1" applyFont="1" applyFill="1" applyBorder="1" applyAlignment="1">
      <alignment vertical="center"/>
    </xf>
    <xf numFmtId="182" fontId="38" fillId="3" borderId="0" xfId="1" applyNumberFormat="1" applyFont="1" applyFill="1" applyBorder="1" applyAlignment="1">
      <alignment horizontal="right" vertical="center"/>
    </xf>
    <xf numFmtId="182" fontId="40" fillId="3" borderId="0" xfId="0" applyNumberFormat="1" applyFont="1" applyFill="1" applyBorder="1" applyAlignment="1">
      <alignment vertical="center"/>
    </xf>
    <xf numFmtId="182" fontId="10" fillId="3" borderId="18" xfId="0" applyNumberFormat="1" applyFont="1" applyFill="1" applyBorder="1" applyAlignment="1">
      <alignment vertical="center"/>
    </xf>
    <xf numFmtId="182" fontId="23" fillId="12" borderId="7" xfId="0" applyNumberFormat="1" applyFont="1" applyFill="1" applyBorder="1" applyAlignment="1">
      <alignment vertical="center"/>
    </xf>
    <xf numFmtId="182" fontId="10" fillId="3" borderId="11" xfId="0" applyNumberFormat="1" applyFont="1" applyFill="1" applyBorder="1" applyAlignment="1">
      <alignment vertical="center"/>
    </xf>
    <xf numFmtId="182" fontId="23" fillId="4" borderId="27" xfId="0" applyNumberFormat="1" applyFont="1" applyFill="1" applyBorder="1" applyAlignment="1">
      <alignment vertical="center"/>
    </xf>
    <xf numFmtId="182" fontId="10" fillId="3" borderId="7" xfId="0" applyNumberFormat="1" applyFont="1" applyFill="1" applyBorder="1"/>
    <xf numFmtId="182" fontId="38" fillId="3" borderId="0" xfId="0" applyNumberFormat="1" applyFont="1" applyFill="1" applyBorder="1" applyAlignment="1">
      <alignment horizontal="right" vertical="center"/>
    </xf>
    <xf numFmtId="182" fontId="10" fillId="3" borderId="0" xfId="0" applyNumberFormat="1" applyFont="1" applyFill="1" applyBorder="1" applyAlignment="1">
      <alignment horizontal="right" vertical="center"/>
    </xf>
    <xf numFmtId="182" fontId="41" fillId="3" borderId="0" xfId="0" applyNumberFormat="1" applyFont="1" applyFill="1" applyBorder="1" applyAlignment="1">
      <alignment horizontal="right" vertical="center"/>
    </xf>
    <xf numFmtId="182" fontId="25" fillId="3" borderId="0" xfId="0" applyNumberFormat="1" applyFont="1" applyFill="1" applyBorder="1" applyAlignment="1">
      <alignment horizontal="right" vertical="center"/>
    </xf>
    <xf numFmtId="0" fontId="3" fillId="3" borderId="22" xfId="0" applyFont="1" applyFill="1" applyBorder="1"/>
    <xf numFmtId="0" fontId="3" fillId="3" borderId="23" xfId="0" applyFont="1" applyFill="1" applyBorder="1"/>
    <xf numFmtId="168" fontId="4" fillId="2" borderId="3" xfId="0" applyNumberFormat="1" applyFont="1" applyFill="1" applyBorder="1" applyAlignment="1">
      <alignment horizontal="right" wrapText="1" indent="1"/>
    </xf>
    <xf numFmtId="168" fontId="4" fillId="2" borderId="5" xfId="0" applyNumberFormat="1" applyFont="1" applyFill="1" applyBorder="1" applyAlignment="1">
      <alignment horizontal="right" wrapText="1" indent="1"/>
    </xf>
    <xf numFmtId="179" fontId="30" fillId="21" borderId="19" xfId="0" applyNumberFormat="1" applyFont="1" applyFill="1" applyBorder="1" applyAlignment="1">
      <alignment horizontal="right" vertical="center" wrapText="1" indent="1"/>
    </xf>
    <xf numFmtId="0" fontId="2" fillId="3" borderId="0" xfId="0" applyFont="1" applyFill="1"/>
    <xf numFmtId="0" fontId="2" fillId="0" borderId="0" xfId="0" applyFont="1"/>
    <xf numFmtId="0" fontId="62" fillId="3" borderId="0" xfId="0" applyFont="1" applyFill="1"/>
    <xf numFmtId="0" fontId="62" fillId="0" borderId="0" xfId="0" applyFont="1"/>
    <xf numFmtId="0" fontId="26" fillId="4" borderId="2" xfId="0" applyFont="1" applyFill="1" applyBorder="1" applyAlignment="1">
      <alignment horizontal="right" vertical="center"/>
    </xf>
    <xf numFmtId="0" fontId="26" fillId="8" borderId="16" xfId="0" applyFont="1" applyFill="1" applyBorder="1" applyAlignment="1">
      <alignment horizontal="right" vertical="center"/>
    </xf>
    <xf numFmtId="0" fontId="26" fillId="4" borderId="15" xfId="0" applyFont="1" applyFill="1" applyBorder="1" applyAlignment="1">
      <alignment horizontal="right" vertical="center"/>
    </xf>
    <xf numFmtId="0" fontId="26" fillId="8" borderId="2" xfId="0" applyFont="1" applyFill="1" applyBorder="1" applyAlignment="1">
      <alignment horizontal="right" vertical="center"/>
    </xf>
    <xf numFmtId="170" fontId="26" fillId="6" borderId="7" xfId="0" applyNumberFormat="1" applyFont="1" applyFill="1" applyBorder="1" applyAlignment="1">
      <alignment vertical="center"/>
    </xf>
    <xf numFmtId="170" fontId="26" fillId="9" borderId="8" xfId="0" applyNumberFormat="1" applyFont="1" applyFill="1" applyBorder="1" applyAlignment="1">
      <alignment horizontal="right" vertical="center"/>
    </xf>
    <xf numFmtId="170" fontId="26" fillId="6" borderId="6" xfId="0" applyNumberFormat="1" applyFont="1" applyFill="1" applyBorder="1" applyAlignment="1">
      <alignment vertical="center"/>
    </xf>
    <xf numFmtId="170" fontId="26" fillId="9" borderId="7" xfId="0" applyNumberFormat="1" applyFont="1" applyFill="1" applyBorder="1" applyAlignment="1">
      <alignment horizontal="right" vertical="center"/>
    </xf>
    <xf numFmtId="0" fontId="62" fillId="3" borderId="3" xfId="0" applyFont="1" applyFill="1" applyBorder="1" applyAlignment="1">
      <alignment horizontal="left" vertical="center" wrapText="1"/>
    </xf>
    <xf numFmtId="170" fontId="62" fillId="3" borderId="0" xfId="0" applyNumberFormat="1" applyFont="1" applyFill="1" applyBorder="1" applyAlignment="1">
      <alignment horizontal="right" vertical="center"/>
    </xf>
    <xf numFmtId="170" fontId="62" fillId="9" borderId="10" xfId="0" applyNumberFormat="1" applyFont="1" applyFill="1" applyBorder="1" applyAlignment="1">
      <alignment horizontal="right" vertical="center"/>
    </xf>
    <xf numFmtId="170" fontId="62" fillId="3" borderId="3" xfId="0" applyNumberFormat="1" applyFont="1" applyFill="1" applyBorder="1" applyAlignment="1">
      <alignment horizontal="right" vertical="center"/>
    </xf>
    <xf numFmtId="170" fontId="62" fillId="9" borderId="0" xfId="0" applyNumberFormat="1" applyFont="1" applyFill="1" applyBorder="1" applyAlignment="1">
      <alignment horizontal="right" vertical="center"/>
    </xf>
    <xf numFmtId="181" fontId="20" fillId="3" borderId="0" xfId="0" applyNumberFormat="1" applyFont="1" applyFill="1" applyAlignment="1">
      <alignment horizontal="right" vertical="center"/>
    </xf>
    <xf numFmtId="175" fontId="20" fillId="3" borderId="0" xfId="0" applyNumberFormat="1" applyFont="1" applyFill="1" applyAlignment="1">
      <alignment horizontal="right" vertical="center"/>
    </xf>
    <xf numFmtId="176" fontId="26" fillId="6" borderId="7" xfId="0" applyNumberFormat="1" applyFont="1" applyFill="1" applyBorder="1" applyAlignment="1">
      <alignment vertical="center"/>
    </xf>
    <xf numFmtId="176" fontId="26" fillId="7" borderId="8" xfId="0" applyNumberFormat="1" applyFont="1" applyFill="1" applyBorder="1" applyAlignment="1">
      <alignment vertical="center"/>
    </xf>
    <xf numFmtId="176" fontId="26" fillId="6" borderId="6" xfId="0" applyNumberFormat="1" applyFont="1" applyFill="1" applyBorder="1" applyAlignment="1">
      <alignment vertical="center"/>
    </xf>
    <xf numFmtId="176" fontId="26" fillId="7" borderId="7" xfId="0" applyNumberFormat="1" applyFont="1" applyFill="1" applyBorder="1" applyAlignment="1">
      <alignment vertical="center"/>
    </xf>
    <xf numFmtId="0" fontId="26" fillId="3" borderId="0" xfId="0" applyFont="1" applyFill="1"/>
    <xf numFmtId="0" fontId="26" fillId="0" borderId="0" xfId="0" applyFont="1"/>
    <xf numFmtId="176" fontId="62" fillId="3" borderId="0" xfId="0" applyNumberFormat="1" applyFont="1" applyFill="1" applyBorder="1" applyAlignment="1">
      <alignment horizontal="right" vertical="center"/>
    </xf>
    <xf numFmtId="176" fontId="62" fillId="9" borderId="10" xfId="0" applyNumberFormat="1" applyFont="1" applyFill="1" applyBorder="1" applyAlignment="1">
      <alignment horizontal="right" vertical="center"/>
    </xf>
    <xf numFmtId="176" fontId="62" fillId="3" borderId="3" xfId="0" applyNumberFormat="1" applyFont="1" applyFill="1" applyBorder="1" applyAlignment="1">
      <alignment horizontal="right" vertical="center"/>
    </xf>
    <xf numFmtId="176" fontId="62" fillId="9" borderId="0" xfId="0" applyNumberFormat="1" applyFont="1" applyFill="1" applyBorder="1" applyAlignment="1">
      <alignment horizontal="right" vertical="center"/>
    </xf>
    <xf numFmtId="0" fontId="26" fillId="3" borderId="3" xfId="0" applyFont="1" applyFill="1" applyBorder="1" applyAlignment="1">
      <alignment horizontal="left" vertical="center" wrapText="1"/>
    </xf>
    <xf numFmtId="176" fontId="26" fillId="3" borderId="0" xfId="0" applyNumberFormat="1" applyFont="1" applyFill="1" applyBorder="1" applyAlignment="1">
      <alignment vertical="center"/>
    </xf>
    <xf numFmtId="176" fontId="26" fillId="9" borderId="10" xfId="0" applyNumberFormat="1" applyFont="1" applyFill="1" applyBorder="1" applyAlignment="1">
      <alignment horizontal="right" vertical="center"/>
    </xf>
    <xf numFmtId="176" fontId="26" fillId="3" borderId="3" xfId="0" applyNumberFormat="1" applyFont="1" applyFill="1" applyBorder="1" applyAlignment="1">
      <alignment vertical="center"/>
    </xf>
    <xf numFmtId="176" fontId="26" fillId="9" borderId="0" xfId="0" applyNumberFormat="1" applyFont="1" applyFill="1" applyBorder="1" applyAlignment="1">
      <alignment horizontal="right" vertical="center"/>
    </xf>
    <xf numFmtId="0" fontId="26" fillId="0" borderId="0" xfId="0" applyFont="1" applyFill="1"/>
    <xf numFmtId="170" fontId="26" fillId="7" borderId="8" xfId="0" applyNumberFormat="1" applyFont="1" applyFill="1" applyBorder="1" applyAlignment="1">
      <alignment horizontal="right" vertical="center"/>
    </xf>
    <xf numFmtId="170" fontId="26" fillId="7" borderId="7" xfId="0" applyNumberFormat="1" applyFont="1" applyFill="1" applyBorder="1" applyAlignment="1">
      <alignment horizontal="right" vertical="center"/>
    </xf>
    <xf numFmtId="0" fontId="62" fillId="0" borderId="3" xfId="0" applyFont="1" applyFill="1" applyBorder="1" applyAlignment="1">
      <alignment horizontal="left" vertical="center" wrapText="1"/>
    </xf>
    <xf numFmtId="0" fontId="62" fillId="3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180" fontId="26" fillId="3" borderId="0" xfId="0" applyNumberFormat="1" applyFont="1" applyFill="1" applyBorder="1" applyAlignment="1">
      <alignment vertical="center"/>
    </xf>
    <xf numFmtId="180" fontId="26" fillId="9" borderId="10" xfId="0" applyNumberFormat="1" applyFont="1" applyFill="1" applyBorder="1" applyAlignment="1">
      <alignment horizontal="right" vertical="center"/>
    </xf>
    <xf numFmtId="180" fontId="26" fillId="3" borderId="3" xfId="0" applyNumberFormat="1" applyFont="1" applyFill="1" applyBorder="1" applyAlignment="1">
      <alignment vertical="center"/>
    </xf>
    <xf numFmtId="180" fontId="26" fillId="0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176" fontId="26" fillId="9" borderId="19" xfId="0" applyNumberFormat="1" applyFont="1" applyFill="1" applyBorder="1" applyAlignment="1">
      <alignment horizontal="right" vertical="center"/>
    </xf>
    <xf numFmtId="0" fontId="62" fillId="3" borderId="0" xfId="0" applyFont="1" applyFill="1" applyBorder="1" applyAlignment="1">
      <alignment horizontal="right" vertical="center"/>
    </xf>
    <xf numFmtId="0" fontId="62" fillId="3" borderId="0" xfId="0" applyFont="1" applyFill="1" applyBorder="1"/>
    <xf numFmtId="0" fontId="62" fillId="3" borderId="0" xfId="0" applyFont="1" applyFill="1" applyAlignment="1">
      <alignment vertical="center"/>
    </xf>
    <xf numFmtId="0" fontId="62" fillId="0" borderId="0" xfId="0" applyFont="1" applyFill="1"/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Border="1" applyAlignment="1">
      <alignment horizontal="right" vertical="center"/>
    </xf>
    <xf numFmtId="0" fontId="62" fillId="0" borderId="0" xfId="0" applyFont="1" applyBorder="1" applyAlignment="1">
      <alignment vertical="center"/>
    </xf>
    <xf numFmtId="172" fontId="10" fillId="14" borderId="10" xfId="0" applyNumberFormat="1" applyFont="1" applyFill="1" applyBorder="1" applyAlignment="1">
      <alignment horizontal="right" vertical="center"/>
    </xf>
    <xf numFmtId="172" fontId="10" fillId="14" borderId="0" xfId="0" applyNumberFormat="1" applyFont="1" applyFill="1" applyBorder="1" applyAlignment="1">
      <alignment horizontal="right" vertical="center"/>
    </xf>
    <xf numFmtId="172" fontId="10" fillId="3" borderId="3" xfId="0" applyNumberFormat="1" applyFont="1" applyFill="1" applyBorder="1" applyAlignment="1">
      <alignment horizontal="right" vertical="center"/>
    </xf>
    <xf numFmtId="172" fontId="23" fillId="12" borderId="6" xfId="0" applyNumberFormat="1" applyFont="1" applyFill="1" applyBorder="1" applyAlignment="1">
      <alignment vertical="center"/>
    </xf>
    <xf numFmtId="172" fontId="23" fillId="13" borderId="27" xfId="0" applyNumberFormat="1" applyFont="1" applyFill="1" applyBorder="1" applyAlignment="1">
      <alignment vertical="center"/>
    </xf>
    <xf numFmtId="172" fontId="23" fillId="4" borderId="26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vertical="center"/>
    </xf>
    <xf numFmtId="166" fontId="10" fillId="14" borderId="10" xfId="0" applyNumberFormat="1" applyFont="1" applyFill="1" applyBorder="1" applyAlignment="1">
      <alignment horizontal="right" vertical="center"/>
    </xf>
    <xf numFmtId="166" fontId="10" fillId="14" borderId="0" xfId="0" applyNumberFormat="1" applyFont="1" applyFill="1" applyBorder="1" applyAlignment="1">
      <alignment horizontal="right" vertical="center"/>
    </xf>
    <xf numFmtId="166" fontId="10" fillId="3" borderId="3" xfId="0" applyNumberFormat="1" applyFont="1" applyFill="1" applyBorder="1" applyAlignment="1">
      <alignment horizontal="right" vertical="center"/>
    </xf>
    <xf numFmtId="166" fontId="10" fillId="3" borderId="11" xfId="0" applyNumberFormat="1" applyFont="1" applyFill="1" applyBorder="1" applyAlignment="1">
      <alignment horizontal="right" vertical="center"/>
    </xf>
    <xf numFmtId="166" fontId="10" fillId="14" borderId="12" xfId="0" applyNumberFormat="1" applyFont="1" applyFill="1" applyBorder="1" applyAlignment="1">
      <alignment horizontal="right" vertical="center"/>
    </xf>
    <xf numFmtId="166" fontId="10" fillId="14" borderId="11" xfId="0" applyNumberFormat="1" applyFont="1" applyFill="1" applyBorder="1" applyAlignment="1">
      <alignment horizontal="right" vertical="center"/>
    </xf>
    <xf numFmtId="166" fontId="10" fillId="3" borderId="4" xfId="0" applyNumberFormat="1" applyFont="1" applyFill="1" applyBorder="1" applyAlignment="1">
      <alignment horizontal="right" vertical="center"/>
    </xf>
    <xf numFmtId="186" fontId="10" fillId="3" borderId="0" xfId="0" applyNumberFormat="1" applyFont="1" applyFill="1" applyBorder="1" applyAlignment="1">
      <alignment horizontal="right" vertical="center"/>
    </xf>
    <xf numFmtId="166" fontId="10" fillId="3" borderId="0" xfId="0" applyNumberFormat="1" applyFont="1" applyFill="1" applyBorder="1" applyAlignment="1">
      <alignment vertical="center"/>
    </xf>
    <xf numFmtId="166" fontId="10" fillId="14" borderId="10" xfId="0" applyNumberFormat="1" applyFont="1" applyFill="1" applyBorder="1" applyAlignment="1">
      <alignment vertical="center"/>
    </xf>
    <xf numFmtId="167" fontId="23" fillId="3" borderId="0" xfId="0" applyNumberFormat="1" applyFont="1" applyFill="1" applyBorder="1" applyAlignment="1">
      <alignment vertical="center"/>
    </xf>
    <xf numFmtId="167" fontId="23" fillId="14" borderId="0" xfId="0" applyNumberFormat="1" applyFont="1" applyFill="1" applyBorder="1" applyAlignment="1">
      <alignment vertical="center"/>
    </xf>
    <xf numFmtId="167" fontId="23" fillId="3" borderId="3" xfId="0" applyNumberFormat="1" applyFont="1" applyFill="1" applyBorder="1" applyAlignment="1">
      <alignment vertical="center"/>
    </xf>
    <xf numFmtId="183" fontId="23" fillId="3" borderId="8" xfId="0" applyNumberFormat="1" applyFont="1" applyFill="1" applyBorder="1" applyAlignment="1">
      <alignment vertical="center"/>
    </xf>
    <xf numFmtId="183" fontId="23" fillId="3" borderId="7" xfId="0" applyNumberFormat="1" applyFont="1" applyFill="1" applyBorder="1" applyAlignment="1">
      <alignment horizontal="right" vertical="center"/>
    </xf>
    <xf numFmtId="183" fontId="10" fillId="3" borderId="10" xfId="0" applyNumberFormat="1" applyFont="1" applyFill="1" applyBorder="1" applyAlignment="1">
      <alignment vertical="center"/>
    </xf>
    <xf numFmtId="183" fontId="23" fillId="3" borderId="16" xfId="0" applyNumberFormat="1" applyFont="1" applyFill="1" applyBorder="1" applyAlignment="1">
      <alignment vertical="center"/>
    </xf>
    <xf numFmtId="0" fontId="35" fillId="3" borderId="0" xfId="0" applyFont="1" applyFill="1" applyAlignment="1">
      <alignment horizontal="left" vertical="top"/>
    </xf>
    <xf numFmtId="168" fontId="20" fillId="2" borderId="0" xfId="7" applyNumberFormat="1" applyFont="1" applyFill="1" applyBorder="1" applyAlignment="1">
      <alignment horizontal="right" vertical="center" wrapText="1"/>
    </xf>
    <xf numFmtId="3" fontId="50" fillId="3" borderId="0" xfId="7" applyNumberFormat="1" applyFont="1" applyFill="1" applyBorder="1" applyAlignment="1">
      <alignment horizontal="right" vertical="center" wrapText="1"/>
    </xf>
    <xf numFmtId="3" fontId="20" fillId="3" borderId="0" xfId="7" applyNumberFormat="1" applyFont="1" applyFill="1" applyBorder="1" applyAlignment="1">
      <alignment horizontal="right" vertical="center" wrapText="1"/>
    </xf>
    <xf numFmtId="0" fontId="44" fillId="11" borderId="7" xfId="0" applyFont="1" applyFill="1" applyBorder="1" applyAlignment="1">
      <alignment horizontal="center" vertical="center"/>
    </xf>
    <xf numFmtId="10" fontId="14" fillId="2" borderId="6" xfId="0" applyNumberFormat="1" applyFont="1" applyFill="1" applyBorder="1" applyAlignment="1">
      <alignment horizontal="right" vertical="center" wrapText="1" indent="1"/>
    </xf>
    <xf numFmtId="10" fontId="14" fillId="3" borderId="7" xfId="0" applyNumberFormat="1" applyFont="1" applyFill="1" applyBorder="1" applyAlignment="1">
      <alignment horizontal="right" vertical="center" wrapText="1" indent="1"/>
    </xf>
    <xf numFmtId="10" fontId="31" fillId="21" borderId="8" xfId="0" applyNumberFormat="1" applyFont="1" applyFill="1" applyBorder="1" applyAlignment="1">
      <alignment horizontal="right" vertical="center" wrapText="1" indent="1"/>
    </xf>
    <xf numFmtId="183" fontId="1" fillId="2" borderId="3" xfId="0" applyNumberFormat="1" applyFont="1" applyFill="1" applyBorder="1" applyAlignment="1">
      <alignment horizontal="right" vertical="center"/>
    </xf>
    <xf numFmtId="183" fontId="10" fillId="3" borderId="0" xfId="0" applyNumberFormat="1" applyFont="1" applyFill="1" applyBorder="1" applyAlignment="1">
      <alignment horizontal="right" vertical="center"/>
    </xf>
    <xf numFmtId="187" fontId="10" fillId="14" borderId="10" xfId="0" applyNumberFormat="1" applyFont="1" applyFill="1" applyBorder="1" applyAlignment="1">
      <alignment horizontal="right" vertical="center"/>
    </xf>
    <xf numFmtId="183" fontId="25" fillId="3" borderId="3" xfId="0" applyNumberFormat="1" applyFont="1" applyFill="1" applyBorder="1" applyAlignment="1">
      <alignment horizontal="right" vertical="center"/>
    </xf>
    <xf numFmtId="183" fontId="25" fillId="3" borderId="0" xfId="0" applyNumberFormat="1" applyFont="1" applyFill="1" applyBorder="1" applyAlignment="1">
      <alignment horizontal="right" vertical="center"/>
    </xf>
    <xf numFmtId="168" fontId="26" fillId="3" borderId="0" xfId="0" applyNumberFormat="1" applyFont="1" applyFill="1"/>
    <xf numFmtId="0" fontId="14" fillId="4" borderId="17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62" fillId="3" borderId="0" xfId="0" applyFont="1" applyFill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62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/>
    </xf>
    <xf numFmtId="0" fontId="16" fillId="3" borderId="22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16" borderId="12" xfId="0" applyFont="1" applyFill="1" applyBorder="1" applyAlignment="1">
      <alignment horizontal="center" vertical="center" wrapText="1"/>
    </xf>
    <xf numFmtId="0" fontId="19" fillId="16" borderId="1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left" wrapText="1"/>
    </xf>
    <xf numFmtId="0" fontId="35" fillId="3" borderId="0" xfId="0" applyFont="1" applyFill="1" applyAlignment="1">
      <alignment horizontal="left" vertical="top" wrapText="1"/>
    </xf>
    <xf numFmtId="0" fontId="35" fillId="3" borderId="0" xfId="0" applyFont="1" applyFill="1" applyAlignment="1">
      <alignment horizontal="left" vertical="top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left" vertical="center" wrapText="1"/>
    </xf>
    <xf numFmtId="0" fontId="56" fillId="3" borderId="24" xfId="0" applyFont="1" applyFill="1" applyBorder="1" applyAlignment="1">
      <alignment horizontal="left" vertical="center" wrapText="1"/>
    </xf>
  </cellXfs>
  <cellStyles count="8">
    <cellStyle name="Dziesiętny" xfId="1" builtinId="3"/>
    <cellStyle name="Normalny" xfId="0" builtinId="0"/>
    <cellStyle name="Normalny 2" xfId="4"/>
    <cellStyle name="Normalny 2 2 3" xfId="5"/>
    <cellStyle name="Normalny 66" xfId="6"/>
    <cellStyle name="Procentowy" xfId="2" builtinId="5"/>
    <cellStyle name="Procentowy 2" xfId="3"/>
    <cellStyle name="Procentowy 3" xfId="7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Y49"/>
  <sheetViews>
    <sheetView showGridLines="0" tabSelected="1" zoomScaleNormal="100" zoomScaleSheetLayoutView="70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28.5" customHeight="1"/>
  <cols>
    <col min="1" max="1" width="46.625" style="406" customWidth="1"/>
    <col min="2" max="7" width="9" style="457"/>
    <col min="8" max="8" width="9" style="458"/>
    <col min="9" max="9" width="9" style="459"/>
    <col min="10" max="11" width="10.125" style="457" bestFit="1" customWidth="1"/>
    <col min="12" max="12" width="10.125" style="457" customWidth="1"/>
    <col min="13" max="15" width="9.25" style="457" customWidth="1"/>
    <col min="16" max="16" width="10.125" style="457" bestFit="1" customWidth="1"/>
    <col min="17" max="20" width="10.125" style="457" customWidth="1"/>
    <col min="21" max="21" width="10.125" style="457" bestFit="1" customWidth="1"/>
    <col min="22" max="23" width="10.125" style="457" customWidth="1"/>
    <col min="24" max="28" width="9" style="405"/>
    <col min="29" max="16384" width="9" style="406"/>
  </cols>
  <sheetData>
    <row r="1" spans="1:493" s="404" customFormat="1" ht="50.25" customHeight="1" thickBot="1">
      <c r="A1" s="3" t="s">
        <v>190</v>
      </c>
      <c r="B1" s="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O1" s="403"/>
      <c r="CP1" s="403"/>
      <c r="CQ1" s="403"/>
      <c r="CR1" s="403"/>
      <c r="CS1" s="403"/>
      <c r="CT1" s="403"/>
      <c r="CU1" s="403"/>
      <c r="CV1" s="403"/>
      <c r="CW1" s="403"/>
      <c r="CX1" s="403"/>
      <c r="CY1" s="403"/>
      <c r="CZ1" s="403"/>
      <c r="DA1" s="403"/>
      <c r="DB1" s="403"/>
      <c r="DC1" s="403"/>
      <c r="DD1" s="403"/>
      <c r="DE1" s="403"/>
      <c r="DF1" s="403"/>
      <c r="DG1" s="403"/>
      <c r="DH1" s="403"/>
      <c r="DI1" s="403"/>
      <c r="DJ1" s="403"/>
      <c r="DK1" s="403"/>
      <c r="DL1" s="403"/>
      <c r="DM1" s="403"/>
      <c r="DN1" s="403"/>
      <c r="DO1" s="403"/>
      <c r="DP1" s="403"/>
      <c r="DQ1" s="403"/>
      <c r="DR1" s="403"/>
      <c r="DS1" s="403"/>
      <c r="DT1" s="403"/>
      <c r="DU1" s="403"/>
      <c r="DV1" s="403"/>
      <c r="DW1" s="403"/>
      <c r="DX1" s="403"/>
      <c r="DY1" s="403"/>
      <c r="DZ1" s="403"/>
      <c r="EA1" s="403"/>
      <c r="EB1" s="403"/>
      <c r="EC1" s="403"/>
      <c r="ED1" s="403"/>
      <c r="EE1" s="403"/>
      <c r="EF1" s="403"/>
      <c r="EG1" s="403"/>
      <c r="EH1" s="403"/>
      <c r="EI1" s="403"/>
      <c r="EJ1" s="403"/>
      <c r="EK1" s="403"/>
      <c r="EL1" s="403"/>
      <c r="EM1" s="403"/>
      <c r="EN1" s="403"/>
      <c r="EO1" s="403"/>
      <c r="EP1" s="403"/>
      <c r="EQ1" s="403"/>
      <c r="ER1" s="403"/>
      <c r="ES1" s="403"/>
      <c r="ET1" s="403"/>
      <c r="EU1" s="403"/>
      <c r="EV1" s="403"/>
      <c r="EW1" s="403"/>
      <c r="EX1" s="403"/>
      <c r="EY1" s="403"/>
      <c r="EZ1" s="403"/>
      <c r="FA1" s="403"/>
      <c r="FB1" s="403"/>
      <c r="FC1" s="403"/>
      <c r="FD1" s="403"/>
      <c r="FE1" s="403"/>
      <c r="FF1" s="403"/>
      <c r="FG1" s="403"/>
      <c r="FH1" s="403"/>
      <c r="FI1" s="403"/>
      <c r="FJ1" s="403"/>
      <c r="FK1" s="403"/>
      <c r="FL1" s="403"/>
      <c r="FM1" s="403"/>
      <c r="FN1" s="403"/>
      <c r="FO1" s="403"/>
      <c r="FP1" s="403"/>
      <c r="FQ1" s="403"/>
      <c r="FR1" s="403"/>
      <c r="FS1" s="403"/>
      <c r="FT1" s="403"/>
      <c r="FU1" s="403"/>
      <c r="FV1" s="403"/>
      <c r="FW1" s="403"/>
      <c r="FX1" s="403"/>
      <c r="FY1" s="403"/>
      <c r="FZ1" s="403"/>
      <c r="GA1" s="403"/>
      <c r="GB1" s="403"/>
      <c r="GC1" s="403"/>
      <c r="GD1" s="403"/>
      <c r="GE1" s="403"/>
      <c r="GF1" s="403"/>
      <c r="GG1" s="403"/>
      <c r="GH1" s="403"/>
      <c r="GI1" s="403"/>
      <c r="GJ1" s="403"/>
      <c r="GK1" s="403"/>
      <c r="GL1" s="403"/>
      <c r="GM1" s="403"/>
      <c r="GN1" s="403"/>
      <c r="GO1" s="403"/>
      <c r="GP1" s="403"/>
      <c r="GQ1" s="403"/>
      <c r="GR1" s="403"/>
      <c r="GS1" s="403"/>
      <c r="GT1" s="403"/>
      <c r="GU1" s="403"/>
      <c r="GV1" s="403"/>
      <c r="GW1" s="403"/>
      <c r="GX1" s="403"/>
      <c r="GY1" s="403"/>
      <c r="GZ1" s="403"/>
      <c r="HA1" s="403"/>
      <c r="HB1" s="403"/>
      <c r="HC1" s="403"/>
      <c r="HD1" s="403"/>
      <c r="HE1" s="403"/>
      <c r="HF1" s="403"/>
      <c r="HG1" s="403"/>
      <c r="HH1" s="403"/>
      <c r="HI1" s="403"/>
      <c r="HJ1" s="403"/>
      <c r="HK1" s="403"/>
      <c r="HL1" s="403"/>
      <c r="HM1" s="403"/>
      <c r="HN1" s="403"/>
      <c r="HO1" s="403"/>
      <c r="HP1" s="403"/>
      <c r="HQ1" s="403"/>
      <c r="HR1" s="403"/>
      <c r="HS1" s="403"/>
      <c r="HT1" s="403"/>
      <c r="HU1" s="403"/>
      <c r="HV1" s="403"/>
      <c r="HW1" s="403"/>
      <c r="HX1" s="403"/>
      <c r="HY1" s="403"/>
      <c r="HZ1" s="403"/>
      <c r="IA1" s="403"/>
      <c r="IB1" s="403"/>
      <c r="IC1" s="403"/>
      <c r="ID1" s="403"/>
      <c r="IE1" s="403"/>
      <c r="IF1" s="403"/>
      <c r="IG1" s="403"/>
      <c r="IH1" s="403"/>
      <c r="II1" s="403"/>
      <c r="IJ1" s="403"/>
      <c r="IK1" s="403"/>
      <c r="IL1" s="403"/>
      <c r="IM1" s="403"/>
      <c r="IN1" s="403"/>
      <c r="IO1" s="403"/>
      <c r="IP1" s="403"/>
      <c r="IQ1" s="403"/>
      <c r="IR1" s="403"/>
      <c r="IS1" s="403"/>
      <c r="IT1" s="403"/>
      <c r="IU1" s="403"/>
      <c r="IV1" s="403"/>
      <c r="IW1" s="403"/>
      <c r="IX1" s="403"/>
      <c r="IY1" s="403"/>
      <c r="IZ1" s="403"/>
      <c r="JA1" s="403"/>
      <c r="JB1" s="403"/>
      <c r="JC1" s="403"/>
      <c r="JD1" s="403"/>
      <c r="JE1" s="403"/>
      <c r="JF1" s="403"/>
      <c r="JG1" s="403"/>
      <c r="JH1" s="403"/>
      <c r="JI1" s="403"/>
      <c r="JJ1" s="403"/>
      <c r="JK1" s="403"/>
      <c r="JL1" s="403"/>
      <c r="JM1" s="403"/>
      <c r="JN1" s="403"/>
      <c r="JO1" s="403"/>
      <c r="JP1" s="403"/>
      <c r="JQ1" s="403"/>
      <c r="JR1" s="403"/>
      <c r="JS1" s="403"/>
      <c r="JT1" s="403"/>
      <c r="JU1" s="403"/>
      <c r="JV1" s="403"/>
      <c r="JW1" s="403"/>
      <c r="JX1" s="403"/>
      <c r="JY1" s="403"/>
      <c r="JZ1" s="403"/>
      <c r="KA1" s="403"/>
      <c r="KB1" s="403"/>
      <c r="KC1" s="403"/>
      <c r="KD1" s="403"/>
      <c r="KE1" s="403"/>
      <c r="KF1" s="403"/>
      <c r="KG1" s="403"/>
      <c r="KH1" s="403"/>
      <c r="KI1" s="403"/>
      <c r="KJ1" s="403"/>
      <c r="KK1" s="403"/>
      <c r="KL1" s="403"/>
      <c r="KM1" s="403"/>
      <c r="KN1" s="403"/>
      <c r="KO1" s="403"/>
      <c r="KP1" s="403"/>
      <c r="KQ1" s="403"/>
      <c r="KR1" s="403"/>
      <c r="KS1" s="403"/>
      <c r="KT1" s="403"/>
      <c r="KU1" s="403"/>
      <c r="KV1" s="403"/>
      <c r="KW1" s="403"/>
      <c r="KX1" s="403"/>
      <c r="KY1" s="403"/>
      <c r="KZ1" s="403"/>
      <c r="LA1" s="403"/>
      <c r="LB1" s="403"/>
      <c r="LC1" s="403"/>
      <c r="LD1" s="403"/>
      <c r="LE1" s="403"/>
      <c r="LF1" s="403"/>
      <c r="LG1" s="403"/>
      <c r="LH1" s="403"/>
      <c r="LI1" s="403"/>
      <c r="LJ1" s="403"/>
      <c r="LK1" s="403"/>
      <c r="LL1" s="403"/>
      <c r="LM1" s="403"/>
      <c r="LN1" s="403"/>
      <c r="LO1" s="403"/>
      <c r="LP1" s="403"/>
      <c r="LQ1" s="403"/>
      <c r="LR1" s="403"/>
      <c r="LS1" s="403"/>
      <c r="LT1" s="403"/>
      <c r="LU1" s="403"/>
      <c r="LV1" s="403"/>
      <c r="LW1" s="403"/>
      <c r="LX1" s="403"/>
      <c r="LY1" s="403"/>
      <c r="LZ1" s="403"/>
      <c r="MA1" s="403"/>
      <c r="MB1" s="403"/>
      <c r="MC1" s="403"/>
      <c r="MD1" s="403"/>
      <c r="ME1" s="403"/>
      <c r="MF1" s="403"/>
      <c r="MG1" s="403"/>
      <c r="MH1" s="403"/>
      <c r="MI1" s="403"/>
      <c r="MJ1" s="403"/>
      <c r="MK1" s="403"/>
      <c r="ML1" s="403"/>
      <c r="MM1" s="403"/>
      <c r="MN1" s="403"/>
      <c r="MO1" s="403"/>
      <c r="MP1" s="403"/>
      <c r="MQ1" s="403"/>
      <c r="MR1" s="403"/>
      <c r="MS1" s="403"/>
      <c r="MT1" s="403"/>
      <c r="MU1" s="403"/>
      <c r="MV1" s="403"/>
      <c r="MW1" s="403"/>
      <c r="MX1" s="403"/>
      <c r="MY1" s="403"/>
      <c r="MZ1" s="403"/>
      <c r="NA1" s="403"/>
      <c r="NB1" s="403"/>
      <c r="NC1" s="403"/>
      <c r="ND1" s="403"/>
      <c r="NE1" s="403"/>
      <c r="NF1" s="403"/>
      <c r="NG1" s="403"/>
      <c r="NH1" s="403"/>
      <c r="NI1" s="403"/>
      <c r="NJ1" s="403"/>
      <c r="NK1" s="403"/>
      <c r="NL1" s="403"/>
      <c r="NM1" s="403"/>
      <c r="NN1" s="403"/>
      <c r="NO1" s="403"/>
      <c r="NP1" s="403"/>
      <c r="NQ1" s="403"/>
      <c r="NR1" s="403"/>
      <c r="NS1" s="403"/>
      <c r="NT1" s="403"/>
      <c r="NU1" s="403"/>
      <c r="NV1" s="403"/>
      <c r="NW1" s="403"/>
      <c r="NX1" s="403"/>
      <c r="NY1" s="403"/>
      <c r="NZ1" s="403"/>
      <c r="OA1" s="403"/>
      <c r="OB1" s="403"/>
      <c r="OC1" s="403"/>
      <c r="OD1" s="403"/>
      <c r="OE1" s="403"/>
      <c r="OF1" s="403"/>
      <c r="OG1" s="403"/>
      <c r="OH1" s="403"/>
      <c r="OI1" s="403"/>
      <c r="OJ1" s="403"/>
      <c r="OK1" s="403"/>
      <c r="OL1" s="403"/>
      <c r="OM1" s="403"/>
      <c r="ON1" s="403"/>
      <c r="OO1" s="403"/>
      <c r="OP1" s="403"/>
      <c r="OQ1" s="403"/>
      <c r="OR1" s="403"/>
      <c r="OS1" s="403"/>
      <c r="OT1" s="403"/>
      <c r="OU1" s="403"/>
      <c r="OV1" s="403"/>
      <c r="OW1" s="403"/>
      <c r="OX1" s="403"/>
      <c r="OY1" s="403"/>
      <c r="OZ1" s="403"/>
      <c r="PA1" s="403"/>
      <c r="PB1" s="403"/>
      <c r="PC1" s="403"/>
      <c r="PD1" s="403"/>
      <c r="PE1" s="403"/>
      <c r="PF1" s="403"/>
      <c r="PG1" s="403"/>
      <c r="PH1" s="403"/>
      <c r="PI1" s="403"/>
      <c r="PJ1" s="403"/>
      <c r="PK1" s="403"/>
      <c r="PL1" s="403"/>
      <c r="PM1" s="403"/>
      <c r="PN1" s="403"/>
      <c r="PO1" s="403"/>
      <c r="PP1" s="403"/>
      <c r="PQ1" s="403"/>
      <c r="PR1" s="403"/>
      <c r="PS1" s="403"/>
      <c r="PT1" s="403"/>
      <c r="PU1" s="403"/>
      <c r="PV1" s="403"/>
      <c r="PW1" s="403"/>
      <c r="PX1" s="403"/>
      <c r="PY1" s="403"/>
      <c r="PZ1" s="403"/>
      <c r="QA1" s="403"/>
      <c r="QB1" s="403"/>
      <c r="QC1" s="403"/>
      <c r="QD1" s="403"/>
      <c r="QE1" s="403"/>
      <c r="QF1" s="403"/>
      <c r="QG1" s="403"/>
      <c r="QH1" s="403"/>
      <c r="QI1" s="403"/>
      <c r="QJ1" s="403"/>
      <c r="QK1" s="403"/>
      <c r="QL1" s="403"/>
      <c r="QM1" s="403"/>
      <c r="QN1" s="403"/>
      <c r="QO1" s="403"/>
      <c r="QP1" s="403"/>
      <c r="QQ1" s="403"/>
      <c r="QR1" s="403"/>
      <c r="QS1" s="403"/>
      <c r="QT1" s="403"/>
      <c r="QU1" s="403"/>
      <c r="QV1" s="403"/>
      <c r="QW1" s="403"/>
      <c r="QX1" s="403"/>
      <c r="QY1" s="403"/>
      <c r="QZ1" s="403"/>
      <c r="RA1" s="403"/>
      <c r="RB1" s="403"/>
      <c r="RC1" s="403"/>
      <c r="RD1" s="403"/>
      <c r="RE1" s="403"/>
      <c r="RF1" s="403"/>
      <c r="RG1" s="403"/>
      <c r="RH1" s="403"/>
      <c r="RI1" s="403"/>
      <c r="RJ1" s="403"/>
      <c r="RK1" s="403"/>
      <c r="RL1" s="403"/>
      <c r="RM1" s="403"/>
      <c r="RN1" s="403"/>
      <c r="RO1" s="403"/>
      <c r="RP1" s="403"/>
      <c r="RQ1" s="403"/>
      <c r="RR1" s="403"/>
      <c r="RS1" s="403"/>
      <c r="RT1" s="403"/>
      <c r="RU1" s="403"/>
      <c r="RV1" s="403"/>
      <c r="RW1" s="403"/>
      <c r="RX1" s="403"/>
      <c r="RY1" s="403"/>
    </row>
    <row r="2" spans="1:493" ht="28.5" customHeight="1">
      <c r="A2" s="8" t="s">
        <v>111</v>
      </c>
      <c r="B2" s="503">
        <v>2012</v>
      </c>
      <c r="C2" s="503"/>
      <c r="D2" s="503"/>
      <c r="E2" s="503"/>
      <c r="F2" s="504"/>
      <c r="G2" s="503">
        <v>2013</v>
      </c>
      <c r="H2" s="503"/>
      <c r="I2" s="503"/>
      <c r="J2" s="503"/>
      <c r="K2" s="504"/>
      <c r="L2" s="502">
        <v>2014</v>
      </c>
      <c r="M2" s="503"/>
      <c r="N2" s="503"/>
      <c r="O2" s="503"/>
      <c r="P2" s="504"/>
      <c r="Q2" s="498">
        <v>2015</v>
      </c>
      <c r="R2" s="499"/>
      <c r="S2" s="499"/>
      <c r="T2" s="499"/>
      <c r="U2" s="500"/>
      <c r="V2" s="498">
        <v>2016</v>
      </c>
      <c r="W2" s="499"/>
    </row>
    <row r="3" spans="1:493" ht="16.5" customHeight="1" thickBot="1">
      <c r="A3" s="9" t="s">
        <v>112</v>
      </c>
      <c r="B3" s="407" t="s">
        <v>113</v>
      </c>
      <c r="C3" s="407" t="s">
        <v>114</v>
      </c>
      <c r="D3" s="407" t="s">
        <v>115</v>
      </c>
      <c r="E3" s="407" t="s">
        <v>116</v>
      </c>
      <c r="F3" s="408">
        <v>2012</v>
      </c>
      <c r="G3" s="409" t="s">
        <v>113</v>
      </c>
      <c r="H3" s="407" t="s">
        <v>114</v>
      </c>
      <c r="I3" s="407" t="s">
        <v>115</v>
      </c>
      <c r="J3" s="407" t="s">
        <v>116</v>
      </c>
      <c r="K3" s="410">
        <v>2013</v>
      </c>
      <c r="L3" s="409" t="s">
        <v>113</v>
      </c>
      <c r="M3" s="407" t="s">
        <v>114</v>
      </c>
      <c r="N3" s="407" t="s">
        <v>115</v>
      </c>
      <c r="O3" s="407" t="s">
        <v>116</v>
      </c>
      <c r="P3" s="408">
        <v>2014</v>
      </c>
      <c r="Q3" s="407" t="s">
        <v>113</v>
      </c>
      <c r="R3" s="407" t="s">
        <v>114</v>
      </c>
      <c r="S3" s="407" t="s">
        <v>115</v>
      </c>
      <c r="T3" s="407" t="s">
        <v>116</v>
      </c>
      <c r="U3" s="408">
        <v>2015</v>
      </c>
      <c r="V3" s="407" t="s">
        <v>210</v>
      </c>
      <c r="W3" s="407" t="s">
        <v>114</v>
      </c>
    </row>
    <row r="4" spans="1:493" ht="34.5" customHeight="1" thickBot="1">
      <c r="A4" s="13" t="s">
        <v>77</v>
      </c>
      <c r="B4" s="411">
        <f>SUM(B5:B8)</f>
        <v>669.2</v>
      </c>
      <c r="C4" s="411">
        <f t="shared" ref="C4:G4" si="0">SUM(C5:C8)</f>
        <v>713.8</v>
      </c>
      <c r="D4" s="411">
        <f t="shared" si="0"/>
        <v>644.5</v>
      </c>
      <c r="E4" s="411">
        <f t="shared" si="0"/>
        <v>750.60000000000014</v>
      </c>
      <c r="F4" s="412">
        <f>SUM(F5:F8)</f>
        <v>2778.0999999999995</v>
      </c>
      <c r="G4" s="413">
        <f t="shared" si="0"/>
        <v>697.1</v>
      </c>
      <c r="H4" s="411">
        <f t="shared" ref="H4" si="1">SUM(H5:H8)</f>
        <v>735.9</v>
      </c>
      <c r="I4" s="411">
        <f t="shared" ref="I4" si="2">SUM(I5:I8)</f>
        <v>677.3</v>
      </c>
      <c r="J4" s="411">
        <f t="shared" ref="J4:M4" si="3">SUM(J5:J8)</f>
        <v>800.5</v>
      </c>
      <c r="K4" s="414">
        <f>SUM(K5:K8)</f>
        <v>2910.8</v>
      </c>
      <c r="L4" s="413">
        <f t="shared" si="3"/>
        <v>723.29999999999984</v>
      </c>
      <c r="M4" s="411">
        <f t="shared" si="3"/>
        <v>1745.9</v>
      </c>
      <c r="N4" s="411">
        <f t="shared" ref="N4" si="4">SUM(N5:N8)</f>
        <v>2419.6</v>
      </c>
      <c r="O4" s="411">
        <f t="shared" ref="O4" si="5">SUM(O5:O8)</f>
        <v>2521.1000000000004</v>
      </c>
      <c r="P4" s="412">
        <f>SUM(P5:P8)</f>
        <v>7409.9</v>
      </c>
      <c r="Q4" s="411">
        <f t="shared" ref="Q4:S4" si="6">SUM(Q5:Q8)</f>
        <v>2329</v>
      </c>
      <c r="R4" s="411">
        <f t="shared" si="6"/>
        <v>2469.1999999999998</v>
      </c>
      <c r="S4" s="411">
        <f t="shared" si="6"/>
        <v>2414.8999999999996</v>
      </c>
      <c r="T4" s="411">
        <f t="shared" ref="T4" si="7">SUM(T5:T8)</f>
        <v>2609.9</v>
      </c>
      <c r="U4" s="412">
        <f>SUM(U5:U8)</f>
        <v>9823</v>
      </c>
      <c r="V4" s="411">
        <f t="shared" ref="V4:W4" si="8">SUM(V5:V8)</f>
        <v>2364</v>
      </c>
      <c r="W4" s="411">
        <f t="shared" si="8"/>
        <v>2442.9</v>
      </c>
    </row>
    <row r="5" spans="1:493" ht="24.75" customHeight="1">
      <c r="A5" s="415" t="s">
        <v>84</v>
      </c>
      <c r="B5" s="416">
        <v>424</v>
      </c>
      <c r="C5" s="416">
        <v>427.1</v>
      </c>
      <c r="D5" s="416">
        <v>434.4</v>
      </c>
      <c r="E5" s="416">
        <v>446.6</v>
      </c>
      <c r="F5" s="417">
        <f>SUM(B5:E5)</f>
        <v>1732.1</v>
      </c>
      <c r="G5" s="418">
        <v>451.7</v>
      </c>
      <c r="H5" s="416">
        <v>452</v>
      </c>
      <c r="I5" s="416">
        <v>460.3</v>
      </c>
      <c r="J5" s="416">
        <v>466.1</v>
      </c>
      <c r="K5" s="419">
        <f>SUM(G5:J5)</f>
        <v>1830.1</v>
      </c>
      <c r="L5" s="418">
        <v>467.79999999999995</v>
      </c>
      <c r="M5" s="416">
        <v>1204.5</v>
      </c>
      <c r="N5" s="416">
        <v>1710.7</v>
      </c>
      <c r="O5" s="416">
        <v>1701.7</v>
      </c>
      <c r="P5" s="417">
        <f>SUM(L5:O5)</f>
        <v>5084.7</v>
      </c>
      <c r="Q5" s="416">
        <v>1637.2</v>
      </c>
      <c r="R5" s="416">
        <v>1652</v>
      </c>
      <c r="S5" s="416">
        <v>1643.3</v>
      </c>
      <c r="T5" s="420">
        <v>1620.6</v>
      </c>
      <c r="U5" s="417">
        <v>6553.1</v>
      </c>
      <c r="V5" s="416">
        <v>1565.7</v>
      </c>
      <c r="W5" s="416">
        <v>1586.9</v>
      </c>
    </row>
    <row r="6" spans="1:493" ht="20.100000000000001" customHeight="1">
      <c r="A6" s="415" t="s">
        <v>85</v>
      </c>
      <c r="B6" s="416">
        <v>234.6</v>
      </c>
      <c r="C6" s="416">
        <v>272.7</v>
      </c>
      <c r="D6" s="416">
        <v>198</v>
      </c>
      <c r="E6" s="416">
        <v>286.3</v>
      </c>
      <c r="F6" s="417">
        <f t="shared" ref="F6:F8" si="9">SUM(B6:E6)</f>
        <v>991.59999999999991</v>
      </c>
      <c r="G6" s="418">
        <v>223.8</v>
      </c>
      <c r="H6" s="416">
        <v>265.2</v>
      </c>
      <c r="I6" s="416">
        <v>204</v>
      </c>
      <c r="J6" s="416">
        <v>317.2</v>
      </c>
      <c r="K6" s="419">
        <f t="shared" ref="K6:K8" si="10">SUM(G6:J6)</f>
        <v>1010.2</v>
      </c>
      <c r="L6" s="418">
        <v>242.19999999999993</v>
      </c>
      <c r="M6" s="416">
        <v>479.1</v>
      </c>
      <c r="N6" s="416">
        <v>591.6</v>
      </c>
      <c r="O6" s="416">
        <v>641.1</v>
      </c>
      <c r="P6" s="417">
        <f t="shared" ref="P6:P8" si="11">SUM(L6:O6)</f>
        <v>1954</v>
      </c>
      <c r="Q6" s="416">
        <v>553.29999999999995</v>
      </c>
      <c r="R6" s="416">
        <v>688.7</v>
      </c>
      <c r="S6" s="416">
        <v>616.9</v>
      </c>
      <c r="T6" s="421">
        <v>738</v>
      </c>
      <c r="U6" s="417">
        <v>2596.9</v>
      </c>
      <c r="V6" s="416">
        <v>599.79999999999995</v>
      </c>
      <c r="W6" s="416">
        <v>645</v>
      </c>
    </row>
    <row r="7" spans="1:493" ht="20.100000000000001" customHeight="1">
      <c r="A7" s="415" t="s">
        <v>86</v>
      </c>
      <c r="B7" s="416">
        <v>2.7</v>
      </c>
      <c r="C7" s="416">
        <v>6.2</v>
      </c>
      <c r="D7" s="416">
        <v>2.6</v>
      </c>
      <c r="E7" s="416">
        <v>7.2</v>
      </c>
      <c r="F7" s="417">
        <f t="shared" si="9"/>
        <v>18.7</v>
      </c>
      <c r="G7" s="418">
        <v>13.1</v>
      </c>
      <c r="H7" s="416">
        <v>11.8</v>
      </c>
      <c r="I7" s="416">
        <v>7.1</v>
      </c>
      <c r="J7" s="416">
        <v>9.6999999999999993</v>
      </c>
      <c r="K7" s="419">
        <f t="shared" si="10"/>
        <v>41.7</v>
      </c>
      <c r="L7" s="418">
        <v>7.8999999999999986</v>
      </c>
      <c r="M7" s="416">
        <v>55.4</v>
      </c>
      <c r="N7" s="416">
        <v>104.1</v>
      </c>
      <c r="O7" s="416">
        <v>159.9</v>
      </c>
      <c r="P7" s="417">
        <f t="shared" si="11"/>
        <v>327.29999999999995</v>
      </c>
      <c r="Q7" s="416">
        <v>118.4</v>
      </c>
      <c r="R7" s="416">
        <v>106.9</v>
      </c>
      <c r="S7" s="416">
        <v>131.19999999999999</v>
      </c>
      <c r="T7" s="421">
        <v>226.89999999999998</v>
      </c>
      <c r="U7" s="417">
        <v>583.4</v>
      </c>
      <c r="V7" s="416">
        <v>172.8</v>
      </c>
      <c r="W7" s="416">
        <v>191.1</v>
      </c>
    </row>
    <row r="8" spans="1:493" ht="20.100000000000001" customHeight="1" thickBot="1">
      <c r="A8" s="415" t="s">
        <v>87</v>
      </c>
      <c r="B8" s="416">
        <v>7.9</v>
      </c>
      <c r="C8" s="416">
        <v>7.8</v>
      </c>
      <c r="D8" s="416">
        <v>9.5</v>
      </c>
      <c r="E8" s="416">
        <v>10.5</v>
      </c>
      <c r="F8" s="417">
        <f t="shared" si="9"/>
        <v>35.700000000000003</v>
      </c>
      <c r="G8" s="418">
        <v>8.5</v>
      </c>
      <c r="H8" s="416">
        <v>6.9</v>
      </c>
      <c r="I8" s="416">
        <v>5.9</v>
      </c>
      <c r="J8" s="416">
        <v>7.5</v>
      </c>
      <c r="K8" s="419">
        <f t="shared" si="10"/>
        <v>28.8</v>
      </c>
      <c r="L8" s="418">
        <v>5.4</v>
      </c>
      <c r="M8" s="416">
        <v>6.9</v>
      </c>
      <c r="N8" s="416">
        <v>13.2</v>
      </c>
      <c r="O8" s="416">
        <v>18.399999999999999</v>
      </c>
      <c r="P8" s="417">
        <f t="shared" si="11"/>
        <v>43.9</v>
      </c>
      <c r="Q8" s="416">
        <v>20.100000000000001</v>
      </c>
      <c r="R8" s="416">
        <v>21.6</v>
      </c>
      <c r="S8" s="416">
        <v>23.5</v>
      </c>
      <c r="T8" s="421">
        <v>24.399999999999991</v>
      </c>
      <c r="U8" s="417">
        <v>89.6</v>
      </c>
      <c r="V8" s="416">
        <v>25.7</v>
      </c>
      <c r="W8" s="416">
        <v>19.899999999999999</v>
      </c>
    </row>
    <row r="9" spans="1:493" s="427" customFormat="1" ht="20.100000000000001" customHeight="1" thickBot="1">
      <c r="A9" s="13" t="s">
        <v>76</v>
      </c>
      <c r="B9" s="422">
        <f t="shared" ref="B9:N9" si="12">SUM(B10:B17)</f>
        <v>-464.5</v>
      </c>
      <c r="C9" s="422">
        <f t="shared" si="12"/>
        <v>-499.7</v>
      </c>
      <c r="D9" s="422">
        <f t="shared" si="12"/>
        <v>-444.9</v>
      </c>
      <c r="E9" s="422">
        <f t="shared" si="12"/>
        <v>-562.4</v>
      </c>
      <c r="F9" s="423">
        <f t="shared" si="12"/>
        <v>-1971.5000000000002</v>
      </c>
      <c r="G9" s="424">
        <f t="shared" si="12"/>
        <v>-512.92000000000007</v>
      </c>
      <c r="H9" s="422">
        <f t="shared" si="12"/>
        <v>-542.4</v>
      </c>
      <c r="I9" s="422">
        <f t="shared" si="12"/>
        <v>-510.7</v>
      </c>
      <c r="J9" s="422">
        <f t="shared" si="12"/>
        <v>-591.70000000000016</v>
      </c>
      <c r="K9" s="425">
        <f t="shared" si="12"/>
        <v>-2157.7200000000003</v>
      </c>
      <c r="L9" s="424">
        <f t="shared" si="12"/>
        <v>-507.49999999999994</v>
      </c>
      <c r="M9" s="422">
        <f t="shared" si="12"/>
        <v>-1351.8</v>
      </c>
      <c r="N9" s="422">
        <f t="shared" si="12"/>
        <v>-1992.5</v>
      </c>
      <c r="O9" s="422">
        <f t="shared" ref="O9" si="13">SUM(O10:O17)</f>
        <v>-2125.4</v>
      </c>
      <c r="P9" s="423">
        <f t="shared" ref="P9:U9" si="14">SUM(P10:P17)</f>
        <v>-5977.1</v>
      </c>
      <c r="Q9" s="422">
        <f t="shared" si="14"/>
        <v>-1908.9999999999998</v>
      </c>
      <c r="R9" s="422">
        <f t="shared" si="14"/>
        <v>-1899.4999999999998</v>
      </c>
      <c r="S9" s="422">
        <f t="shared" si="14"/>
        <v>-1900.1</v>
      </c>
      <c r="T9" s="422">
        <f t="shared" ref="T9" si="15">SUM(T10:T17)</f>
        <v>-2159.2999999999997</v>
      </c>
      <c r="U9" s="423">
        <f t="shared" si="14"/>
        <v>-7867.9000000000005</v>
      </c>
      <c r="V9" s="422">
        <f t="shared" ref="V9:W9" si="16">SUM(V10:V17)</f>
        <v>-1948</v>
      </c>
      <c r="W9" s="422">
        <f t="shared" si="16"/>
        <v>-2041.9999999999998</v>
      </c>
      <c r="X9" s="426"/>
      <c r="Y9" s="426"/>
      <c r="Z9" s="426"/>
      <c r="AA9" s="426"/>
      <c r="AB9" s="426"/>
    </row>
    <row r="10" spans="1:493" ht="20.100000000000001" customHeight="1">
      <c r="A10" s="415" t="s">
        <v>88</v>
      </c>
      <c r="B10" s="428">
        <v>-206.8</v>
      </c>
      <c r="C10" s="428">
        <v>-226.6</v>
      </c>
      <c r="D10" s="428">
        <v>-171.5</v>
      </c>
      <c r="E10" s="428">
        <v>-219</v>
      </c>
      <c r="F10" s="429">
        <f>SUM(B10:E10)</f>
        <v>-823.9</v>
      </c>
      <c r="G10" s="430">
        <v>-207.5</v>
      </c>
      <c r="H10" s="428">
        <v>-239.5</v>
      </c>
      <c r="I10" s="428">
        <v>-219.3</v>
      </c>
      <c r="J10" s="428">
        <v>-260.7</v>
      </c>
      <c r="K10" s="431">
        <f>SUM(G10:J10)</f>
        <v>-927</v>
      </c>
      <c r="L10" s="430">
        <v>-210.7</v>
      </c>
      <c r="M10" s="428">
        <v>-260.89999999999998</v>
      </c>
      <c r="N10" s="428">
        <v>-262.39999999999998</v>
      </c>
      <c r="O10" s="428">
        <v>-295.60000000000002</v>
      </c>
      <c r="P10" s="429">
        <v>-1029.5</v>
      </c>
      <c r="Q10" s="428">
        <v>-235.5</v>
      </c>
      <c r="R10" s="428">
        <v>-274</v>
      </c>
      <c r="S10" s="428">
        <v>-257.3</v>
      </c>
      <c r="T10" s="421">
        <v>-299.10000000000014</v>
      </c>
      <c r="U10" s="429">
        <v>-1065.9000000000001</v>
      </c>
      <c r="V10" s="428">
        <v>-248.5</v>
      </c>
      <c r="W10" s="428">
        <v>-316.3</v>
      </c>
    </row>
    <row r="11" spans="1:493" ht="18.75" customHeight="1">
      <c r="A11" s="415" t="s">
        <v>89</v>
      </c>
      <c r="B11" s="428">
        <v>-71.5</v>
      </c>
      <c r="C11" s="428">
        <v>-71.8</v>
      </c>
      <c r="D11" s="428">
        <v>-73.7</v>
      </c>
      <c r="E11" s="428">
        <v>-95.7</v>
      </c>
      <c r="F11" s="429">
        <f t="shared" ref="F11:F18" si="17">SUM(B11:E11)</f>
        <v>-312.7</v>
      </c>
      <c r="G11" s="430">
        <v>-79</v>
      </c>
      <c r="H11" s="428">
        <v>-81.3</v>
      </c>
      <c r="I11" s="428">
        <v>-79.3</v>
      </c>
      <c r="J11" s="428">
        <v>-92.4</v>
      </c>
      <c r="K11" s="431">
        <f t="shared" ref="K11:K18" si="18">SUM(G11:J11)</f>
        <v>-332</v>
      </c>
      <c r="L11" s="430">
        <v>-75.3</v>
      </c>
      <c r="M11" s="428">
        <v>-132.19999999999999</v>
      </c>
      <c r="N11" s="428">
        <v>-186.8</v>
      </c>
      <c r="O11" s="428">
        <v>-218.3</v>
      </c>
      <c r="P11" s="429">
        <f t="shared" ref="P11:P18" si="19">SUM(L11:O11)</f>
        <v>-612.6</v>
      </c>
      <c r="Q11" s="428">
        <v>-189.2</v>
      </c>
      <c r="R11" s="428">
        <v>-193.2</v>
      </c>
      <c r="S11" s="428">
        <v>-200.1</v>
      </c>
      <c r="T11" s="421">
        <v>-220.1</v>
      </c>
      <c r="U11" s="429">
        <v>-802.6</v>
      </c>
      <c r="V11" s="428">
        <v>-200.5</v>
      </c>
      <c r="W11" s="428">
        <v>-202.2</v>
      </c>
    </row>
    <row r="12" spans="1:493" ht="12.75">
      <c r="A12" s="415" t="s">
        <v>82</v>
      </c>
      <c r="B12" s="428">
        <v>-54.4</v>
      </c>
      <c r="C12" s="428">
        <v>-56.7</v>
      </c>
      <c r="D12" s="428">
        <v>-60.2</v>
      </c>
      <c r="E12" s="428">
        <v>-71.7</v>
      </c>
      <c r="F12" s="429">
        <f t="shared" si="17"/>
        <v>-243</v>
      </c>
      <c r="G12" s="430">
        <v>-60.7</v>
      </c>
      <c r="H12" s="428">
        <v>-62.3</v>
      </c>
      <c r="I12" s="428">
        <v>-64.8</v>
      </c>
      <c r="J12" s="428">
        <v>-68.599999999999994</v>
      </c>
      <c r="K12" s="431">
        <f t="shared" si="18"/>
        <v>-256.39999999999998</v>
      </c>
      <c r="L12" s="430">
        <v>-62.4</v>
      </c>
      <c r="M12" s="428">
        <v>-311.3</v>
      </c>
      <c r="N12" s="428">
        <v>-478.3</v>
      </c>
      <c r="O12" s="428">
        <v>-443.8</v>
      </c>
      <c r="P12" s="429">
        <f t="shared" si="19"/>
        <v>-1295.8</v>
      </c>
      <c r="Q12" s="428">
        <v>-467.9</v>
      </c>
      <c r="R12" s="428">
        <v>-393.5</v>
      </c>
      <c r="S12" s="428">
        <v>-401.2</v>
      </c>
      <c r="T12" s="421">
        <v>-436.70000000000005</v>
      </c>
      <c r="U12" s="429">
        <v>-1699.3</v>
      </c>
      <c r="V12" s="428">
        <v>-423.7</v>
      </c>
      <c r="W12" s="428">
        <v>-527.5</v>
      </c>
    </row>
    <row r="13" spans="1:493" ht="20.100000000000001" customHeight="1">
      <c r="A13" s="415" t="s">
        <v>90</v>
      </c>
      <c r="B13" s="428">
        <v>-49.7</v>
      </c>
      <c r="C13" s="428">
        <v>-55.1</v>
      </c>
      <c r="D13" s="428">
        <v>-58.6</v>
      </c>
      <c r="E13" s="428">
        <v>-59.3</v>
      </c>
      <c r="F13" s="429">
        <f t="shared" si="17"/>
        <v>-222.7</v>
      </c>
      <c r="G13" s="430">
        <v>-60.7</v>
      </c>
      <c r="H13" s="428">
        <v>-62</v>
      </c>
      <c r="I13" s="428">
        <v>-62.2</v>
      </c>
      <c r="J13" s="428">
        <v>-71.400000000000006</v>
      </c>
      <c r="K13" s="431">
        <f t="shared" si="18"/>
        <v>-256.3</v>
      </c>
      <c r="L13" s="430">
        <v>-71.400000000000006</v>
      </c>
      <c r="M13" s="428">
        <v>-288</v>
      </c>
      <c r="N13" s="428">
        <v>-495.9</v>
      </c>
      <c r="O13" s="428">
        <v>-557.20000000000005</v>
      </c>
      <c r="P13" s="429">
        <f t="shared" si="19"/>
        <v>-1412.5</v>
      </c>
      <c r="Q13" s="428">
        <v>-482.3</v>
      </c>
      <c r="R13" s="428">
        <v>-522.4</v>
      </c>
      <c r="S13" s="428">
        <v>-551.20000000000005</v>
      </c>
      <c r="T13" s="421">
        <v>-585.09999999999991</v>
      </c>
      <c r="U13" s="429">
        <v>-2141</v>
      </c>
      <c r="V13" s="428">
        <v>-550.29999999999995</v>
      </c>
      <c r="W13" s="428">
        <v>-456.6</v>
      </c>
    </row>
    <row r="14" spans="1:493" ht="20.100000000000001" customHeight="1">
      <c r="A14" s="415" t="s">
        <v>1</v>
      </c>
      <c r="B14" s="428">
        <v>-40.6</v>
      </c>
      <c r="C14" s="428">
        <v>-40.299999999999997</v>
      </c>
      <c r="D14" s="428">
        <v>-38.9</v>
      </c>
      <c r="E14" s="428">
        <v>-58.6</v>
      </c>
      <c r="F14" s="429">
        <f t="shared" si="17"/>
        <v>-178.4</v>
      </c>
      <c r="G14" s="430">
        <v>-43.1</v>
      </c>
      <c r="H14" s="428">
        <v>-41.9</v>
      </c>
      <c r="I14" s="428">
        <v>-40.4</v>
      </c>
      <c r="J14" s="428">
        <v>-53.2</v>
      </c>
      <c r="K14" s="431">
        <f t="shared" si="18"/>
        <v>-178.60000000000002</v>
      </c>
      <c r="L14" s="430">
        <v>-44.7</v>
      </c>
      <c r="M14" s="428">
        <v>-108.2</v>
      </c>
      <c r="N14" s="428">
        <v>-118</v>
      </c>
      <c r="O14" s="428">
        <v>-150.9</v>
      </c>
      <c r="P14" s="429">
        <f t="shared" si="19"/>
        <v>-421.79999999999995</v>
      </c>
      <c r="Q14" s="428">
        <v>-129.1</v>
      </c>
      <c r="R14" s="428">
        <v>-140.80000000000001</v>
      </c>
      <c r="S14" s="428">
        <v>-122.3</v>
      </c>
      <c r="T14" s="421">
        <v>-158.00000000000006</v>
      </c>
      <c r="U14" s="429">
        <v>-550.20000000000005</v>
      </c>
      <c r="V14" s="428">
        <v>-137.9</v>
      </c>
      <c r="W14" s="428">
        <v>-138.19999999999999</v>
      </c>
    </row>
    <row r="15" spans="1:493" ht="18.75" customHeight="1">
      <c r="A15" s="415" t="s">
        <v>91</v>
      </c>
      <c r="B15" s="428">
        <v>-5.5</v>
      </c>
      <c r="C15" s="428">
        <v>-7.6</v>
      </c>
      <c r="D15" s="428">
        <v>-7</v>
      </c>
      <c r="E15" s="428">
        <v>-16.100000000000001</v>
      </c>
      <c r="F15" s="429">
        <f t="shared" si="17"/>
        <v>-36.200000000000003</v>
      </c>
      <c r="G15" s="430">
        <v>-25.8</v>
      </c>
      <c r="H15" s="428">
        <v>-16.8</v>
      </c>
      <c r="I15" s="428">
        <v>-10.7</v>
      </c>
      <c r="J15" s="428">
        <v>-10.6</v>
      </c>
      <c r="K15" s="431">
        <f t="shared" si="18"/>
        <v>-63.9</v>
      </c>
      <c r="L15" s="430">
        <v>-10.300000000000011</v>
      </c>
      <c r="M15" s="428">
        <v>-189.7</v>
      </c>
      <c r="N15" s="428">
        <v>-348.6</v>
      </c>
      <c r="O15" s="428">
        <v>-376.6</v>
      </c>
      <c r="P15" s="429">
        <f t="shared" si="19"/>
        <v>-925.2</v>
      </c>
      <c r="Q15" s="428">
        <v>-332.5</v>
      </c>
      <c r="R15" s="428">
        <v>-291.7</v>
      </c>
      <c r="S15" s="428">
        <v>-314.89999999999998</v>
      </c>
      <c r="T15" s="421">
        <v>-393.59999999999991</v>
      </c>
      <c r="U15" s="429">
        <v>-1332.8</v>
      </c>
      <c r="V15" s="428">
        <v>-326.8</v>
      </c>
      <c r="W15" s="428">
        <v>-317.3</v>
      </c>
    </row>
    <row r="16" spans="1:493" ht="24.75" customHeight="1">
      <c r="A16" s="415" t="s">
        <v>92</v>
      </c>
      <c r="B16" s="428">
        <v>-5.9</v>
      </c>
      <c r="C16" s="428">
        <v>-8.4</v>
      </c>
      <c r="D16" s="428">
        <v>-5.3</v>
      </c>
      <c r="E16" s="428">
        <v>-7.8</v>
      </c>
      <c r="F16" s="429">
        <f t="shared" si="17"/>
        <v>-27.400000000000002</v>
      </c>
      <c r="G16" s="430">
        <v>-6.42</v>
      </c>
      <c r="H16" s="428">
        <v>-9.3000000000000007</v>
      </c>
      <c r="I16" s="428">
        <v>-5.3</v>
      </c>
      <c r="J16" s="428">
        <v>-7.2</v>
      </c>
      <c r="K16" s="431">
        <f t="shared" si="18"/>
        <v>-28.22</v>
      </c>
      <c r="L16" s="430">
        <v>-6.6999999999999993</v>
      </c>
      <c r="M16" s="428">
        <v>-18.100000000000001</v>
      </c>
      <c r="N16" s="428">
        <v>-15.3</v>
      </c>
      <c r="O16" s="428">
        <v>-27.5</v>
      </c>
      <c r="P16" s="429">
        <f t="shared" si="19"/>
        <v>-67.599999999999994</v>
      </c>
      <c r="Q16" s="428">
        <v>-18.7</v>
      </c>
      <c r="R16" s="428">
        <v>-27.8</v>
      </c>
      <c r="S16" s="428">
        <v>-8.5</v>
      </c>
      <c r="T16" s="421">
        <v>-7.6000000000000014</v>
      </c>
      <c r="U16" s="429">
        <v>-62.6</v>
      </c>
      <c r="V16" s="428">
        <v>-9.6</v>
      </c>
      <c r="W16" s="428">
        <v>-16.3</v>
      </c>
    </row>
    <row r="17" spans="1:28" ht="18.75" customHeight="1">
      <c r="A17" s="415" t="s">
        <v>93</v>
      </c>
      <c r="B17" s="428">
        <v>-30.1</v>
      </c>
      <c r="C17" s="428">
        <v>-33.200000000000003</v>
      </c>
      <c r="D17" s="428">
        <v>-29.7</v>
      </c>
      <c r="E17" s="428">
        <v>-34.200000000000003</v>
      </c>
      <c r="F17" s="429">
        <f t="shared" si="17"/>
        <v>-127.2</v>
      </c>
      <c r="G17" s="430">
        <v>-29.7</v>
      </c>
      <c r="H17" s="428">
        <v>-29.3</v>
      </c>
      <c r="I17" s="428">
        <v>-28.7</v>
      </c>
      <c r="J17" s="428">
        <v>-27.6</v>
      </c>
      <c r="K17" s="431">
        <f t="shared" si="18"/>
        <v>-115.30000000000001</v>
      </c>
      <c r="L17" s="430">
        <v>-26.000000000000007</v>
      </c>
      <c r="M17" s="428">
        <v>-43.4</v>
      </c>
      <c r="N17" s="428">
        <v>-87.2</v>
      </c>
      <c r="O17" s="428">
        <v>-55.5</v>
      </c>
      <c r="P17" s="429">
        <f t="shared" si="19"/>
        <v>-212.10000000000002</v>
      </c>
      <c r="Q17" s="428">
        <v>-53.8</v>
      </c>
      <c r="R17" s="428">
        <v>-56.1</v>
      </c>
      <c r="S17" s="428">
        <v>-44.6</v>
      </c>
      <c r="T17" s="421">
        <v>-59.099999999999994</v>
      </c>
      <c r="U17" s="429">
        <v>-213.5</v>
      </c>
      <c r="V17" s="428">
        <v>-50.7</v>
      </c>
      <c r="W17" s="428">
        <v>-67.599999999999994</v>
      </c>
    </row>
    <row r="18" spans="1:28" s="437" customFormat="1" ht="20.100000000000001" customHeight="1" thickBot="1">
      <c r="A18" s="432" t="s">
        <v>94</v>
      </c>
      <c r="B18" s="433">
        <v>-1.7</v>
      </c>
      <c r="C18" s="433">
        <v>-1.1000000000000001</v>
      </c>
      <c r="D18" s="433">
        <v>-2</v>
      </c>
      <c r="E18" s="433">
        <v>-12.7</v>
      </c>
      <c r="F18" s="434">
        <f t="shared" si="17"/>
        <v>-17.5</v>
      </c>
      <c r="G18" s="435">
        <v>0.5</v>
      </c>
      <c r="H18" s="433">
        <v>1.5</v>
      </c>
      <c r="I18" s="433">
        <v>36.799999999999997</v>
      </c>
      <c r="J18" s="433">
        <v>-2</v>
      </c>
      <c r="K18" s="436">
        <f t="shared" si="18"/>
        <v>36.799999999999997</v>
      </c>
      <c r="L18" s="435">
        <v>3.6</v>
      </c>
      <c r="M18" s="433">
        <v>3.5</v>
      </c>
      <c r="N18" s="433">
        <v>4.7</v>
      </c>
      <c r="O18" s="433">
        <v>-2.2000000000000002</v>
      </c>
      <c r="P18" s="434">
        <f t="shared" si="19"/>
        <v>9.6000000000000014</v>
      </c>
      <c r="Q18" s="433">
        <v>8.6999999999999993</v>
      </c>
      <c r="R18" s="433">
        <v>13.8</v>
      </c>
      <c r="S18" s="433">
        <v>14.4</v>
      </c>
      <c r="T18" s="433">
        <v>-6.2</v>
      </c>
      <c r="U18" s="434">
        <v>30.7</v>
      </c>
      <c r="V18" s="433">
        <v>6.8</v>
      </c>
      <c r="W18" s="433">
        <v>6.6</v>
      </c>
      <c r="X18" s="426"/>
      <c r="Y18" s="426"/>
      <c r="Z18" s="426"/>
      <c r="AA18" s="426"/>
      <c r="AB18" s="426"/>
    </row>
    <row r="19" spans="1:28" s="427" customFormat="1" ht="20.100000000000001" customHeight="1" thickBot="1">
      <c r="A19" s="13" t="s">
        <v>52</v>
      </c>
      <c r="B19" s="422">
        <f t="shared" ref="B19:N19" si="20">B4+B9+B18</f>
        <v>203.00000000000006</v>
      </c>
      <c r="C19" s="422">
        <f t="shared" si="20"/>
        <v>212.99999999999997</v>
      </c>
      <c r="D19" s="422">
        <f t="shared" si="20"/>
        <v>197.60000000000002</v>
      </c>
      <c r="E19" s="422">
        <f t="shared" si="20"/>
        <v>175.50000000000017</v>
      </c>
      <c r="F19" s="438">
        <f t="shared" si="20"/>
        <v>789.09999999999923</v>
      </c>
      <c r="G19" s="413">
        <f t="shared" si="20"/>
        <v>184.67999999999995</v>
      </c>
      <c r="H19" s="411">
        <f t="shared" si="20"/>
        <v>195</v>
      </c>
      <c r="I19" s="411">
        <f t="shared" si="20"/>
        <v>203.39999999999998</v>
      </c>
      <c r="J19" s="411">
        <f t="shared" si="20"/>
        <v>206.79999999999984</v>
      </c>
      <c r="K19" s="439">
        <f t="shared" si="20"/>
        <v>789.87999999999988</v>
      </c>
      <c r="L19" s="413">
        <f t="shared" si="20"/>
        <v>219.39999999999989</v>
      </c>
      <c r="M19" s="411">
        <f t="shared" si="20"/>
        <v>397.60000000000014</v>
      </c>
      <c r="N19" s="411">
        <f t="shared" si="20"/>
        <v>431.7999999999999</v>
      </c>
      <c r="O19" s="411">
        <f t="shared" ref="O19" si="21">O4+O9+O18</f>
        <v>393.50000000000028</v>
      </c>
      <c r="P19" s="438">
        <f t="shared" ref="P19:U19" si="22">P4+P9+P18</f>
        <v>1442.3999999999992</v>
      </c>
      <c r="Q19" s="411">
        <f t="shared" si="22"/>
        <v>428.70000000000022</v>
      </c>
      <c r="R19" s="411">
        <f t="shared" si="22"/>
        <v>583.5</v>
      </c>
      <c r="S19" s="411">
        <f t="shared" si="22"/>
        <v>529.1999999999997</v>
      </c>
      <c r="T19" s="411">
        <f t="shared" ref="T19" si="23">T4+T9+T18</f>
        <v>444.40000000000038</v>
      </c>
      <c r="U19" s="438">
        <f t="shared" si="22"/>
        <v>1985.7999999999995</v>
      </c>
      <c r="V19" s="411">
        <f t="shared" ref="V19:W19" si="24">V4+V9+V18</f>
        <v>422.8</v>
      </c>
      <c r="W19" s="411">
        <f t="shared" si="24"/>
        <v>407.50000000000034</v>
      </c>
      <c r="X19" s="426"/>
      <c r="Y19" s="426"/>
      <c r="Z19" s="426"/>
      <c r="AA19" s="426"/>
      <c r="AB19" s="426"/>
    </row>
    <row r="20" spans="1:28" ht="20.100000000000001" customHeight="1">
      <c r="A20" s="415" t="s">
        <v>211</v>
      </c>
      <c r="B20" s="428">
        <v>12.5</v>
      </c>
      <c r="C20" s="428">
        <v>-8.5</v>
      </c>
      <c r="D20" s="428">
        <v>5.3</v>
      </c>
      <c r="E20" s="428">
        <v>5</v>
      </c>
      <c r="F20" s="429">
        <f>SUM(B20:E20)</f>
        <v>14.3</v>
      </c>
      <c r="G20" s="430">
        <v>3.9</v>
      </c>
      <c r="H20" s="428">
        <v>0.7</v>
      </c>
      <c r="I20" s="428">
        <v>7.4</v>
      </c>
      <c r="J20" s="428">
        <v>4.0999999999999996</v>
      </c>
      <c r="K20" s="431">
        <f>SUM(G20:J20)</f>
        <v>16.100000000000001</v>
      </c>
      <c r="L20" s="430">
        <v>1.3</v>
      </c>
      <c r="M20" s="428">
        <v>23.9</v>
      </c>
      <c r="N20" s="428">
        <v>1.5</v>
      </c>
      <c r="O20" s="428">
        <v>-11.4</v>
      </c>
      <c r="P20" s="429">
        <v>15.2</v>
      </c>
      <c r="Q20" s="428">
        <v>28.9</v>
      </c>
      <c r="R20" s="428">
        <v>-11.9</v>
      </c>
      <c r="S20" s="428">
        <v>-5.2</v>
      </c>
      <c r="T20" s="421">
        <v>-3.2</v>
      </c>
      <c r="U20" s="429">
        <v>8.6</v>
      </c>
      <c r="V20" s="428">
        <v>-35.200000000000003</v>
      </c>
      <c r="W20" s="428">
        <v>-21.4</v>
      </c>
    </row>
    <row r="21" spans="1:28" ht="20.100000000000001" customHeight="1">
      <c r="A21" s="415" t="s">
        <v>95</v>
      </c>
      <c r="B21" s="428">
        <v>30.1</v>
      </c>
      <c r="C21" s="428">
        <v>-92.4</v>
      </c>
      <c r="D21" s="428">
        <v>-5.2</v>
      </c>
      <c r="E21" s="428">
        <v>-43.1</v>
      </c>
      <c r="F21" s="429">
        <f t="shared" ref="F21:F22" si="25">SUM(B21:E21)</f>
        <v>-110.6</v>
      </c>
      <c r="G21" s="430">
        <v>-80.099999999999994</v>
      </c>
      <c r="H21" s="428">
        <v>-102.4</v>
      </c>
      <c r="I21" s="428">
        <v>-10.7</v>
      </c>
      <c r="J21" s="428">
        <v>-22.8</v>
      </c>
      <c r="K21" s="431">
        <f t="shared" ref="K21:K22" si="26">SUM(G21:J21)</f>
        <v>-216</v>
      </c>
      <c r="L21" s="430">
        <v>-108.8</v>
      </c>
      <c r="M21" s="428">
        <v>-273.39999999999998</v>
      </c>
      <c r="N21" s="428">
        <v>-384.7</v>
      </c>
      <c r="O21" s="428">
        <v>-379.2</v>
      </c>
      <c r="P21" s="429">
        <v>-1146</v>
      </c>
      <c r="Q21" s="428">
        <v>-261.3</v>
      </c>
      <c r="R21" s="428">
        <v>-222.1</v>
      </c>
      <c r="S21" s="428">
        <v>88.8</v>
      </c>
      <c r="T21" s="421">
        <v>-270</v>
      </c>
      <c r="U21" s="429">
        <v>-664.59999999999991</v>
      </c>
      <c r="V21" s="428">
        <v>-182.7</v>
      </c>
      <c r="W21" s="428">
        <v>-133.19999999999999</v>
      </c>
    </row>
    <row r="22" spans="1:28" ht="26.25" customHeight="1" thickBot="1">
      <c r="A22" s="415" t="s">
        <v>219</v>
      </c>
      <c r="B22" s="428">
        <v>0.7</v>
      </c>
      <c r="C22" s="428">
        <v>0.8</v>
      </c>
      <c r="D22" s="428">
        <v>0.5</v>
      </c>
      <c r="E22" s="428">
        <v>0.8</v>
      </c>
      <c r="F22" s="429">
        <f t="shared" si="25"/>
        <v>2.8</v>
      </c>
      <c r="G22" s="430">
        <v>0.8</v>
      </c>
      <c r="H22" s="428">
        <v>0.8</v>
      </c>
      <c r="I22" s="428">
        <v>0.7</v>
      </c>
      <c r="J22" s="428">
        <v>0.6</v>
      </c>
      <c r="K22" s="431">
        <f t="shared" si="26"/>
        <v>2.9</v>
      </c>
      <c r="L22" s="430">
        <v>0.7</v>
      </c>
      <c r="M22" s="428">
        <v>0.7</v>
      </c>
      <c r="N22" s="428">
        <v>0.6</v>
      </c>
      <c r="O22" s="428">
        <v>0.6</v>
      </c>
      <c r="P22" s="429">
        <f t="shared" ref="P22" si="27">SUM(L22:O22)</f>
        <v>2.6</v>
      </c>
      <c r="Q22" s="428">
        <v>0.5</v>
      </c>
      <c r="R22" s="428">
        <v>0.9</v>
      </c>
      <c r="S22" s="428">
        <v>0.5</v>
      </c>
      <c r="T22" s="421">
        <v>0.70000000000000018</v>
      </c>
      <c r="U22" s="429">
        <v>2.6</v>
      </c>
      <c r="V22" s="428">
        <v>0.8</v>
      </c>
      <c r="W22" s="428">
        <v>-0.8</v>
      </c>
    </row>
    <row r="23" spans="1:28" s="427" customFormat="1" ht="20.100000000000001" customHeight="1" thickBot="1">
      <c r="A23" s="13" t="s">
        <v>75</v>
      </c>
      <c r="B23" s="411">
        <f>B19+B20+B21+B22</f>
        <v>246.30000000000004</v>
      </c>
      <c r="C23" s="411">
        <f t="shared" ref="C23:M23" si="28">C19+C20+C21+C22</f>
        <v>112.89999999999996</v>
      </c>
      <c r="D23" s="411">
        <f t="shared" si="28"/>
        <v>198.20000000000005</v>
      </c>
      <c r="E23" s="411">
        <f t="shared" si="28"/>
        <v>138.20000000000019</v>
      </c>
      <c r="F23" s="438">
        <f t="shared" si="28"/>
        <v>695.59999999999911</v>
      </c>
      <c r="G23" s="413">
        <f t="shared" si="28"/>
        <v>109.27999999999996</v>
      </c>
      <c r="H23" s="411">
        <f t="shared" si="28"/>
        <v>94.09999999999998</v>
      </c>
      <c r="I23" s="411">
        <f t="shared" si="28"/>
        <v>200.79999999999998</v>
      </c>
      <c r="J23" s="411">
        <f t="shared" si="28"/>
        <v>188.69999999999982</v>
      </c>
      <c r="K23" s="439">
        <f t="shared" si="28"/>
        <v>592.87999999999988</v>
      </c>
      <c r="L23" s="413">
        <f t="shared" si="28"/>
        <v>112.59999999999991</v>
      </c>
      <c r="M23" s="411">
        <f t="shared" si="28"/>
        <v>148.80000000000013</v>
      </c>
      <c r="N23" s="411">
        <f t="shared" ref="N23" si="29">N19+N20+N21+N22</f>
        <v>49.19999999999991</v>
      </c>
      <c r="O23" s="411">
        <f t="shared" ref="O23" si="30">O19+O20+O21+O22</f>
        <v>3.5000000000003184</v>
      </c>
      <c r="P23" s="438">
        <f t="shared" ref="P23:U23" si="31">P19+P20+P21+P22</f>
        <v>314.19999999999925</v>
      </c>
      <c r="Q23" s="411">
        <f t="shared" si="31"/>
        <v>196.80000000000018</v>
      </c>
      <c r="R23" s="411">
        <f t="shared" si="31"/>
        <v>350.4</v>
      </c>
      <c r="S23" s="411">
        <f t="shared" si="31"/>
        <v>613.29999999999961</v>
      </c>
      <c r="T23" s="411">
        <f t="shared" ref="T23" si="32">T19+T20+T21+T22</f>
        <v>171.90000000000038</v>
      </c>
      <c r="U23" s="438">
        <f t="shared" si="31"/>
        <v>1332.3999999999994</v>
      </c>
      <c r="V23" s="411">
        <f t="shared" ref="V23:W23" si="33">V19+V20+V21+V22</f>
        <v>205.70000000000005</v>
      </c>
      <c r="W23" s="411">
        <f t="shared" si="33"/>
        <v>252.10000000000036</v>
      </c>
      <c r="X23" s="426"/>
      <c r="Y23" s="426"/>
      <c r="Z23" s="426"/>
      <c r="AA23" s="426"/>
      <c r="AB23" s="426"/>
    </row>
    <row r="24" spans="1:28" ht="20.100000000000001" customHeight="1" thickBot="1">
      <c r="A24" s="440" t="s">
        <v>2</v>
      </c>
      <c r="B24" s="428">
        <v>-41.2</v>
      </c>
      <c r="C24" s="428">
        <v>-13.4</v>
      </c>
      <c r="D24" s="428">
        <v>-26.2</v>
      </c>
      <c r="E24" s="428">
        <v>-16.600000000000001</v>
      </c>
      <c r="F24" s="429">
        <f>SUM(B24:E24)</f>
        <v>-97.4</v>
      </c>
      <c r="G24" s="430">
        <v>-14.1</v>
      </c>
      <c r="H24" s="428">
        <v>-13.4</v>
      </c>
      <c r="I24" s="428">
        <v>-24.4</v>
      </c>
      <c r="J24" s="428">
        <v>-15.5</v>
      </c>
      <c r="K24" s="431">
        <f>SUM(G24:J24)</f>
        <v>-67.400000000000006</v>
      </c>
      <c r="L24" s="430">
        <v>-14.400000000000002</v>
      </c>
      <c r="M24" s="428">
        <v>-16.7</v>
      </c>
      <c r="N24" s="428">
        <v>-1.1000000000000001</v>
      </c>
      <c r="O24" s="428">
        <v>10.5</v>
      </c>
      <c r="P24" s="429">
        <f>SUM(L24:O24)</f>
        <v>-21.700000000000003</v>
      </c>
      <c r="Q24" s="428">
        <v>-26</v>
      </c>
      <c r="R24" s="428">
        <v>-45.9</v>
      </c>
      <c r="S24" s="428">
        <v>-110.8</v>
      </c>
      <c r="T24" s="428">
        <v>13.7</v>
      </c>
      <c r="U24" s="429">
        <v>-169</v>
      </c>
      <c r="V24" s="428">
        <v>-27.2</v>
      </c>
      <c r="W24" s="428">
        <v>-21.2</v>
      </c>
    </row>
    <row r="25" spans="1:28" s="427" customFormat="1" ht="20.100000000000001" customHeight="1" thickBot="1">
      <c r="A25" s="13" t="s">
        <v>74</v>
      </c>
      <c r="B25" s="411">
        <f t="shared" ref="B25:M25" si="34">B23+B24</f>
        <v>205.10000000000002</v>
      </c>
      <c r="C25" s="411">
        <f t="shared" si="34"/>
        <v>99.499999999999957</v>
      </c>
      <c r="D25" s="411">
        <f t="shared" si="34"/>
        <v>172.00000000000006</v>
      </c>
      <c r="E25" s="411">
        <f t="shared" si="34"/>
        <v>121.60000000000019</v>
      </c>
      <c r="F25" s="438">
        <f>F23+F24</f>
        <v>598.19999999999914</v>
      </c>
      <c r="G25" s="413">
        <f t="shared" si="34"/>
        <v>95.179999999999964</v>
      </c>
      <c r="H25" s="411">
        <f t="shared" si="34"/>
        <v>80.699999999999974</v>
      </c>
      <c r="I25" s="411">
        <f t="shared" si="34"/>
        <v>176.39999999999998</v>
      </c>
      <c r="J25" s="411">
        <f t="shared" si="34"/>
        <v>173.19999999999982</v>
      </c>
      <c r="K25" s="439">
        <f t="shared" si="34"/>
        <v>525.4799999999999</v>
      </c>
      <c r="L25" s="413">
        <f t="shared" si="34"/>
        <v>98.199999999999903</v>
      </c>
      <c r="M25" s="411">
        <f t="shared" si="34"/>
        <v>132.10000000000014</v>
      </c>
      <c r="N25" s="411">
        <f t="shared" ref="N25" si="35">N23+N24</f>
        <v>48.099999999999909</v>
      </c>
      <c r="O25" s="411">
        <f t="shared" ref="O25" si="36">O23+O24</f>
        <v>14.000000000000318</v>
      </c>
      <c r="P25" s="438">
        <f t="shared" ref="P25:U25" si="37">P23+P24</f>
        <v>292.49999999999926</v>
      </c>
      <c r="Q25" s="411">
        <f t="shared" si="37"/>
        <v>170.80000000000018</v>
      </c>
      <c r="R25" s="411">
        <f t="shared" si="37"/>
        <v>304.5</v>
      </c>
      <c r="S25" s="411">
        <f t="shared" si="37"/>
        <v>502.4999999999996</v>
      </c>
      <c r="T25" s="411">
        <f t="shared" ref="T25" si="38">T23+T24</f>
        <v>185.60000000000036</v>
      </c>
      <c r="U25" s="438">
        <f t="shared" si="37"/>
        <v>1163.3999999999994</v>
      </c>
      <c r="V25" s="411">
        <f t="shared" ref="V25:W25" si="39">V23+V24</f>
        <v>178.50000000000006</v>
      </c>
      <c r="W25" s="411">
        <f t="shared" si="39"/>
        <v>230.90000000000038</v>
      </c>
      <c r="X25" s="426"/>
      <c r="Y25" s="426"/>
      <c r="Z25" s="426"/>
      <c r="AA25" s="426"/>
      <c r="AB25" s="426"/>
    </row>
    <row r="26" spans="1:28" ht="20.100000000000001" customHeight="1">
      <c r="A26" s="415" t="s">
        <v>186</v>
      </c>
      <c r="B26" s="428">
        <f>B25</f>
        <v>205.10000000000002</v>
      </c>
      <c r="C26" s="428">
        <f>C25</f>
        <v>99.499999999999957</v>
      </c>
      <c r="D26" s="428">
        <f t="shared" ref="D26:R26" si="40">D25</f>
        <v>172.00000000000006</v>
      </c>
      <c r="E26" s="428">
        <f t="shared" si="40"/>
        <v>121.60000000000019</v>
      </c>
      <c r="F26" s="429">
        <f t="shared" si="40"/>
        <v>598.19999999999914</v>
      </c>
      <c r="G26" s="430">
        <f t="shared" si="40"/>
        <v>95.179999999999964</v>
      </c>
      <c r="H26" s="428">
        <f t="shared" si="40"/>
        <v>80.699999999999974</v>
      </c>
      <c r="I26" s="428">
        <f t="shared" si="40"/>
        <v>176.39999999999998</v>
      </c>
      <c r="J26" s="428">
        <f t="shared" si="40"/>
        <v>173.19999999999982</v>
      </c>
      <c r="K26" s="431">
        <f t="shared" si="40"/>
        <v>525.4799999999999</v>
      </c>
      <c r="L26" s="430">
        <f t="shared" si="40"/>
        <v>98.199999999999903</v>
      </c>
      <c r="M26" s="428">
        <f t="shared" si="40"/>
        <v>132.10000000000014</v>
      </c>
      <c r="N26" s="428">
        <f t="shared" si="40"/>
        <v>48.099999999999909</v>
      </c>
      <c r="O26" s="428">
        <f t="shared" si="40"/>
        <v>14.000000000000318</v>
      </c>
      <c r="P26" s="429">
        <f t="shared" si="40"/>
        <v>292.49999999999926</v>
      </c>
      <c r="Q26" s="428">
        <f t="shared" si="40"/>
        <v>170.80000000000018</v>
      </c>
      <c r="R26" s="428">
        <f t="shared" si="40"/>
        <v>304.5</v>
      </c>
      <c r="S26" s="428">
        <f>S25</f>
        <v>502.4999999999996</v>
      </c>
      <c r="T26" s="428">
        <f>T25</f>
        <v>185.60000000000036</v>
      </c>
      <c r="U26" s="429">
        <f>U25</f>
        <v>1163.3999999999994</v>
      </c>
      <c r="V26" s="428">
        <v>175.5</v>
      </c>
      <c r="W26" s="428">
        <v>237.7</v>
      </c>
    </row>
    <row r="27" spans="1:28" ht="25.5">
      <c r="A27" s="441" t="s">
        <v>220</v>
      </c>
      <c r="B27" s="428"/>
      <c r="C27" s="428"/>
      <c r="D27" s="428"/>
      <c r="E27" s="428"/>
      <c r="F27" s="429"/>
      <c r="G27" s="430"/>
      <c r="H27" s="428"/>
      <c r="I27" s="428"/>
      <c r="J27" s="428"/>
      <c r="K27" s="431"/>
      <c r="L27" s="430"/>
      <c r="M27" s="428"/>
      <c r="N27" s="428"/>
      <c r="O27" s="428"/>
      <c r="P27" s="429"/>
      <c r="Q27" s="428"/>
      <c r="R27" s="428"/>
      <c r="S27" s="428"/>
      <c r="T27" s="428"/>
      <c r="U27" s="429"/>
      <c r="V27" s="428">
        <v>3</v>
      </c>
      <c r="W27" s="428">
        <v>-6.8</v>
      </c>
    </row>
    <row r="28" spans="1:28" s="437" customFormat="1" ht="20.100000000000001" customHeight="1">
      <c r="A28" s="442" t="s">
        <v>187</v>
      </c>
      <c r="B28" s="443">
        <f t="shared" ref="B28" si="41">ROUND(B26/348.352836,2)</f>
        <v>0.59</v>
      </c>
      <c r="C28" s="443">
        <f t="shared" ref="C28" si="42">ROUND(C26/348.352836,2)</f>
        <v>0.28999999999999998</v>
      </c>
      <c r="D28" s="443">
        <f t="shared" ref="D28" si="43">ROUND(D26/348.352836,2)</f>
        <v>0.49</v>
      </c>
      <c r="E28" s="443">
        <f t="shared" ref="E28" si="44">ROUND(E26/348.352836,2)</f>
        <v>0.35</v>
      </c>
      <c r="F28" s="444">
        <f t="shared" ref="F28" si="45">ROUND(F26/348.352836,2)</f>
        <v>1.72</v>
      </c>
      <c r="G28" s="445">
        <f t="shared" ref="G28:I28" si="46">ROUND(G26/348.352836,2)</f>
        <v>0.27</v>
      </c>
      <c r="H28" s="443">
        <f t="shared" si="46"/>
        <v>0.23</v>
      </c>
      <c r="I28" s="443">
        <f t="shared" si="46"/>
        <v>0.51</v>
      </c>
      <c r="J28" s="443">
        <f>ROUND(J26/348.352836,2)</f>
        <v>0.5</v>
      </c>
      <c r="K28" s="444">
        <f>ROUND(K26/348.352836,2)</f>
        <v>1.51</v>
      </c>
      <c r="L28" s="445">
        <f>ROUND(L26/348.352836,2)</f>
        <v>0.28000000000000003</v>
      </c>
      <c r="M28" s="443">
        <f>ROUND(M26/524.348714,2)</f>
        <v>0.25</v>
      </c>
      <c r="N28" s="446">
        <f t="shared" ref="N28:R28" si="47">ROUND(N26/639.546016,2)</f>
        <v>0.08</v>
      </c>
      <c r="O28" s="443">
        <f t="shared" si="47"/>
        <v>0.02</v>
      </c>
      <c r="P28" s="444">
        <f>ROUND(P26/539.024535,2)</f>
        <v>0.54</v>
      </c>
      <c r="Q28" s="443">
        <f>ROUND(Q26/639.546016,2)</f>
        <v>0.27</v>
      </c>
      <c r="R28" s="443">
        <f t="shared" si="47"/>
        <v>0.48</v>
      </c>
      <c r="S28" s="443">
        <f>ROUND(S26/639.546016,2)</f>
        <v>0.79</v>
      </c>
      <c r="T28" s="443">
        <f>ROUND(T26/639.546016,2)</f>
        <v>0.28999999999999998</v>
      </c>
      <c r="U28" s="444">
        <f>ROUND(U26/639.546016,2)</f>
        <v>1.82</v>
      </c>
      <c r="V28" s="443">
        <f>ROUND(V26/639.546016,2)</f>
        <v>0.27</v>
      </c>
      <c r="W28" s="443">
        <f>ROUND(W26/639.546016,2)</f>
        <v>0.37</v>
      </c>
      <c r="X28" s="426"/>
      <c r="Y28" s="426"/>
      <c r="Z28" s="426"/>
      <c r="AA28" s="426"/>
      <c r="AB28" s="426"/>
    </row>
    <row r="29" spans="1:28" s="451" customFormat="1" ht="20.100000000000001" customHeight="1" thickBot="1">
      <c r="A29" s="447"/>
      <c r="B29" s="448"/>
      <c r="C29" s="448"/>
      <c r="D29" s="448"/>
      <c r="E29" s="448"/>
      <c r="F29" s="449"/>
      <c r="G29" s="447"/>
      <c r="H29" s="448"/>
      <c r="I29" s="450"/>
      <c r="J29" s="450"/>
      <c r="K29" s="449"/>
      <c r="L29" s="450"/>
      <c r="M29" s="450"/>
      <c r="N29" s="450"/>
      <c r="O29" s="450"/>
      <c r="P29" s="449"/>
      <c r="Q29" s="450"/>
      <c r="R29" s="450"/>
      <c r="S29" s="450" t="s">
        <v>188</v>
      </c>
      <c r="T29" s="450" t="s">
        <v>188</v>
      </c>
      <c r="U29" s="449"/>
      <c r="V29" s="450"/>
      <c r="W29" s="450"/>
    </row>
    <row r="30" spans="1:28" s="427" customFormat="1" ht="20.100000000000001" customHeight="1">
      <c r="A30" s="14" t="s">
        <v>0</v>
      </c>
      <c r="B30" s="16">
        <f t="shared" ref="B30:N30" si="48">B19-B12</f>
        <v>257.40000000000003</v>
      </c>
      <c r="C30" s="16">
        <f t="shared" si="48"/>
        <v>269.7</v>
      </c>
      <c r="D30" s="16">
        <f t="shared" si="48"/>
        <v>257.8</v>
      </c>
      <c r="E30" s="16">
        <f t="shared" si="48"/>
        <v>247.20000000000016</v>
      </c>
      <c r="F30" s="287">
        <f t="shared" si="48"/>
        <v>1032.0999999999992</v>
      </c>
      <c r="G30" s="282">
        <f t="shared" si="48"/>
        <v>245.37999999999994</v>
      </c>
      <c r="H30" s="16">
        <f t="shared" si="48"/>
        <v>257.3</v>
      </c>
      <c r="I30" s="16">
        <f t="shared" si="48"/>
        <v>268.2</v>
      </c>
      <c r="J30" s="16">
        <f t="shared" si="48"/>
        <v>275.39999999999986</v>
      </c>
      <c r="K30" s="21">
        <f t="shared" si="48"/>
        <v>1046.2799999999997</v>
      </c>
      <c r="L30" s="14">
        <f t="shared" si="48"/>
        <v>281.7999999999999</v>
      </c>
      <c r="M30" s="16">
        <f t="shared" si="48"/>
        <v>708.90000000000009</v>
      </c>
      <c r="N30" s="16">
        <f t="shared" si="48"/>
        <v>910.09999999999991</v>
      </c>
      <c r="O30" s="16">
        <f t="shared" ref="O30" si="49">O19-O12</f>
        <v>837.3000000000003</v>
      </c>
      <c r="P30" s="21">
        <f t="shared" ref="P30:Q30" si="50">P19-P12</f>
        <v>2738.1999999999989</v>
      </c>
      <c r="Q30" s="14">
        <f t="shared" si="50"/>
        <v>896.60000000000014</v>
      </c>
      <c r="R30" s="281">
        <f t="shared" ref="R30:S30" si="51">R19-R12</f>
        <v>977</v>
      </c>
      <c r="S30" s="16">
        <f t="shared" si="51"/>
        <v>930.39999999999964</v>
      </c>
      <c r="T30" s="16">
        <f>T19-T12</f>
        <v>881.10000000000036</v>
      </c>
      <c r="U30" s="287">
        <f>U19-U12</f>
        <v>3685.0999999999995</v>
      </c>
      <c r="V30" s="14">
        <f>V19-V12</f>
        <v>846.5</v>
      </c>
      <c r="W30" s="281">
        <f>W19-W12</f>
        <v>935.00000000000034</v>
      </c>
      <c r="X30" s="426"/>
      <c r="Y30" s="426"/>
      <c r="Z30" s="426"/>
      <c r="AA30" s="426"/>
      <c r="AB30" s="426"/>
    </row>
    <row r="31" spans="1:28" s="427" customFormat="1" ht="20.100000000000001" customHeight="1" thickBot="1">
      <c r="A31" s="15" t="s">
        <v>3</v>
      </c>
      <c r="B31" s="18">
        <f t="shared" ref="B31:N31" si="52">B30/B4</f>
        <v>0.38463837417812313</v>
      </c>
      <c r="C31" s="18">
        <f t="shared" si="52"/>
        <v>0.377836929111796</v>
      </c>
      <c r="D31" s="18">
        <f t="shared" si="52"/>
        <v>0.4</v>
      </c>
      <c r="E31" s="18">
        <f t="shared" si="52"/>
        <v>0.32933653077537983</v>
      </c>
      <c r="F31" s="19">
        <f t="shared" si="52"/>
        <v>0.37151290450307745</v>
      </c>
      <c r="G31" s="17">
        <f t="shared" si="52"/>
        <v>0.35200114761153339</v>
      </c>
      <c r="H31" s="18">
        <f t="shared" si="52"/>
        <v>0.34963989672509854</v>
      </c>
      <c r="I31" s="18">
        <f t="shared" si="52"/>
        <v>0.39598405433338257</v>
      </c>
      <c r="J31" s="18">
        <f t="shared" si="52"/>
        <v>0.34403497813866318</v>
      </c>
      <c r="K31" s="20">
        <f t="shared" si="52"/>
        <v>0.3594475745499518</v>
      </c>
      <c r="L31" s="17">
        <f t="shared" si="52"/>
        <v>0.38960320752108385</v>
      </c>
      <c r="M31" s="18">
        <f t="shared" si="52"/>
        <v>0.40603700097370987</v>
      </c>
      <c r="N31" s="18">
        <f t="shared" si="52"/>
        <v>0.37613655149611502</v>
      </c>
      <c r="O31" s="18">
        <f t="shared" ref="O31" si="53">O30/O4</f>
        <v>0.33211693308476464</v>
      </c>
      <c r="P31" s="19">
        <f t="shared" ref="P31:Q31" si="54">P30/P4</f>
        <v>0.36953265226251353</v>
      </c>
      <c r="Q31" s="18">
        <f t="shared" si="54"/>
        <v>0.38497209102619157</v>
      </c>
      <c r="R31" s="18">
        <f t="shared" ref="R31:S31" si="55">R30/R4</f>
        <v>0.39567471245747615</v>
      </c>
      <c r="S31" s="18">
        <f t="shared" si="55"/>
        <v>0.3852747525777464</v>
      </c>
      <c r="T31" s="18">
        <f>T30/T4</f>
        <v>0.33759914172956829</v>
      </c>
      <c r="U31" s="19">
        <f>U30/U4</f>
        <v>0.37515015779293487</v>
      </c>
      <c r="V31" s="18">
        <f>V30/V4</f>
        <v>0.35807952622673433</v>
      </c>
      <c r="W31" s="18">
        <f>W30/W4</f>
        <v>0.38274182324286721</v>
      </c>
      <c r="X31" s="497"/>
      <c r="Y31" s="426"/>
      <c r="Z31" s="426"/>
      <c r="AA31" s="426"/>
      <c r="AB31" s="426"/>
    </row>
    <row r="32" spans="1:28" s="405" customFormat="1" ht="15" customHeight="1">
      <c r="B32" s="452"/>
      <c r="C32" s="452"/>
      <c r="D32" s="452"/>
      <c r="E32" s="452"/>
      <c r="F32" s="452"/>
      <c r="G32" s="452"/>
      <c r="H32" s="450"/>
      <c r="I32" s="447"/>
      <c r="J32" s="447"/>
      <c r="K32" s="452"/>
      <c r="L32" s="452"/>
      <c r="M32" s="452"/>
      <c r="N32" s="452"/>
      <c r="O32" s="452"/>
      <c r="P32" s="452"/>
      <c r="Q32" s="452"/>
      <c r="R32" s="452"/>
      <c r="S32" s="452"/>
      <c r="T32" s="452" t="s">
        <v>188</v>
      </c>
      <c r="U32" s="452"/>
      <c r="V32" s="452"/>
      <c r="W32" s="452"/>
    </row>
    <row r="33" spans="1:23" s="405" customFormat="1" ht="15" customHeight="1">
      <c r="A33" s="501" t="s">
        <v>212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</row>
    <row r="34" spans="1:23" s="405" customFormat="1" ht="15" customHeight="1">
      <c r="A34" s="501"/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</row>
    <row r="35" spans="1:23" s="405" customFormat="1" ht="15" customHeight="1">
      <c r="A35" s="452"/>
      <c r="B35" s="452"/>
      <c r="C35" s="452"/>
      <c r="D35" s="452"/>
      <c r="E35" s="452"/>
      <c r="F35" s="452"/>
      <c r="G35" s="452"/>
      <c r="H35" s="450"/>
      <c r="I35" s="447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</row>
    <row r="36" spans="1:23" s="405" customFormat="1" ht="15" customHeight="1">
      <c r="A36" s="501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</row>
    <row r="37" spans="1:23" s="405" customFormat="1" ht="15" customHeight="1">
      <c r="A37" s="452"/>
      <c r="B37" s="452"/>
      <c r="C37" s="452"/>
      <c r="D37" s="452"/>
      <c r="E37" s="452"/>
      <c r="F37" s="452"/>
      <c r="G37" s="452"/>
      <c r="H37" s="450"/>
      <c r="I37" s="447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</row>
    <row r="38" spans="1:23" s="405" customFormat="1" ht="15" customHeight="1">
      <c r="A38" s="501"/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</row>
    <row r="39" spans="1:23" s="405" customFormat="1" ht="15" customHeight="1">
      <c r="B39" s="452"/>
      <c r="C39" s="452"/>
      <c r="D39" s="452"/>
      <c r="E39" s="452"/>
      <c r="F39" s="452"/>
      <c r="G39" s="452"/>
      <c r="H39" s="450"/>
      <c r="I39" s="447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</row>
    <row r="40" spans="1:23" s="405" customFormat="1" ht="28.5" customHeight="1">
      <c r="B40" s="452"/>
      <c r="C40" s="452"/>
      <c r="D40" s="452"/>
      <c r="E40" s="452"/>
      <c r="F40" s="452"/>
      <c r="G40" s="452"/>
      <c r="H40" s="450"/>
      <c r="I40" s="447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</row>
    <row r="41" spans="1:23" s="405" customFormat="1" ht="28.5" customHeight="1">
      <c r="B41" s="452"/>
      <c r="C41" s="452"/>
      <c r="D41" s="452"/>
      <c r="E41" s="452"/>
      <c r="F41" s="452"/>
      <c r="G41" s="452"/>
      <c r="H41" s="450"/>
      <c r="I41" s="447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</row>
    <row r="42" spans="1:23" s="405" customFormat="1" ht="28.5" customHeight="1">
      <c r="B42" s="452"/>
      <c r="C42" s="452"/>
      <c r="D42" s="452"/>
      <c r="E42" s="452"/>
      <c r="F42" s="452"/>
      <c r="G42" s="452"/>
      <c r="H42" s="450"/>
      <c r="I42" s="447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</row>
    <row r="43" spans="1:23" s="405" customFormat="1" ht="28.5" customHeight="1">
      <c r="B43" s="452"/>
      <c r="C43" s="452"/>
      <c r="D43" s="452"/>
      <c r="E43" s="452"/>
      <c r="F43" s="452"/>
      <c r="G43" s="452"/>
      <c r="H43" s="450"/>
      <c r="I43" s="447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</row>
    <row r="44" spans="1:23" s="405" customFormat="1" ht="28.5" customHeight="1">
      <c r="B44" s="452"/>
      <c r="C44" s="452"/>
      <c r="D44" s="452"/>
      <c r="E44" s="452"/>
      <c r="F44" s="452"/>
      <c r="G44" s="452"/>
      <c r="H44" s="450"/>
      <c r="I44" s="447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</row>
    <row r="45" spans="1:23" s="405" customFormat="1" ht="28.5" customHeight="1">
      <c r="B45" s="452"/>
      <c r="C45" s="452"/>
      <c r="D45" s="452"/>
      <c r="E45" s="452"/>
      <c r="F45" s="452"/>
      <c r="G45" s="452"/>
      <c r="H45" s="450"/>
      <c r="I45" s="447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</row>
    <row r="46" spans="1:23" s="405" customFormat="1" ht="28.5" customHeight="1">
      <c r="B46" s="452"/>
      <c r="C46" s="452"/>
      <c r="D46" s="452"/>
      <c r="E46" s="452"/>
      <c r="F46" s="452"/>
      <c r="G46" s="452"/>
      <c r="H46" s="450"/>
      <c r="I46" s="447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</row>
    <row r="47" spans="1:23" s="405" customFormat="1" ht="28.5" customHeight="1">
      <c r="B47" s="452"/>
      <c r="C47" s="452"/>
      <c r="D47" s="452"/>
      <c r="E47" s="452"/>
      <c r="F47" s="452"/>
      <c r="G47" s="452"/>
      <c r="H47" s="450"/>
      <c r="I47" s="447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52"/>
    </row>
    <row r="48" spans="1:23" s="405" customFormat="1" ht="28.5" customHeight="1">
      <c r="B48" s="452"/>
      <c r="C48" s="452"/>
      <c r="D48" s="452"/>
      <c r="E48" s="452"/>
      <c r="F48" s="452"/>
      <c r="G48" s="452"/>
      <c r="H48" s="450"/>
      <c r="I48" s="447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</row>
    <row r="49" spans="1:9" ht="28.5" customHeight="1">
      <c r="A49" s="453"/>
      <c r="B49" s="454"/>
      <c r="C49" s="454"/>
      <c r="D49" s="454"/>
      <c r="E49" s="454"/>
      <c r="F49" s="454"/>
      <c r="G49" s="454"/>
      <c r="H49" s="455"/>
      <c r="I49" s="456"/>
    </row>
  </sheetData>
  <mergeCells count="9">
    <mergeCell ref="V2:W2"/>
    <mergeCell ref="Q2:U2"/>
    <mergeCell ref="A34:M34"/>
    <mergeCell ref="A36:M36"/>
    <mergeCell ref="A38:M38"/>
    <mergeCell ref="L2:P2"/>
    <mergeCell ref="G2:K2"/>
    <mergeCell ref="B2:F2"/>
    <mergeCell ref="A33:M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K23 F9 K9 F19 K19 F23 P19 P23 P9" formula="1"/>
    <ignoredError sqref="B9:E9 G9:J9 L9:O9 Q9:W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9"/>
  <sheetViews>
    <sheetView showGridLines="0" zoomScaleNormal="100" zoomScaleSheetLayoutView="10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3.2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3.375" customWidth="1"/>
    <col min="11" max="11" width="1.875" customWidth="1"/>
    <col min="12" max="12" width="9.625" customWidth="1"/>
    <col min="13" max="13" width="12.875" customWidth="1"/>
    <col min="14" max="14" width="1.875" customWidth="1"/>
    <col min="15" max="15" width="13.25" customWidth="1"/>
    <col min="16" max="16" width="1.875" customWidth="1"/>
    <col min="17" max="17" width="9.625" customWidth="1"/>
    <col min="18" max="18" width="12.875" customWidth="1"/>
    <col min="19" max="19" width="13.625" customWidth="1"/>
    <col min="20" max="20" width="9.625" customWidth="1"/>
    <col min="21" max="497" width="9" style="24"/>
  </cols>
  <sheetData>
    <row r="1" spans="2:497" ht="50.25" customHeight="1" thickBot="1">
      <c r="B1" s="3" t="s">
        <v>190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2:497" s="27" customFormat="1" ht="30" customHeight="1" thickBot="1">
      <c r="B2" s="507" t="s">
        <v>112</v>
      </c>
      <c r="C2" s="510" t="s">
        <v>117</v>
      </c>
      <c r="D2" s="511"/>
      <c r="E2" s="511"/>
      <c r="F2" s="511"/>
      <c r="G2" s="512"/>
      <c r="H2" s="510" t="s">
        <v>118</v>
      </c>
      <c r="I2" s="511"/>
      <c r="J2" s="511"/>
      <c r="K2" s="511"/>
      <c r="L2" s="512"/>
      <c r="M2" s="510" t="s">
        <v>119</v>
      </c>
      <c r="N2" s="511"/>
      <c r="O2" s="511"/>
      <c r="P2" s="511"/>
      <c r="Q2" s="512"/>
      <c r="R2" s="510" t="s">
        <v>120</v>
      </c>
      <c r="S2" s="511"/>
      <c r="T2" s="512"/>
      <c r="U2" s="2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</row>
    <row r="3" spans="2:497" s="27" customFormat="1" ht="20.25" customHeight="1" thickBot="1">
      <c r="B3" s="508"/>
      <c r="C3" s="513" t="s">
        <v>215</v>
      </c>
      <c r="D3" s="514"/>
      <c r="E3" s="514"/>
      <c r="F3" s="514"/>
      <c r="G3" s="515"/>
      <c r="H3" s="513" t="s">
        <v>215</v>
      </c>
      <c r="I3" s="514"/>
      <c r="J3" s="514"/>
      <c r="K3" s="514"/>
      <c r="L3" s="515"/>
      <c r="M3" s="513" t="s">
        <v>215</v>
      </c>
      <c r="N3" s="514"/>
      <c r="O3" s="514"/>
      <c r="P3" s="514"/>
      <c r="Q3" s="515"/>
      <c r="R3" s="513" t="s">
        <v>215</v>
      </c>
      <c r="S3" s="514"/>
      <c r="T3" s="515"/>
      <c r="U3" s="25"/>
      <c r="V3" s="28"/>
      <c r="W3" s="28"/>
      <c r="X3" s="28"/>
      <c r="Y3" s="28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</row>
    <row r="4" spans="2:497" s="32" customFormat="1" ht="20.25" customHeight="1" thickBot="1">
      <c r="B4" s="509"/>
      <c r="C4" s="275" t="s">
        <v>213</v>
      </c>
      <c r="D4" s="276"/>
      <c r="E4" s="277" t="s">
        <v>214</v>
      </c>
      <c r="F4" s="278"/>
      <c r="G4" s="279" t="s">
        <v>121</v>
      </c>
      <c r="H4" s="275" t="s">
        <v>213</v>
      </c>
      <c r="I4" s="276"/>
      <c r="J4" s="278" t="s">
        <v>214</v>
      </c>
      <c r="K4" s="278"/>
      <c r="L4" s="279" t="s">
        <v>121</v>
      </c>
      <c r="M4" s="275" t="s">
        <v>213</v>
      </c>
      <c r="N4" s="276"/>
      <c r="O4" s="278" t="s">
        <v>214</v>
      </c>
      <c r="P4" s="278"/>
      <c r="Q4" s="280" t="s">
        <v>121</v>
      </c>
      <c r="R4" s="275" t="s">
        <v>213</v>
      </c>
      <c r="S4" s="278" t="s">
        <v>214</v>
      </c>
      <c r="T4" s="280" t="s">
        <v>121</v>
      </c>
      <c r="U4" s="29"/>
      <c r="V4" s="30"/>
      <c r="W4" s="30"/>
      <c r="X4" s="30"/>
      <c r="Y4" s="30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</row>
    <row r="5" spans="2:497" s="27" customFormat="1" ht="20.25" customHeight="1">
      <c r="B5" s="33" t="s">
        <v>122</v>
      </c>
      <c r="C5" s="492">
        <v>4162.7</v>
      </c>
      <c r="D5" s="329"/>
      <c r="E5" s="330">
        <v>4244.3999999999996</v>
      </c>
      <c r="F5" s="330"/>
      <c r="G5" s="331">
        <f>C5-E5</f>
        <v>-81.699999999999818</v>
      </c>
      <c r="H5" s="332">
        <v>644.20000000000005</v>
      </c>
      <c r="I5" s="35"/>
      <c r="J5" s="330">
        <v>553.79999999999995</v>
      </c>
      <c r="K5" s="34"/>
      <c r="L5" s="357">
        <f>H5-J5</f>
        <v>90.400000000000091</v>
      </c>
      <c r="M5" s="363">
        <v>0</v>
      </c>
      <c r="N5" s="364"/>
      <c r="O5" s="365">
        <v>0</v>
      </c>
      <c r="P5" s="365"/>
      <c r="Q5" s="366">
        <f>M5-O5</f>
        <v>0</v>
      </c>
      <c r="R5" s="381">
        <f>C5+H5+M5</f>
        <v>4806.8999999999996</v>
      </c>
      <c r="S5" s="382">
        <f>E5+J5+O5</f>
        <v>4798.2</v>
      </c>
      <c r="T5" s="376">
        <f>R5-S5</f>
        <v>8.6999999999998181</v>
      </c>
      <c r="U5" s="25"/>
      <c r="V5" s="37"/>
      <c r="W5" s="37"/>
      <c r="X5" s="37"/>
      <c r="Y5" s="28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</row>
    <row r="6" spans="2:497" s="27" customFormat="1" ht="20.25" customHeight="1">
      <c r="B6" s="38" t="s">
        <v>123</v>
      </c>
      <c r="C6" s="332">
        <v>15.3</v>
      </c>
      <c r="D6" s="333"/>
      <c r="E6" s="334">
        <v>16.7</v>
      </c>
      <c r="F6" s="334"/>
      <c r="G6" s="335">
        <f t="shared" ref="G6:G14" si="0">C6-E6</f>
        <v>-1.3999999999999986</v>
      </c>
      <c r="H6" s="332">
        <v>105.2</v>
      </c>
      <c r="I6" s="39"/>
      <c r="J6" s="334">
        <v>75.400000000000006</v>
      </c>
      <c r="K6" s="40"/>
      <c r="L6" s="358">
        <f t="shared" ref="L6:L11" si="1">H6-J6</f>
        <v>29.799999999999997</v>
      </c>
      <c r="M6" s="332">
        <v>-120.5</v>
      </c>
      <c r="N6" s="333"/>
      <c r="O6" s="334">
        <v>-92.1</v>
      </c>
      <c r="P6" s="334"/>
      <c r="Q6" s="366">
        <f t="shared" ref="Q6:Q14" si="2">M6-O6</f>
        <v>-28.400000000000006</v>
      </c>
      <c r="R6" s="368">
        <f t="shared" ref="R6:R14" si="3">C6+H6+M6</f>
        <v>0</v>
      </c>
      <c r="S6" s="365">
        <f t="shared" ref="S6:S11" si="4">E6+J6+O6</f>
        <v>0</v>
      </c>
      <c r="T6" s="366">
        <f t="shared" ref="T6:T11" si="5">R6-S6</f>
        <v>0</v>
      </c>
      <c r="U6" s="25"/>
      <c r="V6" s="36"/>
      <c r="W6" s="36"/>
      <c r="X6" s="36"/>
      <c r="Y6" s="28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</row>
    <row r="7" spans="2:497" s="49" customFormat="1" ht="20.25" customHeight="1">
      <c r="B7" s="41" t="s">
        <v>124</v>
      </c>
      <c r="C7" s="336">
        <f>C5+C6</f>
        <v>4178</v>
      </c>
      <c r="D7" s="337"/>
      <c r="E7" s="338">
        <f>E5+E6</f>
        <v>4261.0999999999995</v>
      </c>
      <c r="F7" s="338"/>
      <c r="G7" s="339">
        <f>C7-E7</f>
        <v>-83.099999999999454</v>
      </c>
      <c r="H7" s="336">
        <f>H5+H6</f>
        <v>749.40000000000009</v>
      </c>
      <c r="I7" s="42"/>
      <c r="J7" s="338">
        <f>J5+J6</f>
        <v>629.19999999999993</v>
      </c>
      <c r="K7" s="44"/>
      <c r="L7" s="359">
        <f t="shared" si="1"/>
        <v>120.20000000000016</v>
      </c>
      <c r="M7" s="336">
        <f>M5+M6</f>
        <v>-120.5</v>
      </c>
      <c r="N7" s="337"/>
      <c r="O7" s="338">
        <f>O5+O6</f>
        <v>-92.1</v>
      </c>
      <c r="P7" s="338"/>
      <c r="Q7" s="367">
        <f t="shared" si="2"/>
        <v>-28.400000000000006</v>
      </c>
      <c r="R7" s="369">
        <f t="shared" si="3"/>
        <v>4806.8999999999996</v>
      </c>
      <c r="S7" s="370">
        <f t="shared" si="4"/>
        <v>4798.1999999999989</v>
      </c>
      <c r="T7" s="367">
        <f t="shared" si="5"/>
        <v>8.7000000000007276</v>
      </c>
      <c r="U7" s="45"/>
      <c r="V7" s="46"/>
      <c r="W7" s="46"/>
      <c r="X7" s="46"/>
      <c r="Y7" s="47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</row>
    <row r="8" spans="2:497" s="49" customFormat="1" ht="20.25" customHeight="1">
      <c r="B8" s="41" t="s">
        <v>222</v>
      </c>
      <c r="C8" s="336">
        <v>1499.7</v>
      </c>
      <c r="D8" s="337"/>
      <c r="E8" s="338">
        <v>1639.7</v>
      </c>
      <c r="F8" s="338"/>
      <c r="G8" s="339">
        <f t="shared" si="0"/>
        <v>-140</v>
      </c>
      <c r="H8" s="336">
        <v>281.8</v>
      </c>
      <c r="I8" s="50"/>
      <c r="J8" s="338">
        <v>233.9</v>
      </c>
      <c r="K8" s="43"/>
      <c r="L8" s="359">
        <f t="shared" si="1"/>
        <v>47.900000000000006</v>
      </c>
      <c r="M8" s="368">
        <v>0</v>
      </c>
      <c r="N8" s="369"/>
      <c r="O8" s="370">
        <v>0</v>
      </c>
      <c r="P8" s="338"/>
      <c r="Q8" s="367">
        <f t="shared" si="2"/>
        <v>0</v>
      </c>
      <c r="R8" s="369">
        <f>C8+H8+M8</f>
        <v>1781.5</v>
      </c>
      <c r="S8" s="370">
        <f t="shared" si="4"/>
        <v>1873.6000000000001</v>
      </c>
      <c r="T8" s="367">
        <f t="shared" si="5"/>
        <v>-92.100000000000136</v>
      </c>
      <c r="U8" s="45"/>
      <c r="V8" s="46"/>
      <c r="W8" s="46"/>
      <c r="X8" s="46"/>
      <c r="Y8" s="47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</row>
    <row r="9" spans="2:497" s="27" customFormat="1" ht="32.25" customHeight="1">
      <c r="B9" s="38" t="s">
        <v>82</v>
      </c>
      <c r="C9" s="332">
        <v>931</v>
      </c>
      <c r="D9" s="337"/>
      <c r="E9" s="334">
        <v>842.1</v>
      </c>
      <c r="F9" s="338"/>
      <c r="G9" s="335">
        <f t="shared" si="0"/>
        <v>88.899999999999977</v>
      </c>
      <c r="H9" s="332">
        <v>20.2</v>
      </c>
      <c r="I9" s="39"/>
      <c r="J9" s="334">
        <v>19.3</v>
      </c>
      <c r="K9" s="40"/>
      <c r="L9" s="358">
        <f t="shared" si="1"/>
        <v>0.89999999999999858</v>
      </c>
      <c r="M9" s="363">
        <v>0</v>
      </c>
      <c r="N9" s="364"/>
      <c r="O9" s="365">
        <v>0</v>
      </c>
      <c r="P9" s="334"/>
      <c r="Q9" s="366">
        <f t="shared" si="2"/>
        <v>0</v>
      </c>
      <c r="R9" s="364">
        <f>C9+H9+M9</f>
        <v>951.2</v>
      </c>
      <c r="S9" s="365">
        <f t="shared" si="4"/>
        <v>861.4</v>
      </c>
      <c r="T9" s="366">
        <f t="shared" si="5"/>
        <v>89.800000000000068</v>
      </c>
      <c r="U9" s="25"/>
      <c r="V9" s="46"/>
      <c r="W9" s="46"/>
      <c r="X9" s="46"/>
      <c r="Y9" s="2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</row>
    <row r="10" spans="2:497" s="49" customFormat="1" ht="20.25" customHeight="1">
      <c r="B10" s="41" t="s">
        <v>103</v>
      </c>
      <c r="C10" s="336">
        <f>C8-C9</f>
        <v>568.70000000000005</v>
      </c>
      <c r="D10" s="340"/>
      <c r="E10" s="341">
        <f>E8-E9</f>
        <v>797.6</v>
      </c>
      <c r="F10" s="338"/>
      <c r="G10" s="339">
        <f t="shared" si="0"/>
        <v>-228.89999999999998</v>
      </c>
      <c r="H10" s="336">
        <f>H8-H9</f>
        <v>261.60000000000002</v>
      </c>
      <c r="I10" s="51"/>
      <c r="J10" s="341">
        <f>J8-J9</f>
        <v>214.6</v>
      </c>
      <c r="K10" s="43"/>
      <c r="L10" s="359">
        <f t="shared" si="1"/>
        <v>47.000000000000028</v>
      </c>
      <c r="M10" s="368">
        <f>M8-M9</f>
        <v>0</v>
      </c>
      <c r="N10" s="369"/>
      <c r="O10" s="370">
        <f>O8-O9</f>
        <v>0</v>
      </c>
      <c r="P10" s="338"/>
      <c r="Q10" s="367">
        <f t="shared" si="2"/>
        <v>0</v>
      </c>
      <c r="R10" s="369">
        <f t="shared" si="3"/>
        <v>830.30000000000007</v>
      </c>
      <c r="S10" s="370">
        <f>E10+J10+O10</f>
        <v>1012.2</v>
      </c>
      <c r="T10" s="367">
        <f t="shared" si="5"/>
        <v>-181.89999999999998</v>
      </c>
      <c r="U10" s="45"/>
      <c r="V10" s="46"/>
      <c r="W10" s="46"/>
      <c r="X10" s="46"/>
      <c r="Y10" s="47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</row>
    <row r="11" spans="2:497" s="27" customFormat="1" ht="48" customHeight="1" thickBot="1">
      <c r="B11" s="52" t="s">
        <v>125</v>
      </c>
      <c r="C11" s="342">
        <v>298</v>
      </c>
      <c r="D11" s="354">
        <v>1</v>
      </c>
      <c r="E11" s="343">
        <v>337.6</v>
      </c>
      <c r="F11" s="355">
        <v>1</v>
      </c>
      <c r="G11" s="344">
        <f t="shared" si="0"/>
        <v>-39.600000000000023</v>
      </c>
      <c r="H11" s="342">
        <v>14.6</v>
      </c>
      <c r="I11" s="54"/>
      <c r="J11" s="343">
        <v>14.5</v>
      </c>
      <c r="K11" s="53"/>
      <c r="L11" s="360">
        <f t="shared" si="1"/>
        <v>9.9999999999999645E-2</v>
      </c>
      <c r="M11" s="371">
        <v>0</v>
      </c>
      <c r="N11" s="372"/>
      <c r="O11" s="373">
        <v>0</v>
      </c>
      <c r="P11" s="374"/>
      <c r="Q11" s="375">
        <f t="shared" si="2"/>
        <v>0</v>
      </c>
      <c r="R11" s="372">
        <f t="shared" si="3"/>
        <v>312.60000000000002</v>
      </c>
      <c r="S11" s="373">
        <f t="shared" si="4"/>
        <v>352.1</v>
      </c>
      <c r="T11" s="383">
        <f t="shared" si="5"/>
        <v>-39.5</v>
      </c>
      <c r="U11" s="25"/>
      <c r="V11" s="46"/>
      <c r="W11" s="46"/>
      <c r="X11" s="46"/>
      <c r="Y11" s="2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</row>
    <row r="12" spans="2:497" s="27" customFormat="1" ht="20.25" customHeight="1">
      <c r="B12" s="55" t="s">
        <v>223</v>
      </c>
      <c r="C12" s="345"/>
      <c r="D12" s="346"/>
      <c r="E12" s="347"/>
      <c r="F12" s="347"/>
      <c r="G12" s="348"/>
      <c r="H12" s="346"/>
      <c r="I12" s="56"/>
      <c r="J12" s="347"/>
      <c r="K12" s="57"/>
      <c r="L12" s="361"/>
      <c r="M12" s="345"/>
      <c r="N12" s="346"/>
      <c r="O12" s="347"/>
      <c r="P12" s="347"/>
      <c r="Q12" s="376">
        <f t="shared" si="2"/>
        <v>0</v>
      </c>
      <c r="R12" s="346"/>
      <c r="S12" s="347"/>
      <c r="T12" s="348"/>
      <c r="U12" s="25"/>
      <c r="V12" s="37"/>
      <c r="W12" s="37"/>
      <c r="X12" s="37"/>
      <c r="Y12" s="2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</row>
    <row r="13" spans="2:497" s="27" customFormat="1" ht="20.25" customHeight="1">
      <c r="B13" s="58" t="s">
        <v>126</v>
      </c>
      <c r="C13" s="332">
        <v>23221.1</v>
      </c>
      <c r="D13" s="349"/>
      <c r="E13" s="334">
        <v>22942.1</v>
      </c>
      <c r="F13" s="350"/>
      <c r="G13" s="335">
        <f t="shared" si="0"/>
        <v>279</v>
      </c>
      <c r="H13" s="332">
        <v>4434.3</v>
      </c>
      <c r="I13" s="59">
        <v>2</v>
      </c>
      <c r="J13" s="334">
        <v>4275.1000000000004</v>
      </c>
      <c r="K13" s="60">
        <v>2</v>
      </c>
      <c r="L13" s="335">
        <f t="shared" ref="L13:L14" si="6">H13-J13</f>
        <v>159.19999999999982</v>
      </c>
      <c r="M13" s="332">
        <v>-74.3</v>
      </c>
      <c r="N13" s="377"/>
      <c r="O13" s="334">
        <v>-75.400000000000006</v>
      </c>
      <c r="P13" s="378"/>
      <c r="Q13" s="366">
        <f t="shared" si="2"/>
        <v>1.1000000000000085</v>
      </c>
      <c r="R13" s="363">
        <f>C13+H13+M13</f>
        <v>27581.1</v>
      </c>
      <c r="S13" s="334">
        <f>J13+O13+E13</f>
        <v>27141.8</v>
      </c>
      <c r="T13" s="335">
        <f>R13-S13</f>
        <v>439.29999999999927</v>
      </c>
      <c r="U13" s="25"/>
      <c r="V13" s="37"/>
      <c r="W13" s="37"/>
      <c r="X13" s="37"/>
      <c r="Y13" s="2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</row>
    <row r="14" spans="2:497" s="27" customFormat="1" ht="31.5" customHeight="1" thickBot="1">
      <c r="B14" s="61" t="s">
        <v>127</v>
      </c>
      <c r="C14" s="351">
        <v>0</v>
      </c>
      <c r="D14" s="352"/>
      <c r="E14" s="353">
        <v>0</v>
      </c>
      <c r="F14" s="353"/>
      <c r="G14" s="356">
        <f t="shared" si="0"/>
        <v>0</v>
      </c>
      <c r="H14" s="352">
        <v>5.8</v>
      </c>
      <c r="I14" s="63"/>
      <c r="J14" s="353">
        <v>4.5999999999999996</v>
      </c>
      <c r="K14" s="62"/>
      <c r="L14" s="362">
        <f t="shared" si="6"/>
        <v>1.2000000000000002</v>
      </c>
      <c r="M14" s="379">
        <v>0</v>
      </c>
      <c r="N14" s="352"/>
      <c r="O14" s="353">
        <v>0</v>
      </c>
      <c r="P14" s="353"/>
      <c r="Q14" s="380">
        <f t="shared" si="2"/>
        <v>0</v>
      </c>
      <c r="R14" s="384">
        <f t="shared" si="3"/>
        <v>5.8</v>
      </c>
      <c r="S14" s="385">
        <f>J14+O14+E14</f>
        <v>4.5999999999999996</v>
      </c>
      <c r="T14" s="356">
        <f>R14-S14</f>
        <v>1.2000000000000002</v>
      </c>
      <c r="U14" s="25"/>
      <c r="V14" s="37"/>
      <c r="W14" s="37"/>
      <c r="X14" s="37"/>
      <c r="Y14" s="2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</row>
    <row r="15" spans="2:497" s="26" customFormat="1" ht="20.25" customHeight="1">
      <c r="B15" s="64"/>
      <c r="U15" s="25"/>
      <c r="V15" s="28"/>
      <c r="W15" s="28"/>
      <c r="X15" s="28"/>
      <c r="Y15" s="28"/>
    </row>
    <row r="16" spans="2:497" s="26" customFormat="1" ht="20.25" customHeight="1">
      <c r="B16" s="506" t="s">
        <v>128</v>
      </c>
      <c r="C16" s="506"/>
      <c r="D16" s="506"/>
      <c r="E16" s="506"/>
      <c r="F16" s="506"/>
      <c r="G16" s="506"/>
      <c r="H16" s="65"/>
      <c r="I16" s="65"/>
      <c r="J16" s="66"/>
      <c r="K16" s="66"/>
      <c r="L16" s="66"/>
      <c r="M16" s="65"/>
      <c r="N16" s="65"/>
      <c r="O16" s="65"/>
      <c r="P16" s="65"/>
      <c r="Q16" s="65"/>
      <c r="R16" s="65"/>
      <c r="S16" s="65"/>
      <c r="T16" s="65"/>
      <c r="U16" s="25"/>
      <c r="V16" s="28"/>
      <c r="W16" s="28"/>
      <c r="X16" s="28"/>
      <c r="Y16" s="28"/>
    </row>
    <row r="17" spans="2:25" s="24" customFormat="1" ht="15">
      <c r="B17" s="67" t="s">
        <v>221</v>
      </c>
      <c r="C17" s="67"/>
      <c r="D17" s="67"/>
      <c r="E17" s="67"/>
      <c r="F17" s="67"/>
      <c r="G17" s="67"/>
      <c r="H17" s="65"/>
      <c r="I17" s="65"/>
      <c r="J17" s="66"/>
      <c r="K17" s="66"/>
      <c r="L17" s="66"/>
      <c r="M17" s="65"/>
      <c r="N17" s="65"/>
      <c r="O17" s="65"/>
      <c r="P17" s="65"/>
      <c r="Q17" s="65"/>
      <c r="R17" s="65"/>
      <c r="S17" s="65"/>
      <c r="T17" s="65"/>
      <c r="U17" s="65"/>
    </row>
    <row r="18" spans="2:25" s="26" customFormat="1" ht="15" customHeight="1">
      <c r="B18" s="68"/>
      <c r="C18" s="68"/>
      <c r="D18" s="68"/>
      <c r="E18" s="68"/>
      <c r="F18" s="68"/>
      <c r="G18" s="68"/>
      <c r="H18" s="65"/>
      <c r="I18" s="65"/>
      <c r="J18" s="66"/>
      <c r="K18" s="66"/>
      <c r="L18" s="66"/>
      <c r="M18" s="65"/>
      <c r="N18" s="65"/>
      <c r="O18" s="65"/>
      <c r="P18" s="65"/>
      <c r="Q18" s="65"/>
      <c r="R18" s="65"/>
      <c r="S18" s="65"/>
      <c r="T18" s="65"/>
      <c r="U18" s="25"/>
      <c r="V18" s="28"/>
      <c r="W18" s="28"/>
      <c r="X18" s="28"/>
      <c r="Y18" s="28"/>
    </row>
    <row r="19" spans="2:25" s="24" customFormat="1" ht="15">
      <c r="B19" s="68"/>
      <c r="C19" s="67"/>
      <c r="D19" s="67"/>
      <c r="E19" s="67"/>
      <c r="F19" s="67"/>
      <c r="G19" s="67"/>
      <c r="H19" s="65"/>
      <c r="I19" s="65"/>
      <c r="J19" s="66"/>
      <c r="K19" s="66"/>
      <c r="L19" s="66"/>
      <c r="M19" s="65"/>
      <c r="N19" s="65"/>
      <c r="O19" s="65"/>
      <c r="P19" s="65"/>
      <c r="Q19" s="65"/>
      <c r="R19" s="65"/>
      <c r="S19" s="65"/>
      <c r="T19" s="65"/>
      <c r="U19" s="65"/>
    </row>
    <row r="20" spans="2:25" s="24" customFormat="1" ht="15">
      <c r="B20" s="67"/>
      <c r="G20" s="69"/>
      <c r="H20" s="65"/>
      <c r="I20" s="65"/>
      <c r="J20" s="69"/>
      <c r="K20" s="69"/>
      <c r="L20" s="69"/>
      <c r="M20" s="65"/>
      <c r="N20" s="65"/>
      <c r="O20" s="65"/>
      <c r="P20" s="65"/>
      <c r="Q20" s="65"/>
      <c r="R20" s="65"/>
      <c r="S20" s="65"/>
      <c r="T20" s="65"/>
      <c r="U20" s="65"/>
    </row>
    <row r="21" spans="2:25" s="24" customFormat="1" ht="15">
      <c r="G21" s="70"/>
      <c r="H21" s="65"/>
      <c r="I21" s="65"/>
      <c r="J21" s="70"/>
      <c r="K21" s="70"/>
      <c r="L21" s="70"/>
      <c r="M21" s="65"/>
      <c r="N21" s="65"/>
      <c r="O21" s="65"/>
      <c r="P21" s="65"/>
      <c r="Q21" s="65"/>
      <c r="R21" s="65"/>
      <c r="S21" s="65"/>
      <c r="T21" s="65"/>
      <c r="U21" s="65"/>
    </row>
    <row r="22" spans="2:25" s="24" customFormat="1" ht="15">
      <c r="G22" s="69"/>
      <c r="H22" s="65"/>
      <c r="I22" s="65"/>
      <c r="J22" s="69"/>
      <c r="K22" s="69"/>
      <c r="L22" s="69"/>
      <c r="M22" s="65"/>
      <c r="N22" s="65"/>
      <c r="O22" s="65"/>
      <c r="P22" s="65"/>
      <c r="Q22" s="65"/>
      <c r="R22" s="65"/>
      <c r="S22" s="65"/>
      <c r="T22" s="65"/>
      <c r="U22" s="65"/>
    </row>
    <row r="23" spans="2:25" s="24" customFormat="1" ht="1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5" s="24" customFormat="1" ht="15">
      <c r="U24" s="65"/>
    </row>
    <row r="25" spans="2:25" s="24" customFormat="1"/>
    <row r="26" spans="2:25" s="24" customFormat="1"/>
    <row r="27" spans="2:25" s="24" customFormat="1"/>
    <row r="28" spans="2:25" s="24" customFormat="1"/>
    <row r="29" spans="2:25" s="24" customFormat="1"/>
    <row r="30" spans="2:25" s="24" customFormat="1"/>
    <row r="31" spans="2:25" s="24" customFormat="1"/>
    <row r="32" spans="2:25" s="24" customFormat="1"/>
    <row r="33" s="24" customFormat="1"/>
    <row r="34" s="24" customFormat="1"/>
    <row r="35" s="24" customFormat="1"/>
    <row r="36" s="24" customFormat="1"/>
    <row r="37" s="24" customFormat="1"/>
    <row r="38" s="24" customFormat="1"/>
    <row r="39" s="24" customFormat="1"/>
    <row r="40" s="24" customFormat="1"/>
    <row r="41" s="24" customFormat="1"/>
    <row r="42" s="24" customFormat="1"/>
    <row r="43" s="24" customFormat="1"/>
    <row r="44" s="24" customFormat="1"/>
    <row r="45" s="24" customFormat="1"/>
    <row r="46" s="24" customFormat="1"/>
    <row r="47" s="24" customFormat="1"/>
    <row r="48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  <row r="75" s="24" customFormat="1"/>
    <row r="76" s="24" customFormat="1"/>
    <row r="77" s="24" customFormat="1"/>
    <row r="78" s="24" customFormat="1"/>
    <row r="79" s="24" customFormat="1"/>
    <row r="80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="24" customFormat="1"/>
    <row r="114" s="24" customFormat="1"/>
    <row r="115" s="24" customFormat="1"/>
    <row r="116" s="24" customFormat="1"/>
    <row r="117" s="24" customFormat="1"/>
    <row r="118" s="24" customFormat="1"/>
    <row r="119" s="24" customFormat="1"/>
    <row r="120" s="24" customFormat="1"/>
    <row r="121" s="24" customFormat="1"/>
    <row r="122" s="24" customFormat="1"/>
    <row r="123" s="24" customFormat="1"/>
    <row r="124" s="24" customFormat="1"/>
    <row r="125" s="24" customFormat="1"/>
    <row r="126" s="24" customFormat="1"/>
    <row r="127" s="24" customFormat="1"/>
    <row r="128" s="24" customFormat="1"/>
    <row r="129" s="24" customFormat="1"/>
    <row r="130" s="24" customFormat="1"/>
    <row r="131" s="24" customFormat="1"/>
    <row r="132" s="24" customFormat="1"/>
    <row r="133" s="24" customFormat="1"/>
    <row r="134" s="24" customFormat="1"/>
    <row r="135" s="24" customFormat="1"/>
    <row r="136" s="24" customFormat="1"/>
    <row r="137" s="24" customFormat="1"/>
    <row r="138" s="24" customFormat="1"/>
    <row r="139" s="24" customFormat="1"/>
    <row r="140" s="24" customFormat="1"/>
    <row r="141" s="24" customFormat="1"/>
    <row r="142" s="24" customFormat="1"/>
    <row r="143" s="24" customFormat="1"/>
    <row r="144" s="24" customFormat="1"/>
    <row r="145" s="24" customFormat="1"/>
    <row r="146" s="24" customFormat="1"/>
    <row r="147" s="24" customFormat="1"/>
    <row r="148" s="24" customFormat="1"/>
    <row r="149" s="24" customFormat="1"/>
    <row r="150" s="24" customFormat="1"/>
    <row r="151" s="24" customFormat="1"/>
    <row r="152" s="24" customFormat="1"/>
    <row r="153" s="24" customFormat="1"/>
    <row r="154" s="24" customFormat="1"/>
    <row r="155" s="24" customFormat="1"/>
    <row r="156" s="24" customFormat="1"/>
    <row r="157" s="24" customFormat="1"/>
    <row r="158" s="24" customFormat="1"/>
    <row r="159" s="24" customFormat="1"/>
    <row r="160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  <row r="167" s="24" customFormat="1"/>
    <row r="168" s="24" customFormat="1"/>
    <row r="169" s="24" customFormat="1"/>
    <row r="170" s="24" customFormat="1"/>
    <row r="171" s="24" customFormat="1"/>
    <row r="172" s="24" customFormat="1"/>
    <row r="173" s="24" customFormat="1"/>
    <row r="174" s="24" customFormat="1"/>
    <row r="175" s="24" customFormat="1"/>
    <row r="176" s="24" customFormat="1"/>
    <row r="177" s="24" customFormat="1"/>
    <row r="178" s="24" customFormat="1"/>
    <row r="179" s="24" customFormat="1"/>
    <row r="180" s="24" customFormat="1"/>
    <row r="181" s="24" customFormat="1"/>
    <row r="182" s="24" customFormat="1"/>
    <row r="183" s="24" customFormat="1"/>
    <row r="184" s="24" customFormat="1"/>
    <row r="185" s="24" customFormat="1"/>
    <row r="186" s="24" customFormat="1"/>
    <row r="187" s="24" customFormat="1"/>
    <row r="188" s="24" customFormat="1"/>
    <row r="189" s="24" customFormat="1"/>
    <row r="190" s="24" customFormat="1"/>
    <row r="191" s="24" customFormat="1"/>
    <row r="192" s="24" customFormat="1"/>
    <row r="193" s="24" customFormat="1"/>
    <row r="194" s="24" customFormat="1"/>
    <row r="195" s="24" customFormat="1"/>
    <row r="196" s="24" customFormat="1"/>
    <row r="197" s="24" customFormat="1"/>
    <row r="198" s="24" customFormat="1"/>
    <row r="199" s="24" customFormat="1"/>
    <row r="200" s="24" customFormat="1"/>
    <row r="201" s="24" customFormat="1"/>
    <row r="202" s="24" customFormat="1"/>
    <row r="203" s="24" customFormat="1"/>
    <row r="204" s="24" customFormat="1"/>
    <row r="205" s="24" customFormat="1"/>
    <row r="206" s="24" customFormat="1"/>
    <row r="207" s="24" customFormat="1"/>
    <row r="208" s="24" customFormat="1"/>
    <row r="209" s="24" customFormat="1"/>
    <row r="210" s="24" customFormat="1"/>
    <row r="211" s="24" customFormat="1"/>
    <row r="212" s="24" customFormat="1"/>
    <row r="213" s="24" customFormat="1"/>
    <row r="214" s="24" customFormat="1"/>
    <row r="215" s="24" customFormat="1"/>
    <row r="216" s="24" customFormat="1"/>
    <row r="217" s="24" customFormat="1"/>
    <row r="218" s="24" customFormat="1"/>
    <row r="219" s="24" customFormat="1"/>
    <row r="220" s="24" customFormat="1"/>
    <row r="221" s="24" customFormat="1"/>
    <row r="222" s="24" customFormat="1"/>
    <row r="223" s="24" customFormat="1"/>
    <row r="224" s="24" customFormat="1"/>
    <row r="225" s="24" customFormat="1"/>
    <row r="226" s="24" customFormat="1"/>
    <row r="227" s="24" customFormat="1"/>
    <row r="228" s="24" customFormat="1"/>
    <row r="229" s="24" customFormat="1"/>
    <row r="230" s="24" customFormat="1"/>
    <row r="231" s="24" customFormat="1"/>
    <row r="232" s="24" customFormat="1"/>
    <row r="233" s="24" customFormat="1"/>
    <row r="234" s="24" customFormat="1"/>
    <row r="235" s="24" customFormat="1"/>
    <row r="236" s="24" customFormat="1"/>
    <row r="237" s="24" customFormat="1"/>
    <row r="238" s="24" customFormat="1"/>
    <row r="239" s="24" customFormat="1"/>
    <row r="240" s="24" customFormat="1"/>
    <row r="241" s="24" customFormat="1"/>
    <row r="242" s="24" customFormat="1"/>
    <row r="243" s="24" customFormat="1"/>
    <row r="244" s="24" customFormat="1"/>
    <row r="245" s="24" customFormat="1"/>
    <row r="246" s="24" customFormat="1"/>
    <row r="247" s="24" customFormat="1"/>
    <row r="248" s="24" customFormat="1"/>
    <row r="249" s="24" customFormat="1"/>
    <row r="250" s="24" customFormat="1"/>
    <row r="251" s="24" customFormat="1"/>
    <row r="252" s="24" customFormat="1"/>
    <row r="253" s="24" customFormat="1"/>
    <row r="254" s="24" customFormat="1"/>
    <row r="255" s="24" customFormat="1"/>
    <row r="256" s="24" customFormat="1"/>
    <row r="257" s="24" customFormat="1"/>
    <row r="258" s="24" customFormat="1"/>
    <row r="259" s="24" customFormat="1"/>
    <row r="260" s="24" customFormat="1"/>
    <row r="261" s="24" customFormat="1"/>
    <row r="262" s="24" customFormat="1"/>
    <row r="263" s="24" customFormat="1"/>
    <row r="264" s="24" customFormat="1"/>
    <row r="265" s="24" customFormat="1"/>
    <row r="266" s="24" customFormat="1"/>
    <row r="267" s="24" customFormat="1"/>
    <row r="268" s="24" customFormat="1"/>
    <row r="269" s="24" customFormat="1"/>
    <row r="270" s="24" customFormat="1"/>
    <row r="271" s="24" customFormat="1"/>
    <row r="272" s="24" customFormat="1"/>
    <row r="273" s="24" customFormat="1"/>
    <row r="274" s="24" customFormat="1"/>
    <row r="275" s="24" customFormat="1"/>
    <row r="276" s="24" customFormat="1"/>
    <row r="277" s="24" customFormat="1"/>
    <row r="278" s="24" customFormat="1"/>
    <row r="279" s="24" customFormat="1"/>
    <row r="280" s="24" customFormat="1"/>
    <row r="281" s="24" customFormat="1"/>
    <row r="282" s="24" customFormat="1"/>
    <row r="283" s="24" customFormat="1"/>
    <row r="284" s="24" customFormat="1"/>
    <row r="285" s="24" customFormat="1"/>
    <row r="286" s="24" customFormat="1"/>
    <row r="287" s="24" customFormat="1"/>
    <row r="288" s="24" customFormat="1"/>
    <row r="289" s="24" customFormat="1"/>
    <row r="290" s="24" customFormat="1"/>
    <row r="291" s="24" customFormat="1"/>
    <row r="292" s="24" customFormat="1"/>
    <row r="293" s="24" customFormat="1"/>
    <row r="294" s="24" customFormat="1"/>
    <row r="295" s="24" customFormat="1"/>
    <row r="296" s="24" customFormat="1"/>
    <row r="297" s="24" customFormat="1"/>
    <row r="298" s="24" customFormat="1"/>
    <row r="299" s="24" customFormat="1"/>
    <row r="300" s="24" customFormat="1"/>
    <row r="301" s="24" customFormat="1"/>
    <row r="302" s="24" customFormat="1"/>
    <row r="303" s="24" customFormat="1"/>
    <row r="304" s="24" customFormat="1"/>
    <row r="305" s="24" customFormat="1"/>
    <row r="306" s="24" customFormat="1"/>
    <row r="307" s="24" customFormat="1"/>
    <row r="308" s="24" customFormat="1"/>
    <row r="309" s="24" customFormat="1"/>
    <row r="310" s="24" customFormat="1"/>
    <row r="311" s="24" customFormat="1"/>
    <row r="312" s="24" customFormat="1"/>
    <row r="313" s="24" customFormat="1"/>
    <row r="314" s="24" customFormat="1"/>
    <row r="315" s="24" customFormat="1"/>
    <row r="316" s="24" customFormat="1"/>
    <row r="317" s="24" customFormat="1"/>
    <row r="318" s="24" customFormat="1"/>
    <row r="319" s="24" customFormat="1"/>
    <row r="320" s="24" customFormat="1"/>
    <row r="321" s="24" customFormat="1"/>
    <row r="322" s="24" customFormat="1"/>
    <row r="323" s="24" customFormat="1"/>
    <row r="324" s="24" customFormat="1"/>
    <row r="325" s="24" customFormat="1"/>
    <row r="326" s="24" customFormat="1"/>
    <row r="327" s="24" customFormat="1"/>
    <row r="328" s="24" customFormat="1"/>
    <row r="329" s="24" customFormat="1"/>
    <row r="330" s="24" customFormat="1"/>
    <row r="331" s="24" customFormat="1"/>
    <row r="332" s="24" customFormat="1"/>
    <row r="333" s="24" customFormat="1"/>
    <row r="334" s="24" customFormat="1"/>
    <row r="335" s="24" customFormat="1"/>
    <row r="336" s="24" customFormat="1"/>
    <row r="337" s="24" customFormat="1"/>
    <row r="338" s="24" customFormat="1"/>
    <row r="339" s="24" customFormat="1"/>
    <row r="340" s="24" customFormat="1"/>
    <row r="341" s="24" customFormat="1"/>
    <row r="342" s="24" customFormat="1"/>
    <row r="343" s="24" customFormat="1"/>
    <row r="344" s="24" customFormat="1"/>
    <row r="345" s="24" customFormat="1"/>
    <row r="346" s="24" customFormat="1"/>
    <row r="347" s="24" customFormat="1"/>
    <row r="348" s="24" customFormat="1"/>
    <row r="349" s="24" customFormat="1"/>
    <row r="350" s="24" customFormat="1"/>
    <row r="351" s="24" customFormat="1"/>
    <row r="352" s="24" customFormat="1"/>
    <row r="353" s="24" customFormat="1"/>
    <row r="354" s="24" customFormat="1"/>
    <row r="355" s="24" customFormat="1"/>
    <row r="356" s="24" customFormat="1"/>
    <row r="357" s="24" customFormat="1"/>
    <row r="358" s="24" customFormat="1"/>
    <row r="359" s="24" customFormat="1"/>
    <row r="360" s="24" customFormat="1"/>
    <row r="361" s="24" customFormat="1"/>
    <row r="362" s="24" customFormat="1"/>
    <row r="363" s="24" customFormat="1"/>
    <row r="364" s="24" customFormat="1"/>
    <row r="365" s="24" customFormat="1"/>
    <row r="366" s="24" customFormat="1"/>
    <row r="367" s="24" customFormat="1"/>
    <row r="368" s="24" customFormat="1"/>
    <row r="369" s="24" customFormat="1"/>
    <row r="370" s="24" customFormat="1"/>
    <row r="371" s="24" customFormat="1"/>
    <row r="372" s="24" customFormat="1"/>
    <row r="373" s="24" customFormat="1"/>
    <row r="374" s="24" customFormat="1"/>
    <row r="375" s="24" customFormat="1"/>
    <row r="376" s="24" customFormat="1"/>
    <row r="377" s="24" customFormat="1"/>
    <row r="378" s="24" customFormat="1"/>
    <row r="379" s="24" customFormat="1"/>
    <row r="380" s="24" customFormat="1"/>
    <row r="381" s="24" customFormat="1"/>
    <row r="382" s="24" customFormat="1"/>
    <row r="383" s="24" customFormat="1"/>
    <row r="384" s="24" customFormat="1"/>
    <row r="385" s="24" customFormat="1"/>
    <row r="386" s="24" customFormat="1"/>
    <row r="387" s="24" customFormat="1"/>
    <row r="388" s="24" customFormat="1"/>
    <row r="389" s="24" customFormat="1"/>
    <row r="390" s="24" customFormat="1"/>
    <row r="391" s="24" customFormat="1"/>
    <row r="392" s="24" customFormat="1"/>
    <row r="393" s="24" customFormat="1"/>
    <row r="394" s="24" customFormat="1"/>
    <row r="395" s="24" customFormat="1"/>
    <row r="396" s="24" customFormat="1"/>
    <row r="397" s="24" customFormat="1"/>
    <row r="398" s="24" customFormat="1"/>
    <row r="399" s="24" customFormat="1"/>
    <row r="400" s="24" customFormat="1"/>
    <row r="401" s="24" customFormat="1"/>
    <row r="402" s="24" customFormat="1"/>
    <row r="403" s="24" customFormat="1"/>
    <row r="404" s="24" customFormat="1"/>
    <row r="405" s="24" customFormat="1"/>
    <row r="406" s="24" customFormat="1"/>
    <row r="407" s="24" customFormat="1"/>
    <row r="408" s="24" customFormat="1"/>
    <row r="409" s="24" customFormat="1"/>
    <row r="410" s="24" customFormat="1"/>
    <row r="411" s="24" customFormat="1"/>
    <row r="412" s="24" customFormat="1"/>
    <row r="413" s="24" customFormat="1"/>
    <row r="414" s="24" customFormat="1"/>
    <row r="415" s="24" customFormat="1"/>
    <row r="416" s="24" customFormat="1"/>
    <row r="417" s="24" customFormat="1"/>
    <row r="418" s="24" customFormat="1"/>
    <row r="419" s="24" customFormat="1"/>
    <row r="420" s="24" customFormat="1"/>
    <row r="421" s="24" customFormat="1"/>
    <row r="422" s="24" customFormat="1"/>
    <row r="423" s="24" customFormat="1"/>
    <row r="424" s="24" customFormat="1"/>
    <row r="425" s="24" customFormat="1"/>
    <row r="426" s="24" customFormat="1"/>
    <row r="427" s="24" customFormat="1"/>
    <row r="428" s="24" customFormat="1"/>
    <row r="429" s="24" customFormat="1"/>
    <row r="430" s="24" customFormat="1"/>
    <row r="431" s="24" customFormat="1"/>
    <row r="432" s="24" customFormat="1"/>
    <row r="433" s="24" customFormat="1"/>
    <row r="434" s="24" customFormat="1"/>
    <row r="435" s="24" customFormat="1"/>
    <row r="436" s="24" customFormat="1"/>
    <row r="437" s="24" customFormat="1"/>
    <row r="438" s="24" customFormat="1"/>
    <row r="439" s="24" customFormat="1"/>
    <row r="440" s="24" customFormat="1"/>
    <row r="441" s="24" customFormat="1"/>
    <row r="442" s="24" customFormat="1"/>
    <row r="443" s="24" customFormat="1"/>
    <row r="444" s="24" customFormat="1"/>
    <row r="445" s="24" customFormat="1"/>
    <row r="446" s="24" customFormat="1"/>
    <row r="447" s="24" customFormat="1"/>
    <row r="448" s="24" customFormat="1"/>
    <row r="449" s="24" customFormat="1"/>
    <row r="450" s="24" customFormat="1"/>
    <row r="451" s="24" customFormat="1"/>
    <row r="452" s="24" customFormat="1"/>
    <row r="453" s="24" customFormat="1"/>
    <row r="454" s="24" customFormat="1"/>
    <row r="455" s="24" customFormat="1"/>
    <row r="456" s="24" customFormat="1"/>
    <row r="457" s="24" customFormat="1"/>
    <row r="458" s="24" customFormat="1"/>
    <row r="459" s="24" customFormat="1"/>
    <row r="460" s="24" customFormat="1"/>
    <row r="461" s="24" customFormat="1"/>
    <row r="462" s="24" customFormat="1"/>
    <row r="463" s="24" customFormat="1"/>
    <row r="464" s="24" customFormat="1"/>
    <row r="465" s="24" customFormat="1"/>
    <row r="466" s="24" customFormat="1"/>
    <row r="467" s="24" customFormat="1"/>
    <row r="468" s="24" customFormat="1"/>
    <row r="469" s="24" customFormat="1"/>
    <row r="470" s="24" customFormat="1"/>
    <row r="471" s="24" customFormat="1"/>
    <row r="472" s="24" customFormat="1"/>
    <row r="473" s="24" customFormat="1"/>
    <row r="474" s="24" customFormat="1"/>
    <row r="475" s="24" customFormat="1"/>
    <row r="476" s="24" customFormat="1"/>
    <row r="477" s="24" customFormat="1"/>
    <row r="478" s="24" customFormat="1"/>
    <row r="479" s="24" customFormat="1"/>
    <row r="480" s="24" customFormat="1"/>
    <row r="481" s="24" customFormat="1"/>
    <row r="482" s="24" customFormat="1"/>
    <row r="483" s="24" customFormat="1"/>
    <row r="484" s="24" customFormat="1"/>
    <row r="485" s="24" customFormat="1"/>
    <row r="486" s="24" customFormat="1"/>
    <row r="487" s="24" customFormat="1"/>
    <row r="488" s="24" customFormat="1"/>
    <row r="489" s="24" customFormat="1"/>
    <row r="490" s="24" customFormat="1"/>
    <row r="491" s="24" customFormat="1"/>
    <row r="492" s="24" customFormat="1"/>
    <row r="493" s="24" customFormat="1"/>
    <row r="494" s="24" customFormat="1"/>
    <row r="495" s="24" customFormat="1"/>
    <row r="496" s="24" customFormat="1"/>
    <row r="497" s="24" customFormat="1"/>
    <row r="498" s="24" customFormat="1"/>
    <row r="499" s="24" customFormat="1"/>
    <row r="500" s="24" customFormat="1"/>
    <row r="501" s="24" customFormat="1"/>
    <row r="502" s="24" customFormat="1"/>
    <row r="503" s="24" customFormat="1"/>
    <row r="504" s="24" customFormat="1"/>
    <row r="505" s="24" customFormat="1"/>
    <row r="506" s="24" customFormat="1"/>
    <row r="507" s="24" customFormat="1"/>
    <row r="508" s="24" customFormat="1"/>
    <row r="509" s="24" customFormat="1"/>
    <row r="510" s="24" customFormat="1"/>
    <row r="511" s="24" customFormat="1"/>
    <row r="512" s="24" customFormat="1"/>
    <row r="513" s="24" customFormat="1"/>
    <row r="514" s="24" customFormat="1"/>
    <row r="515" s="24" customFormat="1"/>
    <row r="516" s="24" customFormat="1"/>
    <row r="517" s="24" customFormat="1"/>
    <row r="518" s="24" customFormat="1"/>
    <row r="519" s="24" customFormat="1"/>
    <row r="520" s="24" customFormat="1"/>
    <row r="521" s="24" customFormat="1"/>
    <row r="522" s="24" customFormat="1"/>
    <row r="523" s="24" customFormat="1"/>
    <row r="524" s="24" customFormat="1"/>
    <row r="525" s="24" customFormat="1"/>
    <row r="526" s="24" customFormat="1"/>
    <row r="527" s="24" customFormat="1"/>
    <row r="528" s="24" customFormat="1"/>
    <row r="529" s="24" customFormat="1"/>
    <row r="530" s="24" customFormat="1"/>
    <row r="531" s="24" customFormat="1"/>
    <row r="532" s="24" customFormat="1"/>
    <row r="533" s="24" customFormat="1"/>
    <row r="534" s="24" customFormat="1"/>
    <row r="535" s="24" customFormat="1"/>
    <row r="536" s="24" customFormat="1"/>
    <row r="537" s="24" customFormat="1"/>
    <row r="538" s="24" customFormat="1"/>
    <row r="539" s="24" customFormat="1"/>
    <row r="540" s="24" customFormat="1"/>
    <row r="541" s="24" customFormat="1"/>
    <row r="542" s="24" customFormat="1"/>
    <row r="543" s="24" customFormat="1"/>
    <row r="544" s="24" customFormat="1"/>
    <row r="545" s="24" customFormat="1"/>
    <row r="546" s="24" customFormat="1"/>
    <row r="547" s="24" customFormat="1"/>
    <row r="548" s="24" customFormat="1"/>
    <row r="549" s="24" customFormat="1"/>
    <row r="550" s="24" customFormat="1"/>
    <row r="551" s="24" customFormat="1"/>
    <row r="552" s="24" customFormat="1"/>
    <row r="553" s="24" customFormat="1"/>
    <row r="554" s="24" customFormat="1"/>
    <row r="555" s="24" customFormat="1"/>
    <row r="556" s="24" customFormat="1"/>
    <row r="557" s="24" customFormat="1"/>
    <row r="558" s="24" customFormat="1"/>
    <row r="559" s="24" customFormat="1"/>
    <row r="560" s="24" customFormat="1"/>
    <row r="561" s="24" customFormat="1"/>
    <row r="562" s="24" customFormat="1"/>
    <row r="563" s="24" customFormat="1"/>
    <row r="564" s="24" customFormat="1"/>
    <row r="565" s="24" customFormat="1"/>
    <row r="566" s="24" customFormat="1"/>
    <row r="567" s="24" customFormat="1"/>
    <row r="568" s="24" customFormat="1"/>
    <row r="569" s="24" customFormat="1"/>
    <row r="570" s="24" customFormat="1"/>
    <row r="571" s="24" customFormat="1"/>
    <row r="572" s="24" customFormat="1"/>
    <row r="573" s="24" customFormat="1"/>
    <row r="574" s="24" customFormat="1"/>
    <row r="575" s="24" customFormat="1"/>
    <row r="576" s="24" customFormat="1"/>
    <row r="577" s="24" customFormat="1"/>
    <row r="578" s="24" customFormat="1"/>
    <row r="579" s="24" customFormat="1"/>
    <row r="580" s="24" customFormat="1"/>
    <row r="581" s="24" customFormat="1"/>
    <row r="582" s="24" customFormat="1"/>
    <row r="583" s="24" customFormat="1"/>
    <row r="584" s="24" customFormat="1"/>
    <row r="585" s="24" customFormat="1"/>
    <row r="586" s="24" customFormat="1"/>
    <row r="587" s="24" customFormat="1"/>
    <row r="588" s="24" customFormat="1"/>
    <row r="589" s="24" customFormat="1"/>
    <row r="590" s="24" customFormat="1"/>
    <row r="591" s="24" customFormat="1"/>
    <row r="592" s="24" customFormat="1"/>
    <row r="593" s="24" customFormat="1"/>
    <row r="594" s="24" customFormat="1"/>
    <row r="595" s="24" customFormat="1"/>
    <row r="596" s="24" customFormat="1"/>
    <row r="597" s="24" customFormat="1"/>
    <row r="598" s="24" customFormat="1"/>
    <row r="599" s="24" customFormat="1"/>
    <row r="600" s="24" customFormat="1"/>
    <row r="601" s="24" customFormat="1"/>
    <row r="602" s="24" customFormat="1"/>
    <row r="603" s="24" customFormat="1"/>
    <row r="604" s="24" customFormat="1"/>
    <row r="605" s="24" customFormat="1"/>
    <row r="606" s="24" customFormat="1"/>
    <row r="607" s="24" customFormat="1"/>
    <row r="608" s="24" customFormat="1"/>
    <row r="609" s="24" customFormat="1"/>
    <row r="610" s="24" customFormat="1"/>
    <row r="611" s="24" customFormat="1"/>
    <row r="612" s="24" customFormat="1"/>
    <row r="613" s="24" customFormat="1"/>
    <row r="614" s="24" customFormat="1"/>
    <row r="615" s="24" customFormat="1"/>
    <row r="616" s="24" customFormat="1"/>
    <row r="617" s="24" customFormat="1"/>
    <row r="618" s="24" customFormat="1"/>
    <row r="619" s="24" customFormat="1"/>
    <row r="620" s="24" customFormat="1"/>
    <row r="621" s="24" customFormat="1"/>
    <row r="622" s="24" customFormat="1"/>
    <row r="623" s="24" customFormat="1"/>
    <row r="624" s="24" customFormat="1"/>
    <row r="625" s="24" customFormat="1"/>
    <row r="626" s="24" customFormat="1"/>
    <row r="627" s="24" customFormat="1"/>
    <row r="628" s="24" customFormat="1"/>
    <row r="629" s="24" customFormat="1"/>
    <row r="630" s="24" customFormat="1"/>
    <row r="631" s="24" customFormat="1"/>
    <row r="632" s="24" customFormat="1"/>
    <row r="633" s="24" customFormat="1"/>
    <row r="634" s="24" customFormat="1"/>
    <row r="635" s="24" customFormat="1"/>
    <row r="636" s="24" customFormat="1"/>
    <row r="637" s="24" customFormat="1"/>
    <row r="638" s="24" customFormat="1"/>
    <row r="639" s="24" customFormat="1"/>
    <row r="640" s="24" customFormat="1"/>
    <row r="641" s="24" customFormat="1"/>
    <row r="642" s="24" customFormat="1"/>
    <row r="643" s="24" customFormat="1"/>
    <row r="644" s="24" customFormat="1"/>
    <row r="645" s="24" customFormat="1"/>
    <row r="646" s="24" customFormat="1"/>
    <row r="647" s="24" customFormat="1"/>
    <row r="648" s="24" customFormat="1"/>
    <row r="649" s="24" customFormat="1"/>
    <row r="650" s="24" customFormat="1"/>
    <row r="651" s="24" customFormat="1"/>
    <row r="652" s="24" customFormat="1"/>
    <row r="653" s="24" customFormat="1"/>
    <row r="654" s="24" customFormat="1"/>
    <row r="655" s="24" customFormat="1"/>
    <row r="656" s="24" customFormat="1"/>
    <row r="657" s="24" customFormat="1"/>
    <row r="658" s="24" customFormat="1"/>
    <row r="659" s="24" customFormat="1"/>
    <row r="660" s="24" customFormat="1"/>
    <row r="661" s="24" customFormat="1"/>
    <row r="662" s="24" customFormat="1"/>
    <row r="663" s="24" customFormat="1"/>
    <row r="664" s="24" customFormat="1"/>
    <row r="665" s="24" customFormat="1"/>
    <row r="666" s="24" customFormat="1"/>
    <row r="667" s="24" customFormat="1"/>
    <row r="668" s="24" customFormat="1"/>
    <row r="669" s="24" customFormat="1"/>
    <row r="670" s="24" customFormat="1"/>
    <row r="671" s="24" customFormat="1"/>
    <row r="672" s="24" customFormat="1"/>
    <row r="673" s="24" customFormat="1"/>
    <row r="674" s="24" customFormat="1"/>
    <row r="675" s="24" customFormat="1"/>
    <row r="676" s="24" customFormat="1"/>
    <row r="677" s="24" customFormat="1"/>
    <row r="678" s="24" customFormat="1"/>
    <row r="679" s="24" customFormat="1"/>
    <row r="680" s="24" customFormat="1"/>
    <row r="681" s="24" customFormat="1"/>
    <row r="682" s="24" customFormat="1"/>
    <row r="683" s="24" customFormat="1"/>
    <row r="684" s="24" customFormat="1"/>
    <row r="685" s="24" customFormat="1"/>
    <row r="686" s="24" customFormat="1"/>
    <row r="687" s="24" customFormat="1"/>
    <row r="688" s="24" customFormat="1"/>
    <row r="689" s="24" customFormat="1"/>
    <row r="690" s="24" customFormat="1"/>
    <row r="691" s="24" customFormat="1"/>
    <row r="692" s="24" customFormat="1"/>
    <row r="693" s="24" customFormat="1"/>
    <row r="694" s="24" customFormat="1"/>
    <row r="695" s="24" customFormat="1"/>
    <row r="696" s="24" customFormat="1"/>
    <row r="697" s="24" customFormat="1"/>
    <row r="698" s="24" customFormat="1"/>
    <row r="699" s="24" customFormat="1"/>
    <row r="700" s="24" customFormat="1"/>
    <row r="701" s="24" customFormat="1"/>
    <row r="702" s="24" customFormat="1"/>
    <row r="703" s="24" customFormat="1"/>
    <row r="704" s="24" customFormat="1"/>
    <row r="705" s="24" customFormat="1"/>
    <row r="706" s="24" customFormat="1"/>
    <row r="707" s="24" customFormat="1"/>
    <row r="708" s="24" customFormat="1"/>
    <row r="709" s="24" customFormat="1"/>
    <row r="710" s="24" customFormat="1"/>
    <row r="711" s="24" customFormat="1"/>
    <row r="712" s="24" customFormat="1"/>
    <row r="713" s="24" customFormat="1"/>
    <row r="714" s="24" customFormat="1"/>
    <row r="715" s="24" customFormat="1"/>
    <row r="716" s="24" customFormat="1"/>
    <row r="717" s="24" customFormat="1"/>
    <row r="718" s="24" customFormat="1"/>
    <row r="719" s="24" customFormat="1"/>
    <row r="720" s="24" customFormat="1"/>
    <row r="721" s="24" customFormat="1"/>
    <row r="722" s="24" customFormat="1"/>
    <row r="723" s="24" customFormat="1"/>
    <row r="724" s="24" customFormat="1"/>
    <row r="725" s="24" customFormat="1"/>
    <row r="726" s="24" customFormat="1"/>
    <row r="727" s="24" customFormat="1"/>
    <row r="728" s="24" customFormat="1"/>
    <row r="729" s="24" customFormat="1"/>
  </sheetData>
  <mergeCells count="10">
    <mergeCell ref="R2:T2"/>
    <mergeCell ref="C3:G3"/>
    <mergeCell ref="H3:L3"/>
    <mergeCell ref="M3:Q3"/>
    <mergeCell ref="R3:T3"/>
    <mergeCell ref="B16:G16"/>
    <mergeCell ref="B2:B4"/>
    <mergeCell ref="C2:G2"/>
    <mergeCell ref="H2:L2"/>
    <mergeCell ref="M2:Q2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2"/>
  <sheetViews>
    <sheetView showGridLines="0" zoomScaleNormal="100" zoomScaleSheetLayoutView="85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75" customWidth="1"/>
    <col min="13" max="13" width="12.125" style="7" customWidth="1"/>
    <col min="14" max="15" width="13.625" style="7" customWidth="1"/>
    <col min="16" max="16" width="13.625" style="75" customWidth="1"/>
    <col min="17" max="19" width="13.625" style="7" customWidth="1"/>
    <col min="20" max="16384" width="9" style="7"/>
  </cols>
  <sheetData>
    <row r="1" spans="1:494" s="72" customFormat="1" ht="50.25" customHeight="1" thickBot="1">
      <c r="A1" s="5" t="s">
        <v>190</v>
      </c>
      <c r="B1" s="5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  <c r="LC1" s="71"/>
      <c r="LD1" s="71"/>
      <c r="LE1" s="71"/>
      <c r="LF1" s="71"/>
      <c r="LG1" s="71"/>
      <c r="LH1" s="71"/>
      <c r="LI1" s="71"/>
      <c r="LJ1" s="71"/>
      <c r="LK1" s="71"/>
      <c r="LL1" s="71"/>
      <c r="LM1" s="71"/>
      <c r="LN1" s="71"/>
      <c r="LO1" s="71"/>
      <c r="LP1" s="71"/>
      <c r="LQ1" s="71"/>
      <c r="LR1" s="71"/>
      <c r="LS1" s="71"/>
      <c r="LT1" s="71"/>
      <c r="LU1" s="71"/>
      <c r="LV1" s="71"/>
      <c r="LW1" s="71"/>
      <c r="LX1" s="71"/>
      <c r="LY1" s="71"/>
      <c r="LZ1" s="71"/>
      <c r="MA1" s="71"/>
      <c r="MB1" s="71"/>
      <c r="MC1" s="71"/>
      <c r="MD1" s="71"/>
      <c r="ME1" s="71"/>
      <c r="MF1" s="71"/>
      <c r="MG1" s="71"/>
      <c r="MH1" s="71"/>
      <c r="MI1" s="71"/>
      <c r="MJ1" s="71"/>
      <c r="MK1" s="71"/>
      <c r="ML1" s="71"/>
      <c r="MM1" s="71"/>
      <c r="MN1" s="71"/>
      <c r="MO1" s="71"/>
      <c r="MP1" s="71"/>
      <c r="MQ1" s="71"/>
      <c r="MR1" s="71"/>
      <c r="MS1" s="71"/>
      <c r="MT1" s="71"/>
      <c r="MU1" s="71"/>
      <c r="MV1" s="71"/>
      <c r="MW1" s="71"/>
      <c r="MX1" s="71"/>
      <c r="MY1" s="71"/>
      <c r="MZ1" s="71"/>
      <c r="NA1" s="71"/>
      <c r="NB1" s="71"/>
      <c r="NC1" s="71"/>
      <c r="ND1" s="71"/>
      <c r="NE1" s="71"/>
      <c r="NF1" s="71"/>
      <c r="NG1" s="71"/>
      <c r="NH1" s="71"/>
      <c r="NI1" s="71"/>
      <c r="NJ1" s="71"/>
      <c r="NK1" s="71"/>
      <c r="NL1" s="71"/>
      <c r="NM1" s="71"/>
      <c r="NN1" s="71"/>
      <c r="NO1" s="71"/>
      <c r="NP1" s="71"/>
      <c r="NQ1" s="71"/>
      <c r="NR1" s="71"/>
      <c r="NS1" s="71"/>
      <c r="NT1" s="71"/>
      <c r="NU1" s="71"/>
      <c r="NV1" s="71"/>
      <c r="NW1" s="71"/>
      <c r="NX1" s="71"/>
      <c r="NY1" s="71"/>
      <c r="NZ1" s="71"/>
      <c r="OA1" s="71"/>
      <c r="OB1" s="71"/>
      <c r="OC1" s="71"/>
      <c r="OD1" s="71"/>
      <c r="OE1" s="71"/>
      <c r="OF1" s="71"/>
      <c r="OG1" s="71"/>
      <c r="OH1" s="71"/>
      <c r="OI1" s="71"/>
      <c r="OJ1" s="71"/>
      <c r="OK1" s="71"/>
      <c r="OL1" s="71"/>
      <c r="OM1" s="71"/>
      <c r="ON1" s="71"/>
      <c r="OO1" s="71"/>
      <c r="OP1" s="71"/>
      <c r="OQ1" s="71"/>
      <c r="OR1" s="71"/>
      <c r="OS1" s="71"/>
      <c r="OT1" s="71"/>
      <c r="OU1" s="71"/>
      <c r="OV1" s="71"/>
      <c r="OW1" s="71"/>
      <c r="OX1" s="71"/>
      <c r="OY1" s="71"/>
      <c r="OZ1" s="71"/>
      <c r="PA1" s="71"/>
      <c r="PB1" s="71"/>
      <c r="PC1" s="71"/>
      <c r="PD1" s="71"/>
      <c r="PE1" s="71"/>
      <c r="PF1" s="71"/>
      <c r="PG1" s="71"/>
      <c r="PH1" s="71"/>
      <c r="PI1" s="71"/>
      <c r="PJ1" s="71"/>
      <c r="PK1" s="71"/>
      <c r="PL1" s="71"/>
      <c r="PM1" s="71"/>
      <c r="PN1" s="71"/>
      <c r="PO1" s="71"/>
      <c r="PP1" s="71"/>
      <c r="PQ1" s="71"/>
      <c r="PR1" s="71"/>
      <c r="PS1" s="71"/>
      <c r="PT1" s="71"/>
      <c r="PU1" s="71"/>
      <c r="PV1" s="71"/>
      <c r="PW1" s="71"/>
      <c r="PX1" s="71"/>
      <c r="PY1" s="71"/>
      <c r="PZ1" s="71"/>
      <c r="QA1" s="71"/>
      <c r="QB1" s="71"/>
      <c r="QC1" s="71"/>
      <c r="QD1" s="71"/>
      <c r="QE1" s="71"/>
      <c r="QF1" s="71"/>
      <c r="QG1" s="71"/>
      <c r="QH1" s="71"/>
      <c r="QI1" s="71"/>
      <c r="QJ1" s="71"/>
      <c r="QK1" s="71"/>
      <c r="QL1" s="71"/>
      <c r="QM1" s="71"/>
      <c r="QN1" s="71"/>
      <c r="QO1" s="71"/>
      <c r="QP1" s="71"/>
      <c r="QQ1" s="71"/>
      <c r="QR1" s="71"/>
      <c r="QS1" s="71"/>
      <c r="QT1" s="71"/>
      <c r="QU1" s="71"/>
      <c r="QV1" s="71"/>
      <c r="QW1" s="71"/>
      <c r="QX1" s="71"/>
      <c r="QY1" s="71"/>
      <c r="QZ1" s="71"/>
      <c r="RA1" s="71"/>
      <c r="RB1" s="71"/>
      <c r="RC1" s="71"/>
      <c r="RD1" s="71"/>
      <c r="RE1" s="71"/>
      <c r="RF1" s="71"/>
      <c r="RG1" s="71"/>
      <c r="RH1" s="71"/>
      <c r="RI1" s="71"/>
      <c r="RJ1" s="71"/>
      <c r="RK1" s="71"/>
      <c r="RL1" s="71"/>
      <c r="RM1" s="71"/>
      <c r="RN1" s="71"/>
      <c r="RO1" s="71"/>
      <c r="RP1" s="71"/>
      <c r="RQ1" s="71"/>
      <c r="RR1" s="71"/>
      <c r="RS1" s="71"/>
      <c r="RT1" s="71"/>
      <c r="RU1" s="71"/>
      <c r="RV1" s="71"/>
      <c r="RW1" s="71"/>
      <c r="RX1" s="71"/>
      <c r="RY1" s="71"/>
      <c r="RZ1" s="71"/>
    </row>
    <row r="2" spans="1:494" s="72" customFormat="1" ht="24.95" customHeight="1">
      <c r="A2" s="8" t="s">
        <v>129</v>
      </c>
      <c r="B2" s="517">
        <v>2012</v>
      </c>
      <c r="C2" s="517"/>
      <c r="D2" s="517"/>
      <c r="E2" s="519"/>
      <c r="F2" s="517">
        <v>2013</v>
      </c>
      <c r="G2" s="517"/>
      <c r="H2" s="517"/>
      <c r="I2" s="517"/>
      <c r="J2" s="516">
        <v>2014</v>
      </c>
      <c r="K2" s="517"/>
      <c r="L2" s="517"/>
      <c r="M2" s="519"/>
      <c r="N2" s="520">
        <v>2015</v>
      </c>
      <c r="O2" s="520"/>
      <c r="P2" s="520"/>
      <c r="Q2" s="521"/>
      <c r="R2" s="516">
        <v>2016</v>
      </c>
      <c r="S2" s="517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</row>
    <row r="3" spans="1:494" ht="34.5" customHeight="1" thickBot="1">
      <c r="A3" s="9" t="s">
        <v>112</v>
      </c>
      <c r="B3" s="73" t="s">
        <v>130</v>
      </c>
      <c r="C3" s="73" t="s">
        <v>131</v>
      </c>
      <c r="D3" s="73" t="s">
        <v>132</v>
      </c>
      <c r="E3" s="121" t="s">
        <v>133</v>
      </c>
      <c r="F3" s="73" t="s">
        <v>130</v>
      </c>
      <c r="G3" s="73" t="s">
        <v>131</v>
      </c>
      <c r="H3" s="73" t="s">
        <v>132</v>
      </c>
      <c r="I3" s="114" t="s">
        <v>133</v>
      </c>
      <c r="J3" s="122" t="s">
        <v>130</v>
      </c>
      <c r="K3" s="73" t="s">
        <v>131</v>
      </c>
      <c r="L3" s="73" t="s">
        <v>132</v>
      </c>
      <c r="M3" s="123" t="s">
        <v>236</v>
      </c>
      <c r="N3" s="73" t="s">
        <v>130</v>
      </c>
      <c r="O3" s="73" t="s">
        <v>131</v>
      </c>
      <c r="P3" s="73" t="s">
        <v>132</v>
      </c>
      <c r="Q3" s="121" t="s">
        <v>133</v>
      </c>
      <c r="R3" s="73" t="s">
        <v>130</v>
      </c>
      <c r="S3" s="73" t="s">
        <v>131</v>
      </c>
    </row>
    <row r="4" spans="1:494" s="12" customFormat="1" ht="33.75" customHeight="1" thickBot="1">
      <c r="A4" s="108" t="s">
        <v>4</v>
      </c>
      <c r="B4" s="109"/>
      <c r="C4" s="109"/>
      <c r="D4" s="109"/>
      <c r="E4" s="125"/>
      <c r="F4" s="109"/>
      <c r="G4" s="109"/>
      <c r="H4" s="109"/>
      <c r="I4" s="115"/>
      <c r="J4" s="124"/>
      <c r="K4" s="110"/>
      <c r="L4" s="110"/>
      <c r="M4" s="125"/>
      <c r="N4" s="109"/>
      <c r="O4" s="109"/>
      <c r="P4" s="110"/>
      <c r="Q4" s="125"/>
      <c r="R4" s="109"/>
      <c r="S4" s="109"/>
    </row>
    <row r="5" spans="1:494" s="12" customFormat="1" ht="20.100000000000001" customHeight="1">
      <c r="A5" s="94" t="s">
        <v>5</v>
      </c>
      <c r="B5" s="78">
        <f>415.308</f>
        <v>415.30799999999999</v>
      </c>
      <c r="C5" s="78">
        <f>419.479</f>
        <v>419.47899999999998</v>
      </c>
      <c r="D5" s="105">
        <f>(425068)*0.001</f>
        <v>425.06799999999998</v>
      </c>
      <c r="E5" s="460">
        <f>(420060)*0.001</f>
        <v>420.06</v>
      </c>
      <c r="F5" s="105">
        <f>(419894)*0.001</f>
        <v>419.89400000000001</v>
      </c>
      <c r="G5" s="105">
        <f>(418521)*0.001</f>
        <v>418.52100000000002</v>
      </c>
      <c r="H5" s="105">
        <f>(409736)*0.001</f>
        <v>409.73599999999999</v>
      </c>
      <c r="I5" s="461">
        <f>(407579)*0.001</f>
        <v>407.57900000000001</v>
      </c>
      <c r="J5" s="462">
        <f>(395393)*0.001</f>
        <v>395.39300000000003</v>
      </c>
      <c r="K5" s="78">
        <v>384.8</v>
      </c>
      <c r="L5" s="78">
        <v>417</v>
      </c>
      <c r="M5" s="126">
        <v>421.1</v>
      </c>
      <c r="N5" s="78">
        <v>416.6</v>
      </c>
      <c r="O5" s="78">
        <v>401.1</v>
      </c>
      <c r="P5" s="78">
        <v>377</v>
      </c>
      <c r="Q5" s="295">
        <v>371</v>
      </c>
      <c r="R5" s="386">
        <v>356.7</v>
      </c>
      <c r="S5" s="386">
        <v>353.3</v>
      </c>
    </row>
    <row r="6" spans="1:494" s="12" customFormat="1" ht="20.100000000000001" customHeight="1">
      <c r="A6" s="94" t="s">
        <v>6</v>
      </c>
      <c r="B6" s="78">
        <f>258.7</f>
        <v>258.7</v>
      </c>
      <c r="C6" s="78">
        <f>258.506</f>
        <v>258.50599999999997</v>
      </c>
      <c r="D6" s="105">
        <f>(257043)*0.001</f>
        <v>257.04300000000001</v>
      </c>
      <c r="E6" s="460">
        <f>(276407)*0.001</f>
        <v>276.40699999999998</v>
      </c>
      <c r="F6" s="105">
        <f>(266252)*0.001</f>
        <v>266.25200000000001</v>
      </c>
      <c r="G6" s="105">
        <f>(265011)*0.001</f>
        <v>265.01100000000002</v>
      </c>
      <c r="H6" s="105">
        <f>(252063)*0.001</f>
        <v>252.06300000000002</v>
      </c>
      <c r="I6" s="461">
        <f>(251152)*0.001</f>
        <v>251.15200000000002</v>
      </c>
      <c r="J6" s="462">
        <f>(248178)*0.001</f>
        <v>248.178</v>
      </c>
      <c r="K6" s="77">
        <v>3010.6</v>
      </c>
      <c r="L6" s="77">
        <v>2933.8</v>
      </c>
      <c r="M6" s="126">
        <v>2714.9</v>
      </c>
      <c r="N6" s="78">
        <v>2855.8</v>
      </c>
      <c r="O6" s="78">
        <v>2541.1999999999998</v>
      </c>
      <c r="P6" s="77">
        <v>2535.1999999999998</v>
      </c>
      <c r="Q6" s="295">
        <v>2548.6</v>
      </c>
      <c r="R6" s="386">
        <v>3002.2</v>
      </c>
      <c r="S6" s="386">
        <v>2931</v>
      </c>
    </row>
    <row r="7" spans="1:494" s="12" customFormat="1" ht="20.100000000000001" customHeight="1">
      <c r="A7" s="94" t="s">
        <v>9</v>
      </c>
      <c r="B7" s="78">
        <f>2422.989</f>
        <v>2422.989</v>
      </c>
      <c r="C7" s="78">
        <f>2575.456</f>
        <v>2575.4560000000001</v>
      </c>
      <c r="D7" s="78">
        <f>(2575456)*0.001</f>
        <v>2575.4560000000001</v>
      </c>
      <c r="E7" s="126">
        <f>(2568033)*0.001</f>
        <v>2568.0329999999999</v>
      </c>
      <c r="F7" s="78">
        <f>(2568033)*0.001</f>
        <v>2568.0329999999999</v>
      </c>
      <c r="G7" s="78">
        <f>(2568033)*0.001</f>
        <v>2568.0329999999999</v>
      </c>
      <c r="H7" s="78">
        <f>(2637594)*0.001</f>
        <v>2637.5940000000001</v>
      </c>
      <c r="I7" s="126">
        <f>(2602804)*0.001</f>
        <v>2602.8040000000001</v>
      </c>
      <c r="J7" s="78">
        <f>(2602804)*0.001</f>
        <v>2602.8040000000001</v>
      </c>
      <c r="K7" s="77">
        <v>11735.5</v>
      </c>
      <c r="L7" s="77">
        <v>11735.5</v>
      </c>
      <c r="M7" s="126">
        <v>10585.3</v>
      </c>
      <c r="N7" s="78">
        <v>10831.2</v>
      </c>
      <c r="O7" s="78">
        <v>10606.4</v>
      </c>
      <c r="P7" s="77">
        <v>10606.4</v>
      </c>
      <c r="Q7" s="295">
        <v>10606.4</v>
      </c>
      <c r="R7" s="386">
        <v>11675.3</v>
      </c>
      <c r="S7" s="386">
        <v>10975.2</v>
      </c>
    </row>
    <row r="8" spans="1:494" s="12" customFormat="1" ht="20.100000000000001" customHeight="1">
      <c r="A8" s="94" t="s">
        <v>224</v>
      </c>
      <c r="B8" s="79">
        <f>0</f>
        <v>0</v>
      </c>
      <c r="C8" s="79">
        <v>0</v>
      </c>
      <c r="D8" s="79">
        <f>0</f>
        <v>0</v>
      </c>
      <c r="E8" s="132">
        <v>0</v>
      </c>
      <c r="F8" s="79">
        <f>0</f>
        <v>0</v>
      </c>
      <c r="G8" s="79">
        <f>0</f>
        <v>0</v>
      </c>
      <c r="H8" s="79">
        <f>0</f>
        <v>0</v>
      </c>
      <c r="I8" s="116">
        <f>0</f>
        <v>0</v>
      </c>
      <c r="J8" s="127">
        <v>0</v>
      </c>
      <c r="K8" s="77">
        <v>4482</v>
      </c>
      <c r="L8" s="77">
        <v>4331.8999999999996</v>
      </c>
      <c r="M8" s="126">
        <v>4255.8</v>
      </c>
      <c r="N8" s="81">
        <v>4002.2</v>
      </c>
      <c r="O8" s="81">
        <v>3944.6</v>
      </c>
      <c r="P8" s="77">
        <v>3791.6</v>
      </c>
      <c r="Q8" s="295">
        <v>3638.5</v>
      </c>
      <c r="R8" s="387">
        <v>3488.7</v>
      </c>
      <c r="S8" s="387">
        <v>3337.3</v>
      </c>
    </row>
    <row r="9" spans="1:494" s="12" customFormat="1" ht="20.100000000000001" customHeight="1">
      <c r="A9" s="94" t="s">
        <v>58</v>
      </c>
      <c r="B9" s="78">
        <f>840</f>
        <v>840</v>
      </c>
      <c r="C9" s="105">
        <f>(840000)*0.001</f>
        <v>840</v>
      </c>
      <c r="D9" s="105">
        <f>(840000)*0.001</f>
        <v>840</v>
      </c>
      <c r="E9" s="460">
        <f>(847800)*0.001</f>
        <v>847.80000000000007</v>
      </c>
      <c r="F9" s="105">
        <f>(847800)*0.001</f>
        <v>847.80000000000007</v>
      </c>
      <c r="G9" s="105">
        <f>(847800)*0.001</f>
        <v>847.80000000000007</v>
      </c>
      <c r="H9" s="105">
        <f>(847800)*0.001</f>
        <v>847.80000000000007</v>
      </c>
      <c r="I9" s="461">
        <f>(890800)*0.001</f>
        <v>890.80000000000007</v>
      </c>
      <c r="J9" s="462">
        <f>(890800)*0.001</f>
        <v>890.80000000000007</v>
      </c>
      <c r="K9" s="82">
        <v>890.8</v>
      </c>
      <c r="L9" s="82">
        <v>890.8</v>
      </c>
      <c r="M9" s="126">
        <v>2085.9</v>
      </c>
      <c r="N9" s="78">
        <v>1783.7</v>
      </c>
      <c r="O9" s="78">
        <v>2092.6999999999998</v>
      </c>
      <c r="P9" s="82">
        <v>2086.6</v>
      </c>
      <c r="Q9" s="295">
        <v>2080.6</v>
      </c>
      <c r="R9" s="386">
        <v>2074.6</v>
      </c>
      <c r="S9" s="386">
        <v>2068.6</v>
      </c>
    </row>
    <row r="10" spans="1:494" s="12" customFormat="1" ht="20.100000000000001" customHeight="1">
      <c r="A10" s="94" t="s">
        <v>63</v>
      </c>
      <c r="B10" s="78">
        <f>69.466</f>
        <v>69.465999999999994</v>
      </c>
      <c r="C10" s="105">
        <f>(69627)*0.001</f>
        <v>69.626999999999995</v>
      </c>
      <c r="D10" s="105">
        <f>(68459)*0.001</f>
        <v>68.459000000000003</v>
      </c>
      <c r="E10" s="460">
        <f>(81380)*0.001</f>
        <v>81.38</v>
      </c>
      <c r="F10" s="105">
        <f>(82841)*0.001</f>
        <v>82.841000000000008</v>
      </c>
      <c r="G10" s="105">
        <f>(83804)*0.001</f>
        <v>83.804000000000002</v>
      </c>
      <c r="H10" s="105">
        <f>(115337)*0.001</f>
        <v>115.337</v>
      </c>
      <c r="I10" s="461">
        <f>(137401)*0.001</f>
        <v>137.40100000000001</v>
      </c>
      <c r="J10" s="462">
        <f>(136697)*0.001</f>
        <v>136.697</v>
      </c>
      <c r="K10" s="77">
        <v>2360.6</v>
      </c>
      <c r="L10" s="77">
        <v>2624.2</v>
      </c>
      <c r="M10" s="126">
        <v>2591.4</v>
      </c>
      <c r="N10" s="78">
        <v>2527.5</v>
      </c>
      <c r="O10" s="78">
        <v>2525.8000000000002</v>
      </c>
      <c r="P10" s="77">
        <v>2464.1999999999998</v>
      </c>
      <c r="Q10" s="295">
        <v>2422.1999999999998</v>
      </c>
      <c r="R10" s="386">
        <v>2988.7</v>
      </c>
      <c r="S10" s="386">
        <v>3903</v>
      </c>
    </row>
    <row r="11" spans="1:494" s="12" customFormat="1" ht="20.100000000000001" customHeight="1">
      <c r="A11" s="94" t="s">
        <v>59</v>
      </c>
      <c r="B11" s="78">
        <f>91.415</f>
        <v>91.415000000000006</v>
      </c>
      <c r="C11" s="105">
        <f>(95405)*0.001</f>
        <v>95.405000000000001</v>
      </c>
      <c r="D11" s="105">
        <f>(95323)*0.001</f>
        <v>95.323000000000008</v>
      </c>
      <c r="E11" s="460">
        <f>(97988)*0.001</f>
        <v>97.988</v>
      </c>
      <c r="F11" s="105">
        <f>(104074)*0.001</f>
        <v>104.074</v>
      </c>
      <c r="G11" s="105">
        <f>(115904)*0.001</f>
        <v>115.904</v>
      </c>
      <c r="H11" s="105">
        <f>(82162)*0.001</f>
        <v>82.162000000000006</v>
      </c>
      <c r="I11" s="461">
        <f>(71571)*0.001</f>
        <v>71.570999999999998</v>
      </c>
      <c r="J11" s="462">
        <f>(107548)*0.001</f>
        <v>107.548</v>
      </c>
      <c r="K11" s="82">
        <v>128.1</v>
      </c>
      <c r="L11" s="82">
        <v>148.80000000000001</v>
      </c>
      <c r="M11" s="126">
        <v>135.80000000000001</v>
      </c>
      <c r="N11" s="78">
        <v>158.69999999999999</v>
      </c>
      <c r="O11" s="78">
        <v>174.6</v>
      </c>
      <c r="P11" s="82">
        <v>109</v>
      </c>
      <c r="Q11" s="295">
        <v>145</v>
      </c>
      <c r="R11" s="386">
        <v>129.80000000000001</v>
      </c>
      <c r="S11" s="386">
        <v>156.19999999999999</v>
      </c>
    </row>
    <row r="12" spans="1:494" s="12" customFormat="1" ht="20.100000000000001" customHeight="1">
      <c r="A12" s="94" t="s">
        <v>7</v>
      </c>
      <c r="B12" s="78">
        <f>8.419</f>
        <v>8.4190000000000005</v>
      </c>
      <c r="C12" s="105">
        <f>(8398)*0.001</f>
        <v>8.3979999999999997</v>
      </c>
      <c r="D12" s="105">
        <f>(8378)*0.001</f>
        <v>8.3780000000000001</v>
      </c>
      <c r="E12" s="460">
        <f>(8357)*0.001</f>
        <v>8.3569999999999993</v>
      </c>
      <c r="F12" s="105">
        <f>(8336)*0.001</f>
        <v>8.3360000000000003</v>
      </c>
      <c r="G12" s="105">
        <f>(7788)*0.001</f>
        <v>7.7880000000000003</v>
      </c>
      <c r="H12" s="105">
        <f>(7427)*0.001</f>
        <v>7.4270000000000005</v>
      </c>
      <c r="I12" s="461">
        <f>(5330)*0.001</f>
        <v>5.33</v>
      </c>
      <c r="J12" s="462">
        <f>(5315)*0.001</f>
        <v>5.3150000000000004</v>
      </c>
      <c r="K12" s="82">
        <v>5.3</v>
      </c>
      <c r="L12" s="82">
        <v>5.3</v>
      </c>
      <c r="M12" s="126">
        <v>5.3</v>
      </c>
      <c r="N12" s="78">
        <v>5.2</v>
      </c>
      <c r="O12" s="78">
        <v>5.2</v>
      </c>
      <c r="P12" s="82">
        <v>5.2</v>
      </c>
      <c r="Q12" s="295">
        <v>5.2</v>
      </c>
      <c r="R12" s="386">
        <v>5.2</v>
      </c>
      <c r="S12" s="386">
        <v>5.2</v>
      </c>
    </row>
    <row r="13" spans="1:494" s="12" customFormat="1" ht="20.100000000000001" customHeight="1">
      <c r="A13" s="94" t="s">
        <v>225</v>
      </c>
      <c r="B13" s="493">
        <v>0</v>
      </c>
      <c r="C13" s="466">
        <f>(33259)*0.001</f>
        <v>33.259</v>
      </c>
      <c r="D13" s="466">
        <f>(33252)*0.001</f>
        <v>33.252000000000002</v>
      </c>
      <c r="E13" s="467">
        <f>(35125)*0.001</f>
        <v>35.125</v>
      </c>
      <c r="F13" s="466">
        <f>(34399)*0.001</f>
        <v>34.399000000000001</v>
      </c>
      <c r="G13" s="466">
        <f>(32935)*0.001</f>
        <v>32.935000000000002</v>
      </c>
      <c r="H13" s="466">
        <f>(29318)*0.001</f>
        <v>29.318000000000001</v>
      </c>
      <c r="I13" s="468">
        <f>(29551)*0.001</f>
        <v>29.551000000000002</v>
      </c>
      <c r="J13" s="469">
        <f>(26502)*0.001</f>
        <v>26.501999999999999</v>
      </c>
      <c r="K13" s="82">
        <v>46.2</v>
      </c>
      <c r="L13" s="82">
        <v>67</v>
      </c>
      <c r="M13" s="126">
        <v>81</v>
      </c>
      <c r="N13" s="78">
        <v>84.1</v>
      </c>
      <c r="O13" s="78">
        <v>82.3</v>
      </c>
      <c r="P13" s="82">
        <v>81.2</v>
      </c>
      <c r="Q13" s="295">
        <v>83.3</v>
      </c>
      <c r="R13" s="386">
        <v>81.099999999999994</v>
      </c>
      <c r="S13" s="386">
        <v>79.7</v>
      </c>
    </row>
    <row r="14" spans="1:494" s="12" customFormat="1" ht="20.100000000000001" customHeight="1">
      <c r="A14" s="94" t="s">
        <v>194</v>
      </c>
      <c r="B14" s="87">
        <v>0</v>
      </c>
      <c r="C14" s="87">
        <v>0</v>
      </c>
      <c r="D14" s="87">
        <v>0</v>
      </c>
      <c r="E14" s="494">
        <v>0</v>
      </c>
      <c r="F14" s="87">
        <v>0</v>
      </c>
      <c r="G14" s="87">
        <v>0</v>
      </c>
      <c r="H14" s="87">
        <v>0</v>
      </c>
      <c r="I14" s="494">
        <v>0</v>
      </c>
      <c r="J14" s="87">
        <v>0</v>
      </c>
      <c r="K14" s="87">
        <v>0</v>
      </c>
      <c r="L14" s="87">
        <v>0</v>
      </c>
      <c r="M14" s="494">
        <v>0</v>
      </c>
      <c r="N14" s="87">
        <v>0</v>
      </c>
      <c r="O14" s="87">
        <v>0</v>
      </c>
      <c r="P14" s="87">
        <v>0</v>
      </c>
      <c r="Q14" s="494">
        <v>0</v>
      </c>
      <c r="R14" s="386">
        <v>180.5</v>
      </c>
      <c r="S14" s="386">
        <v>0</v>
      </c>
    </row>
    <row r="15" spans="1:494" s="12" customFormat="1" ht="20.100000000000001" customHeight="1">
      <c r="A15" s="94" t="s">
        <v>226</v>
      </c>
      <c r="B15" s="78">
        <f>92.159</f>
        <v>92.159000000000006</v>
      </c>
      <c r="C15" s="105">
        <f>(84770)*0.001</f>
        <v>84.77</v>
      </c>
      <c r="D15" s="105">
        <f>(116704)*0.001</f>
        <v>116.70400000000001</v>
      </c>
      <c r="E15" s="460">
        <f>(109642)*0.001</f>
        <v>109.642</v>
      </c>
      <c r="F15" s="105">
        <f>(62960)*0.001</f>
        <v>62.96</v>
      </c>
      <c r="G15" s="105">
        <f>(61422)*0.001</f>
        <v>61.422000000000004</v>
      </c>
      <c r="H15" s="105">
        <f>(27107)*0.001</f>
        <v>27.106999999999999</v>
      </c>
      <c r="I15" s="461">
        <f>(20803)*0.001</f>
        <v>20.803000000000001</v>
      </c>
      <c r="J15" s="462">
        <f>(6430)*0.001</f>
        <v>6.43</v>
      </c>
      <c r="K15" s="82">
        <v>107.4</v>
      </c>
      <c r="L15" s="82">
        <v>141.4</v>
      </c>
      <c r="M15" s="126">
        <v>198.5</v>
      </c>
      <c r="N15" s="78">
        <v>238</v>
      </c>
      <c r="O15" s="78">
        <v>232.8</v>
      </c>
      <c r="P15" s="82">
        <v>232.7</v>
      </c>
      <c r="Q15" s="295">
        <v>272.8</v>
      </c>
      <c r="R15" s="386">
        <v>295.39999999999998</v>
      </c>
      <c r="S15" s="386">
        <v>331.8</v>
      </c>
    </row>
    <row r="16" spans="1:494" s="74" customFormat="1" ht="20.100000000000001" customHeight="1">
      <c r="A16" s="99" t="s">
        <v>106</v>
      </c>
      <c r="B16" s="84">
        <v>0</v>
      </c>
      <c r="C16" s="84">
        <v>0</v>
      </c>
      <c r="D16" s="84">
        <v>0</v>
      </c>
      <c r="E16" s="142">
        <v>0</v>
      </c>
      <c r="F16" s="84">
        <v>0</v>
      </c>
      <c r="G16" s="84">
        <v>0</v>
      </c>
      <c r="H16" s="84">
        <v>0</v>
      </c>
      <c r="I16" s="117">
        <v>0</v>
      </c>
      <c r="J16" s="128">
        <v>0</v>
      </c>
      <c r="K16" s="84">
        <v>0</v>
      </c>
      <c r="L16" s="84">
        <v>0</v>
      </c>
      <c r="M16" s="129">
        <v>1.2</v>
      </c>
      <c r="N16" s="84">
        <v>0</v>
      </c>
      <c r="O16" s="84">
        <v>0</v>
      </c>
      <c r="P16" s="84">
        <v>0</v>
      </c>
      <c r="Q16" s="296">
        <v>6.9</v>
      </c>
      <c r="R16" s="388">
        <v>0.6</v>
      </c>
      <c r="S16" s="388">
        <v>0</v>
      </c>
    </row>
    <row r="17" spans="1:19" s="12" customFormat="1" ht="20.100000000000001" customHeight="1" thickBot="1">
      <c r="A17" s="95" t="s">
        <v>8</v>
      </c>
      <c r="B17" s="86">
        <f>30.5</f>
        <v>30.5</v>
      </c>
      <c r="C17" s="105">
        <f>(40245)*0.001</f>
        <v>40.244999999999997</v>
      </c>
      <c r="D17" s="105">
        <f>(37018)*0.001</f>
        <v>37.018000000000001</v>
      </c>
      <c r="E17" s="460">
        <f>(31356)*0.001</f>
        <v>31.356000000000002</v>
      </c>
      <c r="F17" s="105">
        <f>(30260)*0.001</f>
        <v>30.26</v>
      </c>
      <c r="G17" s="105">
        <f>(27326)*0.001</f>
        <v>27.326000000000001</v>
      </c>
      <c r="H17" s="105">
        <f>(27552)*0.001</f>
        <v>27.552</v>
      </c>
      <c r="I17" s="461">
        <f>(38854)*0.001</f>
        <v>38.853999999999999</v>
      </c>
      <c r="J17" s="462">
        <f>(34685)*0.001</f>
        <v>34.685000000000002</v>
      </c>
      <c r="K17" s="85">
        <v>240.5</v>
      </c>
      <c r="L17" s="85">
        <v>285.7</v>
      </c>
      <c r="M17" s="130">
        <v>281.10000000000002</v>
      </c>
      <c r="N17" s="86">
        <v>229</v>
      </c>
      <c r="O17" s="86">
        <v>260.89999999999998</v>
      </c>
      <c r="P17" s="85">
        <v>107.2</v>
      </c>
      <c r="Q17" s="295">
        <v>87.6</v>
      </c>
      <c r="R17" s="389">
        <v>211.3</v>
      </c>
      <c r="S17" s="389">
        <v>236.5</v>
      </c>
    </row>
    <row r="18" spans="1:19" s="23" customFormat="1" ht="24.95" customHeight="1" thickBot="1">
      <c r="A18" s="13" t="s">
        <v>10</v>
      </c>
      <c r="B18" s="98">
        <f t="shared" ref="B18:I18" si="0">(SUM(B5:B17))</f>
        <v>4228.9560000000001</v>
      </c>
      <c r="C18" s="98">
        <f t="shared" si="0"/>
        <v>4425.1450000000004</v>
      </c>
      <c r="D18" s="98">
        <f t="shared" si="0"/>
        <v>4456.701</v>
      </c>
      <c r="E18" s="120">
        <f t="shared" si="0"/>
        <v>4476.1480000000001</v>
      </c>
      <c r="F18" s="98">
        <f t="shared" si="0"/>
        <v>4424.8490000000011</v>
      </c>
      <c r="G18" s="98">
        <f t="shared" si="0"/>
        <v>4428.5439999999999</v>
      </c>
      <c r="H18" s="98">
        <f t="shared" si="0"/>
        <v>4436.0960000000005</v>
      </c>
      <c r="I18" s="98">
        <f t="shared" si="0"/>
        <v>4455.8450000000003</v>
      </c>
      <c r="J18" s="463">
        <f>(SUM(J5:J17))</f>
        <v>4454.3520000000008</v>
      </c>
      <c r="K18" s="97">
        <f t="shared" ref="K18:L18" si="1">SUM(K5:K17)</f>
        <v>23391.8</v>
      </c>
      <c r="L18" s="97">
        <f t="shared" si="1"/>
        <v>23581.399999999998</v>
      </c>
      <c r="M18" s="120">
        <f t="shared" ref="M18:R18" si="2">(SUM(M5:M17))-M16</f>
        <v>23356.1</v>
      </c>
      <c r="N18" s="98">
        <f t="shared" si="2"/>
        <v>23132</v>
      </c>
      <c r="O18" s="98">
        <f t="shared" si="2"/>
        <v>22867.599999999999</v>
      </c>
      <c r="P18" s="98">
        <f t="shared" si="2"/>
        <v>22396.3</v>
      </c>
      <c r="Q18" s="297">
        <f t="shared" si="2"/>
        <v>22261.199999999997</v>
      </c>
      <c r="R18" s="390">
        <f t="shared" si="2"/>
        <v>24489.499999999996</v>
      </c>
      <c r="S18" s="390">
        <f t="shared" ref="S18" si="3">(SUM(S5:S17))-S16</f>
        <v>24377.8</v>
      </c>
    </row>
    <row r="19" spans="1:19" s="23" customFormat="1" ht="20.100000000000001" customHeight="1">
      <c r="A19" s="93" t="s">
        <v>60</v>
      </c>
      <c r="B19" s="76">
        <f>176.114</f>
        <v>176.114</v>
      </c>
      <c r="C19" s="105">
        <f>(167251)*0.001</f>
        <v>167.251</v>
      </c>
      <c r="D19" s="105">
        <f>(171461)*0.001</f>
        <v>171.46100000000001</v>
      </c>
      <c r="E19" s="460">
        <f>(141652)*0.001</f>
        <v>141.65200000000002</v>
      </c>
      <c r="F19" s="105">
        <f>(155399)*0.001</f>
        <v>155.399</v>
      </c>
      <c r="G19" s="105">
        <f>(170743)*0.001</f>
        <v>170.74299999999999</v>
      </c>
      <c r="H19" s="105">
        <f>(208533)*0.001</f>
        <v>208.53300000000002</v>
      </c>
      <c r="I19" s="461">
        <f>(181341)*0.001</f>
        <v>181.34100000000001</v>
      </c>
      <c r="J19" s="462">
        <f>(228936)*0.001</f>
        <v>228.93600000000001</v>
      </c>
      <c r="K19" s="100">
        <v>199.1</v>
      </c>
      <c r="L19" s="100">
        <v>172.6</v>
      </c>
      <c r="M19" s="131">
        <v>152.1</v>
      </c>
      <c r="N19" s="76">
        <v>163.1</v>
      </c>
      <c r="O19" s="76">
        <v>170.4</v>
      </c>
      <c r="P19" s="100">
        <v>255.6</v>
      </c>
      <c r="Q19" s="295">
        <v>192.2</v>
      </c>
      <c r="R19" s="391">
        <v>234.7</v>
      </c>
      <c r="S19" s="391">
        <v>163.5</v>
      </c>
    </row>
    <row r="20" spans="1:19" s="12" customFormat="1" ht="20.100000000000001" customHeight="1">
      <c r="A20" s="94" t="s">
        <v>11</v>
      </c>
      <c r="B20" s="78">
        <f>185.376</f>
        <v>185.376</v>
      </c>
      <c r="C20" s="105">
        <f>(185528)*0.001</f>
        <v>185.52799999999999</v>
      </c>
      <c r="D20" s="105">
        <f>(177054)*0.001</f>
        <v>177.054</v>
      </c>
      <c r="E20" s="460">
        <f>(161974)*0.001</f>
        <v>161.97399999999999</v>
      </c>
      <c r="F20" s="105">
        <f>(150701)*0.001</f>
        <v>150.70099999999999</v>
      </c>
      <c r="G20" s="105">
        <f>(157445)*0.001</f>
        <v>157.44499999999999</v>
      </c>
      <c r="H20" s="105">
        <f>(155698)*0.001</f>
        <v>155.69800000000001</v>
      </c>
      <c r="I20" s="461">
        <f>(146771)*0.001</f>
        <v>146.77100000000002</v>
      </c>
      <c r="J20" s="462">
        <f>(163072)*0.001</f>
        <v>163.072</v>
      </c>
      <c r="K20" s="77">
        <v>343.8</v>
      </c>
      <c r="L20" s="77">
        <v>316.60000000000002</v>
      </c>
      <c r="M20" s="126">
        <v>301.39999999999998</v>
      </c>
      <c r="N20" s="78">
        <v>252.9</v>
      </c>
      <c r="O20" s="78">
        <v>261.7</v>
      </c>
      <c r="P20" s="77">
        <v>264.10000000000002</v>
      </c>
      <c r="Q20" s="295">
        <v>281</v>
      </c>
      <c r="R20" s="386">
        <v>260.2</v>
      </c>
      <c r="S20" s="386">
        <v>270</v>
      </c>
    </row>
    <row r="21" spans="1:19" s="12" customFormat="1" ht="20.100000000000001" customHeight="1">
      <c r="A21" s="94" t="s">
        <v>65</v>
      </c>
      <c r="B21" s="78">
        <f>1.102</f>
        <v>1.1020000000000001</v>
      </c>
      <c r="C21" s="79">
        <f>0</f>
        <v>0</v>
      </c>
      <c r="D21" s="79">
        <f>0</f>
        <v>0</v>
      </c>
      <c r="E21" s="132">
        <f>0</f>
        <v>0</v>
      </c>
      <c r="F21" s="79">
        <f>0</f>
        <v>0</v>
      </c>
      <c r="G21" s="79">
        <f>0</f>
        <v>0</v>
      </c>
      <c r="H21" s="79">
        <f>0</f>
        <v>0</v>
      </c>
      <c r="I21" s="116">
        <v>0</v>
      </c>
      <c r="J21" s="127">
        <v>0</v>
      </c>
      <c r="K21" s="87">
        <v>0</v>
      </c>
      <c r="L21" s="87">
        <v>0</v>
      </c>
      <c r="M21" s="132">
        <f>0*($A$71)</f>
        <v>0</v>
      </c>
      <c r="N21" s="79">
        <f>0*($A$71)</f>
        <v>0</v>
      </c>
      <c r="O21" s="79">
        <v>0</v>
      </c>
      <c r="P21" s="87">
        <v>0</v>
      </c>
      <c r="Q21" s="295">
        <v>0</v>
      </c>
      <c r="R21" s="387">
        <v>0</v>
      </c>
      <c r="S21" s="387">
        <v>0</v>
      </c>
    </row>
    <row r="22" spans="1:19" s="12" customFormat="1" ht="20.100000000000001" customHeight="1">
      <c r="A22" s="94" t="s">
        <v>227</v>
      </c>
      <c r="B22" s="78">
        <f>342.386</f>
        <v>342.38600000000002</v>
      </c>
      <c r="C22" s="105">
        <f>(382365)*0.001</f>
        <v>382.36500000000001</v>
      </c>
      <c r="D22" s="105">
        <f>(376949)*0.001</f>
        <v>376.94900000000001</v>
      </c>
      <c r="E22" s="460">
        <f>(375659)*0.001</f>
        <v>375.65899999999999</v>
      </c>
      <c r="F22" s="105">
        <f>(403593)*0.001</f>
        <v>403.59300000000002</v>
      </c>
      <c r="G22" s="105">
        <f>(410902)*0.001</f>
        <v>410.90199999999999</v>
      </c>
      <c r="H22" s="105">
        <f>(401503)*0.001</f>
        <v>401.50299999999999</v>
      </c>
      <c r="I22" s="461">
        <f>(374424)*0.001</f>
        <v>374.42400000000004</v>
      </c>
      <c r="J22" s="462">
        <f>(398589)*0.001</f>
        <v>398.589</v>
      </c>
      <c r="K22" s="77">
        <v>1374.4</v>
      </c>
      <c r="L22" s="77">
        <v>1369.9</v>
      </c>
      <c r="M22" s="126">
        <v>1453.4</v>
      </c>
      <c r="N22" s="78">
        <v>1599.5</v>
      </c>
      <c r="O22" s="78">
        <v>1988.6</v>
      </c>
      <c r="P22" s="77">
        <v>1699.4</v>
      </c>
      <c r="Q22" s="295">
        <v>1619.1</v>
      </c>
      <c r="R22" s="386">
        <v>1503.9</v>
      </c>
      <c r="S22" s="386">
        <v>1541.1</v>
      </c>
    </row>
    <row r="23" spans="1:19" s="12" customFormat="1" ht="20.100000000000001" customHeight="1">
      <c r="A23" s="94" t="s">
        <v>79</v>
      </c>
      <c r="B23" s="78">
        <f>9.894</f>
        <v>9.8940000000000001</v>
      </c>
      <c r="C23" s="105">
        <f>(263)*0.001</f>
        <v>0.26300000000000001</v>
      </c>
      <c r="D23" s="105">
        <f>(321)*0.001</f>
        <v>0.32100000000000001</v>
      </c>
      <c r="E23" s="460">
        <f>(6494)*0.001</f>
        <v>6.4939999999999998</v>
      </c>
      <c r="F23" s="105">
        <f>(1372)*0.001</f>
        <v>1.3720000000000001</v>
      </c>
      <c r="G23" s="105">
        <f>(1952)*0.001</f>
        <v>1.952</v>
      </c>
      <c r="H23" s="105">
        <f>(1195)*0.001</f>
        <v>1.1950000000000001</v>
      </c>
      <c r="I23" s="461">
        <f>(183)*0.001</f>
        <v>0.183</v>
      </c>
      <c r="J23" s="462">
        <f>(365)*0.001</f>
        <v>0.36499999999999999</v>
      </c>
      <c r="K23" s="77">
        <v>28</v>
      </c>
      <c r="L23" s="77">
        <v>26</v>
      </c>
      <c r="M23" s="126">
        <v>26</v>
      </c>
      <c r="N23" s="78">
        <v>28.9</v>
      </c>
      <c r="O23" s="78">
        <v>1.5</v>
      </c>
      <c r="P23" s="77">
        <v>0.7</v>
      </c>
      <c r="Q23" s="295">
        <v>0.7</v>
      </c>
      <c r="R23" s="386">
        <v>1.9</v>
      </c>
      <c r="S23" s="386">
        <v>1.4</v>
      </c>
    </row>
    <row r="24" spans="1:19" s="12" customFormat="1" ht="20.100000000000001" customHeight="1">
      <c r="A24" s="94" t="s">
        <v>228</v>
      </c>
      <c r="B24" s="79">
        <v>0</v>
      </c>
      <c r="C24" s="105">
        <f>(53916)*0.001</f>
        <v>53.916000000000004</v>
      </c>
      <c r="D24" s="105">
        <f>(54038)*0.001</f>
        <v>54.038000000000004</v>
      </c>
      <c r="E24" s="460">
        <f>(57096)*0.001</f>
        <v>57.096000000000004</v>
      </c>
      <c r="F24" s="105">
        <f>(60035)*0.001</f>
        <v>60.035000000000004</v>
      </c>
      <c r="G24" s="105">
        <f>(63564)*0.001</f>
        <v>63.564</v>
      </c>
      <c r="H24" s="105">
        <f>(65852)*0.001</f>
        <v>65.852000000000004</v>
      </c>
      <c r="I24" s="461">
        <f>(70055)*0.001</f>
        <v>70.055000000000007</v>
      </c>
      <c r="J24" s="462">
        <f>(70958)*0.001</f>
        <v>70.957999999999998</v>
      </c>
      <c r="K24" s="77">
        <v>91.2</v>
      </c>
      <c r="L24" s="77">
        <v>117.3</v>
      </c>
      <c r="M24" s="126">
        <v>141.69999999999999</v>
      </c>
      <c r="N24" s="78">
        <v>165.3</v>
      </c>
      <c r="O24" s="78">
        <v>186.1</v>
      </c>
      <c r="P24" s="77">
        <v>200.4</v>
      </c>
      <c r="Q24" s="295">
        <v>212.7</v>
      </c>
      <c r="R24" s="386">
        <v>213.3</v>
      </c>
      <c r="S24" s="386">
        <v>209.1</v>
      </c>
    </row>
    <row r="25" spans="1:19" s="12" customFormat="1" ht="20.100000000000001" customHeight="1">
      <c r="A25" s="94" t="s">
        <v>229</v>
      </c>
      <c r="B25" s="78">
        <f>136.299</f>
        <v>136.29900000000001</v>
      </c>
      <c r="C25" s="105">
        <f>(73814)*0.001</f>
        <v>73.814000000000007</v>
      </c>
      <c r="D25" s="105">
        <f>(53239)*0.001</f>
        <v>53.239000000000004</v>
      </c>
      <c r="E25" s="460">
        <f>(71968)*0.001</f>
        <v>71.968000000000004</v>
      </c>
      <c r="F25" s="105">
        <f>(109187)*0.001</f>
        <v>109.187</v>
      </c>
      <c r="G25" s="105">
        <f>(93754)*0.001</f>
        <v>93.754000000000005</v>
      </c>
      <c r="H25" s="105">
        <f>(113708)*0.001</f>
        <v>113.708</v>
      </c>
      <c r="I25" s="461">
        <f>(105360)*0.001</f>
        <v>105.36</v>
      </c>
      <c r="J25" s="462">
        <f>(106732)*0.001</f>
        <v>106.732</v>
      </c>
      <c r="K25" s="77">
        <v>221.9</v>
      </c>
      <c r="L25" s="77">
        <v>224.2</v>
      </c>
      <c r="M25" s="126">
        <v>160.1</v>
      </c>
      <c r="N25" s="78">
        <v>212.9</v>
      </c>
      <c r="O25" s="78">
        <v>226.2</v>
      </c>
      <c r="P25" s="77">
        <v>255</v>
      </c>
      <c r="Q25" s="295">
        <v>399.5</v>
      </c>
      <c r="R25" s="386">
        <v>69.599999999999994</v>
      </c>
      <c r="S25" s="386">
        <v>62.8</v>
      </c>
    </row>
    <row r="26" spans="1:19" s="74" customFormat="1" ht="20.100000000000001" customHeight="1">
      <c r="A26" s="99" t="s">
        <v>106</v>
      </c>
      <c r="B26" s="79">
        <v>0</v>
      </c>
      <c r="C26" s="79">
        <f>0</f>
        <v>0</v>
      </c>
      <c r="D26" s="79">
        <v>0</v>
      </c>
      <c r="E26" s="143">
        <f>0</f>
        <v>0</v>
      </c>
      <c r="F26" s="79">
        <f>0</f>
        <v>0</v>
      </c>
      <c r="G26" s="79">
        <v>0</v>
      </c>
      <c r="H26" s="79">
        <f>0</f>
        <v>0</v>
      </c>
      <c r="I26" s="118">
        <v>0</v>
      </c>
      <c r="J26" s="127">
        <v>0</v>
      </c>
      <c r="K26" s="79">
        <f>0*($A$71)</f>
        <v>0</v>
      </c>
      <c r="L26" s="79">
        <f>0*($A$71)</f>
        <v>0</v>
      </c>
      <c r="M26" s="129">
        <v>22.2</v>
      </c>
      <c r="N26" s="83">
        <v>26.3</v>
      </c>
      <c r="O26" s="83">
        <v>27.3</v>
      </c>
      <c r="P26" s="88">
        <v>3.8</v>
      </c>
      <c r="Q26" s="296">
        <v>10.5</v>
      </c>
      <c r="R26" s="388">
        <v>0.2</v>
      </c>
      <c r="S26" s="388">
        <v>3.6</v>
      </c>
    </row>
    <row r="27" spans="1:19" s="12" customFormat="1" ht="20.100000000000001" customHeight="1">
      <c r="A27" s="94" t="s">
        <v>97</v>
      </c>
      <c r="B27" s="79">
        <v>0</v>
      </c>
      <c r="C27" s="79">
        <f>0</f>
        <v>0</v>
      </c>
      <c r="D27" s="79">
        <v>0</v>
      </c>
      <c r="E27" s="132">
        <v>0</v>
      </c>
      <c r="F27" s="79">
        <f>0</f>
        <v>0</v>
      </c>
      <c r="G27" s="79">
        <v>0</v>
      </c>
      <c r="H27" s="79">
        <f>0</f>
        <v>0</v>
      </c>
      <c r="I27" s="116">
        <v>0</v>
      </c>
      <c r="J27" s="127">
        <v>0</v>
      </c>
      <c r="K27" s="89">
        <v>270</v>
      </c>
      <c r="L27" s="89">
        <v>30</v>
      </c>
      <c r="M27" s="132">
        <f>0*($A$71)</f>
        <v>0</v>
      </c>
      <c r="N27" s="78">
        <v>42.7</v>
      </c>
      <c r="O27" s="78">
        <v>43.1</v>
      </c>
      <c r="P27" s="80">
        <v>0</v>
      </c>
      <c r="Q27" s="295">
        <v>0</v>
      </c>
      <c r="R27" s="386">
        <v>12.4</v>
      </c>
      <c r="S27" s="386">
        <v>0</v>
      </c>
    </row>
    <row r="28" spans="1:19" s="12" customFormat="1" ht="20.100000000000001" customHeight="1">
      <c r="A28" s="94" t="s">
        <v>12</v>
      </c>
      <c r="B28" s="78">
        <f>422.627</f>
        <v>422.62700000000001</v>
      </c>
      <c r="C28" s="105">
        <f>(309519)*0.001</f>
        <v>309.51900000000001</v>
      </c>
      <c r="D28" s="105">
        <f>(225111)*0.001</f>
        <v>225.11100000000002</v>
      </c>
      <c r="E28" s="460">
        <f>(270354)*0.001</f>
        <v>270.35399999999998</v>
      </c>
      <c r="F28" s="105">
        <f>(324338)*0.001</f>
        <v>324.33800000000002</v>
      </c>
      <c r="G28" s="105">
        <f>(265803)*0.001</f>
        <v>265.803</v>
      </c>
      <c r="H28" s="105">
        <f>(215396)*0.001</f>
        <v>215.39600000000002</v>
      </c>
      <c r="I28" s="461">
        <f>(342251)*0.001</f>
        <v>342.25100000000003</v>
      </c>
      <c r="J28" s="462">
        <f>(428190)*0.001</f>
        <v>428.19</v>
      </c>
      <c r="K28" s="77">
        <v>1894.3</v>
      </c>
      <c r="L28" s="77">
        <v>1631</v>
      </c>
      <c r="M28" s="126">
        <v>1735.3</v>
      </c>
      <c r="N28" s="78">
        <v>1478.9</v>
      </c>
      <c r="O28" s="78">
        <v>1383.8</v>
      </c>
      <c r="P28" s="77">
        <v>1059.5999999999999</v>
      </c>
      <c r="Q28" s="295">
        <v>1512</v>
      </c>
      <c r="R28" s="386">
        <v>1538.6</v>
      </c>
      <c r="S28" s="386">
        <v>944.5</v>
      </c>
    </row>
    <row r="29" spans="1:19" s="12" customFormat="1" ht="20.100000000000001" customHeight="1" thickBot="1">
      <c r="A29" s="94" t="s">
        <v>47</v>
      </c>
      <c r="B29" s="79">
        <v>0</v>
      </c>
      <c r="C29" s="79">
        <f>0</f>
        <v>0</v>
      </c>
      <c r="D29" s="79">
        <f>0</f>
        <v>0</v>
      </c>
      <c r="E29" s="132">
        <v>0</v>
      </c>
      <c r="F29" s="79">
        <f>0</f>
        <v>0</v>
      </c>
      <c r="G29" s="79">
        <v>0</v>
      </c>
      <c r="H29" s="79">
        <f>0</f>
        <v>0</v>
      </c>
      <c r="I29" s="116">
        <v>0</v>
      </c>
      <c r="J29" s="127">
        <v>0</v>
      </c>
      <c r="K29" s="89">
        <v>12.6</v>
      </c>
      <c r="L29" s="89">
        <v>12.2</v>
      </c>
      <c r="M29" s="126">
        <v>12.6</v>
      </c>
      <c r="N29" s="78">
        <v>12.7</v>
      </c>
      <c r="O29" s="78">
        <v>12.8</v>
      </c>
      <c r="P29" s="89">
        <v>12.4</v>
      </c>
      <c r="Q29" s="295">
        <v>11.7</v>
      </c>
      <c r="R29" s="386">
        <v>31.4</v>
      </c>
      <c r="S29" s="386">
        <v>10.9</v>
      </c>
    </row>
    <row r="30" spans="1:19" s="23" customFormat="1" ht="24.95" customHeight="1" thickBot="1">
      <c r="A30" s="13" t="s">
        <v>13</v>
      </c>
      <c r="B30" s="98">
        <f t="shared" ref="B30:L30" si="4">SUM(B19:B29)</f>
        <v>1273.798</v>
      </c>
      <c r="C30" s="98">
        <f t="shared" si="4"/>
        <v>1172.6559999999999</v>
      </c>
      <c r="D30" s="98">
        <f t="shared" si="4"/>
        <v>1058.173</v>
      </c>
      <c r="E30" s="120">
        <f t="shared" si="4"/>
        <v>1085.1969999999999</v>
      </c>
      <c r="F30" s="98">
        <f t="shared" si="4"/>
        <v>1204.625</v>
      </c>
      <c r="G30" s="98">
        <f t="shared" si="4"/>
        <v>1164.163</v>
      </c>
      <c r="H30" s="98">
        <f t="shared" si="4"/>
        <v>1161.885</v>
      </c>
      <c r="I30" s="98">
        <f t="shared" si="4"/>
        <v>1220.3850000000002</v>
      </c>
      <c r="J30" s="463">
        <f t="shared" si="4"/>
        <v>1396.8419999999999</v>
      </c>
      <c r="K30" s="97">
        <f t="shared" si="4"/>
        <v>4435.3</v>
      </c>
      <c r="L30" s="97">
        <f t="shared" si="4"/>
        <v>3899.7999999999997</v>
      </c>
      <c r="M30" s="120">
        <f t="shared" ref="M30:R30" si="5">SUM(M19:M29)-M26</f>
        <v>3982.6</v>
      </c>
      <c r="N30" s="98">
        <f t="shared" si="5"/>
        <v>3956.9</v>
      </c>
      <c r="O30" s="98">
        <f t="shared" si="5"/>
        <v>4274.2</v>
      </c>
      <c r="P30" s="98">
        <f t="shared" si="5"/>
        <v>3747.2000000000003</v>
      </c>
      <c r="Q30" s="297">
        <f t="shared" si="5"/>
        <v>4228.8999999999987</v>
      </c>
      <c r="R30" s="390">
        <f t="shared" si="5"/>
        <v>3866.0000000000005</v>
      </c>
      <c r="S30" s="390">
        <f t="shared" ref="S30" si="6">SUM(S19:S29)-S26</f>
        <v>3203.3</v>
      </c>
    </row>
    <row r="31" spans="1:19" s="12" customFormat="1" ht="24.95" customHeight="1" thickBot="1">
      <c r="A31" s="101" t="s">
        <v>134</v>
      </c>
      <c r="B31" s="102">
        <f t="shared" ref="B31:P31" si="7">B18+B30</f>
        <v>5502.7539999999999</v>
      </c>
      <c r="C31" s="102">
        <f t="shared" si="7"/>
        <v>5597.8010000000004</v>
      </c>
      <c r="D31" s="102">
        <f t="shared" si="7"/>
        <v>5514.8739999999998</v>
      </c>
      <c r="E31" s="133">
        <f t="shared" si="7"/>
        <v>5561.3450000000003</v>
      </c>
      <c r="F31" s="102">
        <f t="shared" si="7"/>
        <v>5629.4740000000011</v>
      </c>
      <c r="G31" s="102">
        <f t="shared" si="7"/>
        <v>5592.7070000000003</v>
      </c>
      <c r="H31" s="102">
        <f t="shared" si="7"/>
        <v>5597.9810000000007</v>
      </c>
      <c r="I31" s="464">
        <f t="shared" si="7"/>
        <v>5676.2300000000005</v>
      </c>
      <c r="J31" s="465">
        <f t="shared" si="7"/>
        <v>5851.1940000000004</v>
      </c>
      <c r="K31" s="102">
        <f t="shared" si="7"/>
        <v>27827.1</v>
      </c>
      <c r="L31" s="102">
        <f t="shared" si="7"/>
        <v>27481.199999999997</v>
      </c>
      <c r="M31" s="133">
        <f t="shared" si="7"/>
        <v>27338.699999999997</v>
      </c>
      <c r="N31" s="102">
        <f t="shared" si="7"/>
        <v>27088.9</v>
      </c>
      <c r="O31" s="102">
        <f t="shared" si="7"/>
        <v>27141.8</v>
      </c>
      <c r="P31" s="102">
        <f t="shared" si="7"/>
        <v>26143.5</v>
      </c>
      <c r="Q31" s="298">
        <f t="shared" ref="Q31:R31" si="8">Q18+Q30</f>
        <v>26490.099999999995</v>
      </c>
      <c r="R31" s="392">
        <f t="shared" si="8"/>
        <v>28355.499999999996</v>
      </c>
      <c r="S31" s="392">
        <f t="shared" ref="S31" si="9">S18+S30</f>
        <v>27581.1</v>
      </c>
    </row>
    <row r="32" spans="1:19" s="12" customFormat="1" ht="33.75" customHeight="1" thickBot="1">
      <c r="A32" s="108" t="s">
        <v>14</v>
      </c>
      <c r="B32" s="109"/>
      <c r="C32" s="109"/>
      <c r="D32" s="109"/>
      <c r="E32" s="125"/>
      <c r="F32" s="109"/>
      <c r="G32" s="109"/>
      <c r="H32" s="109"/>
      <c r="I32" s="115"/>
      <c r="J32" s="124"/>
      <c r="K32" s="110"/>
      <c r="L32" s="110"/>
      <c r="M32" s="125"/>
      <c r="N32" s="109"/>
      <c r="O32" s="109"/>
      <c r="P32" s="110"/>
      <c r="Q32" s="125"/>
      <c r="R32" s="393"/>
      <c r="S32" s="393"/>
    </row>
    <row r="33" spans="1:19" s="12" customFormat="1" ht="20.100000000000001" customHeight="1">
      <c r="A33" s="93" t="s">
        <v>15</v>
      </c>
      <c r="B33" s="470">
        <f>13.934</f>
        <v>13.933999999999999</v>
      </c>
      <c r="C33" s="470">
        <f t="shared" ref="C33:J33" si="10">(13934)*0.001</f>
        <v>13.934000000000001</v>
      </c>
      <c r="D33" s="470">
        <f t="shared" si="10"/>
        <v>13.934000000000001</v>
      </c>
      <c r="E33" s="471">
        <f t="shared" si="10"/>
        <v>13.934000000000001</v>
      </c>
      <c r="F33" s="470">
        <f t="shared" si="10"/>
        <v>13.934000000000001</v>
      </c>
      <c r="G33" s="470">
        <f t="shared" si="10"/>
        <v>13.934000000000001</v>
      </c>
      <c r="H33" s="470">
        <f t="shared" si="10"/>
        <v>13.934000000000001</v>
      </c>
      <c r="I33" s="472">
        <f t="shared" si="10"/>
        <v>13.934000000000001</v>
      </c>
      <c r="J33" s="473">
        <f t="shared" si="10"/>
        <v>13.934000000000001</v>
      </c>
      <c r="K33" s="111">
        <v>25.6</v>
      </c>
      <c r="L33" s="111">
        <v>25.6</v>
      </c>
      <c r="M33" s="134">
        <v>25.6</v>
      </c>
      <c r="N33" s="112">
        <v>25.6</v>
      </c>
      <c r="O33" s="112">
        <v>25.6</v>
      </c>
      <c r="P33" s="112">
        <v>25.6</v>
      </c>
      <c r="Q33" s="299">
        <v>25.6</v>
      </c>
      <c r="R33" s="391">
        <v>25.6</v>
      </c>
      <c r="S33" s="391">
        <v>25.6</v>
      </c>
    </row>
    <row r="34" spans="1:19" s="12" customFormat="1" ht="20.100000000000001" customHeight="1">
      <c r="A34" s="94" t="s">
        <v>16</v>
      </c>
      <c r="B34" s="466">
        <f>432.265</f>
        <v>432.26499999999999</v>
      </c>
      <c r="C34" s="87">
        <v>0</v>
      </c>
      <c r="D34" s="87">
        <v>0</v>
      </c>
      <c r="E34" s="136">
        <v>0</v>
      </c>
      <c r="F34" s="87">
        <v>0</v>
      </c>
      <c r="G34" s="87">
        <v>0</v>
      </c>
      <c r="H34" s="87">
        <v>0</v>
      </c>
      <c r="I34" s="119">
        <v>0</v>
      </c>
      <c r="J34" s="135">
        <v>0</v>
      </c>
      <c r="K34" s="87">
        <v>0</v>
      </c>
      <c r="L34" s="87">
        <v>0</v>
      </c>
      <c r="M34" s="136">
        <v>0</v>
      </c>
      <c r="N34" s="87">
        <v>0</v>
      </c>
      <c r="O34" s="87">
        <v>0</v>
      </c>
      <c r="P34" s="87">
        <v>0</v>
      </c>
      <c r="Q34" s="295">
        <v>0</v>
      </c>
      <c r="R34" s="394">
        <v>0</v>
      </c>
      <c r="S34" s="394">
        <v>0</v>
      </c>
    </row>
    <row r="35" spans="1:19" s="12" customFormat="1" ht="20.100000000000001" customHeight="1">
      <c r="A35" s="94" t="s">
        <v>17</v>
      </c>
      <c r="B35" s="466">
        <f>1305.277</f>
        <v>1305.277</v>
      </c>
      <c r="C35" s="87">
        <v>0</v>
      </c>
      <c r="D35" s="87">
        <v>0</v>
      </c>
      <c r="E35" s="136">
        <v>0</v>
      </c>
      <c r="F35" s="87">
        <v>0</v>
      </c>
      <c r="G35" s="87">
        <v>0</v>
      </c>
      <c r="H35" s="87">
        <v>0</v>
      </c>
      <c r="I35" s="119">
        <v>0</v>
      </c>
      <c r="J35" s="135">
        <v>0</v>
      </c>
      <c r="K35" s="87">
        <v>0</v>
      </c>
      <c r="L35" s="87">
        <v>0</v>
      </c>
      <c r="M35" s="136">
        <v>0</v>
      </c>
      <c r="N35" s="87">
        <v>0</v>
      </c>
      <c r="O35" s="87">
        <v>0</v>
      </c>
      <c r="P35" s="87">
        <v>0</v>
      </c>
      <c r="Q35" s="295">
        <v>0</v>
      </c>
      <c r="R35" s="394">
        <v>0</v>
      </c>
      <c r="S35" s="394">
        <v>0</v>
      </c>
    </row>
    <row r="36" spans="1:19" s="12" customFormat="1" ht="20.100000000000001" customHeight="1">
      <c r="A36" s="94" t="s">
        <v>230</v>
      </c>
      <c r="B36" s="87">
        <v>0</v>
      </c>
      <c r="C36" s="78">
        <f t="shared" ref="C36:J36" si="11">(1295103)*0.001</f>
        <v>1295.1030000000001</v>
      </c>
      <c r="D36" s="78">
        <f t="shared" si="11"/>
        <v>1295.1030000000001</v>
      </c>
      <c r="E36" s="126">
        <f t="shared" si="11"/>
        <v>1295.1030000000001</v>
      </c>
      <c r="F36" s="78">
        <f t="shared" si="11"/>
        <v>1295.1030000000001</v>
      </c>
      <c r="G36" s="78">
        <f t="shared" si="11"/>
        <v>1295.1030000000001</v>
      </c>
      <c r="H36" s="78">
        <f t="shared" si="11"/>
        <v>1295.1030000000001</v>
      </c>
      <c r="I36" s="126">
        <f t="shared" si="11"/>
        <v>1295.1030000000001</v>
      </c>
      <c r="J36" s="78">
        <f t="shared" si="11"/>
        <v>1295.1030000000001</v>
      </c>
      <c r="K36" s="104">
        <v>7237.5</v>
      </c>
      <c r="L36" s="104">
        <v>7237.5</v>
      </c>
      <c r="M36" s="137">
        <v>7174</v>
      </c>
      <c r="N36" s="77">
        <v>7237.4</v>
      </c>
      <c r="O36" s="77">
        <v>7174</v>
      </c>
      <c r="P36" s="77">
        <v>7174</v>
      </c>
      <c r="Q36" s="295">
        <v>7174</v>
      </c>
      <c r="R36" s="386">
        <v>7174</v>
      </c>
      <c r="S36" s="386">
        <v>7174</v>
      </c>
    </row>
    <row r="37" spans="1:19" s="12" customFormat="1" ht="20.100000000000001" customHeight="1">
      <c r="A37" s="94" t="s">
        <v>61</v>
      </c>
      <c r="B37" s="474">
        <f>-3.17</f>
        <v>-3.17</v>
      </c>
      <c r="C37" s="87">
        <v>0</v>
      </c>
      <c r="D37" s="87">
        <v>0</v>
      </c>
      <c r="E37" s="136">
        <v>0</v>
      </c>
      <c r="F37" s="87">
        <v>0</v>
      </c>
      <c r="G37" s="87">
        <v>0</v>
      </c>
      <c r="H37" s="87">
        <v>0</v>
      </c>
      <c r="I37" s="119">
        <v>0</v>
      </c>
      <c r="J37" s="135">
        <v>0</v>
      </c>
      <c r="K37" s="87">
        <v>0</v>
      </c>
      <c r="L37" s="87">
        <v>0</v>
      </c>
      <c r="M37" s="136">
        <v>0</v>
      </c>
      <c r="N37" s="87">
        <v>0</v>
      </c>
      <c r="O37" s="87">
        <v>0</v>
      </c>
      <c r="P37" s="87">
        <v>0</v>
      </c>
      <c r="Q37" s="295">
        <v>0</v>
      </c>
      <c r="R37" s="394">
        <v>0</v>
      </c>
      <c r="S37" s="394">
        <v>0</v>
      </c>
    </row>
    <row r="38" spans="1:19" s="12" customFormat="1" ht="20.100000000000001" customHeight="1">
      <c r="A38" s="94" t="s">
        <v>62</v>
      </c>
      <c r="B38" s="466">
        <f>2.396</f>
        <v>2.3959999999999999</v>
      </c>
      <c r="C38" s="87">
        <v>0</v>
      </c>
      <c r="D38" s="87">
        <v>0</v>
      </c>
      <c r="E38" s="136">
        <v>0</v>
      </c>
      <c r="F38" s="87">
        <v>0</v>
      </c>
      <c r="G38" s="87">
        <v>0</v>
      </c>
      <c r="H38" s="87">
        <v>0</v>
      </c>
      <c r="I38" s="119">
        <v>0</v>
      </c>
      <c r="J38" s="135">
        <v>0</v>
      </c>
      <c r="K38" s="87">
        <v>0</v>
      </c>
      <c r="L38" s="87">
        <v>0</v>
      </c>
      <c r="M38" s="136">
        <v>0</v>
      </c>
      <c r="N38" s="87">
        <v>0</v>
      </c>
      <c r="O38" s="87">
        <v>0</v>
      </c>
      <c r="P38" s="87">
        <v>0</v>
      </c>
      <c r="Q38" s="295">
        <v>0</v>
      </c>
      <c r="R38" s="394">
        <v>0</v>
      </c>
      <c r="S38" s="394">
        <v>0</v>
      </c>
    </row>
    <row r="39" spans="1:19" s="12" customFormat="1" ht="20.100000000000001" customHeight="1">
      <c r="A39" s="94" t="s">
        <v>231</v>
      </c>
      <c r="B39" s="87">
        <v>0</v>
      </c>
      <c r="C39" s="466">
        <f>(1225)*0.001</f>
        <v>1.2250000000000001</v>
      </c>
      <c r="D39" s="466">
        <f>(-8191)*0.001</f>
        <v>-8.1910000000000007</v>
      </c>
      <c r="E39" s="467">
        <f>(-16327)*0.001</f>
        <v>-16.327000000000002</v>
      </c>
      <c r="F39" s="466">
        <f>(-17667)*0.001</f>
        <v>-17.667000000000002</v>
      </c>
      <c r="G39" s="466">
        <f>(-13285)*0.001</f>
        <v>-13.285</v>
      </c>
      <c r="H39" s="466">
        <f>(-11455)*0.001</f>
        <v>-11.455</v>
      </c>
      <c r="I39" s="468">
        <f>(-8964)*0.001</f>
        <v>-8.9640000000000004</v>
      </c>
      <c r="J39" s="135">
        <v>0</v>
      </c>
      <c r="K39" s="87">
        <v>0</v>
      </c>
      <c r="L39" s="105">
        <v>-9.1999999999999993</v>
      </c>
      <c r="M39" s="138">
        <v>-12.2</v>
      </c>
      <c r="N39" s="105">
        <v>-12.7</v>
      </c>
      <c r="O39" s="105">
        <v>-7.9</v>
      </c>
      <c r="P39" s="105">
        <v>-8.1999999999999993</v>
      </c>
      <c r="Q39" s="295">
        <v>-3.7</v>
      </c>
      <c r="R39" s="395">
        <v>-1.7</v>
      </c>
      <c r="S39" s="395">
        <v>0.1</v>
      </c>
    </row>
    <row r="40" spans="1:19" s="12" customFormat="1" ht="20.100000000000001" customHeight="1" thickBot="1">
      <c r="A40" s="94" t="s">
        <v>78</v>
      </c>
      <c r="B40" s="466">
        <f>340.065</f>
        <v>340.065</v>
      </c>
      <c r="C40" s="466">
        <f>(882007)*0.001</f>
        <v>882.00700000000006</v>
      </c>
      <c r="D40" s="475">
        <f>(1054069)*0.001</f>
        <v>1054.069</v>
      </c>
      <c r="E40" s="476">
        <f>(1175693)*0.001</f>
        <v>1175.693</v>
      </c>
      <c r="F40" s="475">
        <f>(1270798)*0.001</f>
        <v>1270.798</v>
      </c>
      <c r="G40" s="475">
        <f>(1351543)*0.001</f>
        <v>1351.5430000000001</v>
      </c>
      <c r="H40" s="475">
        <f>(1527994)*0.001</f>
        <v>1527.9940000000001</v>
      </c>
      <c r="I40" s="476">
        <f>(1701138)*0.001</f>
        <v>1701.1380000000001</v>
      </c>
      <c r="J40" s="475">
        <f>(1799310)*0.001</f>
        <v>1799.31</v>
      </c>
      <c r="K40" s="104">
        <v>1828.6</v>
      </c>
      <c r="L40" s="104">
        <v>1876.8</v>
      </c>
      <c r="M40" s="139">
        <v>1890.8</v>
      </c>
      <c r="N40" s="104">
        <v>2061.6</v>
      </c>
      <c r="O40" s="104">
        <v>2366.1</v>
      </c>
      <c r="P40" s="104">
        <v>2868.6</v>
      </c>
      <c r="Q40" s="295">
        <v>3054.2</v>
      </c>
      <c r="R40" s="395">
        <v>3229.7</v>
      </c>
      <c r="S40" s="395">
        <v>3467.4</v>
      </c>
    </row>
    <row r="41" spans="1:19" s="23" customFormat="1" ht="24.95" customHeight="1" thickBot="1">
      <c r="A41" s="13" t="s">
        <v>81</v>
      </c>
      <c r="B41" s="97">
        <f t="shared" ref="B41:C41" si="12">SUM(B33:B40)</f>
        <v>2090.7669999999998</v>
      </c>
      <c r="C41" s="97">
        <f t="shared" si="12"/>
        <v>2192.2690000000002</v>
      </c>
      <c r="D41" s="97">
        <f t="shared" ref="D41:H41" si="13">SUM(D33:D40)</f>
        <v>2354.915</v>
      </c>
      <c r="E41" s="97">
        <f t="shared" si="13"/>
        <v>2468.4030000000002</v>
      </c>
      <c r="F41" s="97">
        <f t="shared" si="13"/>
        <v>2562.1680000000001</v>
      </c>
      <c r="G41" s="97">
        <f t="shared" si="13"/>
        <v>2647.2950000000001</v>
      </c>
      <c r="H41" s="97">
        <f t="shared" si="13"/>
        <v>2825.576</v>
      </c>
      <c r="I41" s="97">
        <f t="shared" ref="I41:J41" si="14">SUM(I33:I40)</f>
        <v>3001.2110000000002</v>
      </c>
      <c r="J41" s="97">
        <f t="shared" si="14"/>
        <v>3108.3469999999998</v>
      </c>
      <c r="K41" s="97">
        <f t="shared" ref="K41:Q41" si="15">SUM(K33:K40)</f>
        <v>9091.7000000000007</v>
      </c>
      <c r="L41" s="97">
        <f t="shared" si="15"/>
        <v>9130.7000000000007</v>
      </c>
      <c r="M41" s="120">
        <f t="shared" si="15"/>
        <v>9078.2000000000007</v>
      </c>
      <c r="N41" s="98">
        <f t="shared" si="15"/>
        <v>9311.9</v>
      </c>
      <c r="O41" s="98">
        <f t="shared" si="15"/>
        <v>9557.8000000000011</v>
      </c>
      <c r="P41" s="98">
        <f t="shared" si="15"/>
        <v>10060</v>
      </c>
      <c r="Q41" s="300">
        <f t="shared" si="15"/>
        <v>10250.1</v>
      </c>
      <c r="R41" s="390">
        <f t="shared" ref="R41:S41" si="16">SUM(R33:R40)</f>
        <v>10427.6</v>
      </c>
      <c r="S41" s="390">
        <f t="shared" si="16"/>
        <v>10667.1</v>
      </c>
    </row>
    <row r="42" spans="1:19" s="23" customFormat="1" ht="20.100000000000001" customHeight="1" thickBot="1">
      <c r="A42" s="113" t="s">
        <v>80</v>
      </c>
      <c r="B42" s="87">
        <v>0</v>
      </c>
      <c r="C42" s="87">
        <v>0</v>
      </c>
      <c r="D42" s="87">
        <v>0</v>
      </c>
      <c r="E42" s="136">
        <v>0</v>
      </c>
      <c r="F42" s="87">
        <v>0</v>
      </c>
      <c r="G42" s="87">
        <v>0</v>
      </c>
      <c r="H42" s="477">
        <f>2/1000</f>
        <v>2E-3</v>
      </c>
      <c r="I42" s="478">
        <f>2/1000</f>
        <v>2E-3</v>
      </c>
      <c r="J42" s="479">
        <f>2/1000</f>
        <v>2E-3</v>
      </c>
      <c r="K42" s="91">
        <v>0</v>
      </c>
      <c r="L42" s="91">
        <v>0</v>
      </c>
      <c r="M42" s="136">
        <v>0</v>
      </c>
      <c r="N42" s="91">
        <v>0</v>
      </c>
      <c r="O42" s="91">
        <v>0</v>
      </c>
      <c r="P42" s="91">
        <v>0</v>
      </c>
      <c r="Q42" s="301">
        <v>0</v>
      </c>
      <c r="R42" s="396">
        <v>-22.4</v>
      </c>
      <c r="S42" s="396">
        <v>94.5</v>
      </c>
    </row>
    <row r="43" spans="1:19" s="23" customFormat="1" ht="24.95" customHeight="1" thickBot="1">
      <c r="A43" s="13" t="s">
        <v>18</v>
      </c>
      <c r="B43" s="98">
        <f t="shared" ref="B43" si="17">B41+B42</f>
        <v>2090.7669999999998</v>
      </c>
      <c r="C43" s="98">
        <f t="shared" ref="C43" si="18">C41+C42</f>
        <v>2192.2690000000002</v>
      </c>
      <c r="D43" s="98">
        <f t="shared" ref="D43" si="19">D41+D42</f>
        <v>2354.915</v>
      </c>
      <c r="E43" s="120">
        <f t="shared" ref="E43:G43" si="20">E41</f>
        <v>2468.4030000000002</v>
      </c>
      <c r="F43" s="98">
        <f t="shared" si="20"/>
        <v>2562.1680000000001</v>
      </c>
      <c r="G43" s="98">
        <f t="shared" si="20"/>
        <v>2647.2950000000001</v>
      </c>
      <c r="H43" s="98">
        <f>SUM(H41:H42)</f>
        <v>2825.578</v>
      </c>
      <c r="I43" s="98">
        <f t="shared" ref="I43:O43" si="21">I41+I42</f>
        <v>3001.2130000000002</v>
      </c>
      <c r="J43" s="463">
        <f t="shared" si="21"/>
        <v>3108.3489999999997</v>
      </c>
      <c r="K43" s="97">
        <f t="shared" si="21"/>
        <v>9091.7000000000007</v>
      </c>
      <c r="L43" s="97">
        <f t="shared" si="21"/>
        <v>9130.7000000000007</v>
      </c>
      <c r="M43" s="120">
        <f t="shared" si="21"/>
        <v>9078.2000000000007</v>
      </c>
      <c r="N43" s="98">
        <f t="shared" si="21"/>
        <v>9311.9</v>
      </c>
      <c r="O43" s="98">
        <f t="shared" si="21"/>
        <v>9557.8000000000011</v>
      </c>
      <c r="P43" s="98">
        <f t="shared" ref="P43:R43" si="22">P41+P42</f>
        <v>10060</v>
      </c>
      <c r="Q43" s="300">
        <f t="shared" si="22"/>
        <v>10250.1</v>
      </c>
      <c r="R43" s="390">
        <f t="shared" si="22"/>
        <v>10405.200000000001</v>
      </c>
      <c r="S43" s="390">
        <f t="shared" ref="S43" si="23">S41+S42</f>
        <v>10761.6</v>
      </c>
    </row>
    <row r="44" spans="1:19" s="12" customFormat="1" ht="20.100000000000001" customHeight="1">
      <c r="A44" s="94" t="s">
        <v>19</v>
      </c>
      <c r="B44" s="105">
        <f>932.068</f>
        <v>932.06799999999998</v>
      </c>
      <c r="C44" s="105">
        <f>(889155)*0.001</f>
        <v>889.15499999999997</v>
      </c>
      <c r="D44" s="105">
        <f>(680371)*0.001</f>
        <v>680.37099999999998</v>
      </c>
      <c r="E44" s="460">
        <f>(592003)*0.001</f>
        <v>592.00300000000004</v>
      </c>
      <c r="F44" s="105">
        <f>(572819)*0.001</f>
        <v>572.81899999999996</v>
      </c>
      <c r="G44" s="105">
        <f>(422858)*0.001</f>
        <v>422.858</v>
      </c>
      <c r="H44" s="105">
        <f>(329798)*0.001</f>
        <v>329.798</v>
      </c>
      <c r="I44" s="461">
        <f>(239889)*0.001</f>
        <v>239.88900000000001</v>
      </c>
      <c r="J44" s="462">
        <f>(236277)*0.001</f>
        <v>236.27700000000002</v>
      </c>
      <c r="K44" s="78">
        <v>8446.1</v>
      </c>
      <c r="L44" s="78">
        <v>7976.3</v>
      </c>
      <c r="M44" s="137">
        <v>7683.5</v>
      </c>
      <c r="N44" s="104">
        <v>7357.9</v>
      </c>
      <c r="O44" s="104">
        <v>7034.6</v>
      </c>
      <c r="P44" s="78">
        <v>5644.9</v>
      </c>
      <c r="Q44" s="301">
        <v>5379.8</v>
      </c>
      <c r="R44" s="395">
        <v>9982.1</v>
      </c>
      <c r="S44" s="395">
        <v>9752</v>
      </c>
    </row>
    <row r="45" spans="1:19" s="12" customFormat="1" ht="20.100000000000001" customHeight="1">
      <c r="A45" s="94" t="s">
        <v>96</v>
      </c>
      <c r="B45" s="78">
        <f>1360.637</f>
        <v>1360.6369999999999</v>
      </c>
      <c r="C45" s="78">
        <f>(1369593)*0.001</f>
        <v>1369.5930000000001</v>
      </c>
      <c r="D45" s="78">
        <f>(1347224)*0.001</f>
        <v>1347.2239999999999</v>
      </c>
      <c r="E45" s="126">
        <f>(1316479)*0.001</f>
        <v>1316.479</v>
      </c>
      <c r="F45" s="78">
        <f>(1370119)*0.001</f>
        <v>1370.1190000000001</v>
      </c>
      <c r="G45" s="78">
        <f>(1395972)*0.001</f>
        <v>1395.972</v>
      </c>
      <c r="H45" s="78">
        <f>(1385314)*0.001</f>
        <v>1385.3140000000001</v>
      </c>
      <c r="I45" s="126">
        <f>(1340010)*0.001</f>
        <v>1340.01</v>
      </c>
      <c r="J45" s="78">
        <f>(1396071)*0.001</f>
        <v>1396.0710000000001</v>
      </c>
      <c r="K45" s="78">
        <v>4286.8999999999996</v>
      </c>
      <c r="L45" s="78">
        <v>4302.1000000000004</v>
      </c>
      <c r="M45" s="137">
        <v>4550.2</v>
      </c>
      <c r="N45" s="104">
        <v>4470</v>
      </c>
      <c r="O45" s="104">
        <v>4582.5</v>
      </c>
      <c r="P45" s="78">
        <v>964.4</v>
      </c>
      <c r="Q45" s="301">
        <v>975.3</v>
      </c>
      <c r="R45" s="395">
        <v>2252.6</v>
      </c>
      <c r="S45" s="395">
        <v>1795.1</v>
      </c>
    </row>
    <row r="46" spans="1:19" s="12" customFormat="1" ht="20.100000000000001" customHeight="1">
      <c r="A46" s="94" t="s">
        <v>20</v>
      </c>
      <c r="B46" s="105">
        <f>0.81</f>
        <v>0.81</v>
      </c>
      <c r="C46" s="105">
        <f>(741)*0.001</f>
        <v>0.74099999999999999</v>
      </c>
      <c r="D46" s="105">
        <f>(638)*0.001</f>
        <v>0.63800000000000001</v>
      </c>
      <c r="E46" s="460">
        <f>(551)*0.001</f>
        <v>0.55100000000000005</v>
      </c>
      <c r="F46" s="105">
        <f>(474)*0.001</f>
        <v>0.47400000000000003</v>
      </c>
      <c r="G46" s="105">
        <f>(424)*0.001</f>
        <v>0.42399999999999999</v>
      </c>
      <c r="H46" s="105">
        <f>(306)*0.001</f>
        <v>0.30599999999999999</v>
      </c>
      <c r="I46" s="461">
        <f>(227)*0.001</f>
        <v>0.22700000000000001</v>
      </c>
      <c r="J46" s="462">
        <f>(166)*0.001</f>
        <v>0.16600000000000001</v>
      </c>
      <c r="K46" s="77">
        <v>4.5</v>
      </c>
      <c r="L46" s="77">
        <v>7.9</v>
      </c>
      <c r="M46" s="139">
        <v>11.7</v>
      </c>
      <c r="N46" s="106">
        <v>13.4</v>
      </c>
      <c r="O46" s="106">
        <v>15.7</v>
      </c>
      <c r="P46" s="77">
        <v>21.3</v>
      </c>
      <c r="Q46" s="301">
        <v>20.9</v>
      </c>
      <c r="R46" s="386">
        <v>21.2</v>
      </c>
      <c r="S46" s="386">
        <v>23.3</v>
      </c>
    </row>
    <row r="47" spans="1:19" s="12" customFormat="1" ht="20.100000000000001" customHeight="1">
      <c r="A47" s="94" t="s">
        <v>232</v>
      </c>
      <c r="B47" s="79">
        <f>0*($A$71)</f>
        <v>0</v>
      </c>
      <c r="C47" s="79">
        <f>0</f>
        <v>0</v>
      </c>
      <c r="D47" s="79">
        <f>0</f>
        <v>0</v>
      </c>
      <c r="E47" s="143">
        <v>0</v>
      </c>
      <c r="F47" s="79">
        <v>0</v>
      </c>
      <c r="G47" s="79">
        <f>0</f>
        <v>0</v>
      </c>
      <c r="H47" s="79">
        <v>0</v>
      </c>
      <c r="I47" s="118">
        <v>0</v>
      </c>
      <c r="J47" s="127">
        <v>0</v>
      </c>
      <c r="K47" s="77">
        <v>835.8</v>
      </c>
      <c r="L47" s="77">
        <v>730.2</v>
      </c>
      <c r="M47" s="139">
        <v>750.3</v>
      </c>
      <c r="N47" s="106">
        <v>724.4</v>
      </c>
      <c r="O47" s="106">
        <v>747.9</v>
      </c>
      <c r="P47" s="77">
        <v>645.1</v>
      </c>
      <c r="Q47" s="301">
        <v>652.79999999999995</v>
      </c>
      <c r="R47" s="386">
        <v>658</v>
      </c>
      <c r="S47" s="386">
        <v>686.7</v>
      </c>
    </row>
    <row r="48" spans="1:19" s="12" customFormat="1" ht="20.100000000000001" customHeight="1">
      <c r="A48" s="94" t="s">
        <v>21</v>
      </c>
      <c r="B48" s="466">
        <f>87.307</f>
        <v>87.307000000000002</v>
      </c>
      <c r="C48" s="466">
        <f>(88480)*0.001</f>
        <v>88.48</v>
      </c>
      <c r="D48" s="466">
        <f>(97271)*0.001</f>
        <v>97.271000000000001</v>
      </c>
      <c r="E48" s="467">
        <f>(94258)*0.001</f>
        <v>94.257999999999996</v>
      </c>
      <c r="F48" s="466">
        <f>(93487)*0.001</f>
        <v>93.487000000000009</v>
      </c>
      <c r="G48" s="466">
        <f>(93150)*0.001</f>
        <v>93.15</v>
      </c>
      <c r="H48" s="466">
        <f>(98799)*0.001</f>
        <v>98.799000000000007</v>
      </c>
      <c r="I48" s="468">
        <f>(108066)*0.001</f>
        <v>108.066</v>
      </c>
      <c r="J48" s="469">
        <f>(95950)*0.001</f>
        <v>95.95</v>
      </c>
      <c r="K48" s="78">
        <v>1010.7</v>
      </c>
      <c r="L48" s="78">
        <v>1038.8</v>
      </c>
      <c r="M48" s="139">
        <v>908.7</v>
      </c>
      <c r="N48" s="106">
        <v>888.6</v>
      </c>
      <c r="O48" s="106">
        <v>821.1</v>
      </c>
      <c r="P48" s="78">
        <v>770.4</v>
      </c>
      <c r="Q48" s="301">
        <v>615.79999999999995</v>
      </c>
      <c r="R48" s="386">
        <v>694.4</v>
      </c>
      <c r="S48" s="386">
        <v>889.1</v>
      </c>
    </row>
    <row r="49" spans="1:19" s="12" customFormat="1" ht="20.100000000000001" customHeight="1">
      <c r="A49" s="94" t="s">
        <v>233</v>
      </c>
      <c r="B49" s="87">
        <v>0</v>
      </c>
      <c r="C49" s="466">
        <f>(6285)*0.001</f>
        <v>6.2850000000000001</v>
      </c>
      <c r="D49" s="466">
        <f>(5716)*0.001</f>
        <v>5.7160000000000002</v>
      </c>
      <c r="E49" s="467">
        <f>(5181)*0.001</f>
        <v>5.181</v>
      </c>
      <c r="F49" s="466">
        <f>(4978)*0.001</f>
        <v>4.9779999999999998</v>
      </c>
      <c r="G49" s="466">
        <f>(4754)*0.001</f>
        <v>4.7540000000000004</v>
      </c>
      <c r="H49" s="466">
        <f>(4303)*0.001</f>
        <v>4.3029999999999999</v>
      </c>
      <c r="I49" s="468">
        <f>(4079)*0.001</f>
        <v>4.0789999999999997</v>
      </c>
      <c r="J49" s="469">
        <f>(3008)*0.001</f>
        <v>3.008</v>
      </c>
      <c r="K49" s="77">
        <v>2.8</v>
      </c>
      <c r="L49" s="77">
        <v>3.9</v>
      </c>
      <c r="M49" s="139">
        <v>4.7</v>
      </c>
      <c r="N49" s="106">
        <v>5.5</v>
      </c>
      <c r="O49" s="106">
        <v>5</v>
      </c>
      <c r="P49" s="77">
        <v>4.5</v>
      </c>
      <c r="Q49" s="301">
        <v>4.7</v>
      </c>
      <c r="R49" s="386">
        <v>22.1</v>
      </c>
      <c r="S49" s="386">
        <v>21</v>
      </c>
    </row>
    <row r="50" spans="1:19" s="12" customFormat="1" ht="20.100000000000001" customHeight="1">
      <c r="A50" s="94" t="s">
        <v>22</v>
      </c>
      <c r="B50" s="466">
        <f>13.779</f>
        <v>13.779</v>
      </c>
      <c r="C50" s="466">
        <f>(17835)*0.001</f>
        <v>17.835000000000001</v>
      </c>
      <c r="D50" s="466">
        <f>(19037)*0.001</f>
        <v>19.036999999999999</v>
      </c>
      <c r="E50" s="467">
        <f>(17690)*0.001</f>
        <v>17.690000000000001</v>
      </c>
      <c r="F50" s="466">
        <f>(17684)*0.001</f>
        <v>17.684000000000001</v>
      </c>
      <c r="G50" s="466">
        <f>(10154)*0.001</f>
        <v>10.154</v>
      </c>
      <c r="H50" s="466">
        <f>(8594)*0.001</f>
        <v>8.5939999999999994</v>
      </c>
      <c r="I50" s="468">
        <f>(7915)*0.001</f>
        <v>7.915</v>
      </c>
      <c r="J50" s="469">
        <f>(7828)*0.001</f>
        <v>7.8280000000000003</v>
      </c>
      <c r="K50" s="77">
        <v>158.19999999999999</v>
      </c>
      <c r="L50" s="77">
        <v>164.6</v>
      </c>
      <c r="M50" s="139">
        <v>184.2</v>
      </c>
      <c r="N50" s="106">
        <v>167.4</v>
      </c>
      <c r="O50" s="106">
        <v>132.4</v>
      </c>
      <c r="P50" s="77">
        <v>133.1</v>
      </c>
      <c r="Q50" s="301">
        <v>124.2</v>
      </c>
      <c r="R50" s="386">
        <v>157.30000000000001</v>
      </c>
      <c r="S50" s="386">
        <v>148.9</v>
      </c>
    </row>
    <row r="51" spans="1:19" s="74" customFormat="1" ht="20.100000000000001" customHeight="1" thickBot="1">
      <c r="A51" s="99" t="s">
        <v>107</v>
      </c>
      <c r="B51" s="79">
        <f>0*($A$71)</f>
        <v>0</v>
      </c>
      <c r="C51" s="79">
        <f>0</f>
        <v>0</v>
      </c>
      <c r="D51" s="79">
        <f>0</f>
        <v>0</v>
      </c>
      <c r="E51" s="143">
        <v>0</v>
      </c>
      <c r="F51" s="79">
        <v>0</v>
      </c>
      <c r="G51" s="79">
        <f>0</f>
        <v>0</v>
      </c>
      <c r="H51" s="79">
        <v>0</v>
      </c>
      <c r="I51" s="140">
        <v>0.1</v>
      </c>
      <c r="J51" s="127">
        <v>0</v>
      </c>
      <c r="K51" s="79">
        <f>0*($A$71)</f>
        <v>0</v>
      </c>
      <c r="L51" s="79">
        <f>0*($A$71)</f>
        <v>0</v>
      </c>
      <c r="M51" s="140">
        <v>40.1</v>
      </c>
      <c r="N51" s="107">
        <v>22.6</v>
      </c>
      <c r="O51" s="107">
        <v>2</v>
      </c>
      <c r="P51" s="88">
        <v>1.9</v>
      </c>
      <c r="Q51" s="301">
        <v>0</v>
      </c>
      <c r="R51" s="388">
        <v>1.1000000000000001</v>
      </c>
      <c r="S51" s="388">
        <v>0.9</v>
      </c>
    </row>
    <row r="52" spans="1:19" s="23" customFormat="1" ht="24.95" customHeight="1" thickBot="1">
      <c r="A52" s="13" t="s">
        <v>23</v>
      </c>
      <c r="B52" s="98">
        <f t="shared" ref="B52" si="24">SUM(B44:B50)</f>
        <v>2394.6009999999997</v>
      </c>
      <c r="C52" s="98">
        <f t="shared" ref="C52" si="25">SUM(C44:C50)</f>
        <v>2372.0889999999999</v>
      </c>
      <c r="D52" s="98">
        <f t="shared" ref="D52" si="26">SUM(D44:D50)</f>
        <v>2150.2569999999996</v>
      </c>
      <c r="E52" s="120">
        <f t="shared" ref="E52:H52" si="27">SUM(E44:E50)</f>
        <v>2026.162</v>
      </c>
      <c r="F52" s="98">
        <f t="shared" si="27"/>
        <v>2059.5610000000001</v>
      </c>
      <c r="G52" s="98">
        <f t="shared" si="27"/>
        <v>1927.3119999999999</v>
      </c>
      <c r="H52" s="98">
        <f t="shared" si="27"/>
        <v>1827.1140000000003</v>
      </c>
      <c r="I52" s="98">
        <f t="shared" ref="I52:J52" si="28">SUM(I44:I50)</f>
        <v>1700.1859999999999</v>
      </c>
      <c r="J52" s="463">
        <f t="shared" si="28"/>
        <v>1739.3000000000002</v>
      </c>
      <c r="K52" s="97">
        <f t="shared" ref="K52:L52" si="29">SUM(K44:K50)</f>
        <v>14745</v>
      </c>
      <c r="L52" s="97">
        <f t="shared" si="29"/>
        <v>14223.800000000001</v>
      </c>
      <c r="M52" s="120">
        <f t="shared" ref="M52:R52" si="30">SUM(M44:M51)-M51</f>
        <v>14093.300000000003</v>
      </c>
      <c r="N52" s="98">
        <f t="shared" si="30"/>
        <v>13627.199999999999</v>
      </c>
      <c r="O52" s="98">
        <f t="shared" si="30"/>
        <v>13339.2</v>
      </c>
      <c r="P52" s="98">
        <f t="shared" si="30"/>
        <v>8183.7</v>
      </c>
      <c r="Q52" s="300">
        <f t="shared" si="30"/>
        <v>7773.5</v>
      </c>
      <c r="R52" s="390">
        <f t="shared" si="30"/>
        <v>13787.7</v>
      </c>
      <c r="S52" s="390">
        <f t="shared" ref="S52" si="31">SUM(S44:S51)-S51</f>
        <v>13316.1</v>
      </c>
    </row>
    <row r="53" spans="1:19" s="12" customFormat="1" ht="20.100000000000001" customHeight="1">
      <c r="A53" s="94" t="s">
        <v>19</v>
      </c>
      <c r="B53" s="466">
        <f>250.363</f>
        <v>250.363</v>
      </c>
      <c r="C53" s="466">
        <f>(265796)*0.001</f>
        <v>265.79599999999999</v>
      </c>
      <c r="D53" s="466">
        <f>(238676)*0.001</f>
        <v>238.67600000000002</v>
      </c>
      <c r="E53" s="467">
        <f>(275608)*0.001</f>
        <v>275.608</v>
      </c>
      <c r="F53" s="466">
        <f>(250329)*0.001</f>
        <v>250.32900000000001</v>
      </c>
      <c r="G53" s="466">
        <f>(263389)*0.001</f>
        <v>263.38900000000001</v>
      </c>
      <c r="H53" s="466">
        <f>(214673)*0.001</f>
        <v>214.673</v>
      </c>
      <c r="I53" s="468">
        <f>(245994)*0.001</f>
        <v>245.994</v>
      </c>
      <c r="J53" s="469">
        <f>(240921)*0.001</f>
        <v>240.92099999999999</v>
      </c>
      <c r="K53" s="78">
        <v>1094.3</v>
      </c>
      <c r="L53" s="78">
        <v>1365.1</v>
      </c>
      <c r="M53" s="137">
        <v>1322.6</v>
      </c>
      <c r="N53" s="104">
        <v>1543.9</v>
      </c>
      <c r="O53" s="104">
        <v>1169.9000000000001</v>
      </c>
      <c r="P53" s="78">
        <v>963.7</v>
      </c>
      <c r="Q53" s="301">
        <v>1230.9000000000001</v>
      </c>
      <c r="R53" s="395">
        <v>1593</v>
      </c>
      <c r="S53" s="395">
        <v>1251.3</v>
      </c>
    </row>
    <row r="54" spans="1:19" s="12" customFormat="1" ht="20.100000000000001" customHeight="1">
      <c r="A54" s="94" t="s">
        <v>96</v>
      </c>
      <c r="B54" s="466">
        <f>100.836</f>
        <v>100.836</v>
      </c>
      <c r="C54" s="466">
        <f>(101342)*0.001</f>
        <v>101.342</v>
      </c>
      <c r="D54" s="466">
        <f>(99687)*0.001</f>
        <v>99.686999999999998</v>
      </c>
      <c r="E54" s="467">
        <f>(97256)*0.001</f>
        <v>97.256</v>
      </c>
      <c r="F54" s="466">
        <f>(101219)*0.001</f>
        <v>101.21900000000001</v>
      </c>
      <c r="G54" s="466">
        <f>(102957)*0.001</f>
        <v>102.95700000000001</v>
      </c>
      <c r="H54" s="466">
        <f>(102171)*0.001</f>
        <v>102.17100000000001</v>
      </c>
      <c r="I54" s="468">
        <f>(98659)*0.001</f>
        <v>98.659000000000006</v>
      </c>
      <c r="J54" s="469">
        <f>(101071)*0.001</f>
        <v>101.071</v>
      </c>
      <c r="K54" s="77">
        <v>431.9</v>
      </c>
      <c r="L54" s="77">
        <v>439.1</v>
      </c>
      <c r="M54" s="139">
        <v>464.4</v>
      </c>
      <c r="N54" s="106">
        <v>462.5</v>
      </c>
      <c r="O54" s="106">
        <v>479.4</v>
      </c>
      <c r="P54" s="77">
        <v>4607.5</v>
      </c>
      <c r="Q54" s="301">
        <v>4776.7</v>
      </c>
      <c r="R54" s="386">
        <v>41.5</v>
      </c>
      <c r="S54" s="386">
        <v>42.3</v>
      </c>
    </row>
    <row r="55" spans="1:19" s="12" customFormat="1" ht="20.100000000000001" customHeight="1">
      <c r="A55" s="94" t="s">
        <v>20</v>
      </c>
      <c r="B55" s="466">
        <f>0.237</f>
        <v>0.23699999999999999</v>
      </c>
      <c r="C55" s="466">
        <f>(243)*0.001</f>
        <v>0.24299999999999999</v>
      </c>
      <c r="D55" s="466">
        <f>(234)*0.001</f>
        <v>0.23400000000000001</v>
      </c>
      <c r="E55" s="467">
        <f>(233)*0.001</f>
        <v>0.23300000000000001</v>
      </c>
      <c r="F55" s="466">
        <f>(238)*0.001</f>
        <v>0.23800000000000002</v>
      </c>
      <c r="G55" s="466">
        <f>(247)*0.001</f>
        <v>0.247</v>
      </c>
      <c r="H55" s="466">
        <f>(240)*0.001</f>
        <v>0.24</v>
      </c>
      <c r="I55" s="468">
        <f>(236)*0.001</f>
        <v>0.23600000000000002</v>
      </c>
      <c r="J55" s="469">
        <f>(237)*0.001</f>
        <v>0.23700000000000002</v>
      </c>
      <c r="K55" s="77">
        <v>5.3</v>
      </c>
      <c r="L55" s="77">
        <v>5.8</v>
      </c>
      <c r="M55" s="139">
        <v>6.8</v>
      </c>
      <c r="N55" s="106">
        <v>2.7</v>
      </c>
      <c r="O55" s="106">
        <v>3.7</v>
      </c>
      <c r="P55" s="77">
        <v>4.3</v>
      </c>
      <c r="Q55" s="301">
        <v>4.3</v>
      </c>
      <c r="R55" s="386">
        <v>4.5</v>
      </c>
      <c r="S55" s="386">
        <v>4.9000000000000004</v>
      </c>
    </row>
    <row r="56" spans="1:19" s="12" customFormat="1" ht="20.100000000000001" customHeight="1">
      <c r="A56" s="94" t="s">
        <v>232</v>
      </c>
      <c r="B56" s="80">
        <v>0</v>
      </c>
      <c r="C56" s="80">
        <v>0</v>
      </c>
      <c r="D56" s="80">
        <v>0</v>
      </c>
      <c r="E56" s="132">
        <v>0</v>
      </c>
      <c r="F56" s="80">
        <v>0</v>
      </c>
      <c r="G56" s="80">
        <v>0</v>
      </c>
      <c r="H56" s="80">
        <v>0</v>
      </c>
      <c r="I56" s="116">
        <v>0</v>
      </c>
      <c r="J56" s="141">
        <v>0</v>
      </c>
      <c r="K56" s="77">
        <v>115.8</v>
      </c>
      <c r="L56" s="77">
        <v>113.9</v>
      </c>
      <c r="M56" s="139">
        <v>117.1</v>
      </c>
      <c r="N56" s="106">
        <v>113</v>
      </c>
      <c r="O56" s="106">
        <v>116.7</v>
      </c>
      <c r="P56" s="77">
        <v>115.6</v>
      </c>
      <c r="Q56" s="301">
        <v>117</v>
      </c>
      <c r="R56" s="386">
        <v>118</v>
      </c>
      <c r="S56" s="386">
        <v>123.1</v>
      </c>
    </row>
    <row r="57" spans="1:19" s="12" customFormat="1" ht="20.100000000000001" customHeight="1">
      <c r="A57" s="94" t="s">
        <v>25</v>
      </c>
      <c r="B57" s="466">
        <f>435.427</f>
        <v>435.42700000000002</v>
      </c>
      <c r="C57" s="466">
        <f>(436188)*0.001</f>
        <v>436.18799999999999</v>
      </c>
      <c r="D57" s="466">
        <f>(441676)*0.001</f>
        <v>441.67599999999999</v>
      </c>
      <c r="E57" s="467">
        <f>(472094)*0.001</f>
        <v>472.09399999999999</v>
      </c>
      <c r="F57" s="466">
        <f>(432897)*0.001</f>
        <v>432.89699999999999</v>
      </c>
      <c r="G57" s="466">
        <f>(428004)*0.001</f>
        <v>428.00400000000002</v>
      </c>
      <c r="H57" s="466">
        <f>(390829)*0.001</f>
        <v>390.82900000000001</v>
      </c>
      <c r="I57" s="468">
        <f>(413210)*0.001</f>
        <v>413.21000000000004</v>
      </c>
      <c r="J57" s="469">
        <f>(418100)*0.001</f>
        <v>418.1</v>
      </c>
      <c r="K57" s="78">
        <v>1618.8</v>
      </c>
      <c r="L57" s="78">
        <v>1505.3</v>
      </c>
      <c r="M57" s="137">
        <v>1523</v>
      </c>
      <c r="N57" s="104">
        <v>1333.5</v>
      </c>
      <c r="O57" s="104">
        <v>1670.4</v>
      </c>
      <c r="P57" s="78">
        <v>1431.5</v>
      </c>
      <c r="Q57" s="301">
        <v>1485.4</v>
      </c>
      <c r="R57" s="395">
        <v>1711.4</v>
      </c>
      <c r="S57" s="395">
        <v>1365.9</v>
      </c>
    </row>
    <row r="58" spans="1:19" s="12" customFormat="1" ht="20.100000000000001" customHeight="1">
      <c r="A58" s="99" t="s">
        <v>107</v>
      </c>
      <c r="B58" s="80">
        <v>0</v>
      </c>
      <c r="C58" s="80">
        <v>0</v>
      </c>
      <c r="D58" s="80">
        <v>0</v>
      </c>
      <c r="E58" s="132">
        <v>0</v>
      </c>
      <c r="F58" s="80">
        <v>0</v>
      </c>
      <c r="G58" s="80">
        <v>0</v>
      </c>
      <c r="H58" s="80">
        <v>0</v>
      </c>
      <c r="I58" s="140">
        <v>12</v>
      </c>
      <c r="J58" s="141">
        <v>0</v>
      </c>
      <c r="K58" s="80">
        <v>0</v>
      </c>
      <c r="L58" s="80">
        <v>0</v>
      </c>
      <c r="M58" s="140">
        <v>87</v>
      </c>
      <c r="N58" s="107">
        <v>99.7</v>
      </c>
      <c r="O58" s="107">
        <v>79</v>
      </c>
      <c r="P58" s="83">
        <v>57.1</v>
      </c>
      <c r="Q58" s="301">
        <v>72.900000000000006</v>
      </c>
      <c r="R58" s="388">
        <v>25.8</v>
      </c>
      <c r="S58" s="388">
        <v>3.5</v>
      </c>
    </row>
    <row r="59" spans="1:19" s="12" customFormat="1" ht="20.100000000000001" customHeight="1">
      <c r="A59" s="94" t="s">
        <v>24</v>
      </c>
      <c r="B59" s="466">
        <f>29.589</f>
        <v>29.588999999999999</v>
      </c>
      <c r="C59" s="466">
        <f>(7799)*0.001</f>
        <v>7.7990000000000004</v>
      </c>
      <c r="D59" s="466">
        <f>(6782)*0.001</f>
        <v>6.782</v>
      </c>
      <c r="E59" s="467">
        <f>(7092)*0.001</f>
        <v>7.0920000000000005</v>
      </c>
      <c r="F59" s="466">
        <f>(1990)*0.001</f>
        <v>1.99</v>
      </c>
      <c r="G59" s="466">
        <f>(6510)*0.001</f>
        <v>6.51</v>
      </c>
      <c r="H59" s="466">
        <f>(14152)*0.001</f>
        <v>14.152000000000001</v>
      </c>
      <c r="I59" s="468">
        <f>(4520)*0.001</f>
        <v>4.5200000000000005</v>
      </c>
      <c r="J59" s="469">
        <f>(12203)*0.001</f>
        <v>12.202999999999999</v>
      </c>
      <c r="K59" s="77">
        <v>43.7</v>
      </c>
      <c r="L59" s="77">
        <v>22.1</v>
      </c>
      <c r="M59" s="139">
        <v>48.028993427171699</v>
      </c>
      <c r="N59" s="106">
        <v>22.5</v>
      </c>
      <c r="O59" s="106">
        <v>132.69999999999999</v>
      </c>
      <c r="P59" s="77">
        <v>96.3</v>
      </c>
      <c r="Q59" s="301">
        <v>176.1</v>
      </c>
      <c r="R59" s="386">
        <v>29.2</v>
      </c>
      <c r="S59" s="386">
        <v>39.1</v>
      </c>
    </row>
    <row r="60" spans="1:19" s="12" customFormat="1" ht="20.100000000000001" customHeight="1">
      <c r="A60" s="94" t="s">
        <v>48</v>
      </c>
      <c r="B60" s="466">
        <f>12.532</f>
        <v>12.532</v>
      </c>
      <c r="C60" s="466">
        <f>(12125)*0.001</f>
        <v>12.125</v>
      </c>
      <c r="D60" s="466">
        <f>(12084)*0.001</f>
        <v>12.084</v>
      </c>
      <c r="E60" s="467">
        <f>(13259)*0.001</f>
        <v>13.259</v>
      </c>
      <c r="F60" s="466">
        <f>(13182)*0.001</f>
        <v>13.182</v>
      </c>
      <c r="G60" s="466">
        <f>(12551)*0.001</f>
        <v>12.551</v>
      </c>
      <c r="H60" s="466">
        <f>(12536)*0.001</f>
        <v>12.536</v>
      </c>
      <c r="I60" s="468">
        <f>(2727)*0.001</f>
        <v>2.7269999999999999</v>
      </c>
      <c r="J60" s="469">
        <f>(2843)*0.001</f>
        <v>2.843</v>
      </c>
      <c r="K60" s="77">
        <v>2.6</v>
      </c>
      <c r="L60" s="77">
        <v>2.7</v>
      </c>
      <c r="M60" s="139">
        <v>1.4</v>
      </c>
      <c r="N60" s="106">
        <v>1.4</v>
      </c>
      <c r="O60" s="92" t="s">
        <v>66</v>
      </c>
      <c r="P60" s="92" t="s">
        <v>66</v>
      </c>
      <c r="Q60" s="302" t="s">
        <v>66</v>
      </c>
      <c r="R60" s="397" t="s">
        <v>66</v>
      </c>
      <c r="S60" s="397" t="s">
        <v>66</v>
      </c>
    </row>
    <row r="61" spans="1:19" s="12" customFormat="1" ht="20.100000000000001" customHeight="1" thickBot="1">
      <c r="A61" s="94" t="s">
        <v>233</v>
      </c>
      <c r="B61" s="466">
        <f>188.402</f>
        <v>188.40199999999999</v>
      </c>
      <c r="C61" s="466">
        <f>(209950)*0.001</f>
        <v>209.95000000000002</v>
      </c>
      <c r="D61" s="466">
        <f>(210563)*0.001</f>
        <v>210.56300000000002</v>
      </c>
      <c r="E61" s="467">
        <f>(201238)*0.001</f>
        <v>201.238</v>
      </c>
      <c r="F61" s="466">
        <f>(207890)*0.001</f>
        <v>207.89000000000001</v>
      </c>
      <c r="G61" s="466">
        <f>(204442)*0.001</f>
        <v>204.44200000000001</v>
      </c>
      <c r="H61" s="466">
        <f>(210688)*0.001</f>
        <v>210.68800000000002</v>
      </c>
      <c r="I61" s="468">
        <f>(209485)*0.001</f>
        <v>209.48500000000001</v>
      </c>
      <c r="J61" s="469">
        <f>(228170)*0.001</f>
        <v>228.17000000000002</v>
      </c>
      <c r="K61" s="77">
        <v>678</v>
      </c>
      <c r="L61" s="77">
        <v>672.7</v>
      </c>
      <c r="M61" s="139">
        <v>683.9</v>
      </c>
      <c r="N61" s="106">
        <v>670.3</v>
      </c>
      <c r="O61" s="106">
        <v>672</v>
      </c>
      <c r="P61" s="77">
        <v>680.9</v>
      </c>
      <c r="Q61" s="301">
        <v>676.1</v>
      </c>
      <c r="R61" s="386">
        <v>665</v>
      </c>
      <c r="S61" s="386">
        <v>676.8</v>
      </c>
    </row>
    <row r="62" spans="1:19" s="23" customFormat="1" ht="24.95" customHeight="1" thickBot="1">
      <c r="A62" s="13" t="s">
        <v>26</v>
      </c>
      <c r="B62" s="98">
        <f t="shared" ref="B62:L62" si="32">SUM(B53:B61)</f>
        <v>1017.386</v>
      </c>
      <c r="C62" s="98">
        <f t="shared" si="32"/>
        <v>1033.443</v>
      </c>
      <c r="D62" s="98">
        <f t="shared" si="32"/>
        <v>1009.7019999999999</v>
      </c>
      <c r="E62" s="120">
        <f t="shared" si="32"/>
        <v>1066.78</v>
      </c>
      <c r="F62" s="98">
        <f t="shared" si="32"/>
        <v>1007.745</v>
      </c>
      <c r="G62" s="98">
        <f t="shared" si="32"/>
        <v>1018.1</v>
      </c>
      <c r="H62" s="98">
        <f t="shared" si="32"/>
        <v>945.28899999999999</v>
      </c>
      <c r="I62" s="98">
        <f t="shared" si="32"/>
        <v>986.83100000000002</v>
      </c>
      <c r="J62" s="463">
        <f t="shared" si="32"/>
        <v>1003.5449999999998</v>
      </c>
      <c r="K62" s="97">
        <f t="shared" si="32"/>
        <v>3990.3999999999992</v>
      </c>
      <c r="L62" s="97">
        <f t="shared" si="32"/>
        <v>4126.7</v>
      </c>
      <c r="M62" s="120">
        <f t="shared" ref="M62:S62" si="33">SUM(M53:M61)-M58</f>
        <v>4167.2289934271712</v>
      </c>
      <c r="N62" s="98">
        <f t="shared" si="33"/>
        <v>4149.8</v>
      </c>
      <c r="O62" s="98">
        <f t="shared" si="33"/>
        <v>4244.8</v>
      </c>
      <c r="P62" s="98">
        <f t="shared" si="33"/>
        <v>7899.8</v>
      </c>
      <c r="Q62" s="300">
        <f t="shared" si="33"/>
        <v>8466.5000000000018</v>
      </c>
      <c r="R62" s="390">
        <f t="shared" si="33"/>
        <v>4162.5999999999995</v>
      </c>
      <c r="S62" s="390">
        <f t="shared" si="33"/>
        <v>3503.3999999999996</v>
      </c>
    </row>
    <row r="63" spans="1:19" s="23" customFormat="1" ht="24.95" customHeight="1" thickBot="1">
      <c r="A63" s="13" t="s">
        <v>27</v>
      </c>
      <c r="B63" s="98">
        <f>B52+B62</f>
        <v>3411.9869999999996</v>
      </c>
      <c r="C63" s="98">
        <f>C52+C62</f>
        <v>3405.5320000000002</v>
      </c>
      <c r="D63" s="98">
        <f>D52+D62</f>
        <v>3159.9589999999994</v>
      </c>
      <c r="E63" s="120">
        <f t="shared" ref="E63:S63" si="34">E62+E52</f>
        <v>3092.942</v>
      </c>
      <c r="F63" s="98">
        <f t="shared" si="34"/>
        <v>3067.306</v>
      </c>
      <c r="G63" s="98">
        <f t="shared" si="34"/>
        <v>2945.4119999999998</v>
      </c>
      <c r="H63" s="98">
        <f t="shared" si="34"/>
        <v>2772.4030000000002</v>
      </c>
      <c r="I63" s="98">
        <f t="shared" si="34"/>
        <v>2687.0169999999998</v>
      </c>
      <c r="J63" s="463">
        <f t="shared" si="34"/>
        <v>2742.8450000000003</v>
      </c>
      <c r="K63" s="97">
        <f t="shared" si="34"/>
        <v>18735.399999999998</v>
      </c>
      <c r="L63" s="97">
        <f t="shared" si="34"/>
        <v>18350.5</v>
      </c>
      <c r="M63" s="120">
        <f t="shared" si="34"/>
        <v>18260.528993427175</v>
      </c>
      <c r="N63" s="98">
        <f t="shared" si="34"/>
        <v>17777</v>
      </c>
      <c r="O63" s="98">
        <f t="shared" si="34"/>
        <v>17584</v>
      </c>
      <c r="P63" s="98">
        <f t="shared" si="34"/>
        <v>16083.5</v>
      </c>
      <c r="Q63" s="300">
        <f t="shared" si="34"/>
        <v>16240.000000000002</v>
      </c>
      <c r="R63" s="390">
        <f t="shared" si="34"/>
        <v>17950.3</v>
      </c>
      <c r="S63" s="390">
        <f t="shared" si="34"/>
        <v>16819.5</v>
      </c>
    </row>
    <row r="64" spans="1:19" s="23" customFormat="1" ht="24.95" customHeight="1" thickBot="1">
      <c r="A64" s="101" t="s">
        <v>28</v>
      </c>
      <c r="B64" s="102">
        <f t="shared" ref="B64:S64" si="35">B63+B43</f>
        <v>5502.753999999999</v>
      </c>
      <c r="C64" s="102">
        <f t="shared" si="35"/>
        <v>5597.8010000000004</v>
      </c>
      <c r="D64" s="102">
        <f t="shared" si="35"/>
        <v>5514.8739999999998</v>
      </c>
      <c r="E64" s="133">
        <f t="shared" si="35"/>
        <v>5561.3450000000003</v>
      </c>
      <c r="F64" s="102">
        <f t="shared" si="35"/>
        <v>5629.4740000000002</v>
      </c>
      <c r="G64" s="102">
        <f t="shared" si="35"/>
        <v>5592.7070000000003</v>
      </c>
      <c r="H64" s="102">
        <f t="shared" si="35"/>
        <v>5597.9809999999998</v>
      </c>
      <c r="I64" s="464">
        <f t="shared" si="35"/>
        <v>5688.23</v>
      </c>
      <c r="J64" s="465">
        <f t="shared" si="35"/>
        <v>5851.1939999999995</v>
      </c>
      <c r="K64" s="102">
        <f t="shared" si="35"/>
        <v>27827.1</v>
      </c>
      <c r="L64" s="102">
        <f t="shared" si="35"/>
        <v>27481.200000000001</v>
      </c>
      <c r="M64" s="133">
        <f t="shared" si="35"/>
        <v>27338.728993427176</v>
      </c>
      <c r="N64" s="102">
        <f t="shared" si="35"/>
        <v>27088.9</v>
      </c>
      <c r="O64" s="102">
        <f t="shared" si="35"/>
        <v>27141.800000000003</v>
      </c>
      <c r="P64" s="102">
        <f t="shared" si="35"/>
        <v>26143.5</v>
      </c>
      <c r="Q64" s="303">
        <f t="shared" si="35"/>
        <v>26490.100000000002</v>
      </c>
      <c r="R64" s="392">
        <f t="shared" si="35"/>
        <v>28355.5</v>
      </c>
      <c r="S64" s="392">
        <f t="shared" si="35"/>
        <v>27581.1</v>
      </c>
    </row>
    <row r="65" spans="1:17" s="12" customFormat="1">
      <c r="A65" s="96"/>
      <c r="K65" s="22"/>
      <c r="L65" s="22"/>
      <c r="P65" s="22"/>
    </row>
    <row r="66" spans="1:17" s="12" customFormat="1">
      <c r="A66" s="96"/>
      <c r="K66" s="22"/>
      <c r="L66" s="22"/>
      <c r="P66" s="22"/>
    </row>
    <row r="67" spans="1:17" s="12" customFormat="1" ht="20.100000000000001" customHeight="1">
      <c r="A67" s="518" t="s">
        <v>234</v>
      </c>
      <c r="B67" s="518"/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</row>
    <row r="68" spans="1:17" s="12" customFormat="1" ht="20.100000000000001" customHeight="1">
      <c r="A68" s="518" t="s">
        <v>235</v>
      </c>
      <c r="B68" s="518"/>
      <c r="C68" s="518"/>
      <c r="D68" s="518"/>
      <c r="E68" s="518"/>
      <c r="F68" s="518"/>
      <c r="G68" s="518"/>
      <c r="H68" s="518"/>
      <c r="I68" s="518"/>
      <c r="J68" s="518"/>
      <c r="K68" s="518"/>
      <c r="L68" s="518"/>
      <c r="M68" s="518"/>
      <c r="N68" s="518"/>
      <c r="O68" s="518"/>
      <c r="P68" s="518"/>
      <c r="Q68" s="518"/>
    </row>
    <row r="69" spans="1:17" s="12" customFormat="1">
      <c r="A69" s="10"/>
      <c r="K69" s="22"/>
      <c r="L69" s="22"/>
      <c r="P69" s="22"/>
    </row>
    <row r="70" spans="1:17" s="12" customFormat="1">
      <c r="A70" s="103"/>
      <c r="K70" s="22"/>
      <c r="L70" s="22"/>
      <c r="P70" s="22"/>
    </row>
    <row r="71" spans="1:17" s="12" customFormat="1">
      <c r="A71" s="10"/>
      <c r="K71" s="22"/>
      <c r="L71" s="22"/>
      <c r="P71" s="22"/>
    </row>
    <row r="72" spans="1:17" s="12" customFormat="1">
      <c r="A72" s="10"/>
      <c r="K72" s="22"/>
      <c r="L72" s="22"/>
      <c r="P72" s="22"/>
    </row>
  </sheetData>
  <mergeCells count="7">
    <mergeCell ref="R2:S2"/>
    <mergeCell ref="A67:Q67"/>
    <mergeCell ref="A68:Q68"/>
    <mergeCell ref="B2:E2"/>
    <mergeCell ref="F2:I2"/>
    <mergeCell ref="J2:M2"/>
    <mergeCell ref="N2:Q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6"/>
  <sheetViews>
    <sheetView showGridLines="0" zoomScaleNormal="100" zoomScaleSheetLayoutView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19" width="13" style="6" bestFit="1" customWidth="1"/>
    <col min="20" max="61" width="9" style="10"/>
    <col min="62" max="16384" width="9" style="6"/>
  </cols>
  <sheetData>
    <row r="1" spans="1:494" s="32" customFormat="1" ht="50.25" customHeight="1" thickBot="1">
      <c r="A1" s="5" t="s">
        <v>190</v>
      </c>
      <c r="B1" s="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</row>
    <row r="2" spans="1:494" s="32" customFormat="1" ht="24.95" customHeight="1">
      <c r="A2" s="8" t="s">
        <v>140</v>
      </c>
      <c r="B2" s="517">
        <v>2012</v>
      </c>
      <c r="C2" s="517"/>
      <c r="D2" s="517"/>
      <c r="E2" s="519"/>
      <c r="F2" s="516">
        <v>2013</v>
      </c>
      <c r="G2" s="517"/>
      <c r="H2" s="517"/>
      <c r="I2" s="519"/>
      <c r="J2" s="517">
        <v>2014</v>
      </c>
      <c r="K2" s="517"/>
      <c r="L2" s="517"/>
      <c r="M2" s="517"/>
      <c r="N2" s="522">
        <v>2015</v>
      </c>
      <c r="O2" s="520"/>
      <c r="P2" s="520"/>
      <c r="Q2" s="521"/>
      <c r="R2" s="516">
        <v>2016</v>
      </c>
      <c r="S2" s="517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</row>
    <row r="3" spans="1:494" ht="34.5" customHeight="1" thickBot="1">
      <c r="A3" s="9" t="s">
        <v>112</v>
      </c>
      <c r="B3" s="144" t="s">
        <v>135</v>
      </c>
      <c r="C3" s="144" t="s">
        <v>136</v>
      </c>
      <c r="D3" s="144" t="s">
        <v>137</v>
      </c>
      <c r="E3" s="146" t="s">
        <v>138</v>
      </c>
      <c r="F3" s="145" t="s">
        <v>135</v>
      </c>
      <c r="G3" s="144" t="s">
        <v>136</v>
      </c>
      <c r="H3" s="144" t="s">
        <v>137</v>
      </c>
      <c r="I3" s="146" t="s">
        <v>138</v>
      </c>
      <c r="J3" s="144" t="s">
        <v>135</v>
      </c>
      <c r="K3" s="144" t="s">
        <v>136</v>
      </c>
      <c r="L3" s="144" t="s">
        <v>137</v>
      </c>
      <c r="M3" s="147" t="s">
        <v>138</v>
      </c>
      <c r="N3" s="145" t="s">
        <v>135</v>
      </c>
      <c r="O3" s="144" t="s">
        <v>136</v>
      </c>
      <c r="P3" s="144" t="s">
        <v>137</v>
      </c>
      <c r="Q3" s="291" t="s">
        <v>138</v>
      </c>
      <c r="R3" s="145" t="s">
        <v>135</v>
      </c>
      <c r="S3" s="144" t="s">
        <v>136</v>
      </c>
    </row>
    <row r="4" spans="1:494" s="10" customFormat="1" ht="20.100000000000001" customHeight="1" thickBot="1">
      <c r="A4" s="283" t="s">
        <v>139</v>
      </c>
      <c r="B4" s="305">
        <v>205.10900000000001</v>
      </c>
      <c r="C4" s="305">
        <v>304.61200000000002</v>
      </c>
      <c r="D4" s="305">
        <v>476.67400000000004</v>
      </c>
      <c r="E4" s="480">
        <v>598.298</v>
      </c>
      <c r="F4" s="304">
        <v>95.105000000000004</v>
      </c>
      <c r="G4" s="305">
        <v>175.85</v>
      </c>
      <c r="H4" s="305">
        <v>352.30099999999999</v>
      </c>
      <c r="I4" s="480">
        <v>525.44500000000005</v>
      </c>
      <c r="J4" s="305">
        <v>98.171999999999997</v>
      </c>
      <c r="K4" s="305">
        <f>'Skonsolidowany RZiS'!M25+'Skonsolidowany RZiS'!L25</f>
        <v>230.30000000000004</v>
      </c>
      <c r="L4" s="305">
        <v>278.5</v>
      </c>
      <c r="M4" s="316">
        <v>292.5</v>
      </c>
      <c r="N4" s="304">
        <v>170.8</v>
      </c>
      <c r="O4" s="305">
        <v>475.29999999999984</v>
      </c>
      <c r="P4" s="305">
        <f>SUM('Skonsolidowany RZiS'!Q25:S25)</f>
        <v>977.79999999999973</v>
      </c>
      <c r="Q4" s="306">
        <f>SUM('Skonsolidowany RZiS'!U25)</f>
        <v>1163.3999999999994</v>
      </c>
      <c r="R4" s="304">
        <f>'Skonsolidowany RZiS'!V25</f>
        <v>178.50000000000006</v>
      </c>
      <c r="S4" s="305">
        <f>'Skonsolidowany RZiS'!V25+'Skonsolidowany RZiS'!W25</f>
        <v>409.40000000000043</v>
      </c>
    </row>
    <row r="5" spans="1:494" s="10" customFormat="1" ht="20.100000000000001" customHeight="1" thickBot="1">
      <c r="A5" s="283" t="s">
        <v>29</v>
      </c>
      <c r="B5" s="481">
        <f t="shared" ref="B5:Q5" si="0">SUM(B6:B24)</f>
        <v>28.31799999999998</v>
      </c>
      <c r="C5" s="481">
        <f t="shared" si="0"/>
        <v>110.99899999999997</v>
      </c>
      <c r="D5" s="481">
        <f t="shared" si="0"/>
        <v>152.09600000000003</v>
      </c>
      <c r="E5" s="480">
        <f t="shared" si="0"/>
        <v>244.9200000000001</v>
      </c>
      <c r="F5" s="304">
        <f t="shared" si="0"/>
        <v>70.556999999999988</v>
      </c>
      <c r="G5" s="305">
        <f t="shared" si="0"/>
        <v>176.07799999999997</v>
      </c>
      <c r="H5" s="305">
        <f t="shared" si="0"/>
        <v>195.94299999999996</v>
      </c>
      <c r="I5" s="480">
        <f t="shared" si="0"/>
        <v>334.28999999999991</v>
      </c>
      <c r="J5" s="305">
        <f t="shared" si="0"/>
        <v>86.532000000000011</v>
      </c>
      <c r="K5" s="305">
        <f t="shared" si="0"/>
        <v>505.40000000000015</v>
      </c>
      <c r="L5" s="305">
        <f t="shared" si="0"/>
        <v>1145.4000000000003</v>
      </c>
      <c r="M5" s="316">
        <f t="shared" si="0"/>
        <v>1825.2999999999997</v>
      </c>
      <c r="N5" s="304">
        <f t="shared" si="0"/>
        <v>282.2000000000001</v>
      </c>
      <c r="O5" s="305">
        <f t="shared" si="0"/>
        <v>852.69999999999982</v>
      </c>
      <c r="P5" s="305">
        <f t="shared" si="0"/>
        <v>1195.6999999999994</v>
      </c>
      <c r="Q5" s="306">
        <f t="shared" si="0"/>
        <v>1821.7</v>
      </c>
      <c r="R5" s="304">
        <f t="shared" ref="R5" si="1">SUM(R6:R24)</f>
        <v>405.9</v>
      </c>
      <c r="S5" s="305">
        <f t="shared" ref="S5" si="2">SUM(S6:S24)</f>
        <v>1140</v>
      </c>
    </row>
    <row r="6" spans="1:494" s="10" customFormat="1" ht="20.100000000000001" customHeight="1">
      <c r="A6" s="284" t="s">
        <v>82</v>
      </c>
      <c r="B6" s="308">
        <v>54.433</v>
      </c>
      <c r="C6" s="308">
        <v>111.117</v>
      </c>
      <c r="D6" s="308">
        <v>171.35499999999999</v>
      </c>
      <c r="E6" s="482">
        <v>243.066</v>
      </c>
      <c r="F6" s="307">
        <v>60.698</v>
      </c>
      <c r="G6" s="308">
        <v>122.961</v>
      </c>
      <c r="H6" s="308">
        <v>187.82599999999999</v>
      </c>
      <c r="I6" s="482">
        <v>256.416</v>
      </c>
      <c r="J6" s="317">
        <v>62.434000000000005</v>
      </c>
      <c r="K6" s="317">
        <v>373.8</v>
      </c>
      <c r="L6" s="317">
        <v>852.1</v>
      </c>
      <c r="M6" s="318">
        <v>1295.9000000000001</v>
      </c>
      <c r="N6" s="307">
        <v>467.9</v>
      </c>
      <c r="O6" s="308">
        <v>861.4</v>
      </c>
      <c r="P6" s="308">
        <v>1262.5999999999999</v>
      </c>
      <c r="Q6" s="309">
        <v>1699.3</v>
      </c>
      <c r="R6" s="307">
        <v>423.7</v>
      </c>
      <c r="S6" s="308">
        <v>951.2</v>
      </c>
    </row>
    <row r="7" spans="1:494" s="10" customFormat="1" ht="20.100000000000001" customHeight="1">
      <c r="A7" s="284" t="s">
        <v>53</v>
      </c>
      <c r="B7" s="308">
        <v>-29.711000000000002</v>
      </c>
      <c r="C7" s="308">
        <v>-88.683000000000007</v>
      </c>
      <c r="D7" s="308">
        <v>-140.589</v>
      </c>
      <c r="E7" s="482">
        <v>-177.86799999999999</v>
      </c>
      <c r="F7" s="307">
        <v>-44.32</v>
      </c>
      <c r="G7" s="308">
        <v>-122.45100000000001</v>
      </c>
      <c r="H7" s="308">
        <v>-189.477</v>
      </c>
      <c r="I7" s="482">
        <v>-222.45600000000002</v>
      </c>
      <c r="J7" s="317">
        <v>-109.42100000000001</v>
      </c>
      <c r="K7" s="317">
        <v>-148.9</v>
      </c>
      <c r="L7" s="317">
        <v>-224.7</v>
      </c>
      <c r="M7" s="318">
        <v>-306.8</v>
      </c>
      <c r="N7" s="307">
        <v>-41.5</v>
      </c>
      <c r="O7" s="308">
        <v>-115.2</v>
      </c>
      <c r="P7" s="308">
        <v>-195.4</v>
      </c>
      <c r="Q7" s="309">
        <v>-238.1</v>
      </c>
      <c r="R7" s="307">
        <v>-58.1</v>
      </c>
      <c r="S7" s="308">
        <v>-119</v>
      </c>
    </row>
    <row r="8" spans="1:494" s="10" customFormat="1" ht="20.100000000000001" customHeight="1">
      <c r="A8" s="284" t="s">
        <v>54</v>
      </c>
      <c r="B8" s="308">
        <v>46.908999999999999</v>
      </c>
      <c r="C8" s="308">
        <v>99.832000000000008</v>
      </c>
      <c r="D8" s="308">
        <v>145.40600000000001</v>
      </c>
      <c r="E8" s="482">
        <v>194.52100000000002</v>
      </c>
      <c r="F8" s="307">
        <v>46.048999999999999</v>
      </c>
      <c r="G8" s="308">
        <v>102.423</v>
      </c>
      <c r="H8" s="308">
        <v>162.63200000000001</v>
      </c>
      <c r="I8" s="482">
        <v>220.37100000000001</v>
      </c>
      <c r="J8" s="317">
        <v>40.084000000000003</v>
      </c>
      <c r="K8" s="317">
        <v>85.1</v>
      </c>
      <c r="L8" s="317">
        <v>162.19999999999999</v>
      </c>
      <c r="M8" s="318">
        <v>224.4</v>
      </c>
      <c r="N8" s="307">
        <v>43.7</v>
      </c>
      <c r="O8" s="308">
        <v>90.5</v>
      </c>
      <c r="P8" s="308">
        <v>149.9</v>
      </c>
      <c r="Q8" s="309">
        <v>212.6</v>
      </c>
      <c r="R8" s="307">
        <v>49.1</v>
      </c>
      <c r="S8" s="308">
        <v>125.3</v>
      </c>
    </row>
    <row r="9" spans="1:494" s="10" customFormat="1" ht="20.100000000000001" customHeight="1">
      <c r="A9" s="284" t="s">
        <v>98</v>
      </c>
      <c r="B9" s="308">
        <v>-1.0999999999999999E-2</v>
      </c>
      <c r="C9" s="308">
        <v>-0.25700000000000001</v>
      </c>
      <c r="D9" s="308">
        <v>-0.48299999999999998</v>
      </c>
      <c r="E9" s="482">
        <v>-0.111</v>
      </c>
      <c r="F9" s="307">
        <v>5.8000000000000003E-2</v>
      </c>
      <c r="G9" s="308">
        <v>7.2999999999999995E-2</v>
      </c>
      <c r="H9" s="308">
        <v>-38.896000000000001</v>
      </c>
      <c r="I9" s="482">
        <v>-35.765000000000001</v>
      </c>
      <c r="J9" s="317">
        <v>-5.2999999999999999E-2</v>
      </c>
      <c r="K9" s="317">
        <v>-0.7</v>
      </c>
      <c r="L9" s="317">
        <v>-2.4</v>
      </c>
      <c r="M9" s="318">
        <v>-2.9</v>
      </c>
      <c r="N9" s="307">
        <v>-0.4</v>
      </c>
      <c r="O9" s="308">
        <v>-4.8</v>
      </c>
      <c r="P9" s="308">
        <v>-5.7</v>
      </c>
      <c r="Q9" s="309">
        <v>-6.9</v>
      </c>
      <c r="R9" s="495" t="s">
        <v>66</v>
      </c>
      <c r="S9" s="496" t="s">
        <v>66</v>
      </c>
    </row>
    <row r="10" spans="1:494" s="10" customFormat="1" ht="20.100000000000001" customHeight="1">
      <c r="A10" s="284" t="s">
        <v>55</v>
      </c>
      <c r="B10" s="308">
        <v>2.3109999999999999</v>
      </c>
      <c r="C10" s="308">
        <v>4.6020000000000003</v>
      </c>
      <c r="D10" s="308">
        <v>6.1379999999999999</v>
      </c>
      <c r="E10" s="482">
        <v>9.2439999999999998</v>
      </c>
      <c r="F10" s="307">
        <v>3.504</v>
      </c>
      <c r="G10" s="308">
        <v>5.843</v>
      </c>
      <c r="H10" s="308">
        <v>6.3049999999999997</v>
      </c>
      <c r="I10" s="482">
        <v>6.407</v>
      </c>
      <c r="J10" s="317">
        <v>4.1000000000000002E-2</v>
      </c>
      <c r="K10" s="317">
        <v>0.1</v>
      </c>
      <c r="L10" s="317">
        <v>30.4</v>
      </c>
      <c r="M10" s="318">
        <v>30.5</v>
      </c>
      <c r="N10" s="307">
        <v>0.1</v>
      </c>
      <c r="O10" s="308">
        <v>0.5</v>
      </c>
      <c r="P10" s="308">
        <v>0.5</v>
      </c>
      <c r="Q10" s="309">
        <v>1.4</v>
      </c>
      <c r="R10" s="495" t="s">
        <v>66</v>
      </c>
      <c r="S10" s="496" t="s">
        <v>66</v>
      </c>
    </row>
    <row r="11" spans="1:494" s="10" customFormat="1" ht="20.100000000000001" customHeight="1">
      <c r="A11" s="284" t="s">
        <v>30</v>
      </c>
      <c r="B11" s="308">
        <v>52.017000000000003</v>
      </c>
      <c r="C11" s="308">
        <v>105.822</v>
      </c>
      <c r="D11" s="308">
        <v>156.893</v>
      </c>
      <c r="E11" s="482">
        <v>205.185</v>
      </c>
      <c r="F11" s="307">
        <v>46.368000000000002</v>
      </c>
      <c r="G11" s="308">
        <v>93.388999999999996</v>
      </c>
      <c r="H11" s="308">
        <v>140.42699999999999</v>
      </c>
      <c r="I11" s="482">
        <v>183.81100000000001</v>
      </c>
      <c r="J11" s="317">
        <v>90.381</v>
      </c>
      <c r="K11" s="317">
        <v>248.5</v>
      </c>
      <c r="L11" s="317">
        <v>421.4</v>
      </c>
      <c r="M11" s="318">
        <v>603.70000000000005</v>
      </c>
      <c r="N11" s="307">
        <v>177.4</v>
      </c>
      <c r="O11" s="308">
        <v>348.5</v>
      </c>
      <c r="P11" s="308">
        <v>581.29999999999995</v>
      </c>
      <c r="Q11" s="309">
        <v>763.6</v>
      </c>
      <c r="R11" s="307">
        <v>144.69999999999999</v>
      </c>
      <c r="S11" s="308">
        <v>285.89999999999998</v>
      </c>
    </row>
    <row r="12" spans="1:494" s="10" customFormat="1" ht="20.100000000000001" customHeight="1">
      <c r="A12" s="284" t="s">
        <v>31</v>
      </c>
      <c r="B12" s="308">
        <v>-7.2490000000000006</v>
      </c>
      <c r="C12" s="308">
        <v>-7.3810000000000002</v>
      </c>
      <c r="D12" s="308">
        <v>1.093</v>
      </c>
      <c r="E12" s="482">
        <v>16.173000000000002</v>
      </c>
      <c r="F12" s="307">
        <v>11.273</v>
      </c>
      <c r="G12" s="308">
        <v>4.4740000000000002</v>
      </c>
      <c r="H12" s="308">
        <v>5.9119999999999999</v>
      </c>
      <c r="I12" s="482">
        <v>14.839</v>
      </c>
      <c r="J12" s="317">
        <v>-16.302</v>
      </c>
      <c r="K12" s="317">
        <v>-41.8</v>
      </c>
      <c r="L12" s="317">
        <v>-14.7</v>
      </c>
      <c r="M12" s="318">
        <v>0.5</v>
      </c>
      <c r="N12" s="307">
        <v>48.6</v>
      </c>
      <c r="O12" s="308">
        <v>45.6</v>
      </c>
      <c r="P12" s="308">
        <v>43.3</v>
      </c>
      <c r="Q12" s="309">
        <v>26.4</v>
      </c>
      <c r="R12" s="307">
        <v>21.5</v>
      </c>
      <c r="S12" s="308">
        <v>11.7</v>
      </c>
    </row>
    <row r="13" spans="1:494" s="10" customFormat="1" ht="20.100000000000001" customHeight="1">
      <c r="A13" s="284" t="s">
        <v>32</v>
      </c>
      <c r="B13" s="308">
        <v>-48.496000000000002</v>
      </c>
      <c r="C13" s="308">
        <v>-85.073000000000008</v>
      </c>
      <c r="D13" s="308">
        <v>-90.59</v>
      </c>
      <c r="E13" s="482">
        <v>-106.816</v>
      </c>
      <c r="F13" s="307">
        <v>-18.654</v>
      </c>
      <c r="G13" s="308">
        <v>-16.358000000000001</v>
      </c>
      <c r="H13" s="308">
        <v>16.681000000000001</v>
      </c>
      <c r="I13" s="482">
        <v>60.908000000000001</v>
      </c>
      <c r="J13" s="317">
        <v>-5.1610000000000005</v>
      </c>
      <c r="K13" s="317">
        <v>-29.2</v>
      </c>
      <c r="L13" s="317">
        <v>-87.6</v>
      </c>
      <c r="M13" s="318">
        <v>-191.9</v>
      </c>
      <c r="N13" s="307">
        <v>-211.8</v>
      </c>
      <c r="O13" s="308">
        <v>-581.20000000000005</v>
      </c>
      <c r="P13" s="308">
        <v>-349.3</v>
      </c>
      <c r="Q13" s="309">
        <v>-478.2</v>
      </c>
      <c r="R13" s="307">
        <v>-33.9</v>
      </c>
      <c r="S13" s="308">
        <v>-105.3</v>
      </c>
    </row>
    <row r="14" spans="1:494" s="10" customFormat="1" ht="20.100000000000001" customHeight="1">
      <c r="A14" s="284" t="s">
        <v>67</v>
      </c>
      <c r="B14" s="308">
        <v>53.564</v>
      </c>
      <c r="C14" s="308">
        <v>51.881</v>
      </c>
      <c r="D14" s="308">
        <v>66.406999999999996</v>
      </c>
      <c r="E14" s="482">
        <v>67.872</v>
      </c>
      <c r="F14" s="307">
        <v>-36.840000000000003</v>
      </c>
      <c r="G14" s="308">
        <v>-56.231999999999999</v>
      </c>
      <c r="H14" s="308">
        <v>-85.896000000000001</v>
      </c>
      <c r="I14" s="482">
        <v>-104.93900000000001</v>
      </c>
      <c r="J14" s="317">
        <v>31.469000000000001</v>
      </c>
      <c r="K14" s="317">
        <v>-73.8</v>
      </c>
      <c r="L14" s="317">
        <v>-175.9</v>
      </c>
      <c r="M14" s="318">
        <v>-277.7</v>
      </c>
      <c r="N14" s="307">
        <v>-216.1</v>
      </c>
      <c r="O14" s="308">
        <v>69.3</v>
      </c>
      <c r="P14" s="308">
        <v>-184.3</v>
      </c>
      <c r="Q14" s="309">
        <v>-118</v>
      </c>
      <c r="R14" s="307">
        <v>-205.9</v>
      </c>
      <c r="S14" s="308">
        <v>-106.7</v>
      </c>
    </row>
    <row r="15" spans="1:494" s="10" customFormat="1" ht="20.100000000000001" customHeight="1">
      <c r="A15" s="284" t="s">
        <v>56</v>
      </c>
      <c r="B15" s="308">
        <v>-0.186</v>
      </c>
      <c r="C15" s="308">
        <v>4.0730000000000004</v>
      </c>
      <c r="D15" s="308">
        <v>0.502</v>
      </c>
      <c r="E15" s="482">
        <v>2.093</v>
      </c>
      <c r="F15" s="307">
        <v>-1.048</v>
      </c>
      <c r="G15" s="308">
        <v>2.4170000000000003</v>
      </c>
      <c r="H15" s="308">
        <v>-3.5390000000000001</v>
      </c>
      <c r="I15" s="482">
        <v>6.4770000000000003</v>
      </c>
      <c r="J15" s="317">
        <v>-13.309000000000001</v>
      </c>
      <c r="K15" s="317">
        <v>-1.5</v>
      </c>
      <c r="L15" s="317">
        <v>-17.399999999999999</v>
      </c>
      <c r="M15" s="318">
        <v>-4.9000000000000004</v>
      </c>
      <c r="N15" s="307">
        <v>-11.7</v>
      </c>
      <c r="O15" s="308">
        <v>-7.6</v>
      </c>
      <c r="P15" s="308">
        <v>-17.7</v>
      </c>
      <c r="Q15" s="309">
        <v>-3.9</v>
      </c>
      <c r="R15" s="307">
        <v>-11.1</v>
      </c>
      <c r="S15" s="308">
        <v>1</v>
      </c>
    </row>
    <row r="16" spans="1:494" s="10" customFormat="1" ht="20.100000000000001" customHeight="1">
      <c r="A16" s="284" t="s">
        <v>57</v>
      </c>
      <c r="B16" s="308">
        <v>-9.7880000000000003</v>
      </c>
      <c r="C16" s="308">
        <v>-10.354000000000001</v>
      </c>
      <c r="D16" s="308">
        <v>-21.978000000000002</v>
      </c>
      <c r="E16" s="482">
        <v>-31.345000000000002</v>
      </c>
      <c r="F16" s="307">
        <v>3.66</v>
      </c>
      <c r="G16" s="308">
        <v>9.0690000000000008</v>
      </c>
      <c r="H16" s="308">
        <v>11.329000000000001</v>
      </c>
      <c r="I16" s="482">
        <v>14.404</v>
      </c>
      <c r="J16" s="317">
        <v>11.066000000000001</v>
      </c>
      <c r="K16" s="317">
        <v>11.1</v>
      </c>
      <c r="L16" s="317">
        <v>-0.2</v>
      </c>
      <c r="M16" s="318">
        <v>-3.9</v>
      </c>
      <c r="N16" s="307">
        <v>-0.6</v>
      </c>
      <c r="O16" s="308">
        <v>5.3</v>
      </c>
      <c r="P16" s="308">
        <v>4.8</v>
      </c>
      <c r="Q16" s="309">
        <v>6.6</v>
      </c>
      <c r="R16" s="307">
        <v>2.5</v>
      </c>
      <c r="S16" s="308">
        <v>4.7</v>
      </c>
    </row>
    <row r="17" spans="1:19" s="10" customFormat="1" ht="20.100000000000001" customHeight="1">
      <c r="A17" s="284" t="s">
        <v>105</v>
      </c>
      <c r="B17" s="308">
        <v>-0.73</v>
      </c>
      <c r="C17" s="308">
        <v>-1.5010000000000001</v>
      </c>
      <c r="D17" s="308">
        <v>-2.044</v>
      </c>
      <c r="E17" s="482">
        <v>-2.8970000000000002</v>
      </c>
      <c r="F17" s="307">
        <v>-0.76200000000000001</v>
      </c>
      <c r="G17" s="308">
        <v>-1.58</v>
      </c>
      <c r="H17" s="308">
        <v>-2.3290000000000002</v>
      </c>
      <c r="I17" s="482">
        <v>-2.9239999999999999</v>
      </c>
      <c r="J17" s="317">
        <v>-0.63300000000000001</v>
      </c>
      <c r="K17" s="317">
        <v>-1.3</v>
      </c>
      <c r="L17" s="317">
        <v>-2</v>
      </c>
      <c r="M17" s="318">
        <v>-2.6</v>
      </c>
      <c r="N17" s="307">
        <v>-0.5</v>
      </c>
      <c r="O17" s="308">
        <v>-1.4</v>
      </c>
      <c r="P17" s="308">
        <v>-1.9</v>
      </c>
      <c r="Q17" s="309">
        <v>-2.6</v>
      </c>
      <c r="R17" s="307">
        <v>-0.8</v>
      </c>
      <c r="S17" s="308">
        <v>0</v>
      </c>
    </row>
    <row r="18" spans="1:19" s="10" customFormat="1" ht="20.100000000000001" customHeight="1">
      <c r="A18" s="284" t="s">
        <v>64</v>
      </c>
      <c r="B18" s="308">
        <v>-87.786000000000001</v>
      </c>
      <c r="C18" s="308">
        <v>-51.798000000000002</v>
      </c>
      <c r="D18" s="308">
        <v>-102.06700000000001</v>
      </c>
      <c r="E18" s="482">
        <v>-111.07600000000001</v>
      </c>
      <c r="F18" s="307">
        <v>25.975999999999999</v>
      </c>
      <c r="G18" s="308">
        <v>77.412999999999997</v>
      </c>
      <c r="H18" s="308">
        <v>39.252000000000002</v>
      </c>
      <c r="I18" s="482">
        <v>16.294</v>
      </c>
      <c r="J18" s="317">
        <v>10.337</v>
      </c>
      <c r="K18" s="317">
        <v>8.8000000000000007</v>
      </c>
      <c r="L18" s="317">
        <v>164.9</v>
      </c>
      <c r="M18" s="318">
        <v>369.9</v>
      </c>
      <c r="N18" s="307">
        <v>37.1</v>
      </c>
      <c r="O18" s="308">
        <v>99.2</v>
      </c>
      <c r="P18" s="308">
        <v>135.80000000000001</v>
      </c>
      <c r="Q18" s="309">
        <v>222</v>
      </c>
      <c r="R18" s="307">
        <v>250.2</v>
      </c>
      <c r="S18" s="308">
        <v>276.10000000000002</v>
      </c>
    </row>
    <row r="19" spans="1:19" s="10" customFormat="1" ht="20.100000000000001" customHeight="1">
      <c r="A19" s="284" t="s">
        <v>33</v>
      </c>
      <c r="B19" s="308">
        <v>41.158999999999999</v>
      </c>
      <c r="C19" s="308">
        <v>54.56</v>
      </c>
      <c r="D19" s="308">
        <v>80.768000000000001</v>
      </c>
      <c r="E19" s="482">
        <v>97.349000000000004</v>
      </c>
      <c r="F19" s="307">
        <v>14.031000000000001</v>
      </c>
      <c r="G19" s="308">
        <v>27.457000000000001</v>
      </c>
      <c r="H19" s="308">
        <v>51.835000000000001</v>
      </c>
      <c r="I19" s="482">
        <v>67.376000000000005</v>
      </c>
      <c r="J19" s="317">
        <v>14.384</v>
      </c>
      <c r="K19" s="317">
        <v>31.1</v>
      </c>
      <c r="L19" s="317">
        <v>32.200000000000003</v>
      </c>
      <c r="M19" s="318">
        <v>21.7</v>
      </c>
      <c r="N19" s="307">
        <v>26</v>
      </c>
      <c r="O19" s="308">
        <v>71.900000000000006</v>
      </c>
      <c r="P19" s="308">
        <v>182.7</v>
      </c>
      <c r="Q19" s="309">
        <v>169</v>
      </c>
      <c r="R19" s="307">
        <v>27.2</v>
      </c>
      <c r="S19" s="308">
        <v>48.4</v>
      </c>
    </row>
    <row r="20" spans="1:19" s="10" customFormat="1" ht="20.100000000000001" customHeight="1">
      <c r="A20" s="284" t="s">
        <v>68</v>
      </c>
      <c r="B20" s="308">
        <v>-38.363</v>
      </c>
      <c r="C20" s="308">
        <v>-76.626000000000005</v>
      </c>
      <c r="D20" s="308">
        <v>-120.02500000000001</v>
      </c>
      <c r="E20" s="482">
        <v>-164.00800000000001</v>
      </c>
      <c r="F20" s="307">
        <v>-40.92</v>
      </c>
      <c r="G20" s="308">
        <v>-81.858999999999995</v>
      </c>
      <c r="H20" s="308">
        <v>-116.813</v>
      </c>
      <c r="I20" s="482">
        <v>-158.85900000000001</v>
      </c>
      <c r="J20" s="317">
        <v>-30.564</v>
      </c>
      <c r="K20" s="317">
        <v>-65.3</v>
      </c>
      <c r="L20" s="317">
        <v>-142.1</v>
      </c>
      <c r="M20" s="318">
        <v>-193.1</v>
      </c>
      <c r="N20" s="307">
        <v>-43.6</v>
      </c>
      <c r="O20" s="308">
        <v>-72.2</v>
      </c>
      <c r="P20" s="308">
        <v>-96.7</v>
      </c>
      <c r="Q20" s="309">
        <v>-134.69999999999999</v>
      </c>
      <c r="R20" s="307">
        <v>-31.1</v>
      </c>
      <c r="S20" s="308">
        <v>-71.2</v>
      </c>
    </row>
    <row r="21" spans="1:19" s="10" customFormat="1" ht="20.100000000000001" customHeight="1">
      <c r="A21" s="327" t="s">
        <v>192</v>
      </c>
      <c r="B21" s="322"/>
      <c r="C21" s="322"/>
      <c r="D21" s="322"/>
      <c r="E21" s="323"/>
      <c r="F21" s="324"/>
      <c r="G21" s="322"/>
      <c r="H21" s="322"/>
      <c r="I21" s="323"/>
      <c r="J21" s="325">
        <v>0</v>
      </c>
      <c r="K21" s="317">
        <v>82.1</v>
      </c>
      <c r="L21" s="317">
        <v>82.1</v>
      </c>
      <c r="M21" s="318">
        <v>82.1</v>
      </c>
      <c r="N21" s="307">
        <v>0</v>
      </c>
      <c r="O21" s="308">
        <v>0</v>
      </c>
      <c r="P21" s="328">
        <v>244.8</v>
      </c>
      <c r="Q21" s="309">
        <v>244.8</v>
      </c>
      <c r="R21" s="307">
        <v>0</v>
      </c>
      <c r="S21" s="308">
        <v>0</v>
      </c>
    </row>
    <row r="22" spans="1:19" s="10" customFormat="1" ht="20.100000000000001" customHeight="1">
      <c r="A22" s="327" t="s">
        <v>193</v>
      </c>
      <c r="B22" s="322"/>
      <c r="C22" s="322"/>
      <c r="D22" s="322"/>
      <c r="E22" s="323"/>
      <c r="F22" s="324"/>
      <c r="G22" s="322"/>
      <c r="H22" s="322"/>
      <c r="I22" s="323"/>
      <c r="J22" s="325">
        <v>0</v>
      </c>
      <c r="K22" s="317">
        <v>0</v>
      </c>
      <c r="L22" s="317">
        <v>0</v>
      </c>
      <c r="M22" s="318">
        <v>0</v>
      </c>
      <c r="N22" s="307">
        <v>0</v>
      </c>
      <c r="O22" s="308">
        <v>0</v>
      </c>
      <c r="P22" s="328">
        <v>-616.20000000000005</v>
      </c>
      <c r="Q22" s="309">
        <v>-616.20000000000005</v>
      </c>
      <c r="R22" s="307">
        <v>0</v>
      </c>
      <c r="S22" s="308">
        <v>0</v>
      </c>
    </row>
    <row r="23" spans="1:19" s="10" customFormat="1" ht="20.100000000000001" customHeight="1">
      <c r="A23" s="284" t="s">
        <v>99</v>
      </c>
      <c r="B23" s="322">
        <v>0</v>
      </c>
      <c r="C23" s="322">
        <v>0</v>
      </c>
      <c r="D23" s="322">
        <v>0</v>
      </c>
      <c r="E23" s="323">
        <v>0</v>
      </c>
      <c r="F23" s="324">
        <v>0</v>
      </c>
      <c r="G23" s="322">
        <v>0</v>
      </c>
      <c r="H23" s="322">
        <v>0</v>
      </c>
      <c r="I23" s="323">
        <v>0</v>
      </c>
      <c r="J23" s="325">
        <v>0</v>
      </c>
      <c r="K23" s="317">
        <v>16.5</v>
      </c>
      <c r="L23" s="317">
        <v>55.4</v>
      </c>
      <c r="M23" s="318">
        <v>84.3</v>
      </c>
      <c r="N23" s="307">
        <v>10.6</v>
      </c>
      <c r="O23" s="308">
        <v>33.9</v>
      </c>
      <c r="P23" s="308">
        <v>37.6</v>
      </c>
      <c r="Q23" s="309">
        <v>53</v>
      </c>
      <c r="R23" s="307">
        <v>-174.6</v>
      </c>
      <c r="S23" s="308">
        <v>-160.19999999999999</v>
      </c>
    </row>
    <row r="24" spans="1:19" s="10" customFormat="1" ht="20.100000000000001" customHeight="1" thickBot="1">
      <c r="A24" s="284" t="s">
        <v>34</v>
      </c>
      <c r="B24" s="308">
        <v>0.245</v>
      </c>
      <c r="C24" s="308">
        <v>0.78500000000000003</v>
      </c>
      <c r="D24" s="308">
        <v>1.31</v>
      </c>
      <c r="E24" s="482">
        <v>3.5380000000000003</v>
      </c>
      <c r="F24" s="307">
        <v>1.484</v>
      </c>
      <c r="G24" s="328">
        <f>4.197+4.842</f>
        <v>9.0389999999999997</v>
      </c>
      <c r="H24" s="328">
        <f>5.852+4.842</f>
        <v>10.693999999999999</v>
      </c>
      <c r="I24" s="482">
        <v>11.93</v>
      </c>
      <c r="J24" s="317">
        <v>1.7790000000000001</v>
      </c>
      <c r="K24" s="317">
        <v>10.8</v>
      </c>
      <c r="L24" s="317">
        <v>11.7</v>
      </c>
      <c r="M24" s="318">
        <v>96.1</v>
      </c>
      <c r="N24" s="307">
        <v>-3</v>
      </c>
      <c r="O24" s="308">
        <v>9</v>
      </c>
      <c r="P24" s="308">
        <v>19.600000000000001</v>
      </c>
      <c r="Q24" s="309">
        <v>21.6</v>
      </c>
      <c r="R24" s="307">
        <v>2.5</v>
      </c>
      <c r="S24" s="308">
        <v>-1.9</v>
      </c>
    </row>
    <row r="25" spans="1:19" s="10" customFormat="1" ht="20.100000000000001" customHeight="1" thickBot="1">
      <c r="A25" s="283" t="s">
        <v>37</v>
      </c>
      <c r="B25" s="305">
        <f t="shared" ref="B25:Q25" si="3">B4+B5</f>
        <v>233.42699999999999</v>
      </c>
      <c r="C25" s="305">
        <f t="shared" si="3"/>
        <v>415.61099999999999</v>
      </c>
      <c r="D25" s="305">
        <f t="shared" si="3"/>
        <v>628.7700000000001</v>
      </c>
      <c r="E25" s="480">
        <f t="shared" si="3"/>
        <v>843.21800000000007</v>
      </c>
      <c r="F25" s="304">
        <f t="shared" si="3"/>
        <v>165.66199999999998</v>
      </c>
      <c r="G25" s="305">
        <f t="shared" si="3"/>
        <v>351.928</v>
      </c>
      <c r="H25" s="305">
        <f t="shared" si="3"/>
        <v>548.24399999999991</v>
      </c>
      <c r="I25" s="480">
        <f t="shared" si="3"/>
        <v>859.7349999999999</v>
      </c>
      <c r="J25" s="305">
        <f t="shared" si="3"/>
        <v>184.70400000000001</v>
      </c>
      <c r="K25" s="305">
        <f t="shared" si="3"/>
        <v>735.70000000000016</v>
      </c>
      <c r="L25" s="305">
        <f t="shared" si="3"/>
        <v>1423.9000000000003</v>
      </c>
      <c r="M25" s="316">
        <f t="shared" si="3"/>
        <v>2117.7999999999997</v>
      </c>
      <c r="N25" s="304">
        <f t="shared" si="3"/>
        <v>453.00000000000011</v>
      </c>
      <c r="O25" s="305">
        <f t="shared" si="3"/>
        <v>1327.9999999999995</v>
      </c>
      <c r="P25" s="305">
        <f t="shared" si="3"/>
        <v>2173.4999999999991</v>
      </c>
      <c r="Q25" s="306">
        <f t="shared" si="3"/>
        <v>2985.0999999999995</v>
      </c>
      <c r="R25" s="304">
        <f t="shared" ref="R25:S25" si="4">R4+R5</f>
        <v>584.40000000000009</v>
      </c>
      <c r="S25" s="305">
        <f t="shared" si="4"/>
        <v>1549.4000000000005</v>
      </c>
    </row>
    <row r="26" spans="1:19" s="10" customFormat="1" ht="20.100000000000001" customHeight="1">
      <c r="A26" s="284" t="s">
        <v>35</v>
      </c>
      <c r="B26" s="308">
        <v>-12.561</v>
      </c>
      <c r="C26" s="308">
        <v>-47.188000000000002</v>
      </c>
      <c r="D26" s="308">
        <v>-59.765999999999998</v>
      </c>
      <c r="E26" s="482">
        <v>-78.733000000000004</v>
      </c>
      <c r="F26" s="307">
        <v>-13.763</v>
      </c>
      <c r="G26" s="308">
        <v>-26.318999999999999</v>
      </c>
      <c r="H26" s="308">
        <v>-37.451999999999998</v>
      </c>
      <c r="I26" s="482">
        <v>-67.486000000000004</v>
      </c>
      <c r="J26" s="317">
        <v>-17.809000000000001</v>
      </c>
      <c r="K26" s="317">
        <v>-99.5</v>
      </c>
      <c r="L26" s="317">
        <v>-135.19999999999999</v>
      </c>
      <c r="M26" s="318">
        <v>-189.1</v>
      </c>
      <c r="N26" s="307">
        <v>-48.5</v>
      </c>
      <c r="O26" s="308">
        <v>-44.2</v>
      </c>
      <c r="P26" s="308">
        <v>-94.2</v>
      </c>
      <c r="Q26" s="309">
        <v>-136.19999999999999</v>
      </c>
      <c r="R26" s="307">
        <v>-145.69999999999999</v>
      </c>
      <c r="S26" s="308">
        <v>-186.5</v>
      </c>
    </row>
    <row r="27" spans="1:19" s="10" customFormat="1" ht="20.100000000000001" customHeight="1" thickBot="1">
      <c r="A27" s="284" t="s">
        <v>36</v>
      </c>
      <c r="B27" s="308">
        <v>3.843</v>
      </c>
      <c r="C27" s="308">
        <v>8.1440000000000001</v>
      </c>
      <c r="D27" s="308">
        <v>12.96</v>
      </c>
      <c r="E27" s="482">
        <v>16.882000000000001</v>
      </c>
      <c r="F27" s="307">
        <v>3.544</v>
      </c>
      <c r="G27" s="308">
        <v>6.1040000000000001</v>
      </c>
      <c r="H27" s="308">
        <v>8.5630000000000006</v>
      </c>
      <c r="I27" s="482">
        <v>10.41</v>
      </c>
      <c r="J27" s="317">
        <v>2.165</v>
      </c>
      <c r="K27" s="317">
        <v>13.4</v>
      </c>
      <c r="L27" s="317">
        <v>33.1</v>
      </c>
      <c r="M27" s="318">
        <v>45.2</v>
      </c>
      <c r="N27" s="307">
        <v>13.2</v>
      </c>
      <c r="O27" s="308">
        <v>20.5</v>
      </c>
      <c r="P27" s="308">
        <v>30.5</v>
      </c>
      <c r="Q27" s="309">
        <v>38.799999999999997</v>
      </c>
      <c r="R27" s="307">
        <v>8.1</v>
      </c>
      <c r="S27" s="308">
        <v>13.1</v>
      </c>
    </row>
    <row r="28" spans="1:19" s="10" customFormat="1" ht="24.95" customHeight="1" thickBot="1">
      <c r="A28" s="13" t="s">
        <v>69</v>
      </c>
      <c r="B28" s="311">
        <f t="shared" ref="B28:Q28" si="5">SUM(B25:B27)</f>
        <v>224.70899999999997</v>
      </c>
      <c r="C28" s="311">
        <f t="shared" si="5"/>
        <v>376.56700000000001</v>
      </c>
      <c r="D28" s="311">
        <f t="shared" si="5"/>
        <v>581.96400000000017</v>
      </c>
      <c r="E28" s="300">
        <f t="shared" si="5"/>
        <v>781.36700000000008</v>
      </c>
      <c r="F28" s="310">
        <f t="shared" si="5"/>
        <v>155.44299999999998</v>
      </c>
      <c r="G28" s="311">
        <f t="shared" si="5"/>
        <v>331.71299999999997</v>
      </c>
      <c r="H28" s="311">
        <f t="shared" si="5"/>
        <v>519.3549999999999</v>
      </c>
      <c r="I28" s="300">
        <f t="shared" si="5"/>
        <v>802.65899999999988</v>
      </c>
      <c r="J28" s="311">
        <f t="shared" si="5"/>
        <v>169.06</v>
      </c>
      <c r="K28" s="311">
        <f t="shared" si="5"/>
        <v>649.60000000000014</v>
      </c>
      <c r="L28" s="311">
        <f t="shared" si="5"/>
        <v>1321.8000000000002</v>
      </c>
      <c r="M28" s="319">
        <f t="shared" si="5"/>
        <v>1973.8999999999999</v>
      </c>
      <c r="N28" s="310">
        <f t="shared" si="5"/>
        <v>417.7000000000001</v>
      </c>
      <c r="O28" s="311">
        <f t="shared" si="5"/>
        <v>1304.2999999999995</v>
      </c>
      <c r="P28" s="311">
        <f t="shared" si="5"/>
        <v>2109.7999999999993</v>
      </c>
      <c r="Q28" s="312">
        <f t="shared" si="5"/>
        <v>2887.7</v>
      </c>
      <c r="R28" s="310">
        <f t="shared" ref="R28" si="6">SUM(R25:R27)</f>
        <v>446.80000000000013</v>
      </c>
      <c r="S28" s="311">
        <f t="shared" ref="S28" si="7">SUM(S25:S27)</f>
        <v>1376.0000000000005</v>
      </c>
    </row>
    <row r="29" spans="1:19" s="10" customFormat="1" ht="20.100000000000001" customHeight="1">
      <c r="A29" s="284" t="s">
        <v>39</v>
      </c>
      <c r="B29" s="308">
        <v>-13.759</v>
      </c>
      <c r="C29" s="308">
        <v>-28.18</v>
      </c>
      <c r="D29" s="308">
        <v>-40.478000000000002</v>
      </c>
      <c r="E29" s="482">
        <v>-54.936999999999998</v>
      </c>
      <c r="F29" s="307">
        <v>-21.702999999999999</v>
      </c>
      <c r="G29" s="308">
        <v>-40.633000000000003</v>
      </c>
      <c r="H29" s="308">
        <v>-53.000999999999998</v>
      </c>
      <c r="I29" s="482">
        <v>-60.844999999999999</v>
      </c>
      <c r="J29" s="317">
        <v>-19.433</v>
      </c>
      <c r="K29" s="317">
        <v>-93</v>
      </c>
      <c r="L29" s="317">
        <v>-180</v>
      </c>
      <c r="M29" s="318">
        <v>-263.60000000000002</v>
      </c>
      <c r="N29" s="307">
        <v>-137.6</v>
      </c>
      <c r="O29" s="308">
        <v>-187</v>
      </c>
      <c r="P29" s="308">
        <v>-323.2</v>
      </c>
      <c r="Q29" s="309">
        <v>-417.8</v>
      </c>
      <c r="R29" s="307">
        <v>-98.4</v>
      </c>
      <c r="S29" s="308">
        <v>-179.5</v>
      </c>
    </row>
    <row r="30" spans="1:19" s="10" customFormat="1" ht="20.100000000000001" customHeight="1">
      <c r="A30" s="284" t="s">
        <v>38</v>
      </c>
      <c r="B30" s="308">
        <v>-7.0449999999999999</v>
      </c>
      <c r="C30" s="308">
        <v>-11.33</v>
      </c>
      <c r="D30" s="308">
        <v>-23.225000000000001</v>
      </c>
      <c r="E30" s="482">
        <v>-36.24</v>
      </c>
      <c r="F30" s="307">
        <v>-13.377000000000001</v>
      </c>
      <c r="G30" s="308">
        <v>-20.378</v>
      </c>
      <c r="H30" s="308">
        <v>-45.453000000000003</v>
      </c>
      <c r="I30" s="482">
        <v>-62.041000000000004</v>
      </c>
      <c r="J30" s="317">
        <v>-19.987000000000002</v>
      </c>
      <c r="K30" s="317">
        <v>-46.6</v>
      </c>
      <c r="L30" s="317">
        <v>-57.4</v>
      </c>
      <c r="M30" s="318">
        <v>-71.8</v>
      </c>
      <c r="N30" s="307">
        <v>-19.100000000000001</v>
      </c>
      <c r="O30" s="308">
        <v>-90.7</v>
      </c>
      <c r="P30" s="308">
        <v>-111.1</v>
      </c>
      <c r="Q30" s="309">
        <v>-165.3</v>
      </c>
      <c r="R30" s="307">
        <v>-20.3</v>
      </c>
      <c r="S30" s="308">
        <v>-61.3</v>
      </c>
    </row>
    <row r="31" spans="1:19" s="10" customFormat="1" ht="20.100000000000001" customHeight="1">
      <c r="A31" s="284" t="s">
        <v>241</v>
      </c>
      <c r="B31" s="308"/>
      <c r="C31" s="308"/>
      <c r="D31" s="308"/>
      <c r="E31" s="482"/>
      <c r="F31" s="307"/>
      <c r="G31" s="308"/>
      <c r="H31" s="308"/>
      <c r="I31" s="482"/>
      <c r="J31" s="317"/>
      <c r="K31" s="317"/>
      <c r="L31" s="317"/>
      <c r="M31" s="318"/>
      <c r="N31" s="307"/>
      <c r="O31" s="308"/>
      <c r="P31" s="308"/>
      <c r="Q31" s="309"/>
      <c r="R31" s="307"/>
      <c r="S31" s="308">
        <v>-323.60000000000002</v>
      </c>
    </row>
    <row r="32" spans="1:19" s="10" customFormat="1" ht="20.100000000000001" customHeight="1">
      <c r="A32" s="284" t="s">
        <v>104</v>
      </c>
      <c r="B32" s="322">
        <v>0</v>
      </c>
      <c r="C32" s="322">
        <v>0</v>
      </c>
      <c r="D32" s="322">
        <v>0</v>
      </c>
      <c r="E32" s="323">
        <v>0</v>
      </c>
      <c r="F32" s="324">
        <v>0</v>
      </c>
      <c r="G32" s="322">
        <v>0</v>
      </c>
      <c r="H32" s="322">
        <v>0</v>
      </c>
      <c r="I32" s="323">
        <v>0</v>
      </c>
      <c r="J32" s="324">
        <v>0</v>
      </c>
      <c r="K32" s="308">
        <v>0</v>
      </c>
      <c r="L32" s="308">
        <v>-482.3</v>
      </c>
      <c r="M32" s="318">
        <v>-482.3</v>
      </c>
      <c r="N32" s="307">
        <v>0</v>
      </c>
      <c r="O32" s="308">
        <v>0</v>
      </c>
      <c r="P32" s="308">
        <v>-118.7</v>
      </c>
      <c r="Q32" s="309">
        <v>-118.7</v>
      </c>
      <c r="R32" s="307">
        <v>-147.69999999999999</v>
      </c>
      <c r="S32" s="308">
        <v>-147.69999999999999</v>
      </c>
    </row>
    <row r="33" spans="1:19" s="10" customFormat="1" ht="20.100000000000001" customHeight="1">
      <c r="A33" s="284" t="s">
        <v>72</v>
      </c>
      <c r="B33" s="308">
        <v>-2.3290000000000002</v>
      </c>
      <c r="C33" s="308">
        <v>-45.099000000000004</v>
      </c>
      <c r="D33" s="308">
        <v>-45.329000000000001</v>
      </c>
      <c r="E33" s="482">
        <v>-45.710999999999999</v>
      </c>
      <c r="F33" s="307">
        <v>-0.153</v>
      </c>
      <c r="G33" s="308">
        <v>-0.26800000000000002</v>
      </c>
      <c r="H33" s="308">
        <v>-64.186999999999998</v>
      </c>
      <c r="I33" s="482">
        <v>-64.266000000000005</v>
      </c>
      <c r="J33" s="325">
        <v>0</v>
      </c>
      <c r="K33" s="317">
        <v>1800.4</v>
      </c>
      <c r="L33" s="317">
        <v>1800.4</v>
      </c>
      <c r="M33" s="318">
        <v>1800.4</v>
      </c>
      <c r="N33" s="307">
        <v>-4.2</v>
      </c>
      <c r="O33" s="308">
        <v>-29.5</v>
      </c>
      <c r="P33" s="308">
        <v>-29.5</v>
      </c>
      <c r="Q33" s="309">
        <v>-29.5</v>
      </c>
      <c r="R33" s="307">
        <v>262.2</v>
      </c>
      <c r="S33" s="308">
        <v>-145.30000000000001</v>
      </c>
    </row>
    <row r="34" spans="1:19" s="10" customFormat="1" ht="20.100000000000001" customHeight="1">
      <c r="A34" s="284" t="s">
        <v>238</v>
      </c>
      <c r="B34" s="322">
        <v>0</v>
      </c>
      <c r="C34" s="322">
        <v>0</v>
      </c>
      <c r="D34" s="322">
        <v>0</v>
      </c>
      <c r="E34" s="323">
        <v>0</v>
      </c>
      <c r="F34" s="324">
        <v>0</v>
      </c>
      <c r="G34" s="322">
        <v>0</v>
      </c>
      <c r="H34" s="308">
        <v>48.219000000000001</v>
      </c>
      <c r="I34" s="482">
        <v>48.736000000000004</v>
      </c>
      <c r="J34" s="325">
        <v>0</v>
      </c>
      <c r="K34" s="317">
        <v>0</v>
      </c>
      <c r="L34" s="317">
        <v>0</v>
      </c>
      <c r="M34" s="318">
        <v>0</v>
      </c>
      <c r="N34" s="307">
        <v>0</v>
      </c>
      <c r="O34" s="308">
        <v>0</v>
      </c>
      <c r="P34" s="308">
        <v>0</v>
      </c>
      <c r="Q34" s="309">
        <v>0</v>
      </c>
      <c r="R34" s="307">
        <v>0</v>
      </c>
      <c r="S34" s="328">
        <v>0.2</v>
      </c>
    </row>
    <row r="35" spans="1:19" s="10" customFormat="1" ht="20.100000000000001" customHeight="1">
      <c r="A35" s="284" t="s">
        <v>50</v>
      </c>
      <c r="B35" s="308">
        <v>0.09</v>
      </c>
      <c r="C35" s="308">
        <v>0.121</v>
      </c>
      <c r="D35" s="308">
        <v>0.69000000000000006</v>
      </c>
      <c r="E35" s="482">
        <v>0.751</v>
      </c>
      <c r="F35" s="307">
        <v>0.35000000000000003</v>
      </c>
      <c r="G35" s="308">
        <v>0.41000000000000003</v>
      </c>
      <c r="H35" s="308">
        <v>1.756</v>
      </c>
      <c r="I35" s="482">
        <v>2.0640000000000001</v>
      </c>
      <c r="J35" s="325">
        <v>0.33700000000000002</v>
      </c>
      <c r="K35" s="317">
        <v>1.6</v>
      </c>
      <c r="L35" s="317">
        <v>4</v>
      </c>
      <c r="M35" s="318">
        <v>4.0999999999999996</v>
      </c>
      <c r="N35" s="307">
        <v>0.2</v>
      </c>
      <c r="O35" s="308">
        <v>13.3</v>
      </c>
      <c r="P35" s="308">
        <v>15.1</v>
      </c>
      <c r="Q35" s="309">
        <v>16.899999999999999</v>
      </c>
      <c r="R35" s="307">
        <v>3.5</v>
      </c>
      <c r="S35" s="308">
        <v>5</v>
      </c>
    </row>
    <row r="36" spans="1:19" s="10" customFormat="1" ht="20.100000000000001" customHeight="1">
      <c r="A36" s="284" t="s">
        <v>101</v>
      </c>
      <c r="B36" s="322">
        <v>0</v>
      </c>
      <c r="C36" s="322">
        <v>0</v>
      </c>
      <c r="D36" s="322">
        <v>0</v>
      </c>
      <c r="E36" s="323">
        <v>0</v>
      </c>
      <c r="F36" s="324">
        <v>0</v>
      </c>
      <c r="G36" s="322">
        <v>0</v>
      </c>
      <c r="H36" s="322">
        <v>0</v>
      </c>
      <c r="I36" s="323">
        <v>0</v>
      </c>
      <c r="J36" s="325">
        <v>0</v>
      </c>
      <c r="K36" s="317">
        <v>-270</v>
      </c>
      <c r="L36" s="317">
        <v>-30</v>
      </c>
      <c r="M36" s="318">
        <v>0</v>
      </c>
      <c r="N36" s="307">
        <v>-42.7</v>
      </c>
      <c r="O36" s="308">
        <v>-42.7</v>
      </c>
      <c r="P36" s="308">
        <v>0</v>
      </c>
      <c r="Q36" s="309">
        <v>0</v>
      </c>
      <c r="R36" s="307">
        <v>-12.4</v>
      </c>
      <c r="S36" s="308">
        <v>0</v>
      </c>
    </row>
    <row r="37" spans="1:19" s="10" customFormat="1" ht="20.100000000000001" customHeight="1">
      <c r="A37" s="284" t="s">
        <v>49</v>
      </c>
      <c r="B37" s="308">
        <v>-1.1000000000000001</v>
      </c>
      <c r="C37" s="308">
        <v>-1.1000000000000001</v>
      </c>
      <c r="D37" s="308">
        <v>-1.1000000000000001</v>
      </c>
      <c r="E37" s="482">
        <v>-1.1000000000000001</v>
      </c>
      <c r="F37" s="324">
        <v>0</v>
      </c>
      <c r="G37" s="322">
        <v>0</v>
      </c>
      <c r="H37" s="322">
        <v>0</v>
      </c>
      <c r="I37" s="323">
        <v>0</v>
      </c>
      <c r="J37" s="325">
        <v>0</v>
      </c>
      <c r="K37" s="317">
        <v>-5.8</v>
      </c>
      <c r="L37" s="317">
        <v>-20.399999999999999</v>
      </c>
      <c r="M37" s="318">
        <v>-23.1</v>
      </c>
      <c r="N37" s="307">
        <v>-6</v>
      </c>
      <c r="O37" s="308">
        <v>-8.9</v>
      </c>
      <c r="P37" s="308">
        <v>-12.1</v>
      </c>
      <c r="Q37" s="309">
        <v>-16.100000000000001</v>
      </c>
      <c r="R37" s="307">
        <v>-6.8</v>
      </c>
      <c r="S37" s="308">
        <v>-9.5</v>
      </c>
    </row>
    <row r="38" spans="1:19" s="10" customFormat="1" ht="20.100000000000001" customHeight="1">
      <c r="A38" s="284" t="s">
        <v>51</v>
      </c>
      <c r="B38" s="308">
        <v>0</v>
      </c>
      <c r="C38" s="308">
        <v>1.1000000000000001</v>
      </c>
      <c r="D38" s="308">
        <v>1.1000000000000001</v>
      </c>
      <c r="E38" s="482">
        <v>1.1000000000000001</v>
      </c>
      <c r="F38" s="324">
        <v>0</v>
      </c>
      <c r="G38" s="322">
        <v>0</v>
      </c>
      <c r="H38" s="322">
        <v>0</v>
      </c>
      <c r="I38" s="323">
        <v>0</v>
      </c>
      <c r="J38" s="325">
        <v>0</v>
      </c>
      <c r="K38" s="317">
        <v>0</v>
      </c>
      <c r="L38" s="317">
        <v>0</v>
      </c>
      <c r="M38" s="318">
        <v>0</v>
      </c>
      <c r="N38" s="307">
        <v>0</v>
      </c>
      <c r="O38" s="308">
        <v>0</v>
      </c>
      <c r="P38" s="308">
        <v>0</v>
      </c>
      <c r="Q38" s="309">
        <v>0</v>
      </c>
      <c r="R38" s="307">
        <v>0</v>
      </c>
      <c r="S38" s="308">
        <v>0</v>
      </c>
    </row>
    <row r="39" spans="1:19" s="10" customFormat="1" ht="20.100000000000001" customHeight="1">
      <c r="A39" s="284" t="s">
        <v>100</v>
      </c>
      <c r="B39" s="322">
        <v>0</v>
      </c>
      <c r="C39" s="322">
        <v>0</v>
      </c>
      <c r="D39" s="322">
        <v>0</v>
      </c>
      <c r="E39" s="323">
        <v>0</v>
      </c>
      <c r="F39" s="324">
        <v>0</v>
      </c>
      <c r="G39" s="322">
        <v>0</v>
      </c>
      <c r="H39" s="322">
        <v>0</v>
      </c>
      <c r="I39" s="323">
        <v>0</v>
      </c>
      <c r="J39" s="325">
        <v>0</v>
      </c>
      <c r="K39" s="317">
        <v>5</v>
      </c>
      <c r="L39" s="317">
        <v>5.5</v>
      </c>
      <c r="M39" s="318">
        <v>6.6</v>
      </c>
      <c r="N39" s="307">
        <v>1.2</v>
      </c>
      <c r="O39" s="308">
        <v>-2.1</v>
      </c>
      <c r="P39" s="308">
        <v>3.2</v>
      </c>
      <c r="Q39" s="309">
        <v>3.9</v>
      </c>
      <c r="R39" s="307">
        <v>-5</v>
      </c>
      <c r="S39" s="308">
        <v>-4</v>
      </c>
    </row>
    <row r="40" spans="1:19" s="10" customFormat="1" ht="20.100000000000001" customHeight="1">
      <c r="A40" s="284" t="s">
        <v>83</v>
      </c>
      <c r="B40" s="322">
        <v>0</v>
      </c>
      <c r="C40" s="308">
        <v>1.258</v>
      </c>
      <c r="D40" s="308">
        <v>1.258</v>
      </c>
      <c r="E40" s="482">
        <v>2.706</v>
      </c>
      <c r="F40" s="307">
        <v>0</v>
      </c>
      <c r="G40" s="308">
        <v>2.5150000000000001</v>
      </c>
      <c r="H40" s="308">
        <v>2.5150000000000001</v>
      </c>
      <c r="I40" s="482">
        <v>2.5150000000000001</v>
      </c>
      <c r="J40" s="317">
        <v>2.5300000000000002</v>
      </c>
      <c r="K40" s="317">
        <v>2.5</v>
      </c>
      <c r="L40" s="317">
        <v>2.5</v>
      </c>
      <c r="M40" s="318">
        <v>2.5</v>
      </c>
      <c r="N40" s="307">
        <v>0</v>
      </c>
      <c r="O40" s="308">
        <v>0</v>
      </c>
      <c r="P40" s="308">
        <v>0</v>
      </c>
      <c r="Q40" s="309">
        <v>0</v>
      </c>
      <c r="R40" s="307">
        <v>0</v>
      </c>
      <c r="S40" s="308">
        <v>0</v>
      </c>
    </row>
    <row r="41" spans="1:19" s="10" customFormat="1" ht="20.100000000000001" customHeight="1" thickBot="1">
      <c r="A41" s="284" t="s">
        <v>73</v>
      </c>
      <c r="B41" s="322">
        <v>0</v>
      </c>
      <c r="C41" s="322">
        <v>0</v>
      </c>
      <c r="D41" s="322">
        <v>0</v>
      </c>
      <c r="E41" s="323">
        <v>0</v>
      </c>
      <c r="F41" s="324">
        <v>0</v>
      </c>
      <c r="G41" s="322">
        <v>0</v>
      </c>
      <c r="H41" s="322">
        <v>0</v>
      </c>
      <c r="I41" s="323">
        <v>0</v>
      </c>
      <c r="J41" s="325">
        <v>0</v>
      </c>
      <c r="K41" s="317">
        <v>0</v>
      </c>
      <c r="L41" s="317">
        <v>0</v>
      </c>
      <c r="M41" s="318">
        <v>0</v>
      </c>
      <c r="N41" s="307">
        <v>0</v>
      </c>
      <c r="O41" s="308">
        <v>0</v>
      </c>
      <c r="P41" s="308">
        <v>0</v>
      </c>
      <c r="Q41" s="309">
        <v>0</v>
      </c>
      <c r="R41" s="307">
        <v>0</v>
      </c>
      <c r="S41" s="308">
        <v>1</v>
      </c>
    </row>
    <row r="42" spans="1:19" s="10" customFormat="1" ht="24.95" customHeight="1" thickBot="1">
      <c r="A42" s="13" t="s">
        <v>70</v>
      </c>
      <c r="B42" s="311">
        <f t="shared" ref="B42:Q42" si="8">SUM(B29:B41)</f>
        <v>-24.143000000000004</v>
      </c>
      <c r="C42" s="311">
        <f t="shared" si="8"/>
        <v>-83.230000000000018</v>
      </c>
      <c r="D42" s="311">
        <f t="shared" si="8"/>
        <v>-107.08400000000002</v>
      </c>
      <c r="E42" s="300">
        <f t="shared" si="8"/>
        <v>-133.43099999999998</v>
      </c>
      <c r="F42" s="310">
        <f t="shared" si="8"/>
        <v>-34.882999999999996</v>
      </c>
      <c r="G42" s="311">
        <f t="shared" si="8"/>
        <v>-58.354000000000006</v>
      </c>
      <c r="H42" s="311">
        <f t="shared" si="8"/>
        <v>-110.15100000000002</v>
      </c>
      <c r="I42" s="300">
        <f t="shared" si="8"/>
        <v>-133.83700000000002</v>
      </c>
      <c r="J42" s="310">
        <f t="shared" si="8"/>
        <v>-36.552999999999997</v>
      </c>
      <c r="K42" s="311">
        <f t="shared" si="8"/>
        <v>1394.1000000000001</v>
      </c>
      <c r="L42" s="311">
        <f t="shared" si="8"/>
        <v>1042.3</v>
      </c>
      <c r="M42" s="319">
        <f t="shared" si="8"/>
        <v>972.80000000000007</v>
      </c>
      <c r="N42" s="310">
        <f t="shared" si="8"/>
        <v>-208.2</v>
      </c>
      <c r="O42" s="311">
        <f t="shared" si="8"/>
        <v>-347.59999999999997</v>
      </c>
      <c r="P42" s="311">
        <f t="shared" si="8"/>
        <v>-576.29999999999995</v>
      </c>
      <c r="Q42" s="312">
        <f t="shared" si="8"/>
        <v>-726.60000000000014</v>
      </c>
      <c r="R42" s="310">
        <f t="shared" ref="R42:S42" si="9">SUM(R29:R41)</f>
        <v>-24.899999999999988</v>
      </c>
      <c r="S42" s="311">
        <f t="shared" si="9"/>
        <v>-864.7</v>
      </c>
    </row>
    <row r="43" spans="1:19" s="10" customFormat="1" ht="20.100000000000001" customHeight="1">
      <c r="A43" s="284" t="s">
        <v>46</v>
      </c>
      <c r="B43" s="308">
        <v>-26.754999999999999</v>
      </c>
      <c r="C43" s="308">
        <v>-155.76300000000001</v>
      </c>
      <c r="D43" s="308">
        <v>-397.57499999999999</v>
      </c>
      <c r="E43" s="482">
        <v>-453.32400000000001</v>
      </c>
      <c r="F43" s="307">
        <v>-49.813000000000002</v>
      </c>
      <c r="G43" s="308">
        <v>-192.59</v>
      </c>
      <c r="H43" s="308">
        <v>-366.16200000000003</v>
      </c>
      <c r="I43" s="482">
        <v>-431.11700000000002</v>
      </c>
      <c r="J43" s="317">
        <v>-37.393999999999998</v>
      </c>
      <c r="K43" s="317">
        <v>-547.1</v>
      </c>
      <c r="L43" s="317">
        <v>-747.1</v>
      </c>
      <c r="M43" s="318">
        <v>-1087.0999999999999</v>
      </c>
      <c r="N43" s="307">
        <v>-157</v>
      </c>
      <c r="O43" s="308">
        <v>-954.2</v>
      </c>
      <c r="P43" s="308">
        <v>-9222.2000000000007</v>
      </c>
      <c r="Q43" s="309">
        <v>-9222.2000000000007</v>
      </c>
      <c r="R43" s="307">
        <v>-916.1</v>
      </c>
      <c r="S43" s="308">
        <v>-1498.9</v>
      </c>
    </row>
    <row r="44" spans="1:19" s="10" customFormat="1" ht="20.100000000000001" customHeight="1">
      <c r="A44" s="284" t="s">
        <v>109</v>
      </c>
      <c r="B44" s="322">
        <v>0</v>
      </c>
      <c r="C44" s="322">
        <v>0</v>
      </c>
      <c r="D44" s="322">
        <v>0</v>
      </c>
      <c r="E44" s="323">
        <v>0</v>
      </c>
      <c r="F44" s="324">
        <v>0</v>
      </c>
      <c r="G44" s="322">
        <v>0</v>
      </c>
      <c r="H44" s="322">
        <v>0</v>
      </c>
      <c r="I44" s="323">
        <v>0</v>
      </c>
      <c r="J44" s="325">
        <v>0</v>
      </c>
      <c r="K44" s="317">
        <v>2800</v>
      </c>
      <c r="L44" s="317">
        <v>2800</v>
      </c>
      <c r="M44" s="318">
        <v>2800</v>
      </c>
      <c r="N44" s="307">
        <v>50</v>
      </c>
      <c r="O44" s="308">
        <v>120</v>
      </c>
      <c r="P44" s="308">
        <v>6820</v>
      </c>
      <c r="Q44" s="309">
        <v>6820</v>
      </c>
      <c r="R44" s="307">
        <v>5500</v>
      </c>
      <c r="S44" s="308">
        <v>5500</v>
      </c>
    </row>
    <row r="45" spans="1:19" s="10" customFormat="1" ht="20.100000000000001" customHeight="1">
      <c r="A45" s="284" t="s">
        <v>239</v>
      </c>
      <c r="B45" s="322">
        <v>0</v>
      </c>
      <c r="C45" s="322">
        <v>0</v>
      </c>
      <c r="D45" s="322">
        <v>0</v>
      </c>
      <c r="E45" s="323">
        <v>0</v>
      </c>
      <c r="F45" s="324">
        <v>0</v>
      </c>
      <c r="G45" s="322">
        <v>0</v>
      </c>
      <c r="H45" s="322">
        <v>0</v>
      </c>
      <c r="I45" s="323">
        <v>0</v>
      </c>
      <c r="J45" s="325">
        <v>0</v>
      </c>
      <c r="K45" s="317">
        <v>-2275.9</v>
      </c>
      <c r="L45" s="317">
        <v>-2275.9</v>
      </c>
      <c r="M45" s="318">
        <v>-2275.9</v>
      </c>
      <c r="N45" s="307">
        <v>0</v>
      </c>
      <c r="O45" s="308">
        <v>0</v>
      </c>
      <c r="P45" s="308">
        <v>1000</v>
      </c>
      <c r="Q45" s="309">
        <v>1000</v>
      </c>
      <c r="R45" s="307">
        <v>-4483.8</v>
      </c>
      <c r="S45" s="308">
        <v>-4483.8</v>
      </c>
    </row>
    <row r="46" spans="1:19" s="10" customFormat="1" ht="20.100000000000001" customHeight="1">
      <c r="A46" s="284" t="s">
        <v>195</v>
      </c>
      <c r="B46" s="322"/>
      <c r="C46" s="322"/>
      <c r="D46" s="322"/>
      <c r="E46" s="323"/>
      <c r="F46" s="324"/>
      <c r="G46" s="322"/>
      <c r="H46" s="322"/>
      <c r="I46" s="323"/>
      <c r="J46" s="325"/>
      <c r="K46" s="317"/>
      <c r="L46" s="317"/>
      <c r="M46" s="318"/>
      <c r="N46" s="307"/>
      <c r="O46" s="308"/>
      <c r="P46" s="308"/>
      <c r="Q46" s="309"/>
      <c r="R46" s="307">
        <v>-262.10000000000002</v>
      </c>
      <c r="S46" s="308">
        <v>-262.10000000000002</v>
      </c>
    </row>
    <row r="47" spans="1:19" s="10" customFormat="1" ht="20.100000000000001" customHeight="1">
      <c r="A47" s="284" t="s">
        <v>196</v>
      </c>
      <c r="B47" s="322"/>
      <c r="C47" s="322"/>
      <c r="D47" s="322"/>
      <c r="E47" s="323"/>
      <c r="F47" s="324"/>
      <c r="G47" s="322"/>
      <c r="H47" s="322"/>
      <c r="I47" s="323"/>
      <c r="J47" s="325"/>
      <c r="K47" s="317"/>
      <c r="L47" s="317"/>
      <c r="M47" s="318"/>
      <c r="N47" s="307"/>
      <c r="O47" s="308"/>
      <c r="P47" s="308"/>
      <c r="Q47" s="309"/>
      <c r="R47" s="307">
        <v>175.4</v>
      </c>
      <c r="S47" s="308">
        <v>175.4</v>
      </c>
    </row>
    <row r="48" spans="1:19" s="10" customFormat="1" ht="20.100000000000001" customHeight="1">
      <c r="A48" s="284" t="s">
        <v>40</v>
      </c>
      <c r="B48" s="308">
        <v>-8.4000000000000005E-2</v>
      </c>
      <c r="C48" s="308">
        <v>-0.16600000000000001</v>
      </c>
      <c r="D48" s="308">
        <v>-0.24299999999999999</v>
      </c>
      <c r="E48" s="482">
        <v>-0.33500000000000002</v>
      </c>
      <c r="F48" s="307">
        <v>-7.8E-2</v>
      </c>
      <c r="G48" s="308">
        <v>-0.16800000000000001</v>
      </c>
      <c r="H48" s="308">
        <v>-0.25600000000000001</v>
      </c>
      <c r="I48" s="482">
        <v>-0.33</v>
      </c>
      <c r="J48" s="317">
        <v>-6.2E-2</v>
      </c>
      <c r="K48" s="317">
        <v>-0.3</v>
      </c>
      <c r="L48" s="317">
        <v>-0.7</v>
      </c>
      <c r="M48" s="318">
        <v>-0.9</v>
      </c>
      <c r="N48" s="307">
        <v>-2.5</v>
      </c>
      <c r="O48" s="308">
        <v>-3.5</v>
      </c>
      <c r="P48" s="308">
        <v>-4.5</v>
      </c>
      <c r="Q48" s="309">
        <v>-5.6</v>
      </c>
      <c r="R48" s="307">
        <v>-1.1000000000000001</v>
      </c>
      <c r="S48" s="308">
        <v>-2.1</v>
      </c>
    </row>
    <row r="49" spans="1:19" s="10" customFormat="1" ht="30" customHeight="1">
      <c r="A49" s="285" t="s">
        <v>240</v>
      </c>
      <c r="B49" s="308">
        <v>-26.132999999999999</v>
      </c>
      <c r="C49" s="308">
        <f>(-103258-821)*0.001</f>
        <v>-104.07900000000001</v>
      </c>
      <c r="D49" s="308">
        <f>(-125824-2250)*0.001</f>
        <v>-128.07400000000001</v>
      </c>
      <c r="E49" s="482">
        <f>(-195934-3683)*0.001</f>
        <v>-199.61699999999999</v>
      </c>
      <c r="F49" s="307">
        <f>(-15811-1035)*0.001</f>
        <v>-16.846</v>
      </c>
      <c r="G49" s="308">
        <f>(-84439-1241)*0.001</f>
        <v>-85.68</v>
      </c>
      <c r="H49" s="308">
        <f>(-96215-1689)*0.001</f>
        <v>-97.903999999999996</v>
      </c>
      <c r="I49" s="482">
        <v>-165.017</v>
      </c>
      <c r="J49" s="317">
        <v>-9.0950000000000006</v>
      </c>
      <c r="K49" s="317">
        <v>-348.3</v>
      </c>
      <c r="L49" s="317">
        <v>-733.5</v>
      </c>
      <c r="M49" s="318">
        <v>-872.2</v>
      </c>
      <c r="N49" s="307">
        <v>-357.9</v>
      </c>
      <c r="O49" s="308">
        <v>-472.3</v>
      </c>
      <c r="P49" s="308">
        <v>-804.1</v>
      </c>
      <c r="Q49" s="309">
        <v>-978.9</v>
      </c>
      <c r="R49" s="307">
        <v>-383.2</v>
      </c>
      <c r="S49" s="308">
        <v>-507.9</v>
      </c>
    </row>
    <row r="50" spans="1:19" s="10" customFormat="1" ht="20.100000000000001" customHeight="1">
      <c r="A50" s="284" t="s">
        <v>45</v>
      </c>
      <c r="B50" s="322">
        <v>0</v>
      </c>
      <c r="C50" s="322">
        <v>0</v>
      </c>
      <c r="D50" s="322">
        <v>0</v>
      </c>
      <c r="E50" s="323">
        <v>0</v>
      </c>
      <c r="F50" s="324">
        <v>0</v>
      </c>
      <c r="G50" s="322">
        <v>0</v>
      </c>
      <c r="H50" s="322">
        <v>0</v>
      </c>
      <c r="I50" s="323">
        <v>0</v>
      </c>
      <c r="J50" s="325">
        <v>0</v>
      </c>
      <c r="K50" s="317">
        <v>-102.9</v>
      </c>
      <c r="L50" s="317">
        <v>-102.9</v>
      </c>
      <c r="M50" s="318">
        <v>-102.9</v>
      </c>
      <c r="N50" s="307">
        <v>0</v>
      </c>
      <c r="O50" s="308">
        <v>0</v>
      </c>
      <c r="P50" s="308">
        <v>0</v>
      </c>
      <c r="Q50" s="309">
        <v>0</v>
      </c>
      <c r="R50" s="307">
        <v>0</v>
      </c>
      <c r="S50" s="308">
        <v>0</v>
      </c>
    </row>
    <row r="51" spans="1:19" s="10" customFormat="1" ht="20.100000000000001" customHeight="1">
      <c r="A51" s="284" t="s">
        <v>41</v>
      </c>
      <c r="B51" s="322">
        <v>0</v>
      </c>
      <c r="C51" s="308">
        <v>-7.2999999999999995E-2</v>
      </c>
      <c r="D51" s="308">
        <v>-7.2000000000000008E-2</v>
      </c>
      <c r="E51" s="482">
        <v>-7.1000000000000008E-2</v>
      </c>
      <c r="F51" s="324">
        <v>0</v>
      </c>
      <c r="G51" s="322">
        <v>0</v>
      </c>
      <c r="H51" s="322">
        <v>0</v>
      </c>
      <c r="I51" s="323">
        <v>0</v>
      </c>
      <c r="J51" s="325">
        <v>0</v>
      </c>
      <c r="K51" s="317">
        <v>0</v>
      </c>
      <c r="L51" s="317">
        <v>0</v>
      </c>
      <c r="M51" s="318">
        <v>0</v>
      </c>
      <c r="N51" s="307">
        <v>0</v>
      </c>
      <c r="O51" s="308">
        <v>0</v>
      </c>
      <c r="P51" s="308">
        <v>0</v>
      </c>
      <c r="Q51" s="309">
        <v>0</v>
      </c>
      <c r="R51" s="307">
        <v>-1</v>
      </c>
      <c r="S51" s="308">
        <v>-0.6</v>
      </c>
    </row>
    <row r="52" spans="1:19" s="10" customFormat="1" ht="20.100000000000001" customHeight="1" thickBot="1">
      <c r="A52" s="284" t="s">
        <v>102</v>
      </c>
      <c r="B52" s="326">
        <v>0</v>
      </c>
      <c r="C52" s="326">
        <v>0</v>
      </c>
      <c r="D52" s="326">
        <v>0</v>
      </c>
      <c r="E52" s="323">
        <v>0</v>
      </c>
      <c r="F52" s="324">
        <v>0</v>
      </c>
      <c r="G52" s="322">
        <v>0</v>
      </c>
      <c r="H52" s="322">
        <v>0</v>
      </c>
      <c r="I52" s="323">
        <v>0</v>
      </c>
      <c r="J52" s="325">
        <v>0</v>
      </c>
      <c r="K52" s="317">
        <v>-3.8</v>
      </c>
      <c r="L52" s="317">
        <v>-3.9</v>
      </c>
      <c r="M52" s="318">
        <v>-3.9</v>
      </c>
      <c r="N52" s="307">
        <v>0</v>
      </c>
      <c r="O52" s="308">
        <v>0</v>
      </c>
      <c r="P52" s="308">
        <v>0</v>
      </c>
      <c r="Q52" s="309">
        <v>0</v>
      </c>
      <c r="R52" s="307">
        <v>0</v>
      </c>
      <c r="S52" s="308">
        <v>0</v>
      </c>
    </row>
    <row r="53" spans="1:19" s="10" customFormat="1" ht="20.100000000000001" customHeight="1" thickBot="1">
      <c r="A53" s="13" t="s">
        <v>71</v>
      </c>
      <c r="B53" s="311">
        <f t="shared" ref="B53:R53" si="10">SUM(B43:B52)</f>
        <v>-52.971999999999994</v>
      </c>
      <c r="C53" s="311">
        <f t="shared" si="10"/>
        <v>-260.08100000000002</v>
      </c>
      <c r="D53" s="311">
        <f t="shared" si="10"/>
        <v>-525.96400000000006</v>
      </c>
      <c r="E53" s="300">
        <f t="shared" si="10"/>
        <v>-653.34699999999998</v>
      </c>
      <c r="F53" s="310">
        <f t="shared" si="10"/>
        <v>-66.737000000000009</v>
      </c>
      <c r="G53" s="311">
        <f t="shared" si="10"/>
        <v>-278.43799999999999</v>
      </c>
      <c r="H53" s="311">
        <f t="shared" si="10"/>
        <v>-464.322</v>
      </c>
      <c r="I53" s="300">
        <f t="shared" si="10"/>
        <v>-596.46399999999994</v>
      </c>
      <c r="J53" s="310">
        <f t="shared" si="10"/>
        <v>-46.550999999999995</v>
      </c>
      <c r="K53" s="311">
        <f t="shared" si="10"/>
        <v>-478.3</v>
      </c>
      <c r="L53" s="311">
        <f t="shared" si="10"/>
        <v>-1064.0000000000002</v>
      </c>
      <c r="M53" s="319">
        <f t="shared" si="10"/>
        <v>-1542.9</v>
      </c>
      <c r="N53" s="310">
        <f t="shared" si="10"/>
        <v>-467.4</v>
      </c>
      <c r="O53" s="311">
        <f t="shared" si="10"/>
        <v>-1310</v>
      </c>
      <c r="P53" s="311">
        <f t="shared" si="10"/>
        <v>-2210.8000000000006</v>
      </c>
      <c r="Q53" s="312">
        <f t="shared" si="10"/>
        <v>-2386.7000000000007</v>
      </c>
      <c r="R53" s="310">
        <f t="shared" si="10"/>
        <v>-371.90000000000055</v>
      </c>
      <c r="S53" s="311">
        <f t="shared" ref="S53" si="11">SUM(S43:S52)</f>
        <v>-1080.0000000000002</v>
      </c>
    </row>
    <row r="54" spans="1:19" s="10" customFormat="1" ht="20.100000000000001" customHeight="1" thickBot="1">
      <c r="A54" s="13" t="s">
        <v>42</v>
      </c>
      <c r="B54" s="311">
        <f>B28+B42+B53</f>
        <v>147.59399999999999</v>
      </c>
      <c r="C54" s="311">
        <f t="shared" ref="C54:R54" si="12">C53+C42+C28</f>
        <v>33.255999999999972</v>
      </c>
      <c r="D54" s="311">
        <f t="shared" si="12"/>
        <v>-51.083999999999946</v>
      </c>
      <c r="E54" s="300">
        <f t="shared" si="12"/>
        <v>-5.4109999999999445</v>
      </c>
      <c r="F54" s="310">
        <f t="shared" si="12"/>
        <v>53.822999999999979</v>
      </c>
      <c r="G54" s="311">
        <f t="shared" si="12"/>
        <v>-5.0790000000000077</v>
      </c>
      <c r="H54" s="311">
        <f t="shared" si="12"/>
        <v>-55.118000000000166</v>
      </c>
      <c r="I54" s="300">
        <f t="shared" si="12"/>
        <v>72.357999999999947</v>
      </c>
      <c r="J54" s="311">
        <f t="shared" si="12"/>
        <v>85.956000000000017</v>
      </c>
      <c r="K54" s="311">
        <f t="shared" si="12"/>
        <v>1565.4000000000003</v>
      </c>
      <c r="L54" s="311">
        <f t="shared" si="12"/>
        <v>1300.0999999999999</v>
      </c>
      <c r="M54" s="319">
        <f t="shared" si="12"/>
        <v>1403.7999999999997</v>
      </c>
      <c r="N54" s="310">
        <f t="shared" si="12"/>
        <v>-257.89999999999981</v>
      </c>
      <c r="O54" s="311">
        <f t="shared" si="12"/>
        <v>-353.30000000000041</v>
      </c>
      <c r="P54" s="311">
        <f t="shared" si="12"/>
        <v>-677.30000000000109</v>
      </c>
      <c r="Q54" s="312">
        <f t="shared" si="12"/>
        <v>-225.60000000000127</v>
      </c>
      <c r="R54" s="310">
        <f t="shared" si="12"/>
        <v>49.999999999999602</v>
      </c>
      <c r="S54" s="311">
        <f t="shared" ref="S54" si="13">S53+S42+S28</f>
        <v>-568.69999999999982</v>
      </c>
    </row>
    <row r="55" spans="1:19" s="11" customFormat="1" ht="20.100000000000001" customHeight="1">
      <c r="A55" s="286" t="s">
        <v>43</v>
      </c>
      <c r="B55" s="314">
        <v>277.53399999999999</v>
      </c>
      <c r="C55" s="314">
        <v>277.53399999999999</v>
      </c>
      <c r="D55" s="314">
        <v>277.53399999999999</v>
      </c>
      <c r="E55" s="483">
        <v>277.53399999999999</v>
      </c>
      <c r="F55" s="313">
        <v>270.35399999999998</v>
      </c>
      <c r="G55" s="314">
        <v>270.35399999999998</v>
      </c>
      <c r="H55" s="314">
        <v>270.35399999999998</v>
      </c>
      <c r="I55" s="483">
        <v>270.35399999999998</v>
      </c>
      <c r="J55" s="314">
        <v>342.25100000000003</v>
      </c>
      <c r="K55" s="314">
        <v>342.2</v>
      </c>
      <c r="L55" s="314">
        <v>342.2</v>
      </c>
      <c r="M55" s="320">
        <v>342.2</v>
      </c>
      <c r="N55" s="313">
        <v>1747.9</v>
      </c>
      <c r="O55" s="314">
        <v>1747.9</v>
      </c>
      <c r="P55" s="314">
        <v>1747.9</v>
      </c>
      <c r="Q55" s="315">
        <v>1747.9</v>
      </c>
      <c r="R55" s="313">
        <f>Q57</f>
        <v>1523.6999999999989</v>
      </c>
      <c r="S55" s="314">
        <v>1523.7</v>
      </c>
    </row>
    <row r="56" spans="1:19" s="11" customFormat="1" ht="20.100000000000001" customHeight="1" thickBot="1">
      <c r="A56" s="284" t="s">
        <v>44</v>
      </c>
      <c r="B56" s="308">
        <v>-2.5009999999999999</v>
      </c>
      <c r="C56" s="308">
        <v>-1.2710000000000001</v>
      </c>
      <c r="D56" s="308">
        <v>-1.339</v>
      </c>
      <c r="E56" s="482">
        <v>-1.7690000000000001</v>
      </c>
      <c r="F56" s="307">
        <v>0.161</v>
      </c>
      <c r="G56" s="308">
        <v>0.52800000000000002</v>
      </c>
      <c r="H56" s="308">
        <v>0.16</v>
      </c>
      <c r="I56" s="482">
        <v>-0.46100000000000002</v>
      </c>
      <c r="J56" s="317">
        <v>-1.7000000000000001E-2</v>
      </c>
      <c r="K56" s="317">
        <v>-0.7</v>
      </c>
      <c r="L56" s="317">
        <v>0.9</v>
      </c>
      <c r="M56" s="321">
        <v>1.9</v>
      </c>
      <c r="N56" s="307">
        <v>1.6</v>
      </c>
      <c r="O56" s="308">
        <v>2</v>
      </c>
      <c r="P56" s="308">
        <v>1.4</v>
      </c>
      <c r="Q56" s="309">
        <v>1.4</v>
      </c>
      <c r="R56" s="307">
        <v>-3.7</v>
      </c>
      <c r="S56" s="308">
        <v>0.4</v>
      </c>
    </row>
    <row r="57" spans="1:19" s="10" customFormat="1" ht="20.100000000000001" customHeight="1" thickBot="1">
      <c r="A57" s="13" t="s">
        <v>108</v>
      </c>
      <c r="B57" s="311">
        <f>B54+B55+B56</f>
        <v>422.62700000000001</v>
      </c>
      <c r="C57" s="311">
        <f t="shared" ref="C57:Q57" si="14">C55+C54+C56</f>
        <v>309.51899999999995</v>
      </c>
      <c r="D57" s="311">
        <f t="shared" si="14"/>
        <v>225.11100000000005</v>
      </c>
      <c r="E57" s="300">
        <f t="shared" si="14"/>
        <v>270.35400000000004</v>
      </c>
      <c r="F57" s="310">
        <f t="shared" si="14"/>
        <v>324.33799999999997</v>
      </c>
      <c r="G57" s="311">
        <f t="shared" si="14"/>
        <v>265.803</v>
      </c>
      <c r="H57" s="311">
        <f t="shared" si="14"/>
        <v>215.39599999999982</v>
      </c>
      <c r="I57" s="300">
        <f t="shared" si="14"/>
        <v>342.25099999999992</v>
      </c>
      <c r="J57" s="311">
        <f t="shared" si="14"/>
        <v>428.19000000000005</v>
      </c>
      <c r="K57" s="311">
        <f t="shared" si="14"/>
        <v>1906.9000000000003</v>
      </c>
      <c r="L57" s="311">
        <f t="shared" si="14"/>
        <v>1643.2</v>
      </c>
      <c r="M57" s="319">
        <f t="shared" si="14"/>
        <v>1747.8999999999999</v>
      </c>
      <c r="N57" s="310">
        <f t="shared" si="14"/>
        <v>1491.6000000000001</v>
      </c>
      <c r="O57" s="311">
        <f t="shared" si="14"/>
        <v>1396.5999999999997</v>
      </c>
      <c r="P57" s="311">
        <f t="shared" si="14"/>
        <v>1071.9999999999991</v>
      </c>
      <c r="Q57" s="300">
        <f t="shared" si="14"/>
        <v>1523.6999999999989</v>
      </c>
      <c r="R57" s="310">
        <f t="shared" ref="R57:S57" si="15">R55+R54+R56</f>
        <v>1569.9999999999984</v>
      </c>
      <c r="S57" s="311">
        <f t="shared" si="15"/>
        <v>955.4000000000002</v>
      </c>
    </row>
    <row r="58" spans="1:19" s="10" customFormat="1">
      <c r="M58" s="90"/>
    </row>
    <row r="59" spans="1:19" s="10" customFormat="1">
      <c r="A59" s="10" t="s">
        <v>189</v>
      </c>
      <c r="M59" s="90"/>
    </row>
    <row r="60" spans="1:19" s="10" customFormat="1">
      <c r="A60" s="10" t="s">
        <v>237</v>
      </c>
      <c r="M60" s="90"/>
    </row>
    <row r="61" spans="1:19" s="10" customFormat="1">
      <c r="M61" s="90"/>
    </row>
    <row r="62" spans="1:19" s="10" customFormat="1">
      <c r="M62" s="90"/>
    </row>
    <row r="63" spans="1:19" s="10" customFormat="1">
      <c r="M63" s="90"/>
    </row>
    <row r="64" spans="1:19" s="10" customFormat="1">
      <c r="M64" s="90"/>
    </row>
    <row r="65" spans="13:13" s="10" customFormat="1">
      <c r="M65" s="90"/>
    </row>
    <row r="66" spans="13:13" s="10" customFormat="1">
      <c r="M66" s="90"/>
    </row>
    <row r="67" spans="13:13" s="10" customFormat="1">
      <c r="M67" s="90"/>
    </row>
    <row r="68" spans="13:13" s="10" customFormat="1">
      <c r="M68" s="90"/>
    </row>
    <row r="69" spans="13:13" s="10" customFormat="1">
      <c r="M69" s="90"/>
    </row>
    <row r="70" spans="13:13" s="10" customFormat="1">
      <c r="M70" s="90"/>
    </row>
    <row r="71" spans="13:13" s="10" customFormat="1">
      <c r="M71" s="90"/>
    </row>
    <row r="72" spans="13:13" s="10" customFormat="1">
      <c r="M72" s="90"/>
    </row>
    <row r="73" spans="13:13" s="10" customFormat="1">
      <c r="M73" s="90"/>
    </row>
    <row r="74" spans="13:13" s="10" customFormat="1">
      <c r="M74" s="90"/>
    </row>
    <row r="75" spans="13:13" s="10" customFormat="1">
      <c r="M75" s="90"/>
    </row>
    <row r="76" spans="13:13" s="10" customFormat="1">
      <c r="M76" s="90"/>
    </row>
    <row r="77" spans="13:13" s="10" customFormat="1">
      <c r="M77" s="90"/>
    </row>
    <row r="78" spans="13:13" s="10" customFormat="1">
      <c r="M78" s="90"/>
    </row>
    <row r="79" spans="13:13" s="10" customFormat="1">
      <c r="M79" s="90"/>
    </row>
    <row r="80" spans="13:13" s="10" customFormat="1">
      <c r="M80" s="90"/>
    </row>
    <row r="81" spans="13:13" s="10" customFormat="1">
      <c r="M81" s="90"/>
    </row>
    <row r="82" spans="13:13" s="10" customFormat="1">
      <c r="M82" s="90"/>
    </row>
    <row r="83" spans="13:13" s="10" customFormat="1">
      <c r="M83" s="90"/>
    </row>
    <row r="84" spans="13:13" s="10" customFormat="1">
      <c r="M84" s="90"/>
    </row>
    <row r="85" spans="13:13" s="10" customFormat="1">
      <c r="M85" s="90"/>
    </row>
    <row r="86" spans="13:13" s="10" customFormat="1">
      <c r="M86" s="90"/>
    </row>
    <row r="87" spans="13:13" s="10" customFormat="1">
      <c r="M87" s="90"/>
    </row>
    <row r="88" spans="13:13" s="10" customFormat="1">
      <c r="M88" s="90"/>
    </row>
    <row r="89" spans="13:13" s="10" customFormat="1">
      <c r="M89" s="90"/>
    </row>
    <row r="90" spans="13:13" s="10" customFormat="1">
      <c r="M90" s="90"/>
    </row>
    <row r="91" spans="13:13" s="10" customFormat="1">
      <c r="M91" s="90"/>
    </row>
    <row r="92" spans="13:13" s="10" customFormat="1">
      <c r="M92" s="90"/>
    </row>
    <row r="93" spans="13:13" s="10" customFormat="1">
      <c r="M93" s="90"/>
    </row>
    <row r="94" spans="13:13" s="10" customFormat="1">
      <c r="M94" s="90"/>
    </row>
    <row r="95" spans="13:13" s="10" customFormat="1">
      <c r="M95" s="90"/>
    </row>
    <row r="96" spans="13:13" s="10" customFormat="1">
      <c r="M96" s="90"/>
    </row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</sheetData>
  <mergeCells count="5">
    <mergeCell ref="B2:E2"/>
    <mergeCell ref="F2:I2"/>
    <mergeCell ref="J2:M2"/>
    <mergeCell ref="N2:Q2"/>
    <mergeCell ref="R2:S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Z11" sqref="Z11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3" width="9" style="2"/>
    <col min="24" max="36" width="9" style="248"/>
    <col min="37" max="16384" width="9" style="2"/>
  </cols>
  <sheetData>
    <row r="1" spans="1:23" s="31" customFormat="1" ht="30.75" customHeight="1">
      <c r="A1" s="5" t="s">
        <v>190</v>
      </c>
      <c r="B1" s="5"/>
    </row>
    <row r="2" spans="1:23" s="248" customFormat="1" ht="120.75" customHeight="1" thickBot="1">
      <c r="A2" s="529" t="s">
        <v>216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R2" s="249"/>
      <c r="S2" s="249"/>
    </row>
    <row r="3" spans="1:23" ht="20.100000000000001" customHeight="1" thickBot="1">
      <c r="A3" s="530" t="s">
        <v>141</v>
      </c>
      <c r="B3" s="523">
        <v>2012</v>
      </c>
      <c r="C3" s="524"/>
      <c r="D3" s="524"/>
      <c r="E3" s="524"/>
      <c r="F3" s="525">
        <v>2012</v>
      </c>
      <c r="G3" s="523">
        <v>2013</v>
      </c>
      <c r="H3" s="524"/>
      <c r="I3" s="524"/>
      <c r="J3" s="524"/>
      <c r="K3" s="525">
        <v>2013</v>
      </c>
      <c r="L3" s="523">
        <v>2014</v>
      </c>
      <c r="M3" s="524"/>
      <c r="N3" s="524"/>
      <c r="O3" s="524"/>
      <c r="P3" s="525">
        <v>2014</v>
      </c>
      <c r="Q3" s="523">
        <v>2015</v>
      </c>
      <c r="R3" s="524"/>
      <c r="S3" s="524"/>
      <c r="T3" s="524"/>
      <c r="U3" s="525">
        <v>2015</v>
      </c>
      <c r="V3" s="523">
        <v>2016</v>
      </c>
      <c r="W3" s="524"/>
    </row>
    <row r="4" spans="1:23" ht="20.100000000000001" customHeight="1" thickBot="1">
      <c r="A4" s="531"/>
      <c r="B4" s="148" t="s">
        <v>142</v>
      </c>
      <c r="C4" s="149" t="s">
        <v>143</v>
      </c>
      <c r="D4" s="149" t="s">
        <v>144</v>
      </c>
      <c r="E4" s="149" t="s">
        <v>145</v>
      </c>
      <c r="F4" s="526"/>
      <c r="G4" s="148" t="s">
        <v>142</v>
      </c>
      <c r="H4" s="149" t="s">
        <v>143</v>
      </c>
      <c r="I4" s="149" t="s">
        <v>144</v>
      </c>
      <c r="J4" s="149" t="s">
        <v>145</v>
      </c>
      <c r="K4" s="526"/>
      <c r="L4" s="150" t="s">
        <v>142</v>
      </c>
      <c r="M4" s="149" t="s">
        <v>143</v>
      </c>
      <c r="N4" s="149" t="s">
        <v>144</v>
      </c>
      <c r="O4" s="151" t="s">
        <v>145</v>
      </c>
      <c r="P4" s="526"/>
      <c r="Q4" s="150" t="s">
        <v>142</v>
      </c>
      <c r="R4" s="149" t="s">
        <v>143</v>
      </c>
      <c r="S4" s="149" t="s">
        <v>144</v>
      </c>
      <c r="T4" s="151" t="s">
        <v>145</v>
      </c>
      <c r="U4" s="526"/>
      <c r="V4" s="150" t="s">
        <v>142</v>
      </c>
      <c r="W4" s="488" t="s">
        <v>143</v>
      </c>
    </row>
    <row r="5" spans="1:23" ht="20.100000000000001" customHeight="1" thickBot="1">
      <c r="A5" s="152" t="s">
        <v>146</v>
      </c>
      <c r="B5" s="153" t="s">
        <v>147</v>
      </c>
      <c r="C5" s="154" t="s">
        <v>147</v>
      </c>
      <c r="D5" s="154" t="s">
        <v>147</v>
      </c>
      <c r="E5" s="154" t="s">
        <v>147</v>
      </c>
      <c r="F5" s="155" t="s">
        <v>147</v>
      </c>
      <c r="G5" s="156">
        <f t="shared" ref="G5:N5" si="0">G7+G23</f>
        <v>16348336</v>
      </c>
      <c r="H5" s="157">
        <f t="shared" si="0"/>
        <v>16434266</v>
      </c>
      <c r="I5" s="157">
        <f t="shared" si="0"/>
        <v>16627551</v>
      </c>
      <c r="J5" s="157">
        <f t="shared" si="0"/>
        <v>16447334</v>
      </c>
      <c r="K5" s="155">
        <f t="shared" si="0"/>
        <v>16447334</v>
      </c>
      <c r="L5" s="156">
        <f t="shared" si="0"/>
        <v>16333003</v>
      </c>
      <c r="M5" s="157">
        <f t="shared" si="0"/>
        <v>16250497</v>
      </c>
      <c r="N5" s="157">
        <f t="shared" si="0"/>
        <v>16449992</v>
      </c>
      <c r="O5" s="157">
        <f>O7+O23</f>
        <v>16482031</v>
      </c>
      <c r="P5" s="155">
        <f>P7+P23</f>
        <v>16482031</v>
      </c>
      <c r="Q5" s="156">
        <f t="shared" ref="Q5:U5" si="1">Q7+Q23</f>
        <v>16429469</v>
      </c>
      <c r="R5" s="157">
        <f t="shared" si="1"/>
        <v>16349090</v>
      </c>
      <c r="S5" s="157">
        <f t="shared" si="1"/>
        <v>16395514</v>
      </c>
      <c r="T5" s="157">
        <f t="shared" si="1"/>
        <v>16469696</v>
      </c>
      <c r="U5" s="155">
        <f t="shared" si="1"/>
        <v>16469696</v>
      </c>
      <c r="V5" s="156">
        <f t="shared" ref="V5:W5" si="2">V7+V23</f>
        <v>16531833</v>
      </c>
      <c r="W5" s="157">
        <f t="shared" si="2"/>
        <v>16711541</v>
      </c>
    </row>
    <row r="6" spans="1:23" ht="20.100000000000001" customHeight="1">
      <c r="A6" s="158" t="s">
        <v>148</v>
      </c>
      <c r="B6" s="159"/>
      <c r="C6" s="160"/>
      <c r="D6" s="160"/>
      <c r="E6" s="160"/>
      <c r="F6" s="161"/>
      <c r="G6" s="162"/>
      <c r="H6" s="160"/>
      <c r="I6" s="160"/>
      <c r="J6" s="160"/>
      <c r="K6" s="161"/>
      <c r="L6" s="163"/>
      <c r="M6" s="160"/>
      <c r="N6" s="160"/>
      <c r="O6" s="160"/>
      <c r="P6" s="164"/>
      <c r="Q6" s="163"/>
      <c r="R6" s="160"/>
      <c r="S6" s="160"/>
      <c r="T6" s="160"/>
      <c r="U6" s="164"/>
      <c r="V6" s="163"/>
      <c r="W6" s="485"/>
    </row>
    <row r="7" spans="1:23" ht="20.100000000000001" customHeight="1">
      <c r="A7" s="165" t="s">
        <v>149</v>
      </c>
      <c r="B7" s="166">
        <f>B8+B10+B11</f>
        <v>11532547</v>
      </c>
      <c r="C7" s="167">
        <f t="shared" ref="C7:M7" si="3">C8+C10+C11</f>
        <v>11516833</v>
      </c>
      <c r="D7" s="167">
        <f t="shared" si="3"/>
        <v>11605099</v>
      </c>
      <c r="E7" s="167">
        <f t="shared" si="3"/>
        <v>11735100</v>
      </c>
      <c r="F7" s="168">
        <f>SUM(F8,F10:F11)</f>
        <v>11735100</v>
      </c>
      <c r="G7" s="166">
        <f t="shared" si="3"/>
        <v>11799951</v>
      </c>
      <c r="H7" s="167">
        <f t="shared" si="3"/>
        <v>11868947</v>
      </c>
      <c r="I7" s="167">
        <f t="shared" si="3"/>
        <v>11908422</v>
      </c>
      <c r="J7" s="167">
        <f t="shared" si="3"/>
        <v>11978807</v>
      </c>
      <c r="K7" s="168">
        <f>SUM(K8,K10:K11)</f>
        <v>11978807</v>
      </c>
      <c r="L7" s="166">
        <f t="shared" si="3"/>
        <v>11982678</v>
      </c>
      <c r="M7" s="167">
        <f t="shared" si="3"/>
        <v>12023369</v>
      </c>
      <c r="N7" s="167">
        <f>N8+N10+N11</f>
        <v>12230798</v>
      </c>
      <c r="O7" s="167">
        <f>O8+O10+O11</f>
        <v>12347828</v>
      </c>
      <c r="P7" s="169">
        <f>P8+P10+P11</f>
        <v>12347828</v>
      </c>
      <c r="Q7" s="166">
        <f t="shared" ref="Q7:U7" si="4">Q8+Q10+Q11</f>
        <v>12394712</v>
      </c>
      <c r="R7" s="167">
        <f t="shared" si="4"/>
        <v>12377021</v>
      </c>
      <c r="S7" s="167">
        <f t="shared" si="4"/>
        <v>12418707</v>
      </c>
      <c r="T7" s="167">
        <f t="shared" si="4"/>
        <v>12614703</v>
      </c>
      <c r="U7" s="169">
        <f t="shared" si="4"/>
        <v>12614703</v>
      </c>
      <c r="V7" s="166">
        <f t="shared" ref="V7:W7" si="5">V8+V10+V11</f>
        <v>12744166</v>
      </c>
      <c r="W7" s="167">
        <f t="shared" si="5"/>
        <v>12880725</v>
      </c>
    </row>
    <row r="8" spans="1:23" ht="20.100000000000001" customHeight="1">
      <c r="A8" s="170" t="s">
        <v>150</v>
      </c>
      <c r="B8" s="171">
        <v>3885022</v>
      </c>
      <c r="C8" s="172">
        <v>3868733</v>
      </c>
      <c r="D8" s="172">
        <v>3921673</v>
      </c>
      <c r="E8" s="172">
        <v>3994875</v>
      </c>
      <c r="F8" s="173">
        <f>E8</f>
        <v>3994875</v>
      </c>
      <c r="G8" s="171">
        <v>4047592</v>
      </c>
      <c r="H8" s="172">
        <v>4127560</v>
      </c>
      <c r="I8" s="172">
        <v>4160343</v>
      </c>
      <c r="J8" s="172">
        <v>4212323</v>
      </c>
      <c r="K8" s="173">
        <f>J8</f>
        <v>4212323</v>
      </c>
      <c r="L8" s="171">
        <v>4236986</v>
      </c>
      <c r="M8" s="172">
        <v>4255544</v>
      </c>
      <c r="N8" s="174">
        <v>4344773</v>
      </c>
      <c r="O8" s="172">
        <v>4391702</v>
      </c>
      <c r="P8" s="175">
        <v>4391702</v>
      </c>
      <c r="Q8" s="171">
        <v>4405464</v>
      </c>
      <c r="R8" s="172">
        <v>4374517</v>
      </c>
      <c r="S8" s="172">
        <v>4396361</v>
      </c>
      <c r="T8" s="172">
        <v>4503320</v>
      </c>
      <c r="U8" s="175">
        <f t="shared" ref="U8:U12" si="6">T8</f>
        <v>4503320</v>
      </c>
      <c r="V8" s="171">
        <v>4560267</v>
      </c>
      <c r="W8" s="172">
        <v>4632246</v>
      </c>
    </row>
    <row r="9" spans="1:23" ht="20.100000000000001" customHeight="1">
      <c r="A9" s="176" t="s">
        <v>151</v>
      </c>
      <c r="B9" s="177">
        <v>394001</v>
      </c>
      <c r="C9" s="178">
        <v>416027</v>
      </c>
      <c r="D9" s="178">
        <v>470578</v>
      </c>
      <c r="E9" s="178">
        <v>510617</v>
      </c>
      <c r="F9" s="179">
        <f t="shared" ref="F9:F11" si="7">E9</f>
        <v>510617</v>
      </c>
      <c r="G9" s="177">
        <v>559997</v>
      </c>
      <c r="H9" s="178">
        <v>633475</v>
      </c>
      <c r="I9" s="178">
        <v>680316</v>
      </c>
      <c r="J9" s="178">
        <v>719935</v>
      </c>
      <c r="K9" s="179">
        <f>J9</f>
        <v>719935</v>
      </c>
      <c r="L9" s="177">
        <v>749319</v>
      </c>
      <c r="M9" s="178">
        <v>771481</v>
      </c>
      <c r="N9" s="180">
        <v>806064</v>
      </c>
      <c r="O9" s="178">
        <v>844809</v>
      </c>
      <c r="P9" s="181">
        <v>844809</v>
      </c>
      <c r="Q9" s="177">
        <v>872628</v>
      </c>
      <c r="R9" s="178">
        <v>886305</v>
      </c>
      <c r="S9" s="178">
        <v>901271</v>
      </c>
      <c r="T9" s="178">
        <v>936307</v>
      </c>
      <c r="U9" s="181">
        <f t="shared" si="6"/>
        <v>936307</v>
      </c>
      <c r="V9" s="177">
        <v>957952</v>
      </c>
      <c r="W9" s="178">
        <v>972771</v>
      </c>
    </row>
    <row r="10" spans="1:23" ht="20.100000000000001" customHeight="1">
      <c r="A10" s="170" t="s">
        <v>152</v>
      </c>
      <c r="B10" s="171">
        <v>6985015</v>
      </c>
      <c r="C10" s="172">
        <v>6978192</v>
      </c>
      <c r="D10" s="172">
        <v>6976594</v>
      </c>
      <c r="E10" s="172">
        <v>6979590</v>
      </c>
      <c r="F10" s="173">
        <f t="shared" si="7"/>
        <v>6979590</v>
      </c>
      <c r="G10" s="171">
        <v>6941638</v>
      </c>
      <c r="H10" s="172">
        <v>6891314</v>
      </c>
      <c r="I10" s="172">
        <v>6834719</v>
      </c>
      <c r="J10" s="172">
        <v>6778675</v>
      </c>
      <c r="K10" s="173">
        <f t="shared" ref="K10:K11" si="8">J10</f>
        <v>6778675</v>
      </c>
      <c r="L10" s="171">
        <v>6713629</v>
      </c>
      <c r="M10" s="172">
        <v>6644687</v>
      </c>
      <c r="N10" s="174">
        <v>6617382</v>
      </c>
      <c r="O10" s="172">
        <v>6587915</v>
      </c>
      <c r="P10" s="175">
        <v>6587915</v>
      </c>
      <c r="Q10" s="171">
        <v>6552365</v>
      </c>
      <c r="R10" s="172">
        <v>6519311</v>
      </c>
      <c r="S10" s="172">
        <v>6505016</v>
      </c>
      <c r="T10" s="172">
        <v>6516643</v>
      </c>
      <c r="U10" s="175">
        <f t="shared" si="6"/>
        <v>6516643</v>
      </c>
      <c r="V10" s="171">
        <v>6536366</v>
      </c>
      <c r="W10" s="172">
        <v>6559223</v>
      </c>
    </row>
    <row r="11" spans="1:23" ht="20.100000000000001" customHeight="1">
      <c r="A11" s="170" t="s">
        <v>153</v>
      </c>
      <c r="B11" s="171">
        <v>662510</v>
      </c>
      <c r="C11" s="172">
        <v>669908</v>
      </c>
      <c r="D11" s="172">
        <v>706832</v>
      </c>
      <c r="E11" s="172">
        <v>760635</v>
      </c>
      <c r="F11" s="173">
        <f t="shared" si="7"/>
        <v>760635</v>
      </c>
      <c r="G11" s="171">
        <v>810721</v>
      </c>
      <c r="H11" s="172">
        <v>850073</v>
      </c>
      <c r="I11" s="172">
        <v>913360</v>
      </c>
      <c r="J11" s="172">
        <v>987809</v>
      </c>
      <c r="K11" s="173">
        <f t="shared" si="8"/>
        <v>987809</v>
      </c>
      <c r="L11" s="183">
        <v>1032063</v>
      </c>
      <c r="M11" s="184">
        <v>1123138</v>
      </c>
      <c r="N11" s="174">
        <v>1268643</v>
      </c>
      <c r="O11" s="2">
        <v>1368211</v>
      </c>
      <c r="P11" s="175">
        <v>1368211</v>
      </c>
      <c r="Q11" s="183">
        <v>1436883</v>
      </c>
      <c r="R11" s="184">
        <v>1483193</v>
      </c>
      <c r="S11" s="184">
        <v>1517330</v>
      </c>
      <c r="T11" s="172">
        <v>1594740</v>
      </c>
      <c r="U11" s="175">
        <f t="shared" si="6"/>
        <v>1594740</v>
      </c>
      <c r="V11" s="183">
        <v>1647533</v>
      </c>
      <c r="W11" s="184">
        <v>1689256</v>
      </c>
    </row>
    <row r="12" spans="1:23" ht="20.100000000000001" customHeight="1" thickBot="1">
      <c r="A12" s="185" t="s">
        <v>154</v>
      </c>
      <c r="B12" s="186">
        <v>6282300</v>
      </c>
      <c r="C12" s="187">
        <v>6264412</v>
      </c>
      <c r="D12" s="187">
        <v>6281184</v>
      </c>
      <c r="E12" s="187">
        <v>6313423</v>
      </c>
      <c r="F12" s="188">
        <f>E12</f>
        <v>6313423</v>
      </c>
      <c r="G12" s="186">
        <v>6318321</v>
      </c>
      <c r="H12" s="187">
        <v>6306877</v>
      </c>
      <c r="I12" s="187">
        <v>6285607</v>
      </c>
      <c r="J12" s="187">
        <v>6287658</v>
      </c>
      <c r="K12" s="188">
        <f>J12</f>
        <v>6287658</v>
      </c>
      <c r="L12" s="186">
        <v>6260662</v>
      </c>
      <c r="M12" s="187">
        <v>6221111</v>
      </c>
      <c r="N12" s="189">
        <v>6184775</v>
      </c>
      <c r="O12" s="187">
        <v>6137531</v>
      </c>
      <c r="P12" s="190">
        <v>6137531</v>
      </c>
      <c r="Q12" s="186">
        <v>6068839</v>
      </c>
      <c r="R12" s="187">
        <v>5990051</v>
      </c>
      <c r="S12" s="187">
        <v>5937768</v>
      </c>
      <c r="T12" s="187">
        <v>5916103</v>
      </c>
      <c r="U12" s="190">
        <f t="shared" si="6"/>
        <v>5916103</v>
      </c>
      <c r="V12" s="186">
        <v>5893225</v>
      </c>
      <c r="W12" s="187">
        <v>5862310</v>
      </c>
    </row>
    <row r="13" spans="1:23" ht="20.100000000000001" customHeight="1">
      <c r="A13" s="191" t="s">
        <v>155</v>
      </c>
      <c r="B13" s="192">
        <v>92.5</v>
      </c>
      <c r="C13" s="193">
        <v>94.4</v>
      </c>
      <c r="D13" s="193">
        <v>93.8</v>
      </c>
      <c r="E13" s="193">
        <v>93.8</v>
      </c>
      <c r="F13" s="194">
        <v>93.6</v>
      </c>
      <c r="G13" s="192">
        <v>89.1</v>
      </c>
      <c r="H13" s="193">
        <v>90.3</v>
      </c>
      <c r="I13" s="193">
        <v>87.6</v>
      </c>
      <c r="J13" s="193">
        <v>87.1</v>
      </c>
      <c r="K13" s="194">
        <v>88.5</v>
      </c>
      <c r="L13" s="192">
        <v>84.8</v>
      </c>
      <c r="M13" s="193">
        <v>85.3</v>
      </c>
      <c r="N13" s="195">
        <v>86.5</v>
      </c>
      <c r="O13" s="193">
        <v>87.2</v>
      </c>
      <c r="P13" s="196">
        <v>85.9</v>
      </c>
      <c r="Q13" s="192">
        <v>85.8</v>
      </c>
      <c r="R13" s="193">
        <v>87</v>
      </c>
      <c r="S13" s="193">
        <v>88.1</v>
      </c>
      <c r="T13" s="193">
        <v>88.3</v>
      </c>
      <c r="U13" s="196">
        <v>87.3</v>
      </c>
      <c r="V13" s="192">
        <v>87</v>
      </c>
      <c r="W13" s="193">
        <v>88.4</v>
      </c>
    </row>
    <row r="14" spans="1:23" ht="20.100000000000001" customHeight="1">
      <c r="A14" s="197" t="s">
        <v>156</v>
      </c>
      <c r="B14" s="198" t="s">
        <v>147</v>
      </c>
      <c r="C14" s="199" t="s">
        <v>147</v>
      </c>
      <c r="D14" s="199" t="s">
        <v>147</v>
      </c>
      <c r="E14" s="200">
        <v>8.4252884188563901E-2</v>
      </c>
      <c r="F14" s="201">
        <f>E14</f>
        <v>8.4252884188563901E-2</v>
      </c>
      <c r="G14" s="202">
        <v>8.6500864834109098E-2</v>
      </c>
      <c r="H14" s="200">
        <v>8.7995678097648605E-2</v>
      </c>
      <c r="I14" s="200">
        <v>8.95665783401738E-2</v>
      </c>
      <c r="J14" s="200">
        <v>9.1612274770678806E-2</v>
      </c>
      <c r="K14" s="201">
        <f>J14</f>
        <v>9.1612274770678806E-2</v>
      </c>
      <c r="L14" s="202">
        <v>9.0641340484564806E-2</v>
      </c>
      <c r="M14" s="200">
        <v>8.7627794752018207E-2</v>
      </c>
      <c r="N14" s="203">
        <f>8.8%</f>
        <v>8.8000000000000009E-2</v>
      </c>
      <c r="O14" s="200">
        <v>9.0976359886998898E-2</v>
      </c>
      <c r="P14" s="204">
        <v>9.0999999999999998E-2</v>
      </c>
      <c r="Q14" s="202">
        <v>9.5000000000000001E-2</v>
      </c>
      <c r="R14" s="200">
        <v>0.10100000000000001</v>
      </c>
      <c r="S14" s="200">
        <v>0.10199999999999999</v>
      </c>
      <c r="T14" s="200">
        <v>0.1</v>
      </c>
      <c r="U14" s="204">
        <v>0.1</v>
      </c>
      <c r="V14" s="202">
        <v>9.8000000000000004E-2</v>
      </c>
      <c r="W14" s="200">
        <v>0.09</v>
      </c>
    </row>
    <row r="15" spans="1:23" ht="20.100000000000001" customHeight="1" thickBot="1">
      <c r="A15" s="197" t="s">
        <v>157</v>
      </c>
      <c r="B15" s="205">
        <f t="shared" ref="B15:M15" si="9">B7/B12</f>
        <v>1.8357205163713926</v>
      </c>
      <c r="C15" s="206">
        <f t="shared" si="9"/>
        <v>1.838453952262399</v>
      </c>
      <c r="D15" s="206">
        <f t="shared" si="9"/>
        <v>1.8475973638091163</v>
      </c>
      <c r="E15" s="206">
        <f t="shared" si="9"/>
        <v>1.858753959619053</v>
      </c>
      <c r="F15" s="207">
        <f t="shared" si="9"/>
        <v>1.858753959619053</v>
      </c>
      <c r="G15" s="205">
        <f t="shared" si="9"/>
        <v>1.8675770034475931</v>
      </c>
      <c r="H15" s="206">
        <f t="shared" si="9"/>
        <v>1.8819055770391591</v>
      </c>
      <c r="I15" s="206">
        <f t="shared" si="9"/>
        <v>1.8945540184106324</v>
      </c>
      <c r="J15" s="206">
        <f t="shared" si="9"/>
        <v>1.9051301772456453</v>
      </c>
      <c r="K15" s="207">
        <f t="shared" si="9"/>
        <v>1.9051301772456453</v>
      </c>
      <c r="L15" s="205">
        <f t="shared" si="9"/>
        <v>1.9139634115369908</v>
      </c>
      <c r="M15" s="206">
        <f t="shared" si="9"/>
        <v>1.9326723152825918</v>
      </c>
      <c r="N15" s="208">
        <v>1.98</v>
      </c>
      <c r="O15" s="206">
        <v>2.0099999999999998</v>
      </c>
      <c r="P15" s="207">
        <v>2.0099999999999998</v>
      </c>
      <c r="Q15" s="205">
        <f t="shared" ref="Q15" si="10">Q7/Q12</f>
        <v>2.0423530760990696</v>
      </c>
      <c r="R15" s="206">
        <v>2.0699999999999998</v>
      </c>
      <c r="S15" s="206">
        <v>2.09</v>
      </c>
      <c r="T15" s="206">
        <v>2.13</v>
      </c>
      <c r="U15" s="207">
        <v>2.13</v>
      </c>
      <c r="V15" s="205">
        <v>2.16</v>
      </c>
      <c r="W15" s="206">
        <v>2.2000000000000002</v>
      </c>
    </row>
    <row r="16" spans="1:23" ht="20.100000000000001" customHeight="1">
      <c r="A16" s="209" t="s">
        <v>158</v>
      </c>
      <c r="B16" s="210">
        <f>B17+B19+B20</f>
        <v>11497022</v>
      </c>
      <c r="C16" s="211">
        <f t="shared" ref="C16:M16" si="11">C17+C19+C20</f>
        <v>11521707</v>
      </c>
      <c r="D16" s="211">
        <f t="shared" si="11"/>
        <v>11558288</v>
      </c>
      <c r="E16" s="211">
        <f t="shared" si="11"/>
        <v>11659474</v>
      </c>
      <c r="F16" s="168">
        <f t="shared" si="11"/>
        <v>11559122.75</v>
      </c>
      <c r="G16" s="210">
        <f t="shared" si="11"/>
        <v>11772318</v>
      </c>
      <c r="H16" s="211">
        <f t="shared" si="11"/>
        <v>11846507</v>
      </c>
      <c r="I16" s="211">
        <f t="shared" si="11"/>
        <v>11884574</v>
      </c>
      <c r="J16" s="211">
        <f t="shared" si="11"/>
        <v>11924710</v>
      </c>
      <c r="K16" s="168">
        <f t="shared" si="11"/>
        <v>11857027.25</v>
      </c>
      <c r="L16" s="210">
        <f t="shared" si="11"/>
        <v>11986199</v>
      </c>
      <c r="M16" s="211">
        <f t="shared" si="11"/>
        <v>11981389</v>
      </c>
      <c r="N16" s="211">
        <f>N17+N19+N20</f>
        <v>12125363</v>
      </c>
      <c r="O16" s="211">
        <f>O17+O19+O20</f>
        <v>12272311</v>
      </c>
      <c r="P16" s="169">
        <f>P17+P19+P20</f>
        <v>12091316</v>
      </c>
      <c r="Q16" s="210">
        <f t="shared" ref="Q16:U16" si="12">Q17+Q19+Q20</f>
        <v>12376603</v>
      </c>
      <c r="R16" s="211">
        <f t="shared" si="12"/>
        <v>12391326</v>
      </c>
      <c r="S16" s="211">
        <f t="shared" si="12"/>
        <v>12378586</v>
      </c>
      <c r="T16" s="211">
        <f t="shared" si="12"/>
        <v>12496080</v>
      </c>
      <c r="U16" s="169">
        <f t="shared" si="12"/>
        <v>12410649</v>
      </c>
      <c r="V16" s="210">
        <f t="shared" ref="V16:W16" si="13">V17+V19+V20</f>
        <v>12675864</v>
      </c>
      <c r="W16" s="211">
        <f t="shared" si="13"/>
        <v>12809438</v>
      </c>
    </row>
    <row r="17" spans="1:23" ht="20.100000000000001" customHeight="1">
      <c r="A17" s="170" t="s">
        <v>150</v>
      </c>
      <c r="B17" s="171">
        <v>3858338</v>
      </c>
      <c r="C17" s="172">
        <v>3879834</v>
      </c>
      <c r="D17" s="172">
        <v>3894623</v>
      </c>
      <c r="E17" s="172">
        <v>3955082</v>
      </c>
      <c r="F17" s="173">
        <f>AVERAGE(B17:E17)</f>
        <v>3896969.25</v>
      </c>
      <c r="G17" s="171">
        <v>4018307</v>
      </c>
      <c r="H17" s="172">
        <v>4098051</v>
      </c>
      <c r="I17" s="172">
        <v>4144131</v>
      </c>
      <c r="J17" s="172">
        <v>4175145</v>
      </c>
      <c r="K17" s="173">
        <f>AVERAGE(G17:J17)</f>
        <v>4108908.5</v>
      </c>
      <c r="L17" s="171">
        <v>4227450</v>
      </c>
      <c r="M17" s="172">
        <v>4243880</v>
      </c>
      <c r="N17" s="174">
        <v>4301558</v>
      </c>
      <c r="O17" s="172">
        <v>4361890</v>
      </c>
      <c r="P17" s="175">
        <v>4283695</v>
      </c>
      <c r="Q17" s="171">
        <v>4403541</v>
      </c>
      <c r="R17" s="172">
        <v>4397999</v>
      </c>
      <c r="S17" s="172">
        <v>4376405</v>
      </c>
      <c r="T17" s="172">
        <v>4441918</v>
      </c>
      <c r="U17" s="175">
        <v>4404966</v>
      </c>
      <c r="V17" s="171">
        <v>4532806</v>
      </c>
      <c r="W17" s="172">
        <v>4595313</v>
      </c>
    </row>
    <row r="18" spans="1:23" ht="20.100000000000001" customHeight="1">
      <c r="A18" s="176" t="s">
        <v>151</v>
      </c>
      <c r="B18" s="177">
        <v>358652</v>
      </c>
      <c r="C18" s="178">
        <v>406943</v>
      </c>
      <c r="D18" s="182">
        <v>443743.5</v>
      </c>
      <c r="E18" s="178">
        <v>494506</v>
      </c>
      <c r="F18" s="179">
        <f>AVERAGE(B18:E18)</f>
        <v>425961.125</v>
      </c>
      <c r="G18" s="177">
        <v>535271</v>
      </c>
      <c r="H18" s="178">
        <v>600411</v>
      </c>
      <c r="I18" s="178">
        <v>658475</v>
      </c>
      <c r="J18" s="178">
        <v>697978</v>
      </c>
      <c r="K18" s="179">
        <f t="shared" ref="K18:K20" si="14">AVERAGE(G18:J18)</f>
        <v>623033.75</v>
      </c>
      <c r="L18" s="212">
        <v>736315</v>
      </c>
      <c r="M18" s="178">
        <v>759922</v>
      </c>
      <c r="N18" s="180">
        <v>787736</v>
      </c>
      <c r="O18" s="178">
        <v>822568</v>
      </c>
      <c r="P18" s="181">
        <v>776635</v>
      </c>
      <c r="Q18" s="212">
        <v>860827</v>
      </c>
      <c r="R18" s="178">
        <v>881296</v>
      </c>
      <c r="S18" s="178">
        <v>893001</v>
      </c>
      <c r="T18" s="178">
        <v>915940</v>
      </c>
      <c r="U18" s="181">
        <v>887766</v>
      </c>
      <c r="V18" s="212">
        <v>948366</v>
      </c>
      <c r="W18" s="486">
        <v>964197</v>
      </c>
    </row>
    <row r="19" spans="1:23" ht="20.100000000000001" customHeight="1">
      <c r="A19" s="170" t="s">
        <v>152</v>
      </c>
      <c r="B19" s="171">
        <v>6986951</v>
      </c>
      <c r="C19" s="172">
        <v>6977393</v>
      </c>
      <c r="D19" s="172">
        <v>6978772</v>
      </c>
      <c r="E19" s="172">
        <v>6974525</v>
      </c>
      <c r="F19" s="173">
        <f t="shared" ref="F19:F20" si="15">AVERAGE(B19:E19)</f>
        <v>6979410.25</v>
      </c>
      <c r="G19" s="171">
        <v>6965606</v>
      </c>
      <c r="H19" s="172">
        <v>6917102</v>
      </c>
      <c r="I19" s="172">
        <v>6862047</v>
      </c>
      <c r="J19" s="172">
        <v>6801845</v>
      </c>
      <c r="K19" s="173">
        <f t="shared" si="14"/>
        <v>6886650</v>
      </c>
      <c r="L19" s="213">
        <v>6749396</v>
      </c>
      <c r="M19" s="172">
        <v>6670820</v>
      </c>
      <c r="N19" s="174">
        <v>6628199</v>
      </c>
      <c r="O19" s="172">
        <v>6597742</v>
      </c>
      <c r="P19" s="175">
        <v>6661539</v>
      </c>
      <c r="Q19" s="213">
        <v>6570344</v>
      </c>
      <c r="R19" s="172">
        <v>6532488</v>
      </c>
      <c r="S19" s="172">
        <v>6508391</v>
      </c>
      <c r="T19" s="172">
        <v>6502872</v>
      </c>
      <c r="U19" s="175">
        <v>6528524</v>
      </c>
      <c r="V19" s="213">
        <v>6523316</v>
      </c>
      <c r="W19" s="487">
        <v>6546774</v>
      </c>
    </row>
    <row r="20" spans="1:23" ht="20.100000000000001" customHeight="1">
      <c r="A20" s="170" t="s">
        <v>153</v>
      </c>
      <c r="B20" s="171">
        <v>651733</v>
      </c>
      <c r="C20" s="172">
        <v>664480</v>
      </c>
      <c r="D20" s="172">
        <v>684893</v>
      </c>
      <c r="E20" s="172">
        <v>729867</v>
      </c>
      <c r="F20" s="173">
        <f t="shared" si="15"/>
        <v>682743.25</v>
      </c>
      <c r="G20" s="171">
        <v>788405</v>
      </c>
      <c r="H20" s="172">
        <v>831354</v>
      </c>
      <c r="I20" s="172">
        <v>878396</v>
      </c>
      <c r="J20" s="172">
        <v>947720</v>
      </c>
      <c r="K20" s="173">
        <f t="shared" si="14"/>
        <v>861468.75</v>
      </c>
      <c r="L20" s="213">
        <v>1009353</v>
      </c>
      <c r="M20" s="172">
        <v>1066689</v>
      </c>
      <c r="N20" s="174">
        <v>1195606</v>
      </c>
      <c r="O20" s="172">
        <v>1312679</v>
      </c>
      <c r="P20" s="175">
        <v>1146082</v>
      </c>
      <c r="Q20" s="213">
        <v>1402718</v>
      </c>
      <c r="R20" s="172">
        <v>1460839</v>
      </c>
      <c r="S20" s="172">
        <v>1493790</v>
      </c>
      <c r="T20" s="172">
        <v>1551290</v>
      </c>
      <c r="U20" s="175">
        <v>1477159</v>
      </c>
      <c r="V20" s="213">
        <v>1619742</v>
      </c>
      <c r="W20" s="487">
        <v>1667351</v>
      </c>
    </row>
    <row r="21" spans="1:23" ht="20.100000000000001" customHeight="1" thickBot="1">
      <c r="A21" s="214" t="s">
        <v>159</v>
      </c>
      <c r="B21" s="215">
        <v>6288609</v>
      </c>
      <c r="C21" s="216">
        <v>6272029</v>
      </c>
      <c r="D21" s="216">
        <v>6271838</v>
      </c>
      <c r="E21" s="216">
        <v>6291791</v>
      </c>
      <c r="F21" s="217">
        <f>AVERAGE(B21:E21)</f>
        <v>6281066.75</v>
      </c>
      <c r="G21" s="218">
        <v>6316275</v>
      </c>
      <c r="H21" s="216">
        <v>6317333</v>
      </c>
      <c r="I21" s="216">
        <v>6293472</v>
      </c>
      <c r="J21" s="216">
        <v>6279979</v>
      </c>
      <c r="K21" s="217">
        <f>AVERAGE(G21:J21)</f>
        <v>6301764.75</v>
      </c>
      <c r="L21" s="218">
        <v>6274951</v>
      </c>
      <c r="M21" s="216">
        <v>6242450</v>
      </c>
      <c r="N21" s="189">
        <v>6201335</v>
      </c>
      <c r="O21" s="216">
        <v>6159902.666666667</v>
      </c>
      <c r="P21" s="219">
        <v>6219660</v>
      </c>
      <c r="Q21" s="218">
        <v>6105250</v>
      </c>
      <c r="R21" s="216">
        <v>6031638</v>
      </c>
      <c r="S21" s="216">
        <v>5960463</v>
      </c>
      <c r="T21" s="216">
        <v>5922397</v>
      </c>
      <c r="U21" s="219">
        <v>6004937</v>
      </c>
      <c r="V21" s="218">
        <v>5902526</v>
      </c>
      <c r="W21" s="216">
        <v>5876458</v>
      </c>
    </row>
    <row r="22" spans="1:23" ht="20.100000000000001" customHeight="1">
      <c r="A22" s="220" t="s">
        <v>160</v>
      </c>
      <c r="B22" s="221"/>
      <c r="C22" s="222"/>
      <c r="D22" s="222"/>
      <c r="E22" s="222"/>
      <c r="F22" s="223"/>
      <c r="G22" s="224"/>
      <c r="H22" s="225"/>
      <c r="I22" s="225"/>
      <c r="J22" s="225"/>
      <c r="K22" s="223"/>
      <c r="L22" s="224"/>
      <c r="M22" s="226"/>
      <c r="N22" s="226"/>
      <c r="O22" s="225"/>
      <c r="P22" s="223"/>
      <c r="Q22" s="224"/>
      <c r="R22" s="226"/>
      <c r="S22" s="226"/>
      <c r="T22" s="225"/>
      <c r="U22" s="223"/>
      <c r="V22" s="224"/>
      <c r="W22" s="225"/>
    </row>
    <row r="23" spans="1:23" ht="20.100000000000001" customHeight="1">
      <c r="A23" s="165" t="s">
        <v>149</v>
      </c>
      <c r="B23" s="227" t="s">
        <v>147</v>
      </c>
      <c r="C23" s="228" t="s">
        <v>147</v>
      </c>
      <c r="D23" s="228" t="s">
        <v>147</v>
      </c>
      <c r="E23" s="228" t="s">
        <v>147</v>
      </c>
      <c r="F23" s="169" t="s">
        <v>147</v>
      </c>
      <c r="G23" s="166">
        <f>SUM(G24:G26)</f>
        <v>4548385</v>
      </c>
      <c r="H23" s="167">
        <f t="shared" ref="H23:M23" si="16">SUM(H24:H26)</f>
        <v>4565319</v>
      </c>
      <c r="I23" s="167">
        <f t="shared" si="16"/>
        <v>4719129</v>
      </c>
      <c r="J23" s="167">
        <f t="shared" si="16"/>
        <v>4468527</v>
      </c>
      <c r="K23" s="168">
        <f t="shared" si="16"/>
        <v>4468527</v>
      </c>
      <c r="L23" s="166">
        <f t="shared" si="16"/>
        <v>4350325</v>
      </c>
      <c r="M23" s="167">
        <f t="shared" si="16"/>
        <v>4227128</v>
      </c>
      <c r="N23" s="167">
        <f>SUM(N24:N26)</f>
        <v>4219194</v>
      </c>
      <c r="O23" s="167">
        <f>SUM(O24:O26)</f>
        <v>4134203</v>
      </c>
      <c r="P23" s="169">
        <f>SUM(P24:P26)</f>
        <v>4134203</v>
      </c>
      <c r="Q23" s="166">
        <f t="shared" ref="Q23:U23" si="17">SUM(Q24:Q26)</f>
        <v>4034757</v>
      </c>
      <c r="R23" s="167">
        <f t="shared" si="17"/>
        <v>3972069</v>
      </c>
      <c r="S23" s="167">
        <f t="shared" si="17"/>
        <v>3976807</v>
      </c>
      <c r="T23" s="167">
        <f t="shared" si="17"/>
        <v>3854993</v>
      </c>
      <c r="U23" s="169">
        <f t="shared" si="17"/>
        <v>3854993</v>
      </c>
      <c r="V23" s="166">
        <f t="shared" ref="V23:W23" si="18">SUM(V24:V26)</f>
        <v>3787667</v>
      </c>
      <c r="W23" s="167">
        <f t="shared" si="18"/>
        <v>3830816</v>
      </c>
    </row>
    <row r="24" spans="1:23" ht="20.100000000000001" customHeight="1">
      <c r="A24" s="170" t="s">
        <v>161</v>
      </c>
      <c r="B24" s="198" t="s">
        <v>147</v>
      </c>
      <c r="C24" s="199" t="s">
        <v>147</v>
      </c>
      <c r="D24" s="199" t="s">
        <v>147</v>
      </c>
      <c r="E24" s="199" t="s">
        <v>147</v>
      </c>
      <c r="F24" s="175" t="s">
        <v>147</v>
      </c>
      <c r="G24" s="171">
        <v>85574</v>
      </c>
      <c r="H24" s="172">
        <v>81441</v>
      </c>
      <c r="I24" s="172">
        <v>84538</v>
      </c>
      <c r="J24" s="172">
        <v>77771</v>
      </c>
      <c r="K24" s="175">
        <f>J24</f>
        <v>77771</v>
      </c>
      <c r="L24" s="171">
        <v>81619</v>
      </c>
      <c r="M24" s="172">
        <v>66578</v>
      </c>
      <c r="N24" s="174">
        <v>98136</v>
      </c>
      <c r="O24" s="172">
        <v>122787</v>
      </c>
      <c r="P24" s="175">
        <v>122787</v>
      </c>
      <c r="Q24" s="171">
        <v>66163</v>
      </c>
      <c r="R24" s="172">
        <v>41517</v>
      </c>
      <c r="S24" s="172">
        <v>60471</v>
      </c>
      <c r="T24" s="172">
        <v>31972</v>
      </c>
      <c r="U24" s="175">
        <f>T24</f>
        <v>31972</v>
      </c>
      <c r="V24" s="171">
        <v>35754</v>
      </c>
      <c r="W24" s="172">
        <v>73544</v>
      </c>
    </row>
    <row r="25" spans="1:23" ht="20.100000000000001" customHeight="1">
      <c r="A25" s="170" t="s">
        <v>152</v>
      </c>
      <c r="B25" s="198" t="s">
        <v>147</v>
      </c>
      <c r="C25" s="199" t="s">
        <v>147</v>
      </c>
      <c r="D25" s="199" t="s">
        <v>147</v>
      </c>
      <c r="E25" s="199" t="s">
        <v>147</v>
      </c>
      <c r="F25" s="175" t="s">
        <v>147</v>
      </c>
      <c r="G25" s="171">
        <v>4385742</v>
      </c>
      <c r="H25" s="172">
        <v>4379630</v>
      </c>
      <c r="I25" s="172">
        <v>4475541</v>
      </c>
      <c r="J25" s="172">
        <v>4171810</v>
      </c>
      <c r="K25" s="175">
        <f>J25</f>
        <v>4171810</v>
      </c>
      <c r="L25" s="171">
        <v>4042605</v>
      </c>
      <c r="M25" s="172">
        <v>3923778</v>
      </c>
      <c r="N25" s="174">
        <v>3855669</v>
      </c>
      <c r="O25" s="172">
        <v>3792978</v>
      </c>
      <c r="P25" s="175">
        <v>3792978</v>
      </c>
      <c r="Q25" s="171">
        <v>3775976</v>
      </c>
      <c r="R25" s="172">
        <v>3737282</v>
      </c>
      <c r="S25" s="172">
        <v>3685092</v>
      </c>
      <c r="T25" s="172">
        <v>3591736</v>
      </c>
      <c r="U25" s="175">
        <f t="shared" ref="U25:U26" si="19">T25</f>
        <v>3591736</v>
      </c>
      <c r="V25" s="171">
        <v>3495733</v>
      </c>
      <c r="W25" s="172">
        <v>3473228</v>
      </c>
    </row>
    <row r="26" spans="1:23" ht="20.100000000000001" customHeight="1" thickBot="1">
      <c r="A26" s="170" t="s">
        <v>162</v>
      </c>
      <c r="B26" s="229" t="s">
        <v>147</v>
      </c>
      <c r="C26" s="230" t="s">
        <v>147</v>
      </c>
      <c r="D26" s="230" t="s">
        <v>147</v>
      </c>
      <c r="E26" s="230" t="s">
        <v>147</v>
      </c>
      <c r="F26" s="175" t="s">
        <v>147</v>
      </c>
      <c r="G26" s="171">
        <v>77069</v>
      </c>
      <c r="H26" s="172">
        <v>104248</v>
      </c>
      <c r="I26" s="172">
        <v>159050</v>
      </c>
      <c r="J26" s="172">
        <v>218946</v>
      </c>
      <c r="K26" s="175">
        <f>J26</f>
        <v>218946</v>
      </c>
      <c r="L26" s="171">
        <v>226101</v>
      </c>
      <c r="M26" s="172">
        <v>236772</v>
      </c>
      <c r="N26" s="174">
        <v>265389</v>
      </c>
      <c r="O26" s="172">
        <v>218438</v>
      </c>
      <c r="P26" s="175">
        <v>218438</v>
      </c>
      <c r="Q26" s="171">
        <v>192618</v>
      </c>
      <c r="R26" s="172">
        <v>193270</v>
      </c>
      <c r="S26" s="172">
        <v>231244</v>
      </c>
      <c r="T26" s="172">
        <v>231285</v>
      </c>
      <c r="U26" s="175">
        <f t="shared" si="19"/>
        <v>231285</v>
      </c>
      <c r="V26" s="171">
        <v>256180</v>
      </c>
      <c r="W26" s="172">
        <v>284044</v>
      </c>
    </row>
    <row r="27" spans="1:23" ht="20.100000000000001" customHeight="1" thickBot="1">
      <c r="A27" s="231" t="s">
        <v>163</v>
      </c>
      <c r="B27" s="232" t="s">
        <v>147</v>
      </c>
      <c r="C27" s="233" t="s">
        <v>147</v>
      </c>
      <c r="D27" s="233" t="s">
        <v>147</v>
      </c>
      <c r="E27" s="233" t="s">
        <v>147</v>
      </c>
      <c r="F27" s="234" t="s">
        <v>147</v>
      </c>
      <c r="G27" s="235">
        <v>18</v>
      </c>
      <c r="H27" s="236">
        <v>19.2</v>
      </c>
      <c r="I27" s="236">
        <v>18.2</v>
      </c>
      <c r="J27" s="236">
        <v>17.5</v>
      </c>
      <c r="K27" s="237">
        <v>18.2</v>
      </c>
      <c r="L27" s="235">
        <v>16.5</v>
      </c>
      <c r="M27" s="236">
        <v>17.899999999999999</v>
      </c>
      <c r="N27" s="238">
        <v>18.3</v>
      </c>
      <c r="O27" s="236">
        <v>18.2</v>
      </c>
      <c r="P27" s="237">
        <v>17.7</v>
      </c>
      <c r="Q27" s="235">
        <v>17.3</v>
      </c>
      <c r="R27" s="236">
        <v>18.3</v>
      </c>
      <c r="S27" s="236">
        <v>19</v>
      </c>
      <c r="T27" s="236">
        <v>18.5</v>
      </c>
      <c r="U27" s="237">
        <v>18.3</v>
      </c>
      <c r="V27" s="235">
        <v>17.7</v>
      </c>
      <c r="W27" s="236">
        <v>18.899999999999999</v>
      </c>
    </row>
    <row r="28" spans="1:23" ht="20.100000000000001" customHeight="1">
      <c r="A28" s="239" t="s">
        <v>158</v>
      </c>
      <c r="B28" s="240" t="s">
        <v>147</v>
      </c>
      <c r="C28" s="241" t="s">
        <v>147</v>
      </c>
      <c r="D28" s="241" t="s">
        <v>147</v>
      </c>
      <c r="E28" s="241" t="s">
        <v>147</v>
      </c>
      <c r="F28" s="242" t="s">
        <v>147</v>
      </c>
      <c r="G28" s="210">
        <f>SUM(G29:G31)</f>
        <v>4549031</v>
      </c>
      <c r="H28" s="211">
        <f t="shared" ref="H28:M28" si="20">SUM(H29:H31)</f>
        <v>4532090</v>
      </c>
      <c r="I28" s="211">
        <f t="shared" si="20"/>
        <v>4635182</v>
      </c>
      <c r="J28" s="211">
        <f t="shared" si="20"/>
        <v>4599374</v>
      </c>
      <c r="K28" s="242">
        <f t="shared" si="20"/>
        <v>4578919.25</v>
      </c>
      <c r="L28" s="210">
        <f t="shared" si="20"/>
        <v>4398038</v>
      </c>
      <c r="M28" s="211">
        <f t="shared" si="20"/>
        <v>4285747</v>
      </c>
      <c r="N28" s="211">
        <f>SUM(N29:N31)</f>
        <v>4212274</v>
      </c>
      <c r="O28" s="211">
        <f>SUM(O29:O31)</f>
        <v>4172129</v>
      </c>
      <c r="P28" s="242">
        <f>SUM(P29:P31)</f>
        <v>4267047</v>
      </c>
      <c r="Q28" s="210">
        <f t="shared" ref="Q28:U28" si="21">SUM(Q29:Q31)</f>
        <v>4068646</v>
      </c>
      <c r="R28" s="211">
        <f t="shared" si="21"/>
        <v>4006108</v>
      </c>
      <c r="S28" s="211">
        <f t="shared" si="21"/>
        <v>3970091</v>
      </c>
      <c r="T28" s="211">
        <f t="shared" si="21"/>
        <v>3917979</v>
      </c>
      <c r="U28" s="242">
        <f t="shared" si="21"/>
        <v>3990706</v>
      </c>
      <c r="V28" s="210">
        <f t="shared" ref="V28:W28" si="22">SUM(V29:V31)</f>
        <v>3801870</v>
      </c>
      <c r="W28" s="211">
        <f t="shared" si="22"/>
        <v>3794613</v>
      </c>
    </row>
    <row r="29" spans="1:23" ht="20.100000000000001" customHeight="1">
      <c r="A29" s="170" t="s">
        <v>161</v>
      </c>
      <c r="B29" s="198" t="s">
        <v>147</v>
      </c>
      <c r="C29" s="199" t="s">
        <v>147</v>
      </c>
      <c r="D29" s="199" t="s">
        <v>147</v>
      </c>
      <c r="E29" s="199" t="s">
        <v>147</v>
      </c>
      <c r="F29" s="175" t="s">
        <v>147</v>
      </c>
      <c r="G29" s="171">
        <v>78707</v>
      </c>
      <c r="H29" s="172">
        <v>73828</v>
      </c>
      <c r="I29" s="172">
        <v>68740</v>
      </c>
      <c r="J29" s="172">
        <v>77953</v>
      </c>
      <c r="K29" s="175">
        <f>AVERAGE(G29:J29)</f>
        <v>74807</v>
      </c>
      <c r="L29" s="171">
        <v>77779</v>
      </c>
      <c r="M29" s="172">
        <v>79253</v>
      </c>
      <c r="N29" s="174">
        <v>69522</v>
      </c>
      <c r="O29" s="172">
        <v>129021</v>
      </c>
      <c r="P29" s="175">
        <v>88894</v>
      </c>
      <c r="Q29" s="171">
        <v>67972</v>
      </c>
      <c r="R29" s="172">
        <v>61165</v>
      </c>
      <c r="S29" s="172">
        <v>41313</v>
      </c>
      <c r="T29" s="172">
        <v>56743</v>
      </c>
      <c r="U29" s="175">
        <v>56798</v>
      </c>
      <c r="V29" s="171">
        <v>36255</v>
      </c>
      <c r="W29" s="172">
        <v>52114</v>
      </c>
    </row>
    <row r="30" spans="1:23" ht="20.100000000000001" customHeight="1">
      <c r="A30" s="170" t="s">
        <v>152</v>
      </c>
      <c r="B30" s="198" t="s">
        <v>147</v>
      </c>
      <c r="C30" s="199" t="s">
        <v>147</v>
      </c>
      <c r="D30" s="199" t="s">
        <v>147</v>
      </c>
      <c r="E30" s="199" t="s">
        <v>147</v>
      </c>
      <c r="F30" s="175" t="s">
        <v>147</v>
      </c>
      <c r="G30" s="171">
        <v>4397976</v>
      </c>
      <c r="H30" s="172">
        <v>4370181</v>
      </c>
      <c r="I30" s="172">
        <v>4431149</v>
      </c>
      <c r="J30" s="172">
        <v>4338987</v>
      </c>
      <c r="K30" s="175">
        <f t="shared" ref="K30:K31" si="23">AVERAGE(G30:J30)</f>
        <v>4384573.25</v>
      </c>
      <c r="L30" s="171">
        <v>4091609</v>
      </c>
      <c r="M30" s="172">
        <v>3975410</v>
      </c>
      <c r="N30" s="174">
        <v>3893375</v>
      </c>
      <c r="O30" s="172">
        <v>3798701</v>
      </c>
      <c r="P30" s="175">
        <v>3939774</v>
      </c>
      <c r="Q30" s="171">
        <v>3797423</v>
      </c>
      <c r="R30" s="172">
        <v>3755130</v>
      </c>
      <c r="S30" s="172">
        <v>3713656</v>
      </c>
      <c r="T30" s="172">
        <v>3630863</v>
      </c>
      <c r="U30" s="175">
        <v>3724268</v>
      </c>
      <c r="V30" s="171">
        <v>3529840</v>
      </c>
      <c r="W30" s="172">
        <v>3473104</v>
      </c>
    </row>
    <row r="31" spans="1:23" ht="20.100000000000001" customHeight="1" thickBot="1">
      <c r="A31" s="243" t="s">
        <v>162</v>
      </c>
      <c r="B31" s="229" t="s">
        <v>147</v>
      </c>
      <c r="C31" s="230" t="s">
        <v>147</v>
      </c>
      <c r="D31" s="230" t="s">
        <v>147</v>
      </c>
      <c r="E31" s="230" t="s">
        <v>147</v>
      </c>
      <c r="F31" s="244" t="s">
        <v>147</v>
      </c>
      <c r="G31" s="245">
        <v>72348</v>
      </c>
      <c r="H31" s="246">
        <v>88081</v>
      </c>
      <c r="I31" s="246">
        <v>135293</v>
      </c>
      <c r="J31" s="246">
        <v>182434</v>
      </c>
      <c r="K31" s="244">
        <f t="shared" si="23"/>
        <v>119539</v>
      </c>
      <c r="L31" s="245">
        <v>228650</v>
      </c>
      <c r="M31" s="246">
        <v>231084</v>
      </c>
      <c r="N31" s="247">
        <v>249377</v>
      </c>
      <c r="O31" s="246">
        <v>244407</v>
      </c>
      <c r="P31" s="244">
        <v>238379</v>
      </c>
      <c r="Q31" s="245">
        <v>203251</v>
      </c>
      <c r="R31" s="246">
        <v>189813</v>
      </c>
      <c r="S31" s="246">
        <v>215122</v>
      </c>
      <c r="T31" s="246">
        <v>230373</v>
      </c>
      <c r="U31" s="244">
        <v>209640</v>
      </c>
      <c r="V31" s="245">
        <v>235775</v>
      </c>
      <c r="W31" s="246">
        <v>269395</v>
      </c>
    </row>
    <row r="32" spans="1:23" s="248" customFormat="1" ht="20.100000000000001" customHeight="1">
      <c r="A32" s="249"/>
      <c r="R32" s="249"/>
      <c r="S32" s="249"/>
    </row>
    <row r="33" spans="1:23" s="248" customFormat="1" ht="20.100000000000001" customHeight="1">
      <c r="A33" s="250" t="s">
        <v>164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0"/>
      <c r="S33" s="250"/>
      <c r="T33" s="251"/>
      <c r="U33" s="251"/>
      <c r="V33" s="251"/>
      <c r="W33" s="251"/>
    </row>
    <row r="34" spans="1:23" s="248" customFormat="1" ht="20.100000000000001" customHeight="1">
      <c r="A34" s="250" t="s">
        <v>165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0"/>
      <c r="S34" s="250"/>
      <c r="T34" s="251"/>
      <c r="U34" s="251"/>
      <c r="V34" s="251"/>
      <c r="W34" s="251"/>
    </row>
    <row r="35" spans="1:23" s="248" customFormat="1" ht="20.100000000000001" customHeight="1">
      <c r="A35" s="527" t="s">
        <v>166</v>
      </c>
      <c r="B35" s="528"/>
      <c r="C35" s="528"/>
      <c r="D35" s="528"/>
      <c r="E35" s="528"/>
      <c r="F35" s="528"/>
      <c r="G35" s="528"/>
      <c r="H35" s="528"/>
      <c r="I35" s="528"/>
      <c r="J35" s="251"/>
      <c r="K35" s="251"/>
      <c r="L35" s="251"/>
      <c r="M35" s="251"/>
      <c r="N35" s="251"/>
      <c r="O35" s="251"/>
      <c r="P35" s="251"/>
      <c r="Q35" s="251"/>
      <c r="R35" s="250"/>
      <c r="S35" s="250"/>
      <c r="T35" s="251"/>
      <c r="U35" s="251"/>
      <c r="V35" s="251"/>
      <c r="W35" s="251"/>
    </row>
    <row r="36" spans="1:23" s="248" customFormat="1" ht="30" customHeight="1">
      <c r="A36" s="527" t="s">
        <v>167</v>
      </c>
      <c r="B36" s="527"/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527"/>
      <c r="Q36" s="527"/>
      <c r="R36" s="527"/>
      <c r="S36" s="527"/>
      <c r="T36" s="249"/>
    </row>
    <row r="37" spans="1:23" s="248" customFormat="1" ht="20.100000000000001" customHeight="1">
      <c r="A37" s="528" t="s">
        <v>168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251"/>
      <c r="O37" s="251"/>
      <c r="P37" s="251"/>
      <c r="Q37" s="251"/>
      <c r="R37" s="250"/>
      <c r="S37" s="250"/>
      <c r="T37" s="251"/>
      <c r="U37" s="251"/>
      <c r="V37" s="251"/>
      <c r="W37" s="251"/>
    </row>
    <row r="38" spans="1:23" s="248" customFormat="1" ht="20.100000000000001" customHeight="1">
      <c r="A38" s="249"/>
      <c r="R38" s="249"/>
      <c r="S38" s="249"/>
    </row>
    <row r="39" spans="1:23" ht="20.100000000000001" customHeight="1"/>
    <row r="40" spans="1:23" ht="20.100000000000001" customHeight="1"/>
    <row r="41" spans="1:23" ht="20.100000000000001" customHeight="1"/>
    <row r="42" spans="1:23" ht="20.100000000000001" customHeight="1"/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</row>
  </sheetData>
  <mergeCells count="14">
    <mergeCell ref="A37:M37"/>
    <mergeCell ref="A36:S36"/>
    <mergeCell ref="A2:N2"/>
    <mergeCell ref="A3:A4"/>
    <mergeCell ref="B3:E3"/>
    <mergeCell ref="F3:F4"/>
    <mergeCell ref="G3:J3"/>
    <mergeCell ref="K3:K4"/>
    <mergeCell ref="L3:O3"/>
    <mergeCell ref="V3:W3"/>
    <mergeCell ref="U3:U4"/>
    <mergeCell ref="Q3:T3"/>
    <mergeCell ref="P3:P4"/>
    <mergeCell ref="A35:I35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W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style="24" customWidth="1"/>
    <col min="2" max="2" width="30.75" customWidth="1"/>
    <col min="3" max="8" width="12.625" customWidth="1"/>
    <col min="9" max="30" width="9" style="24"/>
  </cols>
  <sheetData>
    <row r="1" spans="2:12" s="24" customFormat="1" ht="50.25" customHeight="1" thickBot="1">
      <c r="B1" s="3" t="s">
        <v>110</v>
      </c>
    </row>
    <row r="2" spans="2:12" ht="20.25" customHeight="1" thickBot="1">
      <c r="B2" s="535" t="s">
        <v>118</v>
      </c>
      <c r="C2" s="513" t="s">
        <v>218</v>
      </c>
      <c r="D2" s="514"/>
      <c r="E2" s="515"/>
      <c r="F2" s="513" t="s">
        <v>217</v>
      </c>
      <c r="G2" s="514"/>
      <c r="H2" s="515"/>
    </row>
    <row r="3" spans="2:12" ht="20.25" customHeight="1" thickBot="1">
      <c r="B3" s="536"/>
      <c r="C3" s="288">
        <v>2016</v>
      </c>
      <c r="D3" s="289">
        <v>2015</v>
      </c>
      <c r="E3" s="290" t="s">
        <v>169</v>
      </c>
      <c r="F3" s="288">
        <v>2016</v>
      </c>
      <c r="G3" s="289">
        <v>2015</v>
      </c>
      <c r="H3" s="290" t="s">
        <v>169</v>
      </c>
      <c r="I3" s="252"/>
      <c r="J3" s="252"/>
      <c r="K3" s="252"/>
      <c r="L3" s="252"/>
    </row>
    <row r="4" spans="2:12" ht="25.5" customHeight="1">
      <c r="B4" s="253" t="s">
        <v>170</v>
      </c>
      <c r="C4" s="254">
        <v>0.25455</v>
      </c>
      <c r="D4" s="259">
        <v>0.24654000000000001</v>
      </c>
      <c r="E4" s="255">
        <f>IFERROR((C4-D4)/D4,"n/d")</f>
        <v>3.2489656850815236E-2</v>
      </c>
      <c r="F4" s="254">
        <v>0.24881</v>
      </c>
      <c r="G4" s="259">
        <v>0.2429</v>
      </c>
      <c r="H4" s="255">
        <f>IFERROR((F4-G4)/G4,"n/d")</f>
        <v>2.4331000411692047E-2</v>
      </c>
      <c r="I4" s="256"/>
      <c r="J4" s="252"/>
      <c r="K4" s="252"/>
      <c r="L4" s="252"/>
    </row>
    <row r="5" spans="2:12" ht="25.5" customHeight="1">
      <c r="B5" s="257" t="s">
        <v>171</v>
      </c>
      <c r="C5" s="258">
        <v>0.13802</v>
      </c>
      <c r="D5" s="259">
        <v>0.13350000000000001</v>
      </c>
      <c r="E5" s="260">
        <f t="shared" ref="E5:E27" si="0">IFERROR((C5-D5)/D5,"n/d")</f>
        <v>3.3857677902621695E-2</v>
      </c>
      <c r="F5" s="258">
        <v>0.13217999999999999</v>
      </c>
      <c r="G5" s="259">
        <v>0.13400999999999999</v>
      </c>
      <c r="H5" s="260">
        <f t="shared" ref="H5:H27" si="1">IFERROR((F5-G5)/G5,"n/d")</f>
        <v>-1.3655697336019689E-2</v>
      </c>
      <c r="I5" s="256"/>
      <c r="J5" s="252"/>
      <c r="K5" s="252"/>
      <c r="L5" s="252"/>
    </row>
    <row r="6" spans="2:12" ht="25.5" customHeight="1">
      <c r="B6" s="257" t="s">
        <v>172</v>
      </c>
      <c r="C6" s="258">
        <v>0.11652999999999999</v>
      </c>
      <c r="D6" s="259">
        <v>0.11303000000000001</v>
      </c>
      <c r="E6" s="260">
        <f t="shared" si="0"/>
        <v>3.0965230469786685E-2</v>
      </c>
      <c r="F6" s="258">
        <v>0.11663</v>
      </c>
      <c r="G6" s="259">
        <v>0.10889</v>
      </c>
      <c r="H6" s="260">
        <f t="shared" si="1"/>
        <v>7.1080907337680202E-2</v>
      </c>
      <c r="I6" s="256"/>
      <c r="J6" s="252"/>
      <c r="K6" s="252"/>
      <c r="L6" s="252"/>
    </row>
    <row r="7" spans="2:12" ht="18" customHeight="1">
      <c r="B7" s="292" t="s">
        <v>197</v>
      </c>
      <c r="C7" s="261">
        <v>3.542E-2</v>
      </c>
      <c r="D7" s="262">
        <v>3.5110000000000002E-2</v>
      </c>
      <c r="E7" s="263">
        <f t="shared" si="0"/>
        <v>8.8293933352320639E-3</v>
      </c>
      <c r="F7" s="261">
        <v>3.6540000000000003E-2</v>
      </c>
      <c r="G7" s="262">
        <v>3.4389999999999997E-2</v>
      </c>
      <c r="H7" s="263">
        <f t="shared" si="1"/>
        <v>6.2518173887758252E-2</v>
      </c>
      <c r="I7" s="264"/>
      <c r="J7" s="252"/>
      <c r="K7" s="252"/>
      <c r="L7" s="252"/>
    </row>
    <row r="8" spans="2:12" ht="18" customHeight="1">
      <c r="B8" s="292" t="s">
        <v>198</v>
      </c>
      <c r="C8" s="261">
        <v>1.7520000000000001E-2</v>
      </c>
      <c r="D8" s="262">
        <v>1.422E-2</v>
      </c>
      <c r="E8" s="263">
        <f t="shared" si="0"/>
        <v>0.23206751054852326</v>
      </c>
      <c r="F8" s="261">
        <v>1.7860000000000001E-2</v>
      </c>
      <c r="G8" s="262">
        <v>1.422E-2</v>
      </c>
      <c r="H8" s="263">
        <f t="shared" si="1"/>
        <v>0.25597749648382567</v>
      </c>
      <c r="I8" s="264"/>
      <c r="J8" s="252"/>
      <c r="K8" s="252"/>
      <c r="L8" s="252"/>
    </row>
    <row r="9" spans="2:12" ht="18" customHeight="1">
      <c r="B9" s="292" t="s">
        <v>199</v>
      </c>
      <c r="C9" s="261">
        <v>1.3939999999999999E-2</v>
      </c>
      <c r="D9" s="262">
        <v>1.4149999999999999E-2</v>
      </c>
      <c r="E9" s="263">
        <f t="shared" si="0"/>
        <v>-1.4840989399293295E-2</v>
      </c>
      <c r="F9" s="261">
        <v>1.379E-2</v>
      </c>
      <c r="G9" s="262">
        <v>1.417E-2</v>
      </c>
      <c r="H9" s="263">
        <f t="shared" si="1"/>
        <v>-2.6817219477769945E-2</v>
      </c>
      <c r="I9" s="264"/>
      <c r="J9" s="252"/>
      <c r="K9" s="252"/>
      <c r="L9" s="252"/>
    </row>
    <row r="10" spans="2:12" ht="18" customHeight="1">
      <c r="B10" s="292" t="s">
        <v>177</v>
      </c>
      <c r="C10" s="261">
        <v>7.3699999999999998E-3</v>
      </c>
      <c r="D10" s="262">
        <v>7.0200000000000002E-3</v>
      </c>
      <c r="E10" s="263">
        <f t="shared" si="0"/>
        <v>4.9857549857549803E-2</v>
      </c>
      <c r="F10" s="261">
        <v>8.0499999999999999E-3</v>
      </c>
      <c r="G10" s="262">
        <v>7.2500000000000004E-3</v>
      </c>
      <c r="H10" s="263">
        <f t="shared" si="1"/>
        <v>0.11034482758620683</v>
      </c>
      <c r="I10" s="264"/>
      <c r="J10" s="252"/>
      <c r="K10" s="252"/>
      <c r="L10" s="252"/>
    </row>
    <row r="11" spans="2:12" ht="18" customHeight="1">
      <c r="B11" s="292" t="s">
        <v>173</v>
      </c>
      <c r="C11" s="261">
        <v>7.7400000000000004E-3</v>
      </c>
      <c r="D11" s="262">
        <v>8.5400000000000007E-3</v>
      </c>
      <c r="E11" s="263">
        <f t="shared" si="0"/>
        <v>-9.3676814988290433E-2</v>
      </c>
      <c r="F11" s="261">
        <v>7.5199999999999998E-3</v>
      </c>
      <c r="G11" s="262">
        <v>7.8700000000000003E-3</v>
      </c>
      <c r="H11" s="263">
        <f t="shared" si="1"/>
        <v>-4.4472681067344408E-2</v>
      </c>
      <c r="I11" s="264"/>
      <c r="J11" s="252"/>
      <c r="K11" s="252"/>
      <c r="L11" s="252"/>
    </row>
    <row r="12" spans="2:12" ht="18" customHeight="1">
      <c r="B12" s="292" t="s">
        <v>179</v>
      </c>
      <c r="C12" s="261">
        <v>6.8199999999999997E-3</v>
      </c>
      <c r="D12" s="262">
        <v>6.7099999999999998E-3</v>
      </c>
      <c r="E12" s="263">
        <f t="shared" si="0"/>
        <v>1.63934426229508E-2</v>
      </c>
      <c r="F12" s="261">
        <v>6.8399999999999997E-3</v>
      </c>
      <c r="G12" s="262">
        <v>6.8700000000000002E-3</v>
      </c>
      <c r="H12" s="263">
        <f t="shared" si="1"/>
        <v>-4.3668122270743102E-3</v>
      </c>
      <c r="I12" s="264"/>
      <c r="J12" s="252"/>
      <c r="K12" s="252"/>
      <c r="L12" s="252"/>
    </row>
    <row r="13" spans="2:12" ht="18" customHeight="1">
      <c r="B13" s="292" t="s">
        <v>174</v>
      </c>
      <c r="C13" s="261">
        <v>6.8700000000000002E-3</v>
      </c>
      <c r="D13" s="262">
        <v>5.8399999999999997E-3</v>
      </c>
      <c r="E13" s="263">
        <f t="shared" si="0"/>
        <v>0.17636986301369872</v>
      </c>
      <c r="F13" s="261">
        <v>5.5599999999999998E-3</v>
      </c>
      <c r="G13" s="262">
        <v>4.62E-3</v>
      </c>
      <c r="H13" s="263">
        <f t="shared" si="1"/>
        <v>0.20346320346320343</v>
      </c>
      <c r="I13" s="264"/>
      <c r="J13" s="252"/>
      <c r="K13" s="252"/>
      <c r="L13" s="252"/>
    </row>
    <row r="14" spans="2:12" ht="18" customHeight="1">
      <c r="B14" s="292" t="s">
        <v>176</v>
      </c>
      <c r="C14" s="261">
        <v>4.3299999999999996E-3</v>
      </c>
      <c r="D14" s="262">
        <v>5.3400000000000001E-3</v>
      </c>
      <c r="E14" s="263">
        <f t="shared" si="0"/>
        <v>-0.18913857677902629</v>
      </c>
      <c r="F14" s="261">
        <v>4.0600000000000002E-3</v>
      </c>
      <c r="G14" s="262">
        <v>3.98E-3</v>
      </c>
      <c r="H14" s="263">
        <f t="shared" si="1"/>
        <v>2.0100502512562866E-2</v>
      </c>
      <c r="I14" s="264"/>
      <c r="J14" s="252"/>
      <c r="K14" s="252"/>
      <c r="L14" s="252"/>
    </row>
    <row r="15" spans="2:12" ht="18" customHeight="1">
      <c r="B15" s="292" t="s">
        <v>178</v>
      </c>
      <c r="C15" s="261">
        <v>3.5899999999999999E-3</v>
      </c>
      <c r="D15" s="262">
        <v>4.3800000000000002E-3</v>
      </c>
      <c r="E15" s="263">
        <f t="shared" si="0"/>
        <v>-0.18036529680365304</v>
      </c>
      <c r="F15" s="261">
        <v>3.49E-3</v>
      </c>
      <c r="G15" s="262">
        <v>4.13E-3</v>
      </c>
      <c r="H15" s="263">
        <f t="shared" si="1"/>
        <v>-0.15496368038740918</v>
      </c>
      <c r="I15" s="264"/>
      <c r="J15" s="252"/>
      <c r="K15" s="252"/>
      <c r="L15" s="252"/>
    </row>
    <row r="16" spans="2:12" ht="18" customHeight="1">
      <c r="B16" s="292" t="s">
        <v>200</v>
      </c>
      <c r="C16" s="261">
        <v>1.97E-3</v>
      </c>
      <c r="D16" s="262">
        <v>1.3600000000000001E-3</v>
      </c>
      <c r="E16" s="263">
        <f t="shared" si="0"/>
        <v>0.44852941176470573</v>
      </c>
      <c r="F16" s="261">
        <v>2.3900000000000002E-3</v>
      </c>
      <c r="G16" s="262">
        <v>1.5399999999999999E-3</v>
      </c>
      <c r="H16" s="263">
        <f t="shared" si="1"/>
        <v>0.55194805194805219</v>
      </c>
      <c r="I16" s="264"/>
      <c r="J16" s="252"/>
      <c r="K16" s="252"/>
      <c r="L16" s="252"/>
    </row>
    <row r="17" spans="2:12" ht="18" customHeight="1">
      <c r="B17" s="292" t="s">
        <v>201</v>
      </c>
      <c r="C17" s="261">
        <v>2.5899999999999999E-3</v>
      </c>
      <c r="D17" s="262">
        <v>2.96E-3</v>
      </c>
      <c r="E17" s="263">
        <f t="shared" si="0"/>
        <v>-0.12500000000000003</v>
      </c>
      <c r="F17" s="261">
        <v>2.47E-3</v>
      </c>
      <c r="G17" s="262">
        <v>2.63E-3</v>
      </c>
      <c r="H17" s="263">
        <f t="shared" si="1"/>
        <v>-6.0836501901140677E-2</v>
      </c>
      <c r="I17" s="264"/>
      <c r="J17" s="252"/>
      <c r="K17" s="252"/>
      <c r="L17" s="252"/>
    </row>
    <row r="18" spans="2:12" ht="18" customHeight="1">
      <c r="B18" s="292" t="s">
        <v>183</v>
      </c>
      <c r="C18" s="261">
        <v>1.5100000000000001E-3</v>
      </c>
      <c r="D18" s="262">
        <v>1.24E-3</v>
      </c>
      <c r="E18" s="263">
        <f t="shared" si="0"/>
        <v>0.21774193548387102</v>
      </c>
      <c r="F18" s="261">
        <v>1.56E-3</v>
      </c>
      <c r="G18" s="262">
        <v>1.3699999999999999E-3</v>
      </c>
      <c r="H18" s="263">
        <f t="shared" si="1"/>
        <v>0.13868613138686137</v>
      </c>
      <c r="I18" s="264"/>
      <c r="J18" s="252"/>
      <c r="K18" s="252"/>
      <c r="L18" s="252"/>
    </row>
    <row r="19" spans="2:12" ht="18" customHeight="1">
      <c r="B19" s="292" t="s">
        <v>180</v>
      </c>
      <c r="C19" s="261">
        <v>1.3600000000000001E-3</v>
      </c>
      <c r="D19" s="262">
        <v>1.17E-3</v>
      </c>
      <c r="E19" s="263">
        <f t="shared" si="0"/>
        <v>0.16239316239316245</v>
      </c>
      <c r="F19" s="261">
        <v>1.2199999999999999E-3</v>
      </c>
      <c r="G19" s="262">
        <v>1.07E-3</v>
      </c>
      <c r="H19" s="263">
        <f t="shared" si="1"/>
        <v>0.14018691588785043</v>
      </c>
      <c r="I19" s="264"/>
      <c r="J19" s="252"/>
      <c r="K19" s="252"/>
      <c r="L19" s="252"/>
    </row>
    <row r="20" spans="2:12" ht="18" customHeight="1">
      <c r="B20" s="292" t="s">
        <v>181</v>
      </c>
      <c r="C20" s="261">
        <v>1.2800000000000001E-3</v>
      </c>
      <c r="D20" s="262">
        <v>1.1000000000000001E-3</v>
      </c>
      <c r="E20" s="263">
        <f t="shared" si="0"/>
        <v>0.16363636363636366</v>
      </c>
      <c r="F20" s="261">
        <v>1.1800000000000001E-3</v>
      </c>
      <c r="G20" s="262">
        <v>1.1100000000000001E-3</v>
      </c>
      <c r="H20" s="263">
        <f t="shared" si="1"/>
        <v>6.306306306306303E-2</v>
      </c>
      <c r="I20" s="264"/>
      <c r="J20" s="252"/>
      <c r="K20" s="252"/>
      <c r="L20" s="252"/>
    </row>
    <row r="21" spans="2:12" ht="18" customHeight="1">
      <c r="B21" s="292" t="s">
        <v>191</v>
      </c>
      <c r="C21" s="261">
        <v>1.0300000000000001E-3</v>
      </c>
      <c r="D21" s="262">
        <v>8.0000000000000004E-4</v>
      </c>
      <c r="E21" s="263">
        <f t="shared" si="0"/>
        <v>0.28750000000000009</v>
      </c>
      <c r="F21" s="261">
        <v>1.0300000000000001E-3</v>
      </c>
      <c r="G21" s="262">
        <v>7.6999999999999996E-4</v>
      </c>
      <c r="H21" s="263">
        <f t="shared" si="1"/>
        <v>0.33766233766233789</v>
      </c>
      <c r="I21" s="264"/>
      <c r="J21" s="252"/>
      <c r="K21" s="252"/>
      <c r="L21" s="252"/>
    </row>
    <row r="22" spans="2:12" ht="18" customHeight="1">
      <c r="B22" s="292" t="s">
        <v>202</v>
      </c>
      <c r="C22" s="261">
        <v>7.6000000000000004E-4</v>
      </c>
      <c r="D22" s="262">
        <v>4.6999999999999999E-4</v>
      </c>
      <c r="E22" s="263">
        <f t="shared" si="0"/>
        <v>0.61702127659574479</v>
      </c>
      <c r="F22" s="261">
        <v>8.7000000000000001E-4</v>
      </c>
      <c r="G22" s="262">
        <v>5.5000000000000003E-4</v>
      </c>
      <c r="H22" s="263">
        <f t="shared" si="1"/>
        <v>0.58181818181818168</v>
      </c>
      <c r="I22" s="264"/>
      <c r="J22" s="252"/>
      <c r="K22" s="252"/>
      <c r="L22" s="252"/>
    </row>
    <row r="23" spans="2:12" ht="18" customHeight="1">
      <c r="B23" s="292" t="s">
        <v>175</v>
      </c>
      <c r="C23" s="261">
        <v>1.1199999999999999E-3</v>
      </c>
      <c r="D23" s="262">
        <v>1.16E-3</v>
      </c>
      <c r="E23" s="263">
        <f t="shared" si="0"/>
        <v>-3.4482758620689745E-2</v>
      </c>
      <c r="F23" s="261">
        <v>1E-3</v>
      </c>
      <c r="G23" s="262">
        <v>1E-3</v>
      </c>
      <c r="H23" s="263">
        <f t="shared" si="1"/>
        <v>0</v>
      </c>
      <c r="I23" s="264"/>
      <c r="J23" s="252"/>
      <c r="K23" s="252"/>
      <c r="L23" s="252"/>
    </row>
    <row r="24" spans="2:12" ht="18" customHeight="1">
      <c r="B24" s="292" t="s">
        <v>203</v>
      </c>
      <c r="C24" s="261">
        <v>8.4000000000000003E-4</v>
      </c>
      <c r="D24" s="262">
        <v>9.8999999999999999E-4</v>
      </c>
      <c r="E24" s="263">
        <f t="shared" si="0"/>
        <v>-0.15151515151515146</v>
      </c>
      <c r="F24" s="261">
        <v>7.6999999999999996E-4</v>
      </c>
      <c r="G24" s="262">
        <v>8.7000000000000001E-4</v>
      </c>
      <c r="H24" s="263">
        <f t="shared" si="1"/>
        <v>-0.11494252873563224</v>
      </c>
      <c r="I24" s="264"/>
      <c r="J24" s="252"/>
      <c r="K24" s="252"/>
      <c r="L24" s="252"/>
    </row>
    <row r="25" spans="2:12" ht="18" customHeight="1">
      <c r="B25" s="292" t="s">
        <v>182</v>
      </c>
      <c r="C25" s="261">
        <v>2.9E-4</v>
      </c>
      <c r="D25" s="262">
        <v>2.5999999999999998E-4</v>
      </c>
      <c r="E25" s="263">
        <f t="shared" si="0"/>
        <v>0.11538461538461549</v>
      </c>
      <c r="F25" s="261">
        <v>2.7999999999999998E-4</v>
      </c>
      <c r="G25" s="262">
        <v>2.7999999999999998E-4</v>
      </c>
      <c r="H25" s="263">
        <f t="shared" si="1"/>
        <v>0</v>
      </c>
      <c r="I25" s="264"/>
      <c r="J25" s="252"/>
      <c r="K25" s="252"/>
      <c r="L25" s="252"/>
    </row>
    <row r="26" spans="2:12" ht="18" customHeight="1">
      <c r="B26" s="292" t="s">
        <v>204</v>
      </c>
      <c r="C26" s="261">
        <v>1.3999999999999999E-4</v>
      </c>
      <c r="D26" s="262">
        <v>2.3000000000000001E-4</v>
      </c>
      <c r="E26" s="263">
        <f t="shared" si="0"/>
        <v>-0.39130434782608703</v>
      </c>
      <c r="F26" s="261">
        <v>1.3999999999999999E-4</v>
      </c>
      <c r="G26" s="262">
        <v>2.0000000000000001E-4</v>
      </c>
      <c r="H26" s="263">
        <f t="shared" si="1"/>
        <v>-0.3000000000000001</v>
      </c>
      <c r="I26" s="264"/>
      <c r="J26" s="252"/>
      <c r="K26" s="252"/>
      <c r="L26" s="252"/>
    </row>
    <row r="27" spans="2:12" ht="18" customHeight="1" thickBot="1">
      <c r="B27" s="292" t="s">
        <v>205</v>
      </c>
      <c r="C27" s="261" t="s">
        <v>147</v>
      </c>
      <c r="D27" s="262" t="s">
        <v>147</v>
      </c>
      <c r="E27" s="263" t="str">
        <f t="shared" si="0"/>
        <v>n/d</v>
      </c>
      <c r="F27" s="261" t="s">
        <v>147</v>
      </c>
      <c r="G27" s="262" t="s">
        <v>147</v>
      </c>
      <c r="H27" s="263" t="str">
        <f t="shared" si="1"/>
        <v>n/d</v>
      </c>
      <c r="I27" s="264"/>
      <c r="J27" s="252"/>
      <c r="K27" s="252"/>
      <c r="L27" s="252"/>
    </row>
    <row r="28" spans="2:12" ht="30" customHeight="1" thickBot="1">
      <c r="B28" s="266" t="s">
        <v>206</v>
      </c>
      <c r="C28" s="489">
        <v>0.27300000000000002</v>
      </c>
      <c r="D28" s="490">
        <v>0.252</v>
      </c>
      <c r="E28" s="491">
        <f>ROUNDDOWN(IFERROR((C28-D28)/D28,"n/d"),3)</f>
        <v>8.3000000000000004E-2</v>
      </c>
      <c r="F28" s="489">
        <v>0.26500000000000001</v>
      </c>
      <c r="G28" s="490">
        <v>0.252</v>
      </c>
      <c r="H28" s="491">
        <v>5.2999999999999999E-2</v>
      </c>
      <c r="I28" s="267"/>
      <c r="J28" s="252"/>
      <c r="K28" s="252"/>
      <c r="L28" s="252"/>
    </row>
    <row r="29" spans="2:12" s="24" customFormat="1" ht="10.5" customHeight="1">
      <c r="I29" s="252"/>
      <c r="J29" s="252"/>
      <c r="K29" s="252"/>
      <c r="L29" s="252"/>
    </row>
    <row r="30" spans="2:12" s="24" customFormat="1" ht="71.25" customHeight="1">
      <c r="B30" s="533" t="s">
        <v>207</v>
      </c>
      <c r="C30" s="533"/>
      <c r="D30" s="533"/>
      <c r="E30" s="533"/>
      <c r="F30" s="533"/>
      <c r="G30" s="265"/>
      <c r="H30" s="252"/>
      <c r="I30" s="252"/>
      <c r="J30" s="252"/>
      <c r="K30" s="252"/>
      <c r="L30" s="252"/>
    </row>
    <row r="31" spans="2:12" s="24" customFormat="1" ht="14.25" customHeight="1">
      <c r="B31" s="268"/>
    </row>
    <row r="32" spans="2:12" s="24" customFormat="1" ht="15" thickBot="1"/>
    <row r="33" spans="2:8" ht="20.25" customHeight="1" thickBot="1">
      <c r="B33" s="537" t="s">
        <v>184</v>
      </c>
      <c r="C33" s="513" t="s">
        <v>218</v>
      </c>
      <c r="D33" s="514"/>
      <c r="E33" s="515"/>
      <c r="F33" s="513" t="s">
        <v>217</v>
      </c>
      <c r="G33" s="514"/>
      <c r="H33" s="515"/>
    </row>
    <row r="34" spans="2:8" ht="20.25" customHeight="1" thickBot="1">
      <c r="B34" s="538"/>
      <c r="C34" s="288">
        <v>2016</v>
      </c>
      <c r="D34" s="289">
        <v>2015</v>
      </c>
      <c r="E34" s="290" t="s">
        <v>169</v>
      </c>
      <c r="F34" s="288">
        <v>2016</v>
      </c>
      <c r="G34" s="289">
        <v>2015</v>
      </c>
      <c r="H34" s="290" t="s">
        <v>169</v>
      </c>
    </row>
    <row r="35" spans="2:8" ht="18" customHeight="1">
      <c r="B35" s="398" t="s">
        <v>185</v>
      </c>
      <c r="C35" s="400">
        <v>0.999</v>
      </c>
      <c r="D35" s="293">
        <v>0.998</v>
      </c>
      <c r="E35" s="263">
        <f>IFERROR((C35-D35)/D35,"n/d")</f>
        <v>1.0020040080160328E-3</v>
      </c>
      <c r="F35" s="400">
        <v>0.999</v>
      </c>
      <c r="G35" s="293">
        <v>0.999</v>
      </c>
      <c r="H35" s="263">
        <f>IFERROR((F35-G35)/G35,"n/d")</f>
        <v>0</v>
      </c>
    </row>
    <row r="36" spans="2:8" ht="18" customHeight="1">
      <c r="B36" s="399" t="s">
        <v>197</v>
      </c>
      <c r="C36" s="400">
        <v>0.999</v>
      </c>
      <c r="D36" s="293">
        <v>0.999</v>
      </c>
      <c r="E36" s="263">
        <f t="shared" ref="E36:E55" si="2">IFERROR((C36-D36)/D36,"n/d")</f>
        <v>0</v>
      </c>
      <c r="F36" s="400">
        <v>0.998</v>
      </c>
      <c r="G36" s="293">
        <v>0.999</v>
      </c>
      <c r="H36" s="263">
        <f t="shared" ref="H36:H56" si="3">IFERROR((F36-G36)/G36,"n/d")</f>
        <v>-1.0010010010010019E-3</v>
      </c>
    </row>
    <row r="37" spans="2:8" ht="18" customHeight="1">
      <c r="B37" s="399" t="s">
        <v>176</v>
      </c>
      <c r="C37" s="400">
        <v>0.94599999999999995</v>
      </c>
      <c r="D37" s="293">
        <v>0.94099999999999995</v>
      </c>
      <c r="E37" s="263">
        <f t="shared" si="2"/>
        <v>5.3134962805526089E-3</v>
      </c>
      <c r="F37" s="400">
        <v>0.94399999999999995</v>
      </c>
      <c r="G37" s="293">
        <v>0.93700000000000006</v>
      </c>
      <c r="H37" s="263">
        <f t="shared" si="3"/>
        <v>7.4706510138739541E-3</v>
      </c>
    </row>
    <row r="38" spans="2:8" ht="18" customHeight="1">
      <c r="B38" s="399" t="s">
        <v>198</v>
      </c>
      <c r="C38" s="400">
        <v>0.94499999999999995</v>
      </c>
      <c r="D38" s="293">
        <v>0.93500000000000005</v>
      </c>
      <c r="E38" s="263">
        <f t="shared" si="2"/>
        <v>1.0695187165775291E-2</v>
      </c>
      <c r="F38" s="400">
        <v>0.94199999999999995</v>
      </c>
      <c r="G38" s="293">
        <v>0.93200000000000005</v>
      </c>
      <c r="H38" s="263">
        <f t="shared" si="3"/>
        <v>1.072961373390547E-2</v>
      </c>
    </row>
    <row r="39" spans="2:8" ht="18" customHeight="1">
      <c r="B39" s="399" t="s">
        <v>199</v>
      </c>
      <c r="C39" s="400">
        <v>0.63300000000000001</v>
      </c>
      <c r="D39" s="293">
        <v>0.61599999999999999</v>
      </c>
      <c r="E39" s="263">
        <f t="shared" si="2"/>
        <v>2.7597402597402624E-2</v>
      </c>
      <c r="F39" s="400">
        <v>0.63</v>
      </c>
      <c r="G39" s="293">
        <v>0.61699999999999999</v>
      </c>
      <c r="H39" s="263">
        <f t="shared" si="3"/>
        <v>2.106969205834686E-2</v>
      </c>
    </row>
    <row r="40" spans="2:8" ht="18" customHeight="1">
      <c r="B40" s="399" t="s">
        <v>173</v>
      </c>
      <c r="C40" s="400">
        <v>0.55900000000000005</v>
      </c>
      <c r="D40" s="293">
        <v>0.55400000000000005</v>
      </c>
      <c r="E40" s="263">
        <f t="shared" si="2"/>
        <v>9.0252707581227505E-3</v>
      </c>
      <c r="F40" s="400">
        <v>0.55900000000000005</v>
      </c>
      <c r="G40" s="293">
        <v>0.55500000000000005</v>
      </c>
      <c r="H40" s="263">
        <f t="shared" si="3"/>
        <v>7.2072072072072134E-3</v>
      </c>
    </row>
    <row r="41" spans="2:8" ht="18" customHeight="1">
      <c r="B41" s="399" t="s">
        <v>203</v>
      </c>
      <c r="C41" s="400">
        <v>0.55800000000000005</v>
      </c>
      <c r="D41" s="293">
        <v>0.53800000000000003</v>
      </c>
      <c r="E41" s="263">
        <f t="shared" si="2"/>
        <v>3.7174721189591108E-2</v>
      </c>
      <c r="F41" s="400">
        <v>0.55400000000000005</v>
      </c>
      <c r="G41" s="293">
        <v>0.53900000000000003</v>
      </c>
      <c r="H41" s="263">
        <f t="shared" si="3"/>
        <v>2.7829313543599282E-2</v>
      </c>
    </row>
    <row r="42" spans="2:8" ht="18" customHeight="1">
      <c r="B42" s="399" t="s">
        <v>178</v>
      </c>
      <c r="C42" s="400">
        <v>0.55300000000000005</v>
      </c>
      <c r="D42" s="293">
        <v>0.54</v>
      </c>
      <c r="E42" s="263">
        <f t="shared" si="2"/>
        <v>2.4074074074074095E-2</v>
      </c>
      <c r="F42" s="400">
        <v>0.55000000000000004</v>
      </c>
      <c r="G42" s="293">
        <v>0.53900000000000003</v>
      </c>
      <c r="H42" s="263">
        <f t="shared" si="3"/>
        <v>2.0408163265306138E-2</v>
      </c>
    </row>
    <row r="43" spans="2:8" ht="18" customHeight="1">
      <c r="B43" s="399" t="s">
        <v>177</v>
      </c>
      <c r="C43" s="400">
        <v>0.51200000000000001</v>
      </c>
      <c r="D43" s="293">
        <v>0.497</v>
      </c>
      <c r="E43" s="263">
        <f t="shared" si="2"/>
        <v>3.0181086519114716E-2</v>
      </c>
      <c r="F43" s="400">
        <v>0.51</v>
      </c>
      <c r="G43" s="293">
        <v>0.499</v>
      </c>
      <c r="H43" s="263">
        <f t="shared" si="3"/>
        <v>2.2044088176352724E-2</v>
      </c>
    </row>
    <row r="44" spans="2:8" ht="18" customHeight="1">
      <c r="B44" s="399" t="s">
        <v>174</v>
      </c>
      <c r="C44" s="400">
        <v>0.48599999999999999</v>
      </c>
      <c r="D44" s="293">
        <v>0.48</v>
      </c>
      <c r="E44" s="263">
        <f t="shared" si="2"/>
        <v>1.2500000000000011E-2</v>
      </c>
      <c r="F44" s="400">
        <v>0.48599999999999999</v>
      </c>
      <c r="G44" s="293">
        <v>0.48</v>
      </c>
      <c r="H44" s="263">
        <f t="shared" si="3"/>
        <v>1.2500000000000011E-2</v>
      </c>
    </row>
    <row r="45" spans="2:8" ht="18" customHeight="1">
      <c r="B45" s="399" t="s">
        <v>179</v>
      </c>
      <c r="C45" s="400">
        <v>0.48899999999999999</v>
      </c>
      <c r="D45" s="293">
        <v>0.47</v>
      </c>
      <c r="E45" s="263">
        <f t="shared" si="2"/>
        <v>4.0425531914893655E-2</v>
      </c>
      <c r="F45" s="400">
        <v>0.48599999999999999</v>
      </c>
      <c r="G45" s="293">
        <v>0.46899999999999997</v>
      </c>
      <c r="H45" s="263">
        <f t="shared" si="3"/>
        <v>3.6247334754797474E-2</v>
      </c>
    </row>
    <row r="46" spans="2:8" ht="18" customHeight="1">
      <c r="B46" s="399" t="s">
        <v>183</v>
      </c>
      <c r="C46" s="400">
        <v>0.46700000000000003</v>
      </c>
      <c r="D46" s="293">
        <v>0.45300000000000001</v>
      </c>
      <c r="E46" s="263">
        <f t="shared" si="2"/>
        <v>3.0905077262693183E-2</v>
      </c>
      <c r="F46" s="400">
        <v>0.46200000000000002</v>
      </c>
      <c r="G46" s="293">
        <v>0.44</v>
      </c>
      <c r="H46" s="263">
        <f t="shared" si="3"/>
        <v>5.0000000000000044E-2</v>
      </c>
    </row>
    <row r="47" spans="2:8" ht="18" customHeight="1">
      <c r="B47" s="399" t="s">
        <v>201</v>
      </c>
      <c r="C47" s="400">
        <v>0.46100000000000002</v>
      </c>
      <c r="D47" s="293">
        <v>0.44800000000000001</v>
      </c>
      <c r="E47" s="263">
        <f t="shared" si="2"/>
        <v>2.9017857142857168E-2</v>
      </c>
      <c r="F47" s="400">
        <v>0.45900000000000002</v>
      </c>
      <c r="G47" s="293">
        <v>0.44500000000000001</v>
      </c>
      <c r="H47" s="263">
        <f t="shared" si="3"/>
        <v>3.14606741573034E-2</v>
      </c>
    </row>
    <row r="48" spans="2:8" ht="18" customHeight="1">
      <c r="B48" s="399" t="s">
        <v>200</v>
      </c>
      <c r="C48" s="400">
        <v>0.44400000000000001</v>
      </c>
      <c r="D48" s="293">
        <v>0.432</v>
      </c>
      <c r="E48" s="263">
        <f t="shared" si="2"/>
        <v>2.7777777777777804E-2</v>
      </c>
      <c r="F48" s="400">
        <v>0.441</v>
      </c>
      <c r="G48" s="293">
        <v>0.43099999999999999</v>
      </c>
      <c r="H48" s="263">
        <f t="shared" si="3"/>
        <v>2.3201856148491899E-2</v>
      </c>
    </row>
    <row r="49" spans="2:9" ht="18" customHeight="1">
      <c r="B49" s="399" t="s">
        <v>204</v>
      </c>
      <c r="C49" s="400">
        <v>0.40600000000000003</v>
      </c>
      <c r="D49" s="293">
        <v>0.38800000000000001</v>
      </c>
      <c r="E49" s="263">
        <f t="shared" si="2"/>
        <v>4.6391752577319624E-2</v>
      </c>
      <c r="F49" s="400">
        <v>0.40100000000000002</v>
      </c>
      <c r="G49" s="293">
        <v>0.38500000000000001</v>
      </c>
      <c r="H49" s="263">
        <f t="shared" si="3"/>
        <v>4.1558441558441593E-2</v>
      </c>
    </row>
    <row r="50" spans="2:9" ht="18" customHeight="1">
      <c r="B50" s="399" t="s">
        <v>180</v>
      </c>
      <c r="C50" s="400">
        <v>0.39200000000000002</v>
      </c>
      <c r="D50" s="293">
        <v>0.376</v>
      </c>
      <c r="E50" s="263">
        <f t="shared" si="2"/>
        <v>4.2553191489361743E-2</v>
      </c>
      <c r="F50" s="400">
        <v>0.38800000000000001</v>
      </c>
      <c r="G50" s="293">
        <v>0.375</v>
      </c>
      <c r="H50" s="263">
        <f t="shared" si="3"/>
        <v>3.46666666666667E-2</v>
      </c>
    </row>
    <row r="51" spans="2:9" ht="18" customHeight="1">
      <c r="B51" s="399" t="s">
        <v>181</v>
      </c>
      <c r="C51" s="400">
        <v>0.39</v>
      </c>
      <c r="D51" s="293">
        <v>0.33800000000000002</v>
      </c>
      <c r="E51" s="263">
        <f t="shared" si="2"/>
        <v>0.1538461538461538</v>
      </c>
      <c r="F51" s="400">
        <v>0.38700000000000001</v>
      </c>
      <c r="G51" s="293">
        <v>0.33600000000000002</v>
      </c>
      <c r="H51" s="263">
        <f t="shared" si="3"/>
        <v>0.15178571428571425</v>
      </c>
    </row>
    <row r="52" spans="2:9" ht="18" customHeight="1">
      <c r="B52" s="399" t="s">
        <v>175</v>
      </c>
      <c r="C52" s="400">
        <v>0.36099999999999999</v>
      </c>
      <c r="D52" s="293">
        <v>0.35</v>
      </c>
      <c r="E52" s="263">
        <f t="shared" si="2"/>
        <v>3.1428571428571458E-2</v>
      </c>
      <c r="F52" s="400">
        <v>0.36</v>
      </c>
      <c r="G52" s="293">
        <v>0.34799999999999998</v>
      </c>
      <c r="H52" s="263">
        <f t="shared" si="3"/>
        <v>3.4482758620689689E-2</v>
      </c>
    </row>
    <row r="53" spans="2:9" ht="18" customHeight="1">
      <c r="B53" s="399" t="s">
        <v>202</v>
      </c>
      <c r="C53" s="400">
        <v>0.34100000000000003</v>
      </c>
      <c r="D53" s="293">
        <v>0.27600000000000002</v>
      </c>
      <c r="E53" s="263">
        <f t="shared" si="2"/>
        <v>0.23550724637681159</v>
      </c>
      <c r="F53" s="400">
        <v>0.34200000000000003</v>
      </c>
      <c r="G53" s="293">
        <v>0.26500000000000001</v>
      </c>
      <c r="H53" s="263">
        <f t="shared" si="3"/>
        <v>0.2905660377358491</v>
      </c>
    </row>
    <row r="54" spans="2:9" ht="18" customHeight="1">
      <c r="B54" s="399" t="s">
        <v>182</v>
      </c>
      <c r="C54" s="400">
        <v>0.32100000000000001</v>
      </c>
      <c r="D54" s="293">
        <v>0.26300000000000001</v>
      </c>
      <c r="E54" s="263">
        <f t="shared" si="2"/>
        <v>0.22053231939163495</v>
      </c>
      <c r="F54" s="400">
        <v>0.309</v>
      </c>
      <c r="G54" s="293">
        <v>0.25900000000000001</v>
      </c>
      <c r="H54" s="263">
        <f t="shared" si="3"/>
        <v>0.193050193050193</v>
      </c>
    </row>
    <row r="55" spans="2:9" ht="18" customHeight="1">
      <c r="B55" s="399" t="s">
        <v>191</v>
      </c>
      <c r="C55" s="400">
        <v>0.253</v>
      </c>
      <c r="D55" s="293">
        <v>0.20399999999999999</v>
      </c>
      <c r="E55" s="263">
        <f t="shared" si="2"/>
        <v>0.24019607843137264</v>
      </c>
      <c r="F55" s="400">
        <v>0.25</v>
      </c>
      <c r="G55" s="293">
        <v>0.20200000000000001</v>
      </c>
      <c r="H55" s="263">
        <f t="shared" si="3"/>
        <v>0.23762376237623756</v>
      </c>
    </row>
    <row r="56" spans="2:9" ht="18" customHeight="1" thickBot="1">
      <c r="B56" s="294" t="s">
        <v>208</v>
      </c>
      <c r="C56" s="401" t="s">
        <v>147</v>
      </c>
      <c r="D56" s="269" t="s">
        <v>147</v>
      </c>
      <c r="E56" s="402" t="str">
        <f t="shared" ref="E56" si="4">IFERROR((C56-D56)/D56,"n/d")</f>
        <v>n/d</v>
      </c>
      <c r="F56" s="401" t="s">
        <v>147</v>
      </c>
      <c r="G56" s="269" t="s">
        <v>147</v>
      </c>
      <c r="H56" s="402" t="str">
        <f t="shared" si="3"/>
        <v>n/d</v>
      </c>
    </row>
    <row r="57" spans="2:9" s="24" customFormat="1" ht="10.5" customHeight="1"/>
    <row r="58" spans="2:9" s="24" customFormat="1" ht="46.5" customHeight="1">
      <c r="B58" s="533" t="s">
        <v>209</v>
      </c>
      <c r="C58" s="533"/>
      <c r="D58" s="533"/>
      <c r="E58" s="533"/>
      <c r="F58" s="533"/>
      <c r="G58" s="533"/>
      <c r="H58" s="533"/>
      <c r="I58" s="533"/>
    </row>
    <row r="59" spans="2:9" s="24" customFormat="1">
      <c r="B59" s="534"/>
      <c r="C59" s="534"/>
      <c r="D59" s="534"/>
      <c r="E59" s="534"/>
      <c r="F59" s="270"/>
      <c r="G59" s="270"/>
    </row>
    <row r="60" spans="2:9" s="271" customFormat="1" ht="27.75" customHeight="1">
      <c r="B60" s="533"/>
      <c r="C60" s="533"/>
      <c r="D60" s="533"/>
      <c r="E60" s="533"/>
      <c r="F60" s="272"/>
      <c r="G60" s="272"/>
    </row>
    <row r="61" spans="2:9" s="24" customFormat="1">
      <c r="B61" s="534"/>
      <c r="C61" s="534"/>
      <c r="D61" s="534"/>
      <c r="E61" s="534"/>
      <c r="F61" s="270"/>
      <c r="G61" s="270"/>
    </row>
    <row r="62" spans="2:9" s="24" customFormat="1" ht="14.25" customHeight="1">
      <c r="B62" s="533"/>
      <c r="C62" s="533"/>
      <c r="D62" s="533"/>
      <c r="E62" s="533"/>
      <c r="F62" s="270"/>
      <c r="G62" s="270"/>
    </row>
    <row r="63" spans="2:9" s="24" customFormat="1" ht="14.25" customHeight="1">
      <c r="B63" s="533"/>
      <c r="C63" s="533"/>
      <c r="D63" s="533"/>
      <c r="E63" s="533"/>
      <c r="F63" s="270"/>
      <c r="G63" s="270"/>
    </row>
    <row r="64" spans="2:9" s="24" customFormat="1">
      <c r="B64" s="273"/>
      <c r="C64" s="273"/>
      <c r="D64" s="273"/>
      <c r="E64" s="273"/>
      <c r="F64" s="484"/>
      <c r="G64" s="484"/>
      <c r="H64" s="484"/>
    </row>
    <row r="65" spans="2:8" s="24" customFormat="1">
      <c r="B65" s="273"/>
      <c r="C65" s="274"/>
      <c r="D65" s="274"/>
      <c r="E65" s="274"/>
      <c r="F65" s="274"/>
      <c r="G65" s="274"/>
      <c r="H65" s="274"/>
    </row>
    <row r="66" spans="2:8" s="24" customFormat="1">
      <c r="B66" s="532"/>
      <c r="C66" s="532"/>
      <c r="D66" s="532"/>
    </row>
    <row r="67" spans="2:8" s="24" customFormat="1" ht="18" customHeight="1">
      <c r="B67" s="532"/>
      <c r="C67" s="532"/>
      <c r="D67" s="532"/>
    </row>
    <row r="68" spans="2:8" s="24" customFormat="1"/>
    <row r="69" spans="2:8" s="24" customFormat="1"/>
    <row r="70" spans="2:8" s="24" customFormat="1"/>
    <row r="71" spans="2:8" s="24" customFormat="1"/>
    <row r="72" spans="2:8" s="24" customFormat="1"/>
    <row r="73" spans="2:8" s="24" customFormat="1"/>
    <row r="74" spans="2:8" s="24" customFormat="1"/>
    <row r="75" spans="2:8" s="24" customFormat="1"/>
    <row r="76" spans="2:8" s="24" customFormat="1"/>
    <row r="77" spans="2:8" s="24" customFormat="1"/>
    <row r="78" spans="2:8" s="24" customFormat="1"/>
    <row r="79" spans="2:8" s="24" customFormat="1"/>
    <row r="80" spans="2:8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</sheetData>
  <mergeCells count="15">
    <mergeCell ref="B2:B3"/>
    <mergeCell ref="C2:E2"/>
    <mergeCell ref="B30:F30"/>
    <mergeCell ref="B33:B34"/>
    <mergeCell ref="C33:E33"/>
    <mergeCell ref="F2:H2"/>
    <mergeCell ref="F33:H33"/>
    <mergeCell ref="B66:D66"/>
    <mergeCell ref="B67:D67"/>
    <mergeCell ref="B58:I58"/>
    <mergeCell ref="B59:E59"/>
    <mergeCell ref="B60:E60"/>
    <mergeCell ref="B61:E61"/>
    <mergeCell ref="B62:E62"/>
    <mergeCell ref="B63:E63"/>
  </mergeCells>
  <pageMargins left="0.7" right="0.7" top="0.75" bottom="0.75" header="0.3" footer="0.3"/>
  <pageSetup paperSize="9" scale="56" orientation="portrait" horizontalDpi="4294967294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RZiS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RZiS'!Obszar_wydruku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2016-08-24T12:30:57Z</dcterms:modified>
</cp:coreProperties>
</file>