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215" windowHeight="9225"/>
  </bookViews>
  <sheets>
    <sheet name="Consolidated income statement" sheetId="9" r:id="rId1"/>
    <sheet name="Segments" sheetId="18" r:id="rId2"/>
    <sheet name="Consolidated balance sheet" sheetId="4" r:id="rId3"/>
    <sheet name="Consolidated CF" sheetId="6" r:id="rId4"/>
    <sheet name="KPI_B2B&amp;B2C segment" sheetId="17" r:id="rId5"/>
    <sheet name="KPI - TV segment" sheetId="16" r:id="rId6"/>
  </sheets>
  <definedNames>
    <definedName name="_Toc377043859" localSheetId="5">'KPI - TV segment'!$C$58</definedName>
    <definedName name="_Toc377043860" localSheetId="5">'KPI - TV segment'!$D$58</definedName>
    <definedName name="_Toc377043862" localSheetId="5">'KPI - TV segment'!#REF!</definedName>
    <definedName name="_Toc377043863" localSheetId="5">'KPI - TV segment'!#REF!</definedName>
    <definedName name="_xlnm.Print_Area" localSheetId="2">'Consolidated balance sheet'!$A$1:$Q$73</definedName>
    <definedName name="_xlnm.Print_Area" localSheetId="3">'Consolidated CF'!$A$1:$Q$71</definedName>
    <definedName name="_xlnm.Print_Area" localSheetId="0">'Consolidated income statement'!$A$1:$S$33</definedName>
    <definedName name="_xlnm.Print_Area" localSheetId="5">'KPI - TV segment'!$A$1:$E$109</definedName>
    <definedName name="OLE_LINK3" localSheetId="3">'Consolidated CF'!$A$21</definedName>
  </definedNames>
  <calcPr calcId="145621"/>
</workbook>
</file>

<file path=xl/calcChain.xml><?xml version="1.0" encoding="utf-8"?>
<calcChain xmlns="http://schemas.openxmlformats.org/spreadsheetml/2006/main">
  <c r="AJ62" i="6" l="1"/>
  <c r="AJ49" i="6"/>
  <c r="AJ5" i="6"/>
  <c r="AJ28" i="6" s="1"/>
  <c r="AJ31" i="6" s="1"/>
  <c r="AE62" i="6"/>
  <c r="AE49" i="6"/>
  <c r="AE5" i="6"/>
  <c r="AE28" i="6" s="1"/>
  <c r="AE31" i="6" s="1"/>
  <c r="AJ63" i="6" l="1"/>
  <c r="AE63" i="6"/>
  <c r="O7" i="18"/>
  <c r="M7" i="18"/>
  <c r="J7" i="18"/>
  <c r="H7" i="18"/>
  <c r="E7" i="18"/>
  <c r="C7" i="18"/>
  <c r="J10" i="18"/>
  <c r="H10" i="18"/>
  <c r="E10" i="18"/>
  <c r="C10" i="18"/>
  <c r="AX9" i="9"/>
  <c r="AX4" i="9"/>
  <c r="AX19" i="9" s="1"/>
  <c r="AR9" i="9"/>
  <c r="AR4" i="9"/>
  <c r="AR19" i="9" l="1"/>
  <c r="AR24" i="9" s="1"/>
  <c r="AR26" i="9" s="1"/>
  <c r="AR30" i="9"/>
  <c r="AR31" i="9" s="1"/>
  <c r="AX24" i="9"/>
  <c r="AX26" i="9" s="1"/>
  <c r="AX30" i="9"/>
  <c r="AX31" i="9" s="1"/>
  <c r="AL62" i="6"/>
  <c r="AK62" i="6"/>
  <c r="AI62" i="6"/>
  <c r="AL49" i="6"/>
  <c r="AK49" i="6"/>
  <c r="AI49" i="6"/>
  <c r="AL5" i="6"/>
  <c r="AL28" i="6" s="1"/>
  <c r="AL31" i="6" s="1"/>
  <c r="AK5" i="6"/>
  <c r="AK28" i="6" s="1"/>
  <c r="AK31" i="6" s="1"/>
  <c r="AI5" i="6"/>
  <c r="AI28" i="6" s="1"/>
  <c r="AI31" i="6" s="1"/>
  <c r="AK63" i="6" l="1"/>
  <c r="AK66" i="6" s="1"/>
  <c r="AL63" i="6"/>
  <c r="AL66" i="6" s="1"/>
  <c r="AI63" i="6"/>
  <c r="AI66" i="6" s="1"/>
  <c r="AL24" i="17"/>
  <c r="AM24" i="17"/>
  <c r="AN24" i="17"/>
  <c r="AO24" i="17"/>
  <c r="AK24" i="17"/>
  <c r="AI24" i="17"/>
  <c r="AK29" i="17"/>
  <c r="AL29" i="17"/>
  <c r="AM29" i="17"/>
  <c r="AN29" i="17"/>
  <c r="AO29" i="17"/>
  <c r="AK17" i="17"/>
  <c r="AL17" i="17"/>
  <c r="AM17" i="17"/>
  <c r="AN17" i="17"/>
  <c r="AO17" i="17"/>
  <c r="AK7" i="17"/>
  <c r="AK5" i="17" s="1"/>
  <c r="AL7" i="17"/>
  <c r="AM7" i="17"/>
  <c r="AM5" i="17" s="1"/>
  <c r="AN7" i="17"/>
  <c r="AO7" i="17"/>
  <c r="AH7" i="17"/>
  <c r="AI7" i="17"/>
  <c r="AO5" i="17" l="1"/>
  <c r="AN5" i="17"/>
  <c r="AL5" i="17"/>
  <c r="AF62" i="6"/>
  <c r="AG62" i="6"/>
  <c r="AD62" i="6"/>
  <c r="AF49" i="6"/>
  <c r="AG49" i="6"/>
  <c r="AD49" i="6"/>
  <c r="AF5" i="6"/>
  <c r="AF28" i="6" s="1"/>
  <c r="AF31" i="6" s="1"/>
  <c r="AG5" i="6"/>
  <c r="AG28" i="6" s="1"/>
  <c r="AG31" i="6" s="1"/>
  <c r="AD5" i="6"/>
  <c r="AD28" i="6" s="1"/>
  <c r="AD31" i="6" s="1"/>
  <c r="AD63" i="6" l="1"/>
  <c r="AG63" i="6"/>
  <c r="AG66" i="6" s="1"/>
  <c r="AF63" i="6"/>
  <c r="AF66" i="6" s="1"/>
  <c r="AD66" i="4"/>
  <c r="AE66" i="4"/>
  <c r="AF66" i="4"/>
  <c r="AG66" i="4"/>
  <c r="AD55" i="4"/>
  <c r="AE55" i="4"/>
  <c r="AF55" i="4"/>
  <c r="AG55" i="4"/>
  <c r="AD44" i="4"/>
  <c r="AD46" i="4" s="1"/>
  <c r="AE44" i="4"/>
  <c r="AE46" i="4" s="1"/>
  <c r="AF44" i="4"/>
  <c r="AF46" i="4" s="1"/>
  <c r="AG44" i="4"/>
  <c r="AG46" i="4" s="1"/>
  <c r="AD33" i="4"/>
  <c r="AE33" i="4"/>
  <c r="AF33" i="4"/>
  <c r="AG33" i="4"/>
  <c r="AE20" i="4"/>
  <c r="AD20" i="4"/>
  <c r="AD34" i="4" s="1"/>
  <c r="AF20" i="4"/>
  <c r="AG20" i="4"/>
  <c r="AD67" i="4" l="1"/>
  <c r="AD68" i="4" s="1"/>
  <c r="AG67" i="4"/>
  <c r="AG68" i="4" s="1"/>
  <c r="AF67" i="4"/>
  <c r="AF68" i="4" s="1"/>
  <c r="AE67" i="4"/>
  <c r="AE68" i="4" s="1"/>
  <c r="AG34" i="4"/>
  <c r="AF34" i="4"/>
  <c r="AE34" i="4"/>
  <c r="K20" i="4"/>
  <c r="L20" i="4"/>
  <c r="M20" i="4"/>
  <c r="N20" i="4"/>
  <c r="O20" i="4"/>
  <c r="P20" i="4"/>
  <c r="Q20" i="4"/>
  <c r="R20" i="4"/>
  <c r="S20" i="4"/>
  <c r="T20" i="4"/>
  <c r="U20" i="4"/>
  <c r="W20" i="4"/>
  <c r="V20" i="4"/>
  <c r="X20" i="4"/>
  <c r="Y20" i="4"/>
  <c r="Z20" i="4"/>
  <c r="AA20" i="4"/>
  <c r="AB20" i="4"/>
  <c r="AC20" i="4"/>
  <c r="R13" i="18"/>
  <c r="L5" i="18" l="1"/>
  <c r="BA28" i="9"/>
  <c r="BA27" i="9"/>
  <c r="AU29" i="9"/>
  <c r="AU18" i="9"/>
  <c r="AU28" i="9"/>
  <c r="AU27" i="9"/>
  <c r="AU25" i="9"/>
  <c r="AU23" i="9"/>
  <c r="AU22" i="9"/>
  <c r="AU21" i="9"/>
  <c r="AU20" i="9"/>
  <c r="AU17" i="9"/>
  <c r="AU16" i="9"/>
  <c r="AU15" i="9"/>
  <c r="AU14" i="9"/>
  <c r="AU13" i="9"/>
  <c r="AU12" i="9"/>
  <c r="AU11" i="9"/>
  <c r="AU10" i="9"/>
  <c r="AU8" i="9"/>
  <c r="AU7" i="9"/>
  <c r="AU6" i="9"/>
  <c r="AU5" i="9"/>
  <c r="BA25" i="9"/>
  <c r="BA21" i="9"/>
  <c r="BA22" i="9"/>
  <c r="BA23" i="9"/>
  <c r="BA20" i="9"/>
  <c r="BA11" i="9"/>
  <c r="BA12" i="9"/>
  <c r="BA13" i="9"/>
  <c r="BA14" i="9"/>
  <c r="BA15" i="9"/>
  <c r="BA16" i="9"/>
  <c r="BA17" i="9"/>
  <c r="BA18" i="9"/>
  <c r="BA10" i="9"/>
  <c r="BA6" i="9"/>
  <c r="BA7" i="9"/>
  <c r="BA8" i="9"/>
  <c r="BA5" i="9"/>
  <c r="AP5" i="9"/>
  <c r="AQ4" i="9"/>
  <c r="AQ9" i="9"/>
  <c r="AQ19" i="9" s="1"/>
  <c r="AQ24" i="9" s="1"/>
  <c r="AQ26" i="9" s="1"/>
  <c r="AW9" i="9"/>
  <c r="BA9" i="9" s="1"/>
  <c r="AW4" i="9"/>
  <c r="AW19" i="9" l="1"/>
  <c r="AW24" i="9" s="1"/>
  <c r="AW26" i="9" s="1"/>
  <c r="BA4" i="9"/>
  <c r="BA19" i="9" s="1"/>
  <c r="AU9" i="9"/>
  <c r="AU4" i="9"/>
  <c r="AW30" i="9"/>
  <c r="AW31" i="9" s="1"/>
  <c r="AQ30" i="9"/>
  <c r="AC41" i="6"/>
  <c r="AI9" i="9"/>
  <c r="AI19" i="9" s="1"/>
  <c r="AO9" i="9"/>
  <c r="AI4" i="9"/>
  <c r="AU19" i="9" l="1"/>
  <c r="AU24" i="9" s="1"/>
  <c r="AU26" i="9" s="1"/>
  <c r="AI24" i="9"/>
  <c r="AI26" i="9" s="1"/>
  <c r="AI30" i="9"/>
  <c r="AI31" i="9" s="1"/>
  <c r="BA30" i="9"/>
  <c r="BA31" i="9" s="1"/>
  <c r="BA24" i="9"/>
  <c r="BA26" i="9" s="1"/>
  <c r="BA29" i="9" s="1"/>
  <c r="AG29" i="17"/>
  <c r="AG24" i="17"/>
  <c r="AG7" i="17"/>
  <c r="AG17" i="17"/>
  <c r="AU30" i="9" l="1"/>
  <c r="AU31" i="9" s="1"/>
  <c r="AG5" i="17"/>
  <c r="AB62" i="6"/>
  <c r="AA62" i="6"/>
  <c r="AB49" i="6"/>
  <c r="AB5" i="6"/>
  <c r="AB28" i="6" s="1"/>
  <c r="AB66" i="4"/>
  <c r="AB31" i="6" l="1"/>
  <c r="AB44" i="4"/>
  <c r="AB46" i="4" s="1"/>
  <c r="AB33" i="4"/>
  <c r="AA33" i="4"/>
  <c r="R8" i="18"/>
  <c r="AH17" i="17"/>
  <c r="AH29" i="17"/>
  <c r="AB63" i="6" l="1"/>
  <c r="AB34" i="4"/>
  <c r="AJ28" i="9"/>
  <c r="AN9" i="9"/>
  <c r="AH9" i="9"/>
  <c r="AN4" i="9" l="1"/>
  <c r="AN19" i="9" s="1"/>
  <c r="AN24" i="9" s="1"/>
  <c r="AH4" i="9"/>
  <c r="AH19" i="9" l="1"/>
  <c r="AG9" i="9"/>
  <c r="AH30" i="9" l="1"/>
  <c r="AH24" i="9"/>
  <c r="AJ29" i="17"/>
  <c r="AJ24" i="17"/>
  <c r="AJ17" i="17"/>
  <c r="AJ7" i="17"/>
  <c r="AH26" i="9" l="1"/>
  <c r="AJ5" i="17"/>
  <c r="AJ5" i="9"/>
  <c r="AH29" i="9" l="1"/>
  <c r="AP22" i="9" l="1"/>
  <c r="AJ22" i="9"/>
  <c r="AI29" i="17" l="1"/>
  <c r="AF29" i="17"/>
  <c r="AI5" i="17"/>
  <c r="AH24" i="17"/>
  <c r="AF24" i="17"/>
  <c r="AI17" i="17"/>
  <c r="AF17" i="17"/>
  <c r="AF7" i="17"/>
  <c r="AF5" i="17" l="1"/>
  <c r="AH5" i="17"/>
  <c r="Q7" i="18"/>
  <c r="AC62" i="6"/>
  <c r="Z62" i="6"/>
  <c r="AC49" i="6"/>
  <c r="AA49" i="6"/>
  <c r="Z49" i="6"/>
  <c r="AC5" i="6"/>
  <c r="AA5" i="6"/>
  <c r="AA28" i="6" s="1"/>
  <c r="Z5" i="6"/>
  <c r="Z28" i="6" s="1"/>
  <c r="AC66" i="4"/>
  <c r="AA66" i="4"/>
  <c r="Z66" i="4"/>
  <c r="AC55" i="4"/>
  <c r="AB55" i="4"/>
  <c r="AA55" i="4"/>
  <c r="Z55" i="4"/>
  <c r="AC44" i="4"/>
  <c r="AC46" i="4" s="1"/>
  <c r="AA44" i="4"/>
  <c r="AA46" i="4" s="1"/>
  <c r="Z44" i="4"/>
  <c r="Z46" i="4" s="1"/>
  <c r="AC33" i="4"/>
  <c r="Z33" i="4"/>
  <c r="AP28" i="9"/>
  <c r="AP27" i="9"/>
  <c r="AP25" i="9"/>
  <c r="AP23" i="9"/>
  <c r="AP21" i="9"/>
  <c r="AP20" i="9"/>
  <c r="AP18" i="9"/>
  <c r="AP17" i="9"/>
  <c r="AP16" i="9"/>
  <c r="AP15" i="9"/>
  <c r="AP14" i="9"/>
  <c r="AP13" i="9"/>
  <c r="AP12" i="9"/>
  <c r="AP11" i="9"/>
  <c r="AP10" i="9"/>
  <c r="AM9" i="9"/>
  <c r="AL9" i="9"/>
  <c r="AP8" i="9"/>
  <c r="AP7" i="9"/>
  <c r="AP6" i="9"/>
  <c r="AP4" i="9" s="1"/>
  <c r="AO4" i="9"/>
  <c r="AO19" i="9" s="1"/>
  <c r="AM4" i="9"/>
  <c r="AL4" i="9"/>
  <c r="AJ27" i="9"/>
  <c r="AJ25" i="9"/>
  <c r="AJ23" i="9"/>
  <c r="AJ21" i="9"/>
  <c r="AJ20" i="9"/>
  <c r="AJ18" i="9"/>
  <c r="AJ17" i="9"/>
  <c r="AJ16" i="9"/>
  <c r="AJ15" i="9"/>
  <c r="AJ14" i="9"/>
  <c r="AJ13" i="9"/>
  <c r="AJ12" i="9"/>
  <c r="AJ11" i="9"/>
  <c r="AJ10" i="9"/>
  <c r="AF9" i="9"/>
  <c r="AJ8" i="9"/>
  <c r="AJ7" i="9"/>
  <c r="AJ6" i="9"/>
  <c r="AG4" i="9"/>
  <c r="AG19" i="9" s="1"/>
  <c r="AG24" i="9" s="1"/>
  <c r="AF4" i="9"/>
  <c r="AF19" i="9" s="1"/>
  <c r="AF24" i="9" s="1"/>
  <c r="AF26" i="9" s="1"/>
  <c r="AF29" i="9" s="1"/>
  <c r="AO30" i="9" l="1"/>
  <c r="AO31" i="9" s="1"/>
  <c r="AO24" i="9"/>
  <c r="AO26" i="9" s="1"/>
  <c r="AB67" i="4"/>
  <c r="AB68" i="4" s="1"/>
  <c r="AL19" i="9"/>
  <c r="AL30" i="9" s="1"/>
  <c r="AL31" i="9" s="1"/>
  <c r="AM19" i="9"/>
  <c r="AC34" i="4"/>
  <c r="AN30" i="9"/>
  <c r="AN31" i="9" s="1"/>
  <c r="AP9" i="9"/>
  <c r="AA67" i="4"/>
  <c r="AA68" i="4" s="1"/>
  <c r="Z67" i="4"/>
  <c r="Z68" i="4" s="1"/>
  <c r="AC67" i="4"/>
  <c r="AC68" i="4" s="1"/>
  <c r="Z34" i="4"/>
  <c r="AA34" i="4"/>
  <c r="AJ9" i="9"/>
  <c r="AJ4" i="9"/>
  <c r="AG30" i="9"/>
  <c r="AG31" i="9" s="1"/>
  <c r="AG26" i="9"/>
  <c r="AG29" i="9" s="1"/>
  <c r="AH31" i="9"/>
  <c r="AF30" i="9"/>
  <c r="AF31" i="9" s="1"/>
  <c r="AL24" i="9" l="1"/>
  <c r="AL26" i="9" s="1"/>
  <c r="AL29" i="9" s="1"/>
  <c r="AM24" i="9"/>
  <c r="AM26" i="9" s="1"/>
  <c r="AM29" i="9" s="1"/>
  <c r="AM30" i="9"/>
  <c r="AM31" i="9" s="1"/>
  <c r="AN26" i="9"/>
  <c r="AJ19" i="9"/>
  <c r="AJ30" i="9" s="1"/>
  <c r="AJ31" i="9" s="1"/>
  <c r="AP19" i="9"/>
  <c r="Z22" i="9"/>
  <c r="U22" i="9"/>
  <c r="P22" i="9"/>
  <c r="K22" i="9"/>
  <c r="F22" i="9"/>
  <c r="AP30" i="9" l="1"/>
  <c r="AP31" i="9" s="1"/>
  <c r="AJ24" i="9"/>
  <c r="AJ26" i="9" s="1"/>
  <c r="AJ29" i="9" s="1"/>
  <c r="AP24" i="9"/>
  <c r="AP26" i="9" s="1"/>
  <c r="AP29" i="9" s="1"/>
  <c r="AA31" i="6"/>
  <c r="AA63" i="6" s="1"/>
  <c r="AC28" i="6"/>
  <c r="AC31" i="6" l="1"/>
  <c r="AC63" i="6" s="1"/>
  <c r="Z31" i="6"/>
  <c r="Z63" i="6" s="1"/>
  <c r="AE29" i="17" l="1"/>
  <c r="AD29" i="17"/>
  <c r="AE27" i="17"/>
  <c r="AE26" i="17"/>
  <c r="AE25" i="17"/>
  <c r="AD24" i="17"/>
  <c r="AD5" i="17" s="1"/>
  <c r="AE17" i="17"/>
  <c r="AD17" i="17"/>
  <c r="AE12" i="17"/>
  <c r="AE11" i="17"/>
  <c r="AE10" i="17"/>
  <c r="AE9" i="17"/>
  <c r="AE8" i="17"/>
  <c r="Y66" i="4"/>
  <c r="Y55" i="4"/>
  <c r="Y44" i="4"/>
  <c r="Y46" i="4" s="1"/>
  <c r="Y33" i="4"/>
  <c r="AE28" i="9"/>
  <c r="AE27" i="9"/>
  <c r="AE25" i="9"/>
  <c r="AE23" i="9"/>
  <c r="AE21" i="9"/>
  <c r="AE20" i="9"/>
  <c r="AE18" i="9"/>
  <c r="AE17" i="9"/>
  <c r="AE16" i="9"/>
  <c r="AE15" i="9"/>
  <c r="AE14" i="9"/>
  <c r="AE13" i="9"/>
  <c r="AE12" i="9"/>
  <c r="AE11" i="9"/>
  <c r="AE10" i="9"/>
  <c r="AE8" i="9"/>
  <c r="AE7" i="9"/>
  <c r="AE6" i="9"/>
  <c r="AE5" i="9"/>
  <c r="AD9" i="9"/>
  <c r="AD4" i="9"/>
  <c r="AE9" i="9" l="1"/>
  <c r="Y67" i="4"/>
  <c r="Y68" i="4"/>
  <c r="Y34" i="4"/>
  <c r="AD19" i="9"/>
  <c r="AD24" i="9" s="1"/>
  <c r="AD26" i="9" s="1"/>
  <c r="AD29" i="9" s="1"/>
  <c r="AE4" i="9"/>
  <c r="AE24" i="17"/>
  <c r="AE7" i="17"/>
  <c r="AC29" i="17"/>
  <c r="AC24" i="17"/>
  <c r="AC17" i="17"/>
  <c r="AC7" i="17"/>
  <c r="X66" i="4"/>
  <c r="X55" i="4"/>
  <c r="X44" i="4"/>
  <c r="X46" i="4" s="1"/>
  <c r="X33" i="4"/>
  <c r="X34" i="4" s="1"/>
  <c r="AC9" i="9"/>
  <c r="AC4" i="9"/>
  <c r="AC19" i="9" s="1"/>
  <c r="X67" i="4" l="1"/>
  <c r="X68" i="4" s="1"/>
  <c r="AD30" i="9"/>
  <c r="AD31" i="9" s="1"/>
  <c r="AC24" i="9"/>
  <c r="AC26" i="9" s="1"/>
  <c r="AC29" i="9" s="1"/>
  <c r="AC30" i="9"/>
  <c r="AC31" i="9" s="1"/>
  <c r="AE19" i="9"/>
  <c r="AE24" i="9" s="1"/>
  <c r="AE26" i="9" s="1"/>
  <c r="AE29" i="9" s="1"/>
  <c r="AE5" i="17"/>
  <c r="AC5" i="17"/>
  <c r="AE30" i="9" l="1"/>
  <c r="AE31" i="9" s="1"/>
  <c r="AB17" i="17"/>
  <c r="AB7" i="17"/>
  <c r="AB24" i="17"/>
  <c r="AB29" i="17"/>
  <c r="W66" i="4"/>
  <c r="W55" i="4"/>
  <c r="W44" i="4"/>
  <c r="W46" i="4" s="1"/>
  <c r="W33" i="4"/>
  <c r="AB9" i="9"/>
  <c r="AB4" i="9"/>
  <c r="AB5" i="17" l="1"/>
  <c r="W67" i="4"/>
  <c r="W68" i="4" s="1"/>
  <c r="AB19" i="9"/>
  <c r="W34" i="4"/>
  <c r="V60" i="6"/>
  <c r="AB30" i="9" l="1"/>
  <c r="AB31" i="9" s="1"/>
  <c r="AB24" i="9"/>
  <c r="AB26" i="9" s="1"/>
  <c r="AB29" i="9"/>
  <c r="AA24" i="17"/>
  <c r="AA29" i="17"/>
  <c r="AA17" i="17"/>
  <c r="AA7" i="17"/>
  <c r="Y62" i="6"/>
  <c r="X62" i="6"/>
  <c r="W62" i="6"/>
  <c r="V62" i="6"/>
  <c r="Y49" i="6"/>
  <c r="X49" i="6"/>
  <c r="W49" i="6"/>
  <c r="V49" i="6"/>
  <c r="Y5" i="6"/>
  <c r="Y28" i="6" s="1"/>
  <c r="Y31" i="6" s="1"/>
  <c r="X5" i="6"/>
  <c r="W5" i="6"/>
  <c r="V5" i="6"/>
  <c r="V66" i="4"/>
  <c r="V55" i="4"/>
  <c r="V44" i="4"/>
  <c r="V46" i="4" s="1"/>
  <c r="V33" i="4"/>
  <c r="V34" i="4" s="1"/>
  <c r="Z28" i="9"/>
  <c r="AA9" i="9"/>
  <c r="AA4" i="9"/>
  <c r="Z12" i="9"/>
  <c r="Y9" i="9"/>
  <c r="X9" i="9"/>
  <c r="W9" i="9"/>
  <c r="V9" i="9"/>
  <c r="U9" i="9"/>
  <c r="T9" i="9"/>
  <c r="S9" i="9"/>
  <c r="R9" i="9"/>
  <c r="Q9" i="9"/>
  <c r="O9" i="9"/>
  <c r="N9" i="9"/>
  <c r="M9" i="9"/>
  <c r="L9" i="9"/>
  <c r="J9" i="9"/>
  <c r="I9" i="9"/>
  <c r="H9" i="9"/>
  <c r="G9" i="9"/>
  <c r="E9" i="9"/>
  <c r="D9" i="9"/>
  <c r="C9" i="9"/>
  <c r="B9" i="9"/>
  <c r="P12" i="9"/>
  <c r="K12" i="9"/>
  <c r="F12" i="9"/>
  <c r="Z11" i="9"/>
  <c r="P11" i="9"/>
  <c r="K11" i="9"/>
  <c r="F11" i="9"/>
  <c r="Z10" i="9"/>
  <c r="P10" i="9"/>
  <c r="K10" i="9"/>
  <c r="F10" i="9"/>
  <c r="AA19" i="9" l="1"/>
  <c r="V67" i="4"/>
  <c r="V68" i="4" s="1"/>
  <c r="AA5" i="17"/>
  <c r="Y63" i="6"/>
  <c r="AA24" i="9" l="1"/>
  <c r="AA26" i="9" s="1"/>
  <c r="AA30" i="9"/>
  <c r="AA31" i="9" s="1"/>
  <c r="X4" i="6" l="1"/>
  <c r="X28" i="6" s="1"/>
  <c r="X31" i="6" s="1"/>
  <c r="X63" i="6" s="1"/>
  <c r="AA29" i="9"/>
  <c r="V4" i="6"/>
  <c r="V28" i="6" s="1"/>
  <c r="V31" i="6" s="1"/>
  <c r="V63" i="6" s="1"/>
  <c r="W4" i="6"/>
  <c r="W28" i="6" s="1"/>
  <c r="W31" i="6" s="1"/>
  <c r="W63" i="6" s="1"/>
  <c r="Z29" i="17"/>
  <c r="Y29" i="17"/>
  <c r="Z27" i="17"/>
  <c r="Z26" i="17"/>
  <c r="Z25" i="17"/>
  <c r="Y24" i="17"/>
  <c r="Z17" i="17"/>
  <c r="Y17" i="17"/>
  <c r="Z12" i="17"/>
  <c r="Z11" i="17"/>
  <c r="Z10" i="17"/>
  <c r="Z9" i="17"/>
  <c r="Z8" i="17"/>
  <c r="Y7" i="17"/>
  <c r="Y5" i="17" s="1"/>
  <c r="U62" i="6"/>
  <c r="U49" i="6"/>
  <c r="U5" i="6"/>
  <c r="U66" i="4"/>
  <c r="U55" i="4"/>
  <c r="U44" i="4"/>
  <c r="U46" i="4" s="1"/>
  <c r="U33" i="4"/>
  <c r="U34" i="4" s="1"/>
  <c r="Z25" i="9"/>
  <c r="Z23" i="9"/>
  <c r="Z21" i="9"/>
  <c r="Z20" i="9"/>
  <c r="Z18" i="9"/>
  <c r="Z17" i="9"/>
  <c r="Z16" i="9"/>
  <c r="Z15" i="9"/>
  <c r="Z14" i="9"/>
  <c r="Z13" i="9"/>
  <c r="Z6" i="9"/>
  <c r="Z7" i="9"/>
  <c r="Z8" i="9"/>
  <c r="Z5" i="9"/>
  <c r="Y4" i="9"/>
  <c r="U67" i="4" l="1"/>
  <c r="U68" i="4" s="1"/>
  <c r="Z9" i="9"/>
  <c r="Y19" i="9"/>
  <c r="Y24" i="9" s="1"/>
  <c r="Z4" i="9"/>
  <c r="Z7" i="17"/>
  <c r="Z24" i="17"/>
  <c r="Z19" i="9" l="1"/>
  <c r="Z24" i="9" s="1"/>
  <c r="Z26" i="9" s="1"/>
  <c r="Z29" i="9" s="1"/>
  <c r="Y26" i="9"/>
  <c r="Y29" i="9" s="1"/>
  <c r="Y30" i="9"/>
  <c r="Y31" i="9" s="1"/>
  <c r="Z5" i="17"/>
  <c r="Z30" i="9" l="1"/>
  <c r="Z31" i="9" s="1"/>
  <c r="X29" i="17"/>
  <c r="X24" i="17"/>
  <c r="X17" i="17"/>
  <c r="X7" i="17"/>
  <c r="T64" i="6"/>
  <c r="T62" i="6"/>
  <c r="T49" i="6"/>
  <c r="T5" i="6"/>
  <c r="T66" i="4"/>
  <c r="S66" i="4"/>
  <c r="T55" i="4"/>
  <c r="T44" i="4"/>
  <c r="T46" i="4" s="1"/>
  <c r="T33" i="4"/>
  <c r="X4" i="9"/>
  <c r="X5" i="17" l="1"/>
  <c r="X19" i="9"/>
  <c r="X24" i="9" s="1"/>
  <c r="T67" i="4"/>
  <c r="T68" i="4" s="1"/>
  <c r="T34" i="4"/>
  <c r="S49" i="6"/>
  <c r="X26" i="9" l="1"/>
  <c r="X29" i="9" s="1"/>
  <c r="X30" i="9"/>
  <c r="X31" i="9" s="1"/>
  <c r="W29" i="17"/>
  <c r="W24" i="17"/>
  <c r="W17" i="17"/>
  <c r="W7" i="17"/>
  <c r="S62" i="6"/>
  <c r="S5" i="6"/>
  <c r="S55" i="4"/>
  <c r="S44" i="4"/>
  <c r="S46" i="4" s="1"/>
  <c r="S33" i="4"/>
  <c r="W4" i="9"/>
  <c r="W5" i="17" l="1"/>
  <c r="S67" i="4"/>
  <c r="S68" i="4" s="1"/>
  <c r="S34" i="4"/>
  <c r="W19" i="9"/>
  <c r="W24" i="9" s="1"/>
  <c r="B47" i="4"/>
  <c r="W26" i="9" l="1"/>
  <c r="W29" i="9" s="1"/>
  <c r="W30" i="9"/>
  <c r="W31" i="9" s="1"/>
  <c r="V29" i="17"/>
  <c r="V24" i="17"/>
  <c r="V17" i="17"/>
  <c r="V7" i="17"/>
  <c r="V5" i="17" s="1"/>
  <c r="R62" i="6"/>
  <c r="R49" i="6"/>
  <c r="R5" i="6"/>
  <c r="R33" i="4"/>
  <c r="R66" i="4"/>
  <c r="R55" i="4"/>
  <c r="R44" i="4"/>
  <c r="R46" i="4" s="1"/>
  <c r="V27" i="9"/>
  <c r="Z27" i="9" s="1"/>
  <c r="V4" i="9"/>
  <c r="V19" i="9" s="1"/>
  <c r="V30" i="9" l="1"/>
  <c r="V31" i="9" s="1"/>
  <c r="V24" i="9"/>
  <c r="V26" i="9" s="1"/>
  <c r="R34" i="4"/>
  <c r="R67" i="4"/>
  <c r="R68" i="4" s="1"/>
  <c r="U25" i="9"/>
  <c r="U21" i="9"/>
  <c r="U20" i="9"/>
  <c r="V29" i="9" l="1"/>
  <c r="T4" i="6"/>
  <c r="R4" i="6"/>
  <c r="R28" i="6" s="1"/>
  <c r="R31" i="6" s="1"/>
  <c r="R63" i="6" s="1"/>
  <c r="S4" i="6"/>
  <c r="S28" i="6" s="1"/>
  <c r="S31" i="6" s="1"/>
  <c r="S63" i="6" s="1"/>
  <c r="U29" i="17"/>
  <c r="T29" i="17"/>
  <c r="U27" i="17"/>
  <c r="U26" i="17"/>
  <c r="U25" i="17"/>
  <c r="T24" i="17"/>
  <c r="U17" i="17"/>
  <c r="T17" i="17"/>
  <c r="U12" i="17"/>
  <c r="U11" i="17"/>
  <c r="U10" i="17"/>
  <c r="U9" i="17"/>
  <c r="U8" i="17"/>
  <c r="T7" i="17"/>
  <c r="T5" i="17" s="1"/>
  <c r="Q62" i="6"/>
  <c r="Q49" i="6"/>
  <c r="Q5" i="6"/>
  <c r="Q66" i="4"/>
  <c r="Q55" i="4"/>
  <c r="Q44" i="4"/>
  <c r="Q46" i="4" s="1"/>
  <c r="Q33" i="4"/>
  <c r="U4" i="9"/>
  <c r="T4" i="9"/>
  <c r="U24" i="17" l="1"/>
  <c r="U7" i="17"/>
  <c r="U5" i="17" s="1"/>
  <c r="U4" i="6"/>
  <c r="U28" i="6" s="1"/>
  <c r="U31" i="6" s="1"/>
  <c r="U63" i="6" s="1"/>
  <c r="U66" i="6" s="1"/>
  <c r="T28" i="6"/>
  <c r="T31" i="6" s="1"/>
  <c r="T63" i="6" s="1"/>
  <c r="T66" i="6" s="1"/>
  <c r="Q34" i="4"/>
  <c r="Q67" i="4"/>
  <c r="Q68" i="4" s="1"/>
  <c r="T19" i="9"/>
  <c r="T24" i="9" s="1"/>
  <c r="U19" i="9"/>
  <c r="U30" i="9" l="1"/>
  <c r="U24" i="9"/>
  <c r="X64" i="6"/>
  <c r="X66" i="6" s="1"/>
  <c r="Y64" i="6"/>
  <c r="Y66" i="6" s="1"/>
  <c r="T30" i="9"/>
  <c r="T31" i="9" s="1"/>
  <c r="V64" i="6"/>
  <c r="V66" i="6" s="1"/>
  <c r="W64" i="6"/>
  <c r="W66" i="6" s="1"/>
  <c r="T26" i="9"/>
  <c r="U31" i="9"/>
  <c r="U26" i="9"/>
  <c r="U29" i="9" s="1"/>
  <c r="AB64" i="6" l="1"/>
  <c r="AA64" i="6"/>
  <c r="Z64" i="6"/>
  <c r="Z66" i="6" s="1"/>
  <c r="T27" i="9"/>
  <c r="T29" i="9"/>
  <c r="U27" i="9"/>
  <c r="Q4" i="6"/>
  <c r="Q28" i="6" s="1"/>
  <c r="Q31" i="6" s="1"/>
  <c r="Q63" i="6" s="1"/>
  <c r="Q66" i="6" s="1"/>
  <c r="R64" i="6" s="1"/>
  <c r="R66" i="6" s="1"/>
  <c r="S66" i="6" s="1"/>
  <c r="H27" i="6"/>
  <c r="G27" i="6"/>
  <c r="AB66" i="6" l="1"/>
  <c r="AC64" i="6"/>
  <c r="AA66" i="6"/>
  <c r="T14" i="18"/>
  <c r="R14" i="18"/>
  <c r="Q14" i="18"/>
  <c r="L14" i="18"/>
  <c r="G14" i="18"/>
  <c r="T13" i="18"/>
  <c r="Q13" i="18"/>
  <c r="L13" i="18"/>
  <c r="G13" i="18"/>
  <c r="T11" i="18"/>
  <c r="R11" i="18"/>
  <c r="Q11" i="18"/>
  <c r="L11" i="18"/>
  <c r="G11" i="18"/>
  <c r="T10" i="18"/>
  <c r="R10" i="18"/>
  <c r="Q10" i="18"/>
  <c r="L10" i="18"/>
  <c r="G10" i="18"/>
  <c r="T9" i="18"/>
  <c r="R9" i="18"/>
  <c r="Q9" i="18"/>
  <c r="L9" i="18"/>
  <c r="G9" i="18"/>
  <c r="T8" i="18"/>
  <c r="Q8" i="18"/>
  <c r="L8" i="18"/>
  <c r="G8" i="18"/>
  <c r="L7" i="18"/>
  <c r="G7" i="18"/>
  <c r="T6" i="18"/>
  <c r="R6" i="18"/>
  <c r="Q6" i="18"/>
  <c r="L6" i="18"/>
  <c r="G6" i="18"/>
  <c r="T5" i="18"/>
  <c r="T7" i="18" s="1"/>
  <c r="R5" i="18"/>
  <c r="R7" i="18" s="1"/>
  <c r="Q5" i="18"/>
  <c r="G5" i="18"/>
  <c r="K32" i="17"/>
  <c r="K31" i="17"/>
  <c r="K29" i="17" s="1"/>
  <c r="K30" i="17"/>
  <c r="S29" i="17"/>
  <c r="R29" i="17"/>
  <c r="Q29" i="17"/>
  <c r="P29" i="17"/>
  <c r="O29" i="17"/>
  <c r="N29" i="17"/>
  <c r="M29" i="17"/>
  <c r="L29" i="17"/>
  <c r="J29" i="17"/>
  <c r="I29" i="17"/>
  <c r="H29" i="17"/>
  <c r="G29" i="17"/>
  <c r="K27" i="17"/>
  <c r="K26" i="17"/>
  <c r="K25" i="17"/>
  <c r="S24" i="17"/>
  <c r="R24" i="17"/>
  <c r="Q24" i="17"/>
  <c r="P24" i="17"/>
  <c r="O24" i="17"/>
  <c r="N24" i="17"/>
  <c r="M24" i="17"/>
  <c r="L24" i="17"/>
  <c r="J24" i="17"/>
  <c r="I24" i="17"/>
  <c r="H24" i="17"/>
  <c r="G24" i="17"/>
  <c r="K22" i="17"/>
  <c r="F22" i="17"/>
  <c r="K21" i="17"/>
  <c r="F21" i="17"/>
  <c r="K20" i="17"/>
  <c r="F20" i="17"/>
  <c r="K19" i="17"/>
  <c r="F19" i="17"/>
  <c r="K18" i="17"/>
  <c r="K17" i="17" s="1"/>
  <c r="F18" i="17"/>
  <c r="S17" i="17"/>
  <c r="R17" i="17"/>
  <c r="Q17" i="17"/>
  <c r="P17" i="17"/>
  <c r="O17" i="17"/>
  <c r="N17" i="17"/>
  <c r="M17" i="17"/>
  <c r="L17" i="17"/>
  <c r="J17" i="17"/>
  <c r="I17" i="17"/>
  <c r="H17" i="17"/>
  <c r="G17" i="17"/>
  <c r="E17" i="17"/>
  <c r="D17" i="17"/>
  <c r="C17" i="17"/>
  <c r="B17" i="17"/>
  <c r="G16" i="17"/>
  <c r="N15" i="17"/>
  <c r="K15" i="17"/>
  <c r="F15" i="17"/>
  <c r="K12" i="17"/>
  <c r="F12" i="17"/>
  <c r="K11" i="17"/>
  <c r="F11" i="17"/>
  <c r="K10" i="17"/>
  <c r="F10" i="17"/>
  <c r="K9" i="17"/>
  <c r="F9" i="17"/>
  <c r="K8" i="17"/>
  <c r="F8" i="17"/>
  <c r="S7" i="17"/>
  <c r="S5" i="17" s="1"/>
  <c r="R7" i="17"/>
  <c r="Q7" i="17"/>
  <c r="Q16" i="17" s="1"/>
  <c r="P7" i="17"/>
  <c r="O7" i="17"/>
  <c r="O5" i="17" s="1"/>
  <c r="N7" i="17"/>
  <c r="M7" i="17"/>
  <c r="M16" i="17" s="1"/>
  <c r="L7" i="17"/>
  <c r="L16" i="17" s="1"/>
  <c r="J7" i="17"/>
  <c r="J16" i="17" s="1"/>
  <c r="I7" i="17"/>
  <c r="I16" i="17" s="1"/>
  <c r="H7" i="17"/>
  <c r="H5" i="17" s="1"/>
  <c r="G7" i="17"/>
  <c r="F7" i="17"/>
  <c r="F16" i="17" s="1"/>
  <c r="E7" i="17"/>
  <c r="E16" i="17" s="1"/>
  <c r="D7" i="17"/>
  <c r="D16" i="17" s="1"/>
  <c r="C7" i="17"/>
  <c r="C16" i="17" s="1"/>
  <c r="B7" i="17"/>
  <c r="B16" i="17" s="1"/>
  <c r="L5" i="17" l="1"/>
  <c r="H16" i="17"/>
  <c r="K24" i="17"/>
  <c r="F17" i="17"/>
  <c r="G5" i="17"/>
  <c r="P5" i="17"/>
  <c r="K7" i="17"/>
  <c r="K16" i="17" s="1"/>
  <c r="N5" i="17"/>
  <c r="R5" i="17"/>
  <c r="V5" i="18"/>
  <c r="AC66" i="6"/>
  <c r="V9" i="18"/>
  <c r="V13" i="18"/>
  <c r="V6" i="18"/>
  <c r="V10" i="18"/>
  <c r="V7" i="18"/>
  <c r="V8" i="18"/>
  <c r="V11" i="18"/>
  <c r="V14" i="18"/>
  <c r="K5" i="17"/>
  <c r="I5" i="17"/>
  <c r="M5" i="17"/>
  <c r="Q5" i="17"/>
  <c r="J5" i="17"/>
  <c r="AD64" i="6" l="1"/>
  <c r="AD66" i="6" s="1"/>
  <c r="AJ64" i="6"/>
  <c r="AJ66" i="6" s="1"/>
  <c r="AE64" i="6"/>
  <c r="AE66" i="6" s="1"/>
  <c r="B62" i="6"/>
  <c r="I62" i="6"/>
  <c r="J62" i="6"/>
  <c r="K62" i="6"/>
  <c r="L62" i="6"/>
  <c r="M62" i="6"/>
  <c r="N62" i="6"/>
  <c r="O62" i="6"/>
  <c r="P62" i="6"/>
  <c r="J65" i="4"/>
  <c r="I65" i="4"/>
  <c r="H65" i="4"/>
  <c r="G65" i="4"/>
  <c r="F65" i="4"/>
  <c r="E65" i="4"/>
  <c r="D65" i="4"/>
  <c r="C65" i="4"/>
  <c r="J64" i="4"/>
  <c r="I64" i="4"/>
  <c r="H64" i="4"/>
  <c r="G64" i="4"/>
  <c r="F64" i="4"/>
  <c r="E64" i="4"/>
  <c r="D64" i="4"/>
  <c r="C64" i="4"/>
  <c r="J63" i="4"/>
  <c r="I63" i="4"/>
  <c r="H63" i="4"/>
  <c r="G63" i="4"/>
  <c r="F63" i="4"/>
  <c r="E63" i="4"/>
  <c r="D63" i="4"/>
  <c r="C63" i="4"/>
  <c r="J61" i="4"/>
  <c r="I61" i="4"/>
  <c r="H61" i="4"/>
  <c r="G61" i="4"/>
  <c r="F61" i="4"/>
  <c r="E61" i="4"/>
  <c r="D61" i="4"/>
  <c r="C61" i="4"/>
  <c r="J58" i="4"/>
  <c r="I58" i="4"/>
  <c r="H58" i="4"/>
  <c r="G58" i="4"/>
  <c r="F58" i="4"/>
  <c r="E58" i="4"/>
  <c r="D58" i="4"/>
  <c r="C58" i="4"/>
  <c r="J57" i="4"/>
  <c r="I57" i="4"/>
  <c r="H57" i="4"/>
  <c r="G57" i="4"/>
  <c r="F57" i="4"/>
  <c r="E57" i="4"/>
  <c r="D57" i="4"/>
  <c r="C57" i="4"/>
  <c r="J56" i="4"/>
  <c r="I56" i="4"/>
  <c r="I66" i="4" s="1"/>
  <c r="H56" i="4"/>
  <c r="G56" i="4"/>
  <c r="F56" i="4"/>
  <c r="E56" i="4"/>
  <c r="D56" i="4"/>
  <c r="C56" i="4"/>
  <c r="J53" i="4"/>
  <c r="I53" i="4"/>
  <c r="H53" i="4"/>
  <c r="G53" i="4"/>
  <c r="F53" i="4"/>
  <c r="E53" i="4"/>
  <c r="D53" i="4"/>
  <c r="C53" i="4"/>
  <c r="J52" i="4"/>
  <c r="I52" i="4"/>
  <c r="H52" i="4"/>
  <c r="G52" i="4"/>
  <c r="F52" i="4"/>
  <c r="E52" i="4"/>
  <c r="D52" i="4"/>
  <c r="C52" i="4"/>
  <c r="J51" i="4"/>
  <c r="I51" i="4"/>
  <c r="H51" i="4"/>
  <c r="G51" i="4"/>
  <c r="F51" i="4"/>
  <c r="E51" i="4"/>
  <c r="D51" i="4"/>
  <c r="C51" i="4"/>
  <c r="J49" i="4"/>
  <c r="I49" i="4"/>
  <c r="H49" i="4"/>
  <c r="G49" i="4"/>
  <c r="F49" i="4"/>
  <c r="E49" i="4"/>
  <c r="D49" i="4"/>
  <c r="C49" i="4"/>
  <c r="J48" i="4"/>
  <c r="I48" i="4"/>
  <c r="H48" i="4"/>
  <c r="G48" i="4"/>
  <c r="F48" i="4"/>
  <c r="E48" i="4"/>
  <c r="D48" i="4"/>
  <c r="C48" i="4"/>
  <c r="J47" i="4"/>
  <c r="I47" i="4"/>
  <c r="H47" i="4"/>
  <c r="G47" i="4"/>
  <c r="F47" i="4"/>
  <c r="E47" i="4"/>
  <c r="D47" i="4"/>
  <c r="C47" i="4"/>
  <c r="J43" i="4"/>
  <c r="I43" i="4"/>
  <c r="H43" i="4"/>
  <c r="G43" i="4"/>
  <c r="F43" i="4"/>
  <c r="E43" i="4"/>
  <c r="D43" i="4"/>
  <c r="C43" i="4"/>
  <c r="I42" i="4"/>
  <c r="H42" i="4"/>
  <c r="G42" i="4"/>
  <c r="F42" i="4"/>
  <c r="E42" i="4"/>
  <c r="D42" i="4"/>
  <c r="C42" i="4"/>
  <c r="J39" i="4"/>
  <c r="I39" i="4"/>
  <c r="H39" i="4"/>
  <c r="G39" i="4"/>
  <c r="F39" i="4"/>
  <c r="E39" i="4"/>
  <c r="D39" i="4"/>
  <c r="C39" i="4"/>
  <c r="J36" i="4"/>
  <c r="I36" i="4"/>
  <c r="H36" i="4"/>
  <c r="G36" i="4"/>
  <c r="F36" i="4"/>
  <c r="E36" i="4"/>
  <c r="D36" i="4"/>
  <c r="C36" i="4"/>
  <c r="J31" i="4"/>
  <c r="I31" i="4"/>
  <c r="H31" i="4"/>
  <c r="G31" i="4"/>
  <c r="F31" i="4"/>
  <c r="E31" i="4"/>
  <c r="D31" i="4"/>
  <c r="C31"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3" i="4"/>
  <c r="I23" i="4"/>
  <c r="H23" i="4"/>
  <c r="G23" i="4"/>
  <c r="F23" i="4"/>
  <c r="E23" i="4"/>
  <c r="D23" i="4"/>
  <c r="C23" i="4"/>
  <c r="J21" i="4"/>
  <c r="I21" i="4"/>
  <c r="H21" i="4"/>
  <c r="G21" i="4"/>
  <c r="F21" i="4"/>
  <c r="E21" i="4"/>
  <c r="D21" i="4"/>
  <c r="C21" i="4"/>
  <c r="J19" i="4"/>
  <c r="I19" i="4"/>
  <c r="H19" i="4"/>
  <c r="G19" i="4"/>
  <c r="F19" i="4"/>
  <c r="E19" i="4"/>
  <c r="D19" i="4"/>
  <c r="C19" i="4"/>
  <c r="J16" i="4"/>
  <c r="I16" i="4"/>
  <c r="H16" i="4"/>
  <c r="G16" i="4"/>
  <c r="F16" i="4"/>
  <c r="E16" i="4"/>
  <c r="D16" i="4"/>
  <c r="C16"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C20" i="4" s="1"/>
  <c r="D8" i="4"/>
  <c r="F8" i="4"/>
  <c r="G8" i="4"/>
  <c r="H8" i="4"/>
  <c r="I8" i="4"/>
  <c r="H32" i="4"/>
  <c r="H30" i="4"/>
  <c r="H29" i="4"/>
  <c r="H24" i="4"/>
  <c r="G54" i="4"/>
  <c r="G50" i="4"/>
  <c r="G24" i="4"/>
  <c r="F32" i="4"/>
  <c r="F30" i="4"/>
  <c r="F29" i="4"/>
  <c r="F24" i="4"/>
  <c r="E29" i="4"/>
  <c r="E24" i="4"/>
  <c r="D54" i="4"/>
  <c r="D50" i="4"/>
  <c r="D32" i="4"/>
  <c r="D24" i="4"/>
  <c r="C54" i="4"/>
  <c r="C50" i="4"/>
  <c r="C32" i="4"/>
  <c r="C30" i="4"/>
  <c r="C29" i="4"/>
  <c r="C24" i="4"/>
  <c r="B65" i="4"/>
  <c r="B64" i="4"/>
  <c r="B63" i="4"/>
  <c r="B61" i="4"/>
  <c r="B58" i="4"/>
  <c r="B57" i="4"/>
  <c r="B56" i="4"/>
  <c r="L54" i="4"/>
  <c r="K54" i="4"/>
  <c r="B54" i="4"/>
  <c r="B53" i="4"/>
  <c r="B51" i="4"/>
  <c r="B50" i="4"/>
  <c r="B49" i="4"/>
  <c r="B48" i="4"/>
  <c r="B43" i="4"/>
  <c r="B41" i="4"/>
  <c r="B40" i="4"/>
  <c r="B38" i="4"/>
  <c r="B37" i="4"/>
  <c r="B36" i="4"/>
  <c r="B31" i="4"/>
  <c r="B28" i="4"/>
  <c r="B26" i="4"/>
  <c r="B25" i="4"/>
  <c r="B24" i="4"/>
  <c r="B23" i="4"/>
  <c r="B21" i="4"/>
  <c r="B19" i="4"/>
  <c r="B16" i="4"/>
  <c r="B13" i="4"/>
  <c r="B12" i="4"/>
  <c r="B10" i="4"/>
  <c r="B9" i="4"/>
  <c r="B8" i="4"/>
  <c r="B7" i="4"/>
  <c r="B6" i="4"/>
  <c r="B5" i="4"/>
  <c r="O33" i="4"/>
  <c r="P33" i="4"/>
  <c r="L29" i="4"/>
  <c r="L33" i="4" s="1"/>
  <c r="K29" i="4"/>
  <c r="K33" i="4" s="1"/>
  <c r="E20" i="4" l="1"/>
  <c r="I20" i="4"/>
  <c r="J20" i="4"/>
  <c r="G20" i="4"/>
  <c r="F20" i="4"/>
  <c r="B20" i="4"/>
  <c r="D20" i="4"/>
  <c r="H20" i="4"/>
  <c r="G33" i="4"/>
  <c r="B55" i="4"/>
  <c r="B33" i="4"/>
  <c r="J33" i="4"/>
  <c r="I33" i="4"/>
  <c r="H33" i="4"/>
  <c r="F33" i="4"/>
  <c r="E33" i="4"/>
  <c r="D33" i="4"/>
  <c r="C33" i="4"/>
  <c r="P49" i="6" l="1"/>
  <c r="P5" i="6"/>
  <c r="P66" i="4"/>
  <c r="P55" i="4"/>
  <c r="P44" i="4"/>
  <c r="P46" i="4" s="1"/>
  <c r="P67" i="4" l="1"/>
  <c r="P68" i="4" s="1"/>
  <c r="P34" i="4"/>
  <c r="S4" i="9" l="1"/>
  <c r="S19" i="9" l="1"/>
  <c r="S24" i="9" s="1"/>
  <c r="O49" i="6"/>
  <c r="O5" i="6"/>
  <c r="O28" i="6" s="1"/>
  <c r="O31" i="6" s="1"/>
  <c r="O55" i="4"/>
  <c r="O66" i="4"/>
  <c r="O44" i="4"/>
  <c r="O46" i="4" s="1"/>
  <c r="R4" i="9"/>
  <c r="N66" i="4"/>
  <c r="M66" i="4"/>
  <c r="N55" i="4"/>
  <c r="M55" i="4"/>
  <c r="N49" i="6"/>
  <c r="N5" i="6"/>
  <c r="N28" i="6" s="1"/>
  <c r="N31" i="6" s="1"/>
  <c r="N44" i="4"/>
  <c r="N46" i="4" s="1"/>
  <c r="Q4" i="9"/>
  <c r="S26" i="9" l="1"/>
  <c r="S27" i="9" s="1"/>
  <c r="S30" i="9"/>
  <c r="S31" i="9" s="1"/>
  <c r="O67" i="4"/>
  <c r="O63" i="6"/>
  <c r="O66" i="6" s="1"/>
  <c r="R19" i="9"/>
  <c r="R24" i="9" s="1"/>
  <c r="O34" i="4"/>
  <c r="N63" i="6"/>
  <c r="N66" i="6" s="1"/>
  <c r="N67" i="4"/>
  <c r="Q19" i="9"/>
  <c r="Q24" i="9" s="1"/>
  <c r="M49" i="6"/>
  <c r="M5" i="6"/>
  <c r="M44" i="4"/>
  <c r="M46" i="4" s="1"/>
  <c r="O4" i="9"/>
  <c r="P25" i="9"/>
  <c r="P21" i="9"/>
  <c r="P20" i="9"/>
  <c r="P18" i="9"/>
  <c r="P17" i="9"/>
  <c r="P16" i="9"/>
  <c r="P15" i="9"/>
  <c r="P14" i="9"/>
  <c r="P13" i="9"/>
  <c r="P8" i="9"/>
  <c r="P7" i="9"/>
  <c r="P6" i="9"/>
  <c r="P5" i="9"/>
  <c r="S29" i="9" l="1"/>
  <c r="Q26" i="9"/>
  <c r="Q27" i="9" s="1"/>
  <c r="Q30" i="9"/>
  <c r="Q31" i="9" s="1"/>
  <c r="R26" i="9"/>
  <c r="R29" i="9" s="1"/>
  <c r="R30" i="9"/>
  <c r="R31" i="9" s="1"/>
  <c r="P9" i="9"/>
  <c r="O68" i="4"/>
  <c r="N68" i="4"/>
  <c r="M67" i="4"/>
  <c r="O19" i="9"/>
  <c r="O24" i="9" s="1"/>
  <c r="P4" i="9"/>
  <c r="N4" i="9"/>
  <c r="L49" i="6"/>
  <c r="L5" i="6"/>
  <c r="L66" i="4"/>
  <c r="L55" i="4"/>
  <c r="L44" i="4"/>
  <c r="L46" i="4" s="1"/>
  <c r="F16" i="9"/>
  <c r="K16" i="9"/>
  <c r="R27" i="9" l="1"/>
  <c r="Q29" i="9"/>
  <c r="P4" i="6"/>
  <c r="P28" i="6" s="1"/>
  <c r="P31" i="6" s="1"/>
  <c r="P63" i="6" s="1"/>
  <c r="P66" i="6" s="1"/>
  <c r="O30" i="9"/>
  <c r="O31" i="9" s="1"/>
  <c r="M68" i="4"/>
  <c r="N19" i="9"/>
  <c r="N24" i="9" s="1"/>
  <c r="O26" i="9"/>
  <c r="P19" i="9"/>
  <c r="P24" i="9" s="1"/>
  <c r="L28" i="6"/>
  <c r="L31" i="6" s="1"/>
  <c r="L63" i="6" s="1"/>
  <c r="L66" i="6" s="1"/>
  <c r="L67" i="4"/>
  <c r="L34" i="4"/>
  <c r="P30" i="9" l="1"/>
  <c r="N30" i="9"/>
  <c r="N31" i="9" s="1"/>
  <c r="O27" i="9"/>
  <c r="O29" i="9"/>
  <c r="L68" i="4"/>
  <c r="N26" i="9"/>
  <c r="N27" i="9" l="1"/>
  <c r="N29" i="9"/>
  <c r="P31" i="9"/>
  <c r="P26" i="9"/>
  <c r="P27" i="9" l="1"/>
  <c r="P29" i="9"/>
  <c r="M4" i="6"/>
  <c r="M28" i="6" s="1"/>
  <c r="D5" i="6"/>
  <c r="C5" i="6"/>
  <c r="B5" i="6"/>
  <c r="H55" i="6"/>
  <c r="H62" i="6" s="1"/>
  <c r="G55" i="6"/>
  <c r="G62" i="6" s="1"/>
  <c r="F55" i="6"/>
  <c r="F62" i="6" s="1"/>
  <c r="E55" i="6"/>
  <c r="E62" i="6" s="1"/>
  <c r="D55" i="6"/>
  <c r="D62" i="6" s="1"/>
  <c r="C55" i="6"/>
  <c r="C62" i="6" s="1"/>
  <c r="M31" i="6" l="1"/>
  <c r="I45" i="4"/>
  <c r="J45" i="4"/>
  <c r="H45" i="4"/>
  <c r="B49" i="6"/>
  <c r="C49" i="6"/>
  <c r="D49" i="6"/>
  <c r="E49" i="6"/>
  <c r="F49" i="6"/>
  <c r="G49" i="6"/>
  <c r="H49" i="6"/>
  <c r="I49" i="6"/>
  <c r="J49" i="6"/>
  <c r="K49" i="6"/>
  <c r="N24" i="4" l="1"/>
  <c r="N33" i="4" s="1"/>
  <c r="M24" i="4"/>
  <c r="M30" i="4"/>
  <c r="M63" i="6"/>
  <c r="K5" i="6"/>
  <c r="K66" i="4"/>
  <c r="K55" i="4"/>
  <c r="K44" i="4"/>
  <c r="K46" i="4" s="1"/>
  <c r="M4" i="9"/>
  <c r="H4" i="9"/>
  <c r="I4" i="9"/>
  <c r="J4" i="9"/>
  <c r="G4" i="9"/>
  <c r="K25" i="9"/>
  <c r="F25" i="9"/>
  <c r="K21" i="9"/>
  <c r="K20" i="9"/>
  <c r="F21" i="9"/>
  <c r="F20" i="9"/>
  <c r="K14" i="9"/>
  <c r="K15" i="9"/>
  <c r="K17" i="9"/>
  <c r="K18" i="9"/>
  <c r="K13" i="9"/>
  <c r="F14" i="9"/>
  <c r="F15" i="9"/>
  <c r="F17" i="9"/>
  <c r="F18" i="9"/>
  <c r="F13" i="9"/>
  <c r="K6" i="9"/>
  <c r="K7" i="9"/>
  <c r="K8" i="9"/>
  <c r="K5" i="9"/>
  <c r="F6" i="9"/>
  <c r="F7" i="9"/>
  <c r="F8" i="9"/>
  <c r="F5" i="9"/>
  <c r="C4" i="9"/>
  <c r="D4" i="9"/>
  <c r="E4" i="9"/>
  <c r="B4" i="9"/>
  <c r="F9" i="9" l="1"/>
  <c r="K9" i="9"/>
  <c r="M33" i="4"/>
  <c r="H44" i="4"/>
  <c r="H46" i="4" s="1"/>
  <c r="D66" i="4"/>
  <c r="C55" i="4"/>
  <c r="G44" i="4"/>
  <c r="G46" i="4" s="1"/>
  <c r="H55" i="4"/>
  <c r="I44" i="4"/>
  <c r="I46" i="4" s="1"/>
  <c r="C66" i="4"/>
  <c r="E66" i="4"/>
  <c r="I55" i="4"/>
  <c r="F44" i="4"/>
  <c r="F46" i="4" s="1"/>
  <c r="D44" i="4"/>
  <c r="D46" i="4" s="1"/>
  <c r="J66" i="4"/>
  <c r="E55" i="4"/>
  <c r="B44" i="4"/>
  <c r="B46" i="4" s="1"/>
  <c r="D55" i="4"/>
  <c r="G66" i="4"/>
  <c r="F66" i="4"/>
  <c r="J55" i="4"/>
  <c r="G55" i="4"/>
  <c r="B66" i="4"/>
  <c r="E44" i="4"/>
  <c r="E46" i="4" s="1"/>
  <c r="H66" i="4"/>
  <c r="F55" i="4"/>
  <c r="C44" i="4"/>
  <c r="C46" i="4" s="1"/>
  <c r="J44" i="4"/>
  <c r="J46" i="4" s="1"/>
  <c r="M66" i="6"/>
  <c r="L4" i="9"/>
  <c r="K34" i="4"/>
  <c r="K67" i="4"/>
  <c r="B19" i="9"/>
  <c r="B30" i="9" l="1"/>
  <c r="B24" i="9"/>
  <c r="D67" i="4"/>
  <c r="H67" i="4"/>
  <c r="H68" i="4" s="1"/>
  <c r="B67" i="4"/>
  <c r="B68" i="4" s="1"/>
  <c r="J67" i="4"/>
  <c r="J68" i="4" s="1"/>
  <c r="I67" i="4"/>
  <c r="I68" i="4" s="1"/>
  <c r="F34" i="4"/>
  <c r="E67" i="4"/>
  <c r="E68" i="4" s="1"/>
  <c r="C67" i="4"/>
  <c r="C68" i="4" s="1"/>
  <c r="D68" i="4"/>
  <c r="G67" i="4"/>
  <c r="G68" i="4" s="1"/>
  <c r="I34" i="4"/>
  <c r="N34" i="4"/>
  <c r="F67" i="4"/>
  <c r="F68" i="4" s="1"/>
  <c r="G34" i="4"/>
  <c r="M34" i="4"/>
  <c r="D34" i="4"/>
  <c r="B31" i="9"/>
  <c r="C34" i="4"/>
  <c r="K68" i="4"/>
  <c r="B34" i="4"/>
  <c r="E34" i="4"/>
  <c r="J34" i="4"/>
  <c r="H34" i="4"/>
  <c r="M19" i="9" l="1"/>
  <c r="L19" i="9"/>
  <c r="J19" i="9"/>
  <c r="I19" i="9"/>
  <c r="H19" i="9"/>
  <c r="G19" i="9"/>
  <c r="E19" i="9"/>
  <c r="D19" i="9"/>
  <c r="C19" i="9"/>
  <c r="B26" i="9"/>
  <c r="K4" i="9"/>
  <c r="F4" i="9"/>
  <c r="F19" i="9" s="1"/>
  <c r="F24" i="9" s="1"/>
  <c r="I30" i="9" l="1"/>
  <c r="I31" i="9" s="1"/>
  <c r="I24" i="9"/>
  <c r="E30" i="9"/>
  <c r="E31" i="9" s="1"/>
  <c r="E24" i="9"/>
  <c r="G30" i="9"/>
  <c r="G31" i="9" s="1"/>
  <c r="G24" i="9"/>
  <c r="D30" i="9"/>
  <c r="D31" i="9" s="1"/>
  <c r="D24" i="9"/>
  <c r="D26" i="9" s="1"/>
  <c r="J30" i="9"/>
  <c r="J31" i="9" s="1"/>
  <c r="J24" i="9"/>
  <c r="J26" i="9" s="1"/>
  <c r="L30" i="9"/>
  <c r="L31" i="9" s="1"/>
  <c r="L24" i="9"/>
  <c r="C30" i="9"/>
  <c r="C24" i="9"/>
  <c r="C26" i="9" s="1"/>
  <c r="H30" i="9"/>
  <c r="H31" i="9" s="1"/>
  <c r="H24" i="9"/>
  <c r="M30" i="9"/>
  <c r="M31" i="9" s="1"/>
  <c r="M24" i="9"/>
  <c r="F30" i="9"/>
  <c r="F31" i="9" s="1"/>
  <c r="B27" i="9"/>
  <c r="B29" i="9"/>
  <c r="L26" i="9"/>
  <c r="G26" i="9"/>
  <c r="H26" i="9"/>
  <c r="C31" i="9"/>
  <c r="E26" i="9"/>
  <c r="I26" i="9"/>
  <c r="M26" i="9"/>
  <c r="K19" i="9"/>
  <c r="K24" i="9" s="1"/>
  <c r="F26" i="9"/>
  <c r="K30" i="9" l="1"/>
  <c r="G27" i="9"/>
  <c r="G29" i="9"/>
  <c r="M27" i="9"/>
  <c r="M29" i="9"/>
  <c r="D27" i="9"/>
  <c r="D29" i="9"/>
  <c r="J27" i="9"/>
  <c r="J29" i="9"/>
  <c r="E27" i="9"/>
  <c r="E29" i="9"/>
  <c r="H27" i="9"/>
  <c r="H29" i="9"/>
  <c r="I27" i="9"/>
  <c r="I29" i="9"/>
  <c r="C27" i="9"/>
  <c r="C29" i="9"/>
  <c r="L27" i="9"/>
  <c r="L29" i="9"/>
  <c r="F27" i="9"/>
  <c r="F29" i="9"/>
  <c r="K26" i="9"/>
  <c r="K31" i="9"/>
  <c r="K4" i="6"/>
  <c r="K28" i="6" s="1"/>
  <c r="K31" i="6" s="1"/>
  <c r="K63" i="6" s="1"/>
  <c r="K66" i="6" s="1"/>
  <c r="K27" i="9" l="1"/>
  <c r="K29" i="9"/>
  <c r="C28" i="6"/>
  <c r="C31" i="6" s="1"/>
  <c r="C63" i="6" l="1"/>
  <c r="C66" i="6" s="1"/>
  <c r="E5" i="6" l="1"/>
  <c r="E28" i="6" s="1"/>
  <c r="E31" i="6" s="1"/>
  <c r="E63" i="6" s="1"/>
  <c r="E66" i="6" s="1"/>
  <c r="J5" i="6"/>
  <c r="J28" i="6" s="1"/>
  <c r="J31" i="6" s="1"/>
  <c r="J63" i="6" s="1"/>
  <c r="J66" i="6" s="1"/>
  <c r="B28" i="6"/>
  <c r="B31" i="6" s="1"/>
  <c r="B63" i="6" s="1"/>
  <c r="B66" i="6" s="1"/>
  <c r="F5" i="6"/>
  <c r="F28" i="6" s="1"/>
  <c r="F31" i="6" s="1"/>
  <c r="F63" i="6" s="1"/>
  <c r="F66" i="6" s="1"/>
  <c r="G5" i="6"/>
  <c r="G28" i="6" s="1"/>
  <c r="G31" i="6" s="1"/>
  <c r="G63" i="6" s="1"/>
  <c r="G66" i="6" s="1"/>
  <c r="D28" i="6"/>
  <c r="D31" i="6" s="1"/>
  <c r="D63" i="6" s="1"/>
  <c r="D66" i="6" s="1"/>
  <c r="I5" i="6"/>
  <c r="I28" i="6" s="1"/>
  <c r="I31" i="6" s="1"/>
  <c r="I63" i="6" s="1"/>
  <c r="I66" i="6" s="1"/>
  <c r="H5" i="6"/>
  <c r="H28" i="6" s="1"/>
  <c r="H31" i="6" s="1"/>
  <c r="H63" i="6" s="1"/>
  <c r="H66" i="6" s="1"/>
</calcChain>
</file>

<file path=xl/sharedStrings.xml><?xml version="1.0" encoding="utf-8"?>
<sst xmlns="http://schemas.openxmlformats.org/spreadsheetml/2006/main" count="775" uniqueCount="346">
  <si>
    <t>EBITDA</t>
  </si>
  <si>
    <t>2)</t>
  </si>
  <si>
    <t>Q1</t>
  </si>
  <si>
    <t>Q2</t>
  </si>
  <si>
    <t>Q3</t>
  </si>
  <si>
    <t>Q4</t>
  </si>
  <si>
    <t>1Q</t>
  </si>
  <si>
    <t>2Q</t>
  </si>
  <si>
    <t>3Q</t>
  </si>
  <si>
    <t>4Q</t>
  </si>
  <si>
    <t>Multiroom</t>
  </si>
  <si>
    <t>Internet</t>
  </si>
  <si>
    <t xml:space="preserve">Internet </t>
  </si>
  <si>
    <t>Polsat News</t>
  </si>
  <si>
    <t>Polsat Sport</t>
  </si>
  <si>
    <t>Polsat Sport Extra</t>
  </si>
  <si>
    <t>Polsat Film</t>
  </si>
  <si>
    <t>Polsat Cafe</t>
  </si>
  <si>
    <t>Polsat Play</t>
  </si>
  <si>
    <t>CI Polsat</t>
  </si>
  <si>
    <t>Polsat Viasat History</t>
  </si>
  <si>
    <t>Polsat Viasat Nature</t>
  </si>
  <si>
    <t>Polsat Romans</t>
  </si>
  <si>
    <t>Polsat</t>
  </si>
  <si>
    <t>CYFROWY POLSAT S.A. CAPITAL GROUP</t>
  </si>
  <si>
    <t xml:space="preserve">BROADCASTING AND TELEVISION PRODUCTION SEGMENT </t>
  </si>
  <si>
    <r>
      <t>Audience share</t>
    </r>
    <r>
      <rPr>
        <b/>
        <vertAlign val="superscript"/>
        <sz val="11"/>
        <color theme="1"/>
        <rFont val="Calibri"/>
        <family val="2"/>
        <charset val="238"/>
        <scheme val="minor"/>
      </rPr>
      <t>(1) (2)</t>
    </r>
    <r>
      <rPr>
        <b/>
        <sz val="11"/>
        <color theme="1"/>
        <rFont val="Calibri"/>
        <family val="2"/>
        <charset val="238"/>
        <scheme val="minor"/>
      </rPr>
      <t>, including:</t>
    </r>
  </si>
  <si>
    <t>n/a</t>
  </si>
  <si>
    <r>
      <t>Polsat channel; technical reach</t>
    </r>
    <r>
      <rPr>
        <b/>
        <vertAlign val="superscript"/>
        <sz val="11"/>
        <rFont val="Calibri"/>
        <family val="2"/>
        <charset val="238"/>
        <scheme val="minor"/>
      </rPr>
      <t>(1)</t>
    </r>
  </si>
  <si>
    <r>
      <t>SEGMENT OF SERVICES TO INDIVIDUAL AND BUSINESS CUSTOMERS</t>
    </r>
    <r>
      <rPr>
        <b/>
        <vertAlign val="superscript"/>
        <sz val="9"/>
        <color rgb="FF000000"/>
        <rFont val="Calibri"/>
        <family val="2"/>
        <charset val="238"/>
        <scheme val="minor"/>
      </rPr>
      <t>1)</t>
    </r>
  </si>
  <si>
    <t>CONTRACT SERVICES</t>
  </si>
  <si>
    <t>Total number of RGUs, including:</t>
  </si>
  <si>
    <t>Pay TV, including:</t>
  </si>
  <si>
    <t>Mobile telephony</t>
  </si>
  <si>
    <t>Number of customers</t>
  </si>
  <si>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</si>
  <si>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</si>
  <si>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</si>
  <si>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</si>
  <si>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</si>
  <si>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</si>
  <si>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</si>
  <si>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</si>
  <si>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</si>
  <si>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</si>
  <si>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</si>
  <si>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</si>
  <si>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</si>
  <si>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CONSOLIDATED INCOME STATEMENT</t>
  </si>
  <si>
    <t>(in millions of PLN)</t>
  </si>
  <si>
    <t>Revenue</t>
  </si>
  <si>
    <t>Retail revenue</t>
  </si>
  <si>
    <t>Wholesale revenue</t>
  </si>
  <si>
    <t xml:space="preserve">Sale of equipment </t>
  </si>
  <si>
    <t>Other revenue</t>
  </si>
  <si>
    <t>Operating costs</t>
  </si>
  <si>
    <t>Content costs</t>
  </si>
  <si>
    <t>Distribution, marketing, customer relation management and retention costs</t>
  </si>
  <si>
    <t>Depreciation, amortization, impairment and liquidation</t>
  </si>
  <si>
    <t>Technical costs and cost of settlements with telecommunication operators</t>
  </si>
  <si>
    <t>Salaries and employee-related costs</t>
  </si>
  <si>
    <t>Cost of equipment sold</t>
  </si>
  <si>
    <t>Other costs</t>
  </si>
  <si>
    <t>Other operating income, net</t>
  </si>
  <si>
    <t>Profit from operating activities</t>
  </si>
  <si>
    <t>Gain/loss on investment activities, net</t>
  </si>
  <si>
    <t>Gross profit for the period</t>
  </si>
  <si>
    <t>Income tax</t>
  </si>
  <si>
    <t>Net profit for the period</t>
  </si>
  <si>
    <t>SEGMENT OF SERVICES TO INDIVIDUAL AND BUSINESS CUSTOMERS</t>
  </si>
  <si>
    <t>BROADCASTING AND TELEVISION PRODUCTION SEGMENT</t>
  </si>
  <si>
    <t>CONSOLIDATION ADJUSTMENTS</t>
  </si>
  <si>
    <t>TOTAL</t>
  </si>
  <si>
    <t>Change</t>
  </si>
  <si>
    <t xml:space="preserve">Revenues from sales to third parties </t>
  </si>
  <si>
    <t>Inter-segment revenues</t>
  </si>
  <si>
    <t>Revenues</t>
  </si>
  <si>
    <t xml:space="preserve">Profit from operating activities </t>
  </si>
  <si>
    <t xml:space="preserve">Acquisition of property, plant and equipment, reception equipment and other intangible assets </t>
  </si>
  <si>
    <t>Assets, including:</t>
  </si>
  <si>
    <t>Investments in joint ventures</t>
  </si>
  <si>
    <t>March 31</t>
  </si>
  <si>
    <t>June 30</t>
  </si>
  <si>
    <t xml:space="preserve"> September 30</t>
  </si>
  <si>
    <t>December 31</t>
  </si>
  <si>
    <t>CONSOLIDATED BALANCE SHEET</t>
  </si>
  <si>
    <t>ASSETS</t>
  </si>
  <si>
    <t>Reception equipment</t>
  </si>
  <si>
    <t>Other property, plant and equipment</t>
  </si>
  <si>
    <t xml:space="preserve">Goodwill </t>
  </si>
  <si>
    <t>Brands</t>
  </si>
  <si>
    <t xml:space="preserve">Other intangible assets </t>
  </si>
  <si>
    <t>Non-current programming assets</t>
  </si>
  <si>
    <t>Investment property</t>
  </si>
  <si>
    <t>includes derivative instruments assets</t>
  </si>
  <si>
    <t>Deferred tax assets</t>
  </si>
  <si>
    <t>Total non-current assets</t>
  </si>
  <si>
    <t>Current programming assets</t>
  </si>
  <si>
    <t>Inventories</t>
  </si>
  <si>
    <t>Loans granted to related parties</t>
  </si>
  <si>
    <t>Income tax receivable</t>
  </si>
  <si>
    <t>Short-term deposits</t>
  </si>
  <si>
    <t>Cash and cash equivalents</t>
  </si>
  <si>
    <t>Restricted cash</t>
  </si>
  <si>
    <t>Total current assets</t>
  </si>
  <si>
    <t>TOTAL ASSETS</t>
  </si>
  <si>
    <t>EQUITY AND LIABILITIES</t>
  </si>
  <si>
    <t>Share capital</t>
  </si>
  <si>
    <t>Reserve capital</t>
  </si>
  <si>
    <t>Other reserves</t>
  </si>
  <si>
    <t>Hedge valuation reserve</t>
  </si>
  <si>
    <t>Currency translation adjustmnet</t>
  </si>
  <si>
    <t>Retained earnings</t>
  </si>
  <si>
    <t>Equity attributable to equity holders of the Parent</t>
  </si>
  <si>
    <t>Non-controlling interests</t>
  </si>
  <si>
    <t>Total equity</t>
  </si>
  <si>
    <t>Loans and borrowings</t>
  </si>
  <si>
    <t>Issued bonds</t>
  </si>
  <si>
    <t>Deferred tax liabilities</t>
  </si>
  <si>
    <t>Other non-current liabilities and provisions</t>
  </si>
  <si>
    <t>includes derivative instruments liabilities</t>
  </si>
  <si>
    <t xml:space="preserve">Total non-current liabilities </t>
  </si>
  <si>
    <t xml:space="preserve">Trade and other payables </t>
  </si>
  <si>
    <t>Income tax liability</t>
  </si>
  <si>
    <t>Deposits for equipment</t>
  </si>
  <si>
    <t>Total current liabilities</t>
  </si>
  <si>
    <t>Total liabilities</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</si>
  <si>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</si>
  <si>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</si>
  <si>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</si>
  <si>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</si>
  <si>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</si>
  <si>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</si>
  <si>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</si>
  <si>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</si>
  <si>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</si>
  <si>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</si>
  <si>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internal production and advance payments</t>
  </si>
  <si>
    <t>Valuation of hedging instruments</t>
  </si>
  <si>
    <t>Foreign exchange losses/(gains), net</t>
  </si>
  <si>
    <t>Other adjustments</t>
  </si>
  <si>
    <t>Income tax paid</t>
  </si>
  <si>
    <t>Interest received from operating activities</t>
  </si>
  <si>
    <t>Acquisition of property, plant and equipment</t>
  </si>
  <si>
    <t>Acquisition of intangible assets</t>
  </si>
  <si>
    <t>Concession payments</t>
  </si>
  <si>
    <t>Acquisition of subsidiaries, net of cash acquired</t>
  </si>
  <si>
    <t>Proceeds from sale of property, plant and equipment</t>
  </si>
  <si>
    <t>Granted loans</t>
  </si>
  <si>
    <t>Repayment of loans granted</t>
  </si>
  <si>
    <t>Other investing activities - derivatives</t>
  </si>
  <si>
    <t>Dividends received</t>
  </si>
  <si>
    <t>Repayment of loans and borrowings</t>
  </si>
  <si>
    <t>Loans and  borrowings inflows</t>
  </si>
  <si>
    <t>Dividends paid</t>
  </si>
  <si>
    <t>Payment of share issuance-related consulting costs</t>
  </si>
  <si>
    <t>Net cash from/ (used in) financing activities</t>
  </si>
  <si>
    <t>Net cash from/ (used in) investing activities</t>
  </si>
  <si>
    <t>Net cash from/ (used in) operating activities</t>
  </si>
  <si>
    <t>Cash from/ (used in) operating activities</t>
  </si>
  <si>
    <t>Net increase/(decrease) in cash and cash equivalents</t>
  </si>
  <si>
    <t>Cash and cash equivalents at the beginning of the period</t>
  </si>
  <si>
    <t>Effect of exchange rate fluctuations on cash and cash equivalents</t>
  </si>
  <si>
    <t>Cash and cash equivalents at the end of the period</t>
  </si>
  <si>
    <t>3 months ended
March 31</t>
  </si>
  <si>
    <t>6 months ended
June 30</t>
  </si>
  <si>
    <t>9 months ended
September 30</t>
  </si>
  <si>
    <t>12 months ended
December 31</t>
  </si>
  <si>
    <t>Net profit attributable to equity holders of the Parent</t>
  </si>
  <si>
    <t>Basic and diluted earnings per share (in PLN)</t>
  </si>
  <si>
    <t>EBITDA margin</t>
  </si>
  <si>
    <t>Early redemption option</t>
  </si>
  <si>
    <t>Early redemption fee</t>
  </si>
  <si>
    <t>Hedging instrument effect – principal</t>
  </si>
  <si>
    <t xml:space="preserve">TV4 </t>
  </si>
  <si>
    <t xml:space="preserve">TV6 </t>
  </si>
  <si>
    <t>Polsat 2</t>
  </si>
  <si>
    <t xml:space="preserve">Polsat JimJam </t>
  </si>
  <si>
    <t>Disco Polo Music</t>
  </si>
  <si>
    <t>Polsat Viasat Explore</t>
  </si>
  <si>
    <t>Polsat News 2</t>
  </si>
  <si>
    <r>
      <t xml:space="preserve">Q1 </t>
    </r>
    <r>
      <rPr>
        <b/>
        <vertAlign val="superscript"/>
        <sz val="10"/>
        <color indexed="8"/>
        <rFont val="Calibri"/>
        <family val="2"/>
        <charset val="238"/>
      </rPr>
      <t>1)</t>
    </r>
  </si>
  <si>
    <t>1) Results of Midas Group consolidated from February 29, 2016</t>
  </si>
  <si>
    <t>Acquisition of bonds</t>
  </si>
  <si>
    <t>Share of the profit of jointly controlled entity accounted for using the equity method</t>
  </si>
  <si>
    <t>Net profit/(loss) attributable to non-controlling interest</t>
  </si>
  <si>
    <t>EBITDA (unaudited)</t>
  </si>
  <si>
    <t>Customer relationships</t>
  </si>
  <si>
    <t>Non-current deferred distribution fees</t>
  </si>
  <si>
    <t>Trade and other receivables</t>
  </si>
  <si>
    <t>Current deferred distribution fees</t>
  </si>
  <si>
    <t>Other current assets</t>
  </si>
  <si>
    <t>Share premium</t>
  </si>
  <si>
    <t>Deferred income</t>
  </si>
  <si>
    <t>UMTS license liabilities</t>
  </si>
  <si>
    <t>31 December restated 1)</t>
  </si>
  <si>
    <t>1) Restatement due to final purchase price allocation of Metelem</t>
  </si>
  <si>
    <t>2) From June 30, 2015 the item "Deposits for equipment" is accounted for in the item "Trade and other payables"</t>
  </si>
  <si>
    <t>Proceeds from sale of shares in subsidaries</t>
  </si>
  <si>
    <t>2) Item included in "Other adjustments".</t>
  </si>
  <si>
    <t>September 30</t>
  </si>
  <si>
    <t>Bonds (redemption)/issue</t>
  </si>
  <si>
    <r>
      <t xml:space="preserve">2016 </t>
    </r>
    <r>
      <rPr>
        <b/>
        <vertAlign val="superscript"/>
        <sz val="10"/>
        <color indexed="8"/>
        <rFont val="Calibri"/>
        <family val="2"/>
        <charset val="238"/>
      </rPr>
      <t>1)</t>
    </r>
  </si>
  <si>
    <t>Cumulative catch-up and early redemption costs</t>
  </si>
  <si>
    <r>
      <t>Other outflows</t>
    </r>
    <r>
      <rPr>
        <vertAlign val="superscript"/>
        <sz val="10"/>
        <color indexed="8"/>
        <rFont val="Calibri"/>
        <family val="2"/>
        <charset val="238"/>
      </rPr>
      <t>(3)</t>
    </r>
  </si>
  <si>
    <t xml:space="preserve">    Thematic channels</t>
  </si>
  <si>
    <r>
      <t>Total number of RGUs</t>
    </r>
    <r>
      <rPr>
        <b/>
        <vertAlign val="superscript"/>
        <sz val="9"/>
        <rFont val="Calibri"/>
        <family val="2"/>
        <charset val="238"/>
        <scheme val="minor"/>
      </rPr>
      <t>2)</t>
    </r>
    <r>
      <rPr>
        <b/>
        <sz val="9"/>
        <rFont val="Calibri"/>
        <family val="2"/>
        <charset val="238"/>
        <scheme val="minor"/>
      </rPr>
      <t xml:space="preserve"> (contract + prepaid), EOP</t>
    </r>
  </si>
  <si>
    <t>Total number of RGUs (EOP), including:</t>
  </si>
  <si>
    <t>Average number of RGUs (EOP), including:</t>
  </si>
  <si>
    <t>Change / p.p.</t>
  </si>
  <si>
    <t>DISCLAIMER
Key performance indicators (KPI) presented below starting from 2Q 2016 include the operating results of Polsat Group comprising Aero2 Group (formerly Midas Group), acquired on February 29, 2016. In light of the above, the operating results for periods starting from 2Q 2016 are not fully comparable with the operating results for earlier periods. However, the effect of consolidation of the operating results of Aero2 Group on the overall reported operating results of Polsat Group is immaterial. 
When assessing our operating results in the segment of services to individual and business customers, we analyze contract services and prepaid services separately. In the case of contract services we consider the number of unique, active services provided in the contract model (RGUs), the number of customers, churn rate and average revenue per customer (ARPU). When analyzing prepaid services we consider the number of unique, active services provided in the prepaid model (prepaid RGUs) as well as average revenue per prepaid RGU. The number of reported RGUs of prepaid services of mobile telephony and Internet access refers to the number of SIM cards which received or answered calls, sent or received SMS/MMS or used data transmission services within the last 90 days. In the case of free of charge Internet access services provided by Aero2, the Internet prepaid RGUs were calculated based on only those SIM cards, which used data transmission services under paid packages within the last 90 days.</t>
  </si>
  <si>
    <t>4)</t>
  </si>
  <si>
    <t>Net (gain)/loss on derivatives</t>
  </si>
  <si>
    <t>Other inflows/(outflows)</t>
  </si>
  <si>
    <t>4) Item included in "Other inflows/(outflows)".</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</si>
  <si>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</si>
  <si>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</si>
  <si>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</si>
  <si>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</si>
  <si>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</si>
  <si>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</si>
  <si>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</si>
  <si>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</si>
  <si>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</si>
  <si>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</si>
  <si>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r>
      <t>Polsat Doku</t>
    </r>
    <r>
      <rPr>
        <vertAlign val="superscript"/>
        <sz val="9"/>
        <color theme="1"/>
        <rFont val="Arial Narrow"/>
        <family val="2"/>
        <charset val="238"/>
      </rPr>
      <t>(6)</t>
    </r>
  </si>
  <si>
    <t>Early redemption costs</t>
  </si>
  <si>
    <t>Acquisition of bonds issued by Midas</t>
  </si>
  <si>
    <r>
      <t>Share of the profit of a joint venture</t>
    </r>
    <r>
      <rPr>
        <sz val="10"/>
        <color indexed="8"/>
        <rFont val="Calibri"/>
        <family val="2"/>
        <charset val="238"/>
      </rPr>
      <t xml:space="preserve"> accounted for using the equity method</t>
    </r>
  </si>
  <si>
    <t>YTD 2018</t>
  </si>
  <si>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</si>
  <si>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</si>
  <si>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t>3 months ended March 31</t>
  </si>
  <si>
    <t>Contract assets</t>
  </si>
  <si>
    <t>Contract liabilities</t>
  </si>
  <si>
    <t>Change in contract assets</t>
  </si>
  <si>
    <t>Change in contract liabilities</t>
  </si>
  <si>
    <t>Acquisition of shares in associates and other entities</t>
  </si>
  <si>
    <r>
      <t>Super Polsat</t>
    </r>
    <r>
      <rPr>
        <vertAlign val="superscript"/>
        <sz val="9"/>
        <color theme="1"/>
        <rFont val="Arial Narrow"/>
        <family val="2"/>
        <charset val="238"/>
      </rPr>
      <t>(3)</t>
    </r>
  </si>
  <si>
    <t>Fokus TV</t>
  </si>
  <si>
    <t>Nowa TV</t>
  </si>
  <si>
    <t>Channels cooperating with Cyfrowy Polsat Group (non-consolidated)</t>
  </si>
  <si>
    <t>Other non-current assets, includes:</t>
  </si>
  <si>
    <t>shares in associates accounted for using the equity method</t>
  </si>
  <si>
    <t>derivative instruments assets</t>
  </si>
  <si>
    <t xml:space="preserve">    POLSAT (main channel)</t>
  </si>
  <si>
    <r>
      <t xml:space="preserve">2017 </t>
    </r>
    <r>
      <rPr>
        <i/>
        <sz val="10"/>
        <color theme="1"/>
        <rFont val="Calibri"/>
        <family val="2"/>
        <charset val="238"/>
        <scheme val="minor"/>
      </rPr>
      <t>(IAS 18 basis)</t>
    </r>
  </si>
  <si>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</si>
  <si>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</si>
  <si>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t>Investment funds inflows/(outflows)</t>
  </si>
  <si>
    <r>
      <t>Polsat Sport News HD</t>
    </r>
    <r>
      <rPr>
        <vertAlign val="superscript"/>
        <sz val="9"/>
        <color theme="1"/>
        <rFont val="Arial Narrow"/>
        <family val="2"/>
        <charset val="238"/>
      </rPr>
      <t>(5)</t>
    </r>
  </si>
  <si>
    <t>Polsat Sport Fight</t>
  </si>
  <si>
    <r>
      <t>Polsat 1</t>
    </r>
    <r>
      <rPr>
        <vertAlign val="superscript"/>
        <sz val="9"/>
        <color theme="1"/>
        <rFont val="Arial Narrow"/>
        <family val="2"/>
        <charset val="238"/>
      </rPr>
      <t>(7)</t>
    </r>
  </si>
  <si>
    <t>n/d</t>
  </si>
  <si>
    <r>
      <t>Channels acquired in 2018</t>
    </r>
    <r>
      <rPr>
        <b/>
        <vertAlign val="superscript"/>
        <sz val="11"/>
        <rFont val="Calibri"/>
        <family val="2"/>
        <charset val="238"/>
        <scheme val="minor"/>
      </rPr>
      <t>(9)</t>
    </r>
  </si>
  <si>
    <t>Eleven Sports 1</t>
  </si>
  <si>
    <t>Superstacja</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</si>
  <si>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</si>
  <si>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</si>
  <si>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</si>
  <si>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</si>
  <si>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</si>
  <si>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</si>
  <si>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</si>
  <si>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2018</t>
    </r>
    <r>
      <rPr>
        <b/>
        <vertAlign val="superscript"/>
        <sz val="11"/>
        <color theme="1"/>
        <rFont val="Calibri"/>
        <family val="2"/>
        <charset val="238"/>
      </rPr>
      <t>2)</t>
    </r>
    <r>
      <rPr>
        <b/>
        <sz val="11"/>
        <color theme="1"/>
        <rFont val="Calibri"/>
        <family val="2"/>
        <charset val="238"/>
      </rPr>
      <t xml:space="preserve"> (IAS 18 basis,
excl. consolidation of Netia Group)</t>
    </r>
  </si>
  <si>
    <r>
      <t>2Q</t>
    </r>
    <r>
      <rPr>
        <b/>
        <vertAlign val="superscript"/>
        <sz val="9"/>
        <color indexed="8"/>
        <rFont val="Calibri"/>
        <family val="2"/>
        <charset val="238"/>
        <scheme val="minor"/>
      </rPr>
      <t>6</t>
    </r>
  </si>
  <si>
    <t>Share of the profit/(loss) of associates accounted for using the equity method</t>
  </si>
  <si>
    <r>
      <t xml:space="preserve">2018 </t>
    </r>
    <r>
      <rPr>
        <i/>
        <sz val="10"/>
        <color theme="1"/>
        <rFont val="Calibri"/>
        <family val="2"/>
        <charset val="238"/>
        <scheme val="minor"/>
      </rPr>
      <t>(IFRS 15 basis,
Netia Group consolidated as of May 22, 2018)</t>
    </r>
  </si>
  <si>
    <r>
      <t xml:space="preserve">2018 </t>
    </r>
    <r>
      <rPr>
        <i/>
        <sz val="10"/>
        <color theme="1"/>
        <rFont val="Calibri"/>
        <family val="2"/>
        <charset val="238"/>
        <scheme val="minor"/>
      </rPr>
      <t>(IFRS 15 basis, 
Netia Group consolidated as of May 22, 2018)</t>
    </r>
  </si>
  <si>
    <t>1) Includes impact of hedging instruments, premium paid for early bonds’ repayment and amount paid for costs related to new financing.</t>
  </si>
  <si>
    <t>6) Operational indicators excluding the results of Netia Group.</t>
  </si>
  <si>
    <t>-</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</si>
  <si>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</si>
  <si>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</si>
  <si>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</si>
  <si>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</si>
  <si>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</si>
  <si>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</si>
  <si>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</si>
  <si>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</si>
  <si>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</si>
  <si>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</si>
  <si>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</si>
  <si>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[mln PLN]</t>
  </si>
  <si>
    <t>Usługi dla klientów indywidualnych i biznesowych</t>
  </si>
  <si>
    <t>Nadawanie i produkcja telewizyjna</t>
  </si>
  <si>
    <t>Wyłączenia i korekty konsolidacyjne</t>
  </si>
  <si>
    <t>Razem</t>
  </si>
  <si>
    <t>Sprzedaż do stron trzecich</t>
  </si>
  <si>
    <t>Sprzedaż pomiędzy segmentami</t>
  </si>
  <si>
    <t>Przychody ze sprzedaży</t>
  </si>
  <si>
    <t>EBITDA (niebadana)</t>
  </si>
  <si>
    <t>Amortyzacja, utrata wartości i likwidacja</t>
  </si>
  <si>
    <t>Zysk z działalności operacyjnej</t>
  </si>
  <si>
    <t xml:space="preserve">Nabycie rzeczowych aktywów trwałych, zestawów odbiorczych i innych wartości niematerialnych </t>
  </si>
  <si>
    <t>*</t>
  </si>
  <si>
    <t>Aktywa segmentu, w tym:</t>
  </si>
  <si>
    <t>**</t>
  </si>
  <si>
    <r>
      <t xml:space="preserve">okres 9 miesięcy zakończony 30 września 2017 roku (niebadany) - </t>
    </r>
    <r>
      <rPr>
        <i/>
        <sz val="9"/>
        <color rgb="FFFFFFFF"/>
        <rFont val="Arial Narrow"/>
        <family val="2"/>
        <charset val="238"/>
      </rPr>
      <t>dane według MSR 18</t>
    </r>
  </si>
  <si>
    <t>7.249,4</t>
  </si>
  <si>
    <t>2.744,3</t>
  </si>
  <si>
    <t>1.348,2</t>
  </si>
  <si>
    <t>1.396,1</t>
  </si>
  <si>
    <t>Na dzień 30 września 2017 (niebadany)</t>
  </si>
  <si>
    <t>26.892,6</t>
  </si>
  <si>
    <t>Inwestycje we wspólne przedsięwzięcia</t>
  </si>
  <si>
    <t>1) Nielsen Audience Measurement, percentage of TV households able to receive a given channel; arithmetical average of monthly technical reach.
2) Channel included in Polsat Group’s portfolio from December 4, 2017. 
3) Channel broadcasting in DTT since January 2, 2017, replaced Polsat Sport News
4) Channel broadcast since May 26, 2017, replaced MUZO.TV.
5) Channel available only in cable and satellite networks since January 2, 2017 under the name “Polsat Sport News HD”.
6) Channel broadcast since February 10, 2017, data for the broadcasting period.
7) Channel broadcast since August 1, 2016, included in the telemetric panel since January 1, 2017. 
8) Channel broadcast outside of Poland, not included in the telemetric survey.
9) Channel included into Polsat Group’s portfolio in October 2018.</t>
  </si>
  <si>
    <t xml:space="preserve">CI Polsat </t>
  </si>
  <si>
    <t>1) This item also includes the acquisition of reception equipment for operating lease purposes.</t>
  </si>
  <si>
    <t>2) Includes non-current assets located outside of Poland in the amount of PLN 11.8 million.</t>
  </si>
  <si>
    <t>3) Includes non-current assets located outside of Poland in the amount of PLN 12.1 million.</t>
  </si>
  <si>
    <t>2019 (IFRS 15 and IFRS 16 basis)</t>
  </si>
  <si>
    <r>
      <t>2019</t>
    </r>
    <r>
      <rPr>
        <b/>
        <vertAlign val="superscript"/>
        <sz val="11"/>
        <color theme="1"/>
        <rFont val="Calibri"/>
        <family val="2"/>
        <charset val="238"/>
      </rPr>
      <t>4)</t>
    </r>
    <r>
      <rPr>
        <b/>
        <sz val="11"/>
        <color theme="1"/>
        <rFont val="Calibri"/>
        <family val="2"/>
        <charset val="238"/>
      </rPr>
      <t xml:space="preserve"> (IFRS 15 and IAS 17 basis)</t>
    </r>
  </si>
  <si>
    <r>
      <t>2018</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</si>
  <si>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2019 </t>
    </r>
    <r>
      <rPr>
        <sz val="10"/>
        <color theme="1"/>
        <rFont val="Calibri"/>
        <family val="2"/>
        <charset val="238"/>
        <scheme val="minor"/>
      </rPr>
      <t>(IAS 17 basis)</t>
    </r>
  </si>
  <si>
    <r>
      <t xml:space="preserve">2019 </t>
    </r>
    <r>
      <rPr>
        <sz val="10"/>
        <color theme="1"/>
        <rFont val="Calibri"/>
        <family val="2"/>
        <charset val="238"/>
        <scheme val="minor"/>
      </rPr>
      <t>(IFRS 15 i IFRS 16 basis)</t>
    </r>
  </si>
  <si>
    <t>4) Data exckuding the impact of IFRS 16</t>
  </si>
  <si>
    <t>3) Item includes Finance lease – principal repayments.</t>
  </si>
  <si>
    <t>5) Until December 31, 2019 this item was included in "Payment of interest on loans, borrowings, bonds,  lease and commissions".</t>
  </si>
  <si>
    <t>6) Until December 31, 2019 this item was included in "Other outflows".</t>
  </si>
  <si>
    <r>
      <t xml:space="preserve">2019 </t>
    </r>
    <r>
      <rPr>
        <sz val="10"/>
        <color theme="1"/>
        <rFont val="Calibri"/>
        <family val="2"/>
        <charset val="238"/>
        <scheme val="minor"/>
      </rPr>
      <t>IFRS 16 basis)</t>
    </r>
  </si>
  <si>
    <t>1,0 p.p.</t>
  </si>
  <si>
    <t xml:space="preserve">CYFROWY POLSAT S.A. CAPITAL GROUP  </t>
  </si>
  <si>
    <t>for the 6-month period ended</t>
  </si>
  <si>
    <t>June 30, 2019
(IFRS 16)</t>
  </si>
  <si>
    <t>June 30, 2018
(IAS 17 basis)</t>
  </si>
  <si>
    <t>Share capital increase</t>
  </si>
  <si>
    <t>Bonds redemption with interest</t>
  </si>
  <si>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</si>
  <si>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</si>
  <si>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6 months ended June 30</t>
  </si>
  <si>
    <t>0,7 p.p.</t>
  </si>
  <si>
    <r>
      <t>Udział w rynku reklamy</t>
    </r>
    <r>
      <rPr>
        <b/>
        <vertAlign val="superscript"/>
        <sz val="9"/>
        <color theme="1"/>
        <rFont val="Arial Narrow"/>
        <family val="2"/>
        <charset val="238"/>
      </rPr>
      <t>(10)</t>
    </r>
  </si>
  <si>
    <t>1) Nielsen Audience Measurement, All day ages 16-49 audience share, including Live+2 (viewership results include 2 additional days of time-shifted viewing).
2) When calculating the total audience share of Polsat Group and audience share of thematic channels, we take into account the moment of including the channel in our portfolio. 
3) Channel broadcasting in DTT since January 2, 2017, replaced Polsat Sport News.
4) Until May 26, 2017, channel broadcast under the name “MUZO.TV”.
5) Channel broadcast since February 10, 2017, data for the broadcasting period. 
6) Channel available only in cable and satellite networks since January 2, 2017 under the name “Polsat Sport News HD”.
7) Channel not included in the telemetric panel. 
8) Channel launched in October 2018. 
9) Channels included in Polsat Group’s portfolio in June 2018.
10) Our estimates based on Starcom data.</t>
  </si>
  <si>
    <t>Right-of-use assets</t>
  </si>
  <si>
    <t>Cost of debt collection services, bad debt allowance and receivables written off</t>
  </si>
  <si>
    <t>Finance costs, net</t>
  </si>
  <si>
    <t>Balance as at June 30 (unaudited)</t>
  </si>
  <si>
    <t>Lease liabilities</t>
  </si>
  <si>
    <t>Change in liabilities and provisions</t>
  </si>
  <si>
    <t>Net additions of reception equipment</t>
  </si>
  <si>
    <t>Share of the (profit)/loss of associates accounted for using the equity method</t>
  </si>
  <si>
    <t>7) In Q2 2019 the Company exercised the earlier repurchase and redemtion of series A bonds and the issuance of series B bonds. Cash inflow and outflow due to these events amounted to PLN 893m.</t>
  </si>
  <si>
    <t>7)</t>
  </si>
  <si>
    <r>
      <t xml:space="preserve">Payment of interest on loans, borrowings, bonds and commissions </t>
    </r>
    <r>
      <rPr>
        <vertAlign val="superscript"/>
        <sz val="9"/>
        <rFont val="Calibri"/>
        <family val="2"/>
        <charset val="238"/>
      </rPr>
      <t>1)</t>
    </r>
  </si>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</sst>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00_);_(* \(#,##0.00\);_(* &quot;-&quot;??_);_(@_)"/>
    <numFmt numFmtId="165" formatCode="0.0"/>
    <numFmt numFmtId="166" formatCode="0.000"/>
    <numFmt numFmtId="167" formatCode="0.0%"/>
    <numFmt numFmtId="168" formatCode="#,##0.0"/>
    <numFmt numFmtId="169" formatCode="_-* #,##0.00\ [$€-1]_-;\-* #,##0.00\ [$€-1]_-;_-* &quot;-&quot;??\ [$€-1]_-"/>
    <numFmt numFmtId="170" formatCode="#,##0.0;\(#,##0.0\);\-"/>
    <numFmt numFmtId="171" formatCode="#,##0.000;\(#,##0.000\);\-"/>
    <numFmt numFmtId="172" formatCode="#,##0;\(#,##0\);\-"/>
    <numFmt numFmtId="173" formatCode="#,##0.0\ ;\(#,##0.0\);\-"/>
    <numFmt numFmtId="174" formatCode="0.00;\(0.00\);\-"/>
    <numFmt numFmtId="175" formatCode="0.0;\(0.0\);\-"/>
    <numFmt numFmtId="176" formatCode="\-"/>
    <numFmt numFmtId="177" formatCode="General;\ \(General\)"/>
    <numFmt numFmtId="178" formatCode="#,##0.0;\-#,##0.0"/>
    <numFmt numFmtId="179" formatCode="#,##0.0;\(#,##0.0\)"/>
    <numFmt numFmtId="180" formatCode="#,##0.00;\(#,##0.00\)"/>
    <numFmt numFmtId="181" formatCode="_(* #,##0.0_);_(* \(#,##0.0\);_(* &quot;-&quot;??_);_(@_)"/>
    <numFmt numFmtId="182" formatCode="#,##0.00;\(#,##0.00\);\-"/>
    <numFmt numFmtId="183" formatCode="_([$€]* #,##0.00_);_([$€]* \(#,##0.00\);_([$€]* &quot;-&quot;??_);_(@_)"/>
    <numFmt numFmtId="184" formatCode="[$-415]mmm\ yy;@"/>
    <numFmt numFmtId="185" formatCode="_ &quot;kr&quot;\ * #,##0.00_ ;_ &quot;kr&quot;\ * \-#,##0.00_ ;_ &quot;kr&quot;\ * &quot;-&quot;??_ ;_ @_ "/>
    <numFmt numFmtId="186" formatCode="_ * #,##0.00_ ;_ * \-#,##0.00_ ;_ * &quot;-&quot;??_ ;_ @_ "/>
    <numFmt numFmtId="187" formatCode="&quot;$&quot;#,##0;[Red]\-&quot;$&quot;#,##0"/>
    <numFmt numFmtId="188" formatCode="d/m/yy\ h:mm"/>
    <numFmt numFmtId="189" formatCode="General_)"/>
    <numFmt numFmtId="190" formatCode="0.000000000"/>
    <numFmt numFmtId="191" formatCode="\k\$#"/>
    <numFmt numFmtId="192" formatCode="\H\U\F\ 0.000"/>
    <numFmt numFmtId="193" formatCode="&quot;$&quot;#,##0.00\ ;\(&quot;$&quot;#,##0.00\)"/>
    <numFmt numFmtId="194" formatCode="\k\$\ 0.000"/>
    <numFmt numFmtId="195" formatCode="\k\E\C\U\ 0.000"/>
    <numFmt numFmtId="196" formatCode="\k\H\U\F\ 0.000"/>
    <numFmt numFmtId="197" formatCode="\k\L\E\ 0.000"/>
    <numFmt numFmtId="198" formatCode="_-* #,##0.00\ &quot;Sk&quot;_-;\-* #,##0.00\ &quot;Sk&quot;_-;_-* &quot;-&quot;??\ &quot;Sk&quot;_-;_-@_-"/>
    <numFmt numFmtId="199" formatCode="_ * #,##0_)\ _$_ ;_ * \(#,##0\)\ _$_ ;_ * &quot;-&quot;_)\ _$_ ;_ @_ "/>
    <numFmt numFmtId="200" formatCode="_ * #,##0.00_)\ _$_ ;_ * \(#,##0.00\)\ _$_ ;_ * &quot;-&quot;??_)\ _$_ ;_ @_ "/>
    <numFmt numFmtId="201" formatCode="_ * #,##0_)\ &quot;$&quot;_ ;_ * \(#,##0\)\ &quot;$&quot;_ ;_ * &quot;-&quot;_)\ &quot;$&quot;_ ;_ @_ "/>
    <numFmt numFmtId="202" formatCode="_ * #,##0.00_)\ &quot;$&quot;_ ;_ * \(#,##0.00\)\ &quot;$&quot;_ ;_ * &quot;-&quot;??_)\ &quot;$&quot;_ ;_ @_ "/>
    <numFmt numFmtId="203" formatCode="&quot;Note&quot;\ #"/>
    <numFmt numFmtId="204" formatCode="&quot;See Note &quot;\ #"/>
    <numFmt numFmtId="205" formatCode="\$\ #,##0"/>
    <numFmt numFmtId="206" formatCode="&quot;L.&quot;\ #,##0;[Red]\-&quot;L.&quot;\ #,##0"/>
    <numFmt numFmtId="207" formatCode="_-&quot;£&quot;* #,##0_-;\-&quot;£&quot;* #,##0_-;_-&quot;£&quot;* &quot;-&quot;_-;_-@_-"/>
    <numFmt numFmtId="208" formatCode="_-&quot;£&quot;* #,##0.00_-;\-&quot;£&quot;* #,##0.00_-;_-&quot;£&quot;* &quot;-&quot;??_-;_-@_-"/>
  </numFmts>
  <fonts count="21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sz val="10"/>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i/>
      <sz val="11"/>
      <color theme="1"/>
      <name val="Czcionka tekstu podstawowego"/>
      <family val="2"/>
      <charset val="238"/>
    </font>
    <font>
      <sz val="9"/>
      <color theme="1"/>
      <name val="Calibri"/>
      <family val="2"/>
      <charset val="238"/>
      <scheme val="minor"/>
    </font>
    <font>
      <vertAlign val="superscript"/>
      <sz val="9"/>
      <color theme="1"/>
      <name val="Calibri"/>
      <family val="2"/>
      <charset val="238"/>
      <scheme val="minor"/>
    </font>
    <font>
      <i/>
      <sz val="10"/>
      <color theme="1"/>
      <name val="Calibri"/>
      <family val="2"/>
      <charset val="238"/>
      <scheme val="minor"/>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sz val="10"/>
      <color indexed="8"/>
      <name val="Calibri"/>
      <family val="2"/>
      <charset val="238"/>
      <scheme val="minor"/>
    </font>
    <font>
      <i/>
      <sz val="10"/>
      <color indexed="8"/>
      <name val="Calibri"/>
      <family val="2"/>
      <charset val="238"/>
      <scheme val="minor"/>
    </font>
    <font>
      <b/>
      <sz val="10"/>
      <name val="Calibri"/>
      <family val="2"/>
      <charset val="238"/>
      <scheme val="minor"/>
    </font>
    <font>
      <vertAlign val="superscript"/>
      <sz val="10"/>
      <name val="Calibri"/>
      <family val="2"/>
      <charset val="238"/>
      <scheme val="minor"/>
    </font>
    <font>
      <sz val="9"/>
      <name val="Arial Narrow"/>
      <family val="2"/>
      <charset val="238"/>
    </font>
    <font>
      <b/>
      <vertAlign val="superscript"/>
      <sz val="10"/>
      <color indexed="8"/>
      <name val="Calibri"/>
      <family val="2"/>
      <charset val="238"/>
    </font>
    <font>
      <i/>
      <sz val="10"/>
      <color indexed="8"/>
      <name val="Calibri"/>
      <family val="2"/>
      <charset val="238"/>
    </font>
    <font>
      <sz val="11"/>
      <color theme="1"/>
      <name val="Calibri"/>
      <family val="2"/>
      <charset val="238"/>
    </font>
    <font>
      <b/>
      <sz val="11"/>
      <color theme="1"/>
      <name val="Calibri"/>
      <family val="2"/>
      <charset val="238"/>
    </font>
    <font>
      <sz val="10"/>
      <name val="Calibri"/>
      <family val="2"/>
      <charset val="238"/>
    </font>
    <font>
      <b/>
      <sz val="10"/>
      <color theme="1"/>
      <name val="Calibri"/>
      <family val="2"/>
      <charset val="238"/>
    </font>
    <font>
      <b/>
      <sz val="10"/>
      <name val="Calibri"/>
      <family val="2"/>
      <charset val="238"/>
    </font>
    <font>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b/>
      <vertAlign val="superscript"/>
      <sz val="9"/>
      <color theme="1"/>
      <name val="Arial Narrow"/>
      <family val="2"/>
      <charset val="238"/>
    </font>
    <font>
      <sz val="10"/>
      <color theme="1"/>
      <name val="Times New Roman"/>
      <family val="1"/>
      <charset val="238"/>
    </font>
    <font>
      <b/>
      <sz val="9"/>
      <color rgb="FFFFFFFF"/>
      <name val="Arial Narrow"/>
      <family val="2"/>
      <charset val="238"/>
    </font>
    <font>
      <i/>
      <sz val="9"/>
      <color rgb="FFFFFFFF"/>
      <name val="Arial Narrow"/>
      <family val="2"/>
      <charset val="238"/>
    </font>
    <font>
      <sz val="9"/>
      <color rgb="FF000000"/>
      <name val="Arial Narrow"/>
      <family val="2"/>
      <charset val="238"/>
    </font>
    <font>
      <b/>
      <sz val="9"/>
      <color rgb="FF000000"/>
      <name val="Arial Narrow"/>
      <family val="2"/>
      <charset val="238"/>
    </font>
    <font>
      <sz val="10"/>
      <color rgb="FFFF0000"/>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vertAlign val="superscript"/>
      <sz val="10"/>
      <name val="Calibri"/>
      <family val="2"/>
      <charset val="238"/>
    </font>
    <font>
      <sz val="11"/>
      <name val="Calibri"/>
      <family val="2"/>
      <charset val="238"/>
      <scheme val="minor"/>
    </font>
    <font>
      <i/>
      <sz val="11"/>
      <name val="Calibri"/>
      <family val="2"/>
      <charset val="238"/>
      <scheme val="minor"/>
    </font>
    <font>
      <vertAlign val="superscript"/>
      <sz val="9"/>
      <name val="Calibri"/>
      <family val="2"/>
      <charset val="238"/>
    </font>
  </fonts>
  <fills count="9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mediumGray">
        <fgColor rgb="FFFFC000"/>
      </patternFill>
    </fill>
    <fill>
      <patternFill patternType="solid">
        <fgColor rgb="FFFFC00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mediumGray">
        <fgColor theme="0" tint="-0.24994659260841701"/>
        <bgColor rgb="FFF7A833"/>
      </patternFill>
    </fill>
    <fill>
      <patternFill patternType="mediumGray">
        <fgColor theme="0" tint="-0.24994659260841701"/>
        <bgColor rgb="FFFFC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1">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top style="dotted">
        <color rgb="FFF7A833"/>
      </top>
      <bottom style="dotted">
        <color rgb="FFF7A833"/>
      </bottom>
      <diagonal/>
    </border>
    <border>
      <left/>
      <right/>
      <top/>
      <bottom style="medium">
        <color rgb="FFF8A83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s>
  <cellStyleXfs count="42851">
    <xf numFmtId="0" fontId="0" fillId="0" borderId="0"/>
    <xf numFmtId="164" fontId="20" fillId="0" borderId="0" applyFont="0" applyFill="0" applyBorder="0" applyAlignment="0" applyProtection="0"/>
    <xf numFmtId="9" fontId="18" fillId="0" borderId="0" applyFont="0" applyFill="0" applyBorder="0" applyAlignment="0" applyProtection="0"/>
    <xf numFmtId="169" fontId="25" fillId="0" borderId="0"/>
    <xf numFmtId="169" fontId="25" fillId="0" borderId="0"/>
    <xf numFmtId="169" fontId="25" fillId="0" borderId="0"/>
    <xf numFmtId="9" fontId="2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0" fontId="101" fillId="0" borderId="0"/>
    <xf numFmtId="43" fontId="101" fillId="0" borderId="0" applyFont="0" applyFill="0" applyBorder="0" applyAlignment="0" applyProtection="0"/>
    <xf numFmtId="183" fontId="25" fillId="0" borderId="0"/>
    <xf numFmtId="0" fontId="102" fillId="0" borderId="0"/>
    <xf numFmtId="0" fontId="102" fillId="0" borderId="0"/>
    <xf numFmtId="0" fontId="102" fillId="0" borderId="0"/>
    <xf numFmtId="183" fontId="25" fillId="0" borderId="0"/>
    <xf numFmtId="0" fontId="4" fillId="0" borderId="0"/>
    <xf numFmtId="43" fontId="4" fillId="0" borderId="0" applyFont="0" applyFill="0" applyBorder="0" applyAlignment="0" applyProtection="0"/>
    <xf numFmtId="0" fontId="104" fillId="0" borderId="0"/>
    <xf numFmtId="0" fontId="4" fillId="0" borderId="0"/>
    <xf numFmtId="0" fontId="25" fillId="0" borderId="0"/>
    <xf numFmtId="0" fontId="105" fillId="0" borderId="0"/>
    <xf numFmtId="0" fontId="106" fillId="0" borderId="0"/>
    <xf numFmtId="166" fontId="107" fillId="0" borderId="0"/>
    <xf numFmtId="185" fontId="108" fillId="0" borderId="0" applyFont="0" applyFill="0" applyBorder="0" applyAlignment="0" applyProtection="0"/>
    <xf numFmtId="0" fontId="109" fillId="0" borderId="0">
      <alignment vertical="center"/>
    </xf>
    <xf numFmtId="1" fontId="107" fillId="0" borderId="0"/>
    <xf numFmtId="165" fontId="110" fillId="0" borderId="0"/>
    <xf numFmtId="2" fontId="107" fillId="0" borderId="0"/>
    <xf numFmtId="1" fontId="110" fillId="0" borderId="0"/>
    <xf numFmtId="1" fontId="111" fillId="0" borderId="0"/>
    <xf numFmtId="1" fontId="111" fillId="0" borderId="0"/>
    <xf numFmtId="1" fontId="111" fillId="0" borderId="0"/>
    <xf numFmtId="1" fontId="111" fillId="0" borderId="0"/>
    <xf numFmtId="186" fontId="112" fillId="0" borderId="0" applyFont="0" applyFill="0" applyBorder="0" applyAlignment="0" applyProtection="0"/>
    <xf numFmtId="38" fontId="113" fillId="0" borderId="0" applyFont="0" applyFill="0" applyBorder="0" applyAlignment="0" applyProtection="0"/>
    <xf numFmtId="0" fontId="114" fillId="56" borderId="0" applyNumberFormat="0" applyBorder="0" applyAlignment="0" applyProtection="0"/>
    <xf numFmtId="0" fontId="114" fillId="57" borderId="0" applyNumberFormat="0" applyBorder="0" applyAlignment="0" applyProtection="0"/>
    <xf numFmtId="0" fontId="114" fillId="58" borderId="0" applyNumberFormat="0" applyBorder="0" applyAlignment="0" applyProtection="0"/>
    <xf numFmtId="0" fontId="114" fillId="59" borderId="0" applyNumberFormat="0" applyBorder="0" applyAlignment="0" applyProtection="0"/>
    <xf numFmtId="0" fontId="114" fillId="60"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183" fontId="115" fillId="61" borderId="0" applyNumberFormat="0" applyBorder="0" applyAlignment="0" applyProtection="0"/>
    <xf numFmtId="0" fontId="25" fillId="33"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8" fillId="56" borderId="0" applyNumberFormat="0" applyBorder="0" applyAlignment="0" applyProtection="0"/>
    <xf numFmtId="0" fontId="25" fillId="33"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15" fillId="61"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183"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3"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33" borderId="0" applyNumberFormat="0" applyBorder="0" applyAlignment="0" applyProtection="0"/>
    <xf numFmtId="0" fontId="115" fillId="6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183" fontId="115" fillId="62"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25" fillId="3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8" fillId="57" borderId="0" applyNumberFormat="0" applyBorder="0" applyAlignment="0" applyProtection="0"/>
    <xf numFmtId="0" fontId="25" fillId="3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183"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3"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37" borderId="0" applyNumberFormat="0" applyBorder="0" applyAlignment="0" applyProtection="0"/>
    <xf numFmtId="0" fontId="115" fillId="62"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183" fontId="115" fillId="63"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41"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8" fillId="58" borderId="0" applyNumberFormat="0" applyBorder="0" applyAlignment="0" applyProtection="0"/>
    <xf numFmtId="0" fontId="25" fillId="41"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183"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3"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115" fillId="63" borderId="0" applyNumberFormat="0" applyBorder="0" applyAlignment="0" applyProtection="0"/>
    <xf numFmtId="0" fontId="25" fillId="41" borderId="0" applyNumberFormat="0" applyBorder="0" applyAlignment="0" applyProtection="0"/>
    <xf numFmtId="0" fontId="115" fillId="63"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183" fontId="115" fillId="61"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25" fillId="45"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8" fillId="59" borderId="0" applyNumberFormat="0" applyBorder="0" applyAlignment="0" applyProtection="0"/>
    <xf numFmtId="0" fontId="25" fillId="45"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183"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3"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115" fillId="61" borderId="0" applyNumberFormat="0" applyBorder="0" applyAlignment="0" applyProtection="0"/>
    <xf numFmtId="0" fontId="25" fillId="45" borderId="0" applyNumberFormat="0" applyBorder="0" applyAlignment="0" applyProtection="0"/>
    <xf numFmtId="0" fontId="115" fillId="61"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183" fontId="115"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25" fillId="4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8" fillId="60" borderId="0" applyNumberFormat="0" applyBorder="0" applyAlignment="0" applyProtection="0"/>
    <xf numFmtId="0" fontId="25" fillId="4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183"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3"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115" fillId="60" borderId="0" applyNumberFormat="0" applyBorder="0" applyAlignment="0" applyProtection="0"/>
    <xf numFmtId="0" fontId="25" fillId="49" borderId="0" applyNumberFormat="0" applyBorder="0" applyAlignment="0" applyProtection="0"/>
    <xf numFmtId="0" fontId="115" fillId="60"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183" fontId="115"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25" fillId="5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8" fillId="62" borderId="0" applyNumberFormat="0" applyBorder="0" applyAlignment="0" applyProtection="0"/>
    <xf numFmtId="0" fontId="25" fillId="5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183"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183"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3" borderId="0" applyNumberFormat="0" applyBorder="0" applyAlignment="0" applyProtection="0"/>
    <xf numFmtId="0" fontId="115" fillId="62"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183" fontId="115" fillId="64"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25" fillId="34"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8" fillId="65" borderId="0" applyNumberFormat="0" applyBorder="0" applyAlignment="0" applyProtection="0"/>
    <xf numFmtId="0" fontId="25" fillId="34"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183"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3"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34" borderId="0" applyNumberFormat="0" applyBorder="0" applyAlignment="0" applyProtection="0"/>
    <xf numFmtId="0" fontId="115" fillId="6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183" fontId="115"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38"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25" fillId="38"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183"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3"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25" fillId="38" borderId="0" applyNumberFormat="0" applyBorder="0" applyAlignment="0" applyProtection="0"/>
    <xf numFmtId="0" fontId="115" fillId="66"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183" fontId="115" fillId="67"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25" fillId="42"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8" fillId="68" borderId="0" applyNumberFormat="0" applyBorder="0" applyAlignment="0" applyProtection="0"/>
    <xf numFmtId="0" fontId="25" fillId="42"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183"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3"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115" fillId="67" borderId="0" applyNumberFormat="0" applyBorder="0" applyAlignment="0" applyProtection="0"/>
    <xf numFmtId="0" fontId="25" fillId="42" borderId="0" applyNumberFormat="0" applyBorder="0" applyAlignment="0" applyProtection="0"/>
    <xf numFmtId="0" fontId="115" fillId="67"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183" fontId="115" fillId="64"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25" fillId="46"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8" fillId="59" borderId="0" applyNumberFormat="0" applyBorder="0" applyAlignment="0" applyProtection="0"/>
    <xf numFmtId="0" fontId="25" fillId="46"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183"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3"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25" fillId="46" borderId="0" applyNumberFormat="0" applyBorder="0" applyAlignment="0" applyProtection="0"/>
    <xf numFmtId="0" fontId="115" fillId="6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183" fontId="115"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25" fillId="50"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8" fillId="65" borderId="0" applyNumberFormat="0" applyBorder="0" applyAlignment="0" applyProtection="0"/>
    <xf numFmtId="0" fontId="25" fillId="50"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183"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3"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115" fillId="65" borderId="0" applyNumberFormat="0" applyBorder="0" applyAlignment="0" applyProtection="0"/>
    <xf numFmtId="0" fontId="25" fillId="50" borderId="0" applyNumberFormat="0" applyBorder="0" applyAlignment="0" applyProtection="0"/>
    <xf numFmtId="0" fontId="115" fillId="65"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183" fontId="115" fillId="62"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25" fillId="54"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8" fillId="69" borderId="0" applyNumberFormat="0" applyBorder="0" applyAlignment="0" applyProtection="0"/>
    <xf numFmtId="0" fontId="25" fillId="54"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183"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183"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115" fillId="62" borderId="0" applyNumberFormat="0" applyBorder="0" applyAlignment="0" applyProtection="0"/>
    <xf numFmtId="0" fontId="25" fillId="54" borderId="0" applyNumberFormat="0" applyBorder="0" applyAlignment="0" applyProtection="0"/>
    <xf numFmtId="0" fontId="115" fillId="62"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25"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183" fontId="18" fillId="70"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00" fillId="35"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6" fillId="35"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0" fontId="115" fillId="71" borderId="0" applyNumberFormat="0" applyBorder="0" applyAlignment="0" applyProtection="0"/>
    <xf numFmtId="183" fontId="18" fillId="70" borderId="0" applyNumberFormat="0" applyBorder="0" applyAlignment="0" applyProtection="0"/>
    <xf numFmtId="0" fontId="115" fillId="71"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35" borderId="0" applyNumberFormat="0" applyBorder="0" applyAlignment="0" applyProtection="0"/>
    <xf numFmtId="0" fontId="18" fillId="70" borderId="0" applyNumberFormat="0" applyBorder="0" applyAlignment="0" applyProtection="0"/>
    <xf numFmtId="183"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35" borderId="0" applyNumberFormat="0" applyBorder="0" applyAlignment="0" applyProtection="0"/>
    <xf numFmtId="0" fontId="18" fillId="70" borderId="0" applyNumberFormat="0" applyBorder="0" applyAlignment="0" applyProtection="0"/>
    <xf numFmtId="0" fontId="100" fillId="35" borderId="0" applyNumberFormat="0" applyBorder="0" applyAlignment="0" applyProtection="0"/>
    <xf numFmtId="0" fontId="116" fillId="35" borderId="0" applyNumberFormat="0" applyBorder="0" applyAlignment="0" applyProtection="0"/>
    <xf numFmtId="0" fontId="116" fillId="35" borderId="0" applyNumberFormat="0" applyBorder="0" applyAlignment="0" applyProtection="0"/>
    <xf numFmtId="0" fontId="116" fillId="35" borderId="0" applyNumberFormat="0" applyBorder="0" applyAlignment="0" applyProtection="0"/>
    <xf numFmtId="183"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00" fillId="39"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6" fillId="39"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0" fontId="115" fillId="66" borderId="0" applyNumberFormat="0" applyBorder="0" applyAlignment="0" applyProtection="0"/>
    <xf numFmtId="183" fontId="18" fillId="66" borderId="0" applyNumberFormat="0" applyBorder="0" applyAlignment="0" applyProtection="0"/>
    <xf numFmtId="0" fontId="115"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6" fillId="39" borderId="0" applyNumberFormat="0" applyBorder="0" applyAlignment="0" applyProtection="0"/>
    <xf numFmtId="0" fontId="18" fillId="66" borderId="0" applyNumberFormat="0" applyBorder="0" applyAlignment="0" applyProtection="0"/>
    <xf numFmtId="183"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16" fillId="39" borderId="0" applyNumberFormat="0" applyBorder="0" applyAlignment="0" applyProtection="0"/>
    <xf numFmtId="0" fontId="18" fillId="66" borderId="0" applyNumberFormat="0" applyBorder="0" applyAlignment="0" applyProtection="0"/>
    <xf numFmtId="0" fontId="100" fillId="39" borderId="0" applyNumberFormat="0" applyBorder="0" applyAlignment="0" applyProtection="0"/>
    <xf numFmtId="0" fontId="116" fillId="39" borderId="0" applyNumberFormat="0" applyBorder="0" applyAlignment="0" applyProtection="0"/>
    <xf numFmtId="0" fontId="116" fillId="39" borderId="0" applyNumberFormat="0" applyBorder="0" applyAlignment="0" applyProtection="0"/>
    <xf numFmtId="0" fontId="116" fillId="39" borderId="0" applyNumberFormat="0" applyBorder="0" applyAlignment="0" applyProtection="0"/>
    <xf numFmtId="183" fontId="18" fillId="67"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00" fillId="43"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6" fillId="43"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0" fontId="115" fillId="68" borderId="0" applyNumberFormat="0" applyBorder="0" applyAlignment="0" applyProtection="0"/>
    <xf numFmtId="183" fontId="18" fillId="67" borderId="0" applyNumberFormat="0" applyBorder="0" applyAlignment="0" applyProtection="0"/>
    <xf numFmtId="0" fontId="115" fillId="68"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16" fillId="43" borderId="0" applyNumberFormat="0" applyBorder="0" applyAlignment="0" applyProtection="0"/>
    <xf numFmtId="0" fontId="18" fillId="67" borderId="0" applyNumberFormat="0" applyBorder="0" applyAlignment="0" applyProtection="0"/>
    <xf numFmtId="183"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16" fillId="43" borderId="0" applyNumberFormat="0" applyBorder="0" applyAlignment="0" applyProtection="0"/>
    <xf numFmtId="0" fontId="18" fillId="67" borderId="0" applyNumberFormat="0" applyBorder="0" applyAlignment="0" applyProtection="0"/>
    <xf numFmtId="0" fontId="100" fillId="43" borderId="0" applyNumberFormat="0" applyBorder="0" applyAlignment="0" applyProtection="0"/>
    <xf numFmtId="0" fontId="116" fillId="43" borderId="0" applyNumberFormat="0" applyBorder="0" applyAlignment="0" applyProtection="0"/>
    <xf numFmtId="0" fontId="116" fillId="43" borderId="0" applyNumberFormat="0" applyBorder="0" applyAlignment="0" applyProtection="0"/>
    <xf numFmtId="0" fontId="116" fillId="43" borderId="0" applyNumberFormat="0" applyBorder="0" applyAlignment="0" applyProtection="0"/>
    <xf numFmtId="183" fontId="18" fillId="6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00" fillId="4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6" fillId="4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183" fontId="18" fillId="64" borderId="0" applyNumberFormat="0" applyBorder="0" applyAlignment="0" applyProtection="0"/>
    <xf numFmtId="0" fontId="115" fillId="72"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16" fillId="47" borderId="0" applyNumberFormat="0" applyBorder="0" applyAlignment="0" applyProtection="0"/>
    <xf numFmtId="0" fontId="18" fillId="64" borderId="0" applyNumberFormat="0" applyBorder="0" applyAlignment="0" applyProtection="0"/>
    <xf numFmtId="183"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16" fillId="47" borderId="0" applyNumberFormat="0" applyBorder="0" applyAlignment="0" applyProtection="0"/>
    <xf numFmtId="0" fontId="18" fillId="64" borderId="0" applyNumberFormat="0" applyBorder="0" applyAlignment="0" applyProtection="0"/>
    <xf numFmtId="0" fontId="100" fillId="47" borderId="0" applyNumberFormat="0" applyBorder="0" applyAlignment="0" applyProtection="0"/>
    <xf numFmtId="0" fontId="116" fillId="47" borderId="0" applyNumberFormat="0" applyBorder="0" applyAlignment="0" applyProtection="0"/>
    <xf numFmtId="0" fontId="116" fillId="47" borderId="0" applyNumberFormat="0" applyBorder="0" applyAlignment="0" applyProtection="0"/>
    <xf numFmtId="0" fontId="116" fillId="47" borderId="0" applyNumberFormat="0" applyBorder="0" applyAlignment="0" applyProtection="0"/>
    <xf numFmtId="183"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00" fillId="51"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6" fillId="51"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183"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51" borderId="0" applyNumberFormat="0" applyBorder="0" applyAlignment="0" applyProtection="0"/>
    <xf numFmtId="0" fontId="18" fillId="70" borderId="0" applyNumberFormat="0" applyBorder="0" applyAlignment="0" applyProtection="0"/>
    <xf numFmtId="183"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51" borderId="0" applyNumberFormat="0" applyBorder="0" applyAlignment="0" applyProtection="0"/>
    <xf numFmtId="0" fontId="18" fillId="70" borderId="0" applyNumberFormat="0" applyBorder="0" applyAlignment="0" applyProtection="0"/>
    <xf numFmtId="0" fontId="100" fillId="51" borderId="0" applyNumberFormat="0" applyBorder="0" applyAlignment="0" applyProtection="0"/>
    <xf numFmtId="0" fontId="116" fillId="51" borderId="0" applyNumberFormat="0" applyBorder="0" applyAlignment="0" applyProtection="0"/>
    <xf numFmtId="0" fontId="116" fillId="51" borderId="0" applyNumberFormat="0" applyBorder="0" applyAlignment="0" applyProtection="0"/>
    <xf numFmtId="0" fontId="116" fillId="51" borderId="0" applyNumberFormat="0" applyBorder="0" applyAlignment="0" applyProtection="0"/>
    <xf numFmtId="183" fontId="18" fillId="62"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00" fillId="55"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6" fillId="55"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0" fontId="115" fillId="73" borderId="0" applyNumberFormat="0" applyBorder="0" applyAlignment="0" applyProtection="0"/>
    <xf numFmtId="183" fontId="18" fillId="62" borderId="0" applyNumberFormat="0" applyBorder="0" applyAlignment="0" applyProtection="0"/>
    <xf numFmtId="0" fontId="115" fillId="73"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6" fillId="55" borderId="0" applyNumberFormat="0" applyBorder="0" applyAlignment="0" applyProtection="0"/>
    <xf numFmtId="0" fontId="18" fillId="62" borderId="0" applyNumberFormat="0" applyBorder="0" applyAlignment="0" applyProtection="0"/>
    <xf numFmtId="183"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16" fillId="55" borderId="0" applyNumberFormat="0" applyBorder="0" applyAlignment="0" applyProtection="0"/>
    <xf numFmtId="0" fontId="18" fillId="62" borderId="0" applyNumberFormat="0" applyBorder="0" applyAlignment="0" applyProtection="0"/>
    <xf numFmtId="0" fontId="100" fillId="55" borderId="0" applyNumberFormat="0" applyBorder="0" applyAlignment="0" applyProtection="0"/>
    <xf numFmtId="0" fontId="116" fillId="55" borderId="0" applyNumberFormat="0" applyBorder="0" applyAlignment="0" applyProtection="0"/>
    <xf numFmtId="0" fontId="116" fillId="55" borderId="0" applyNumberFormat="0" applyBorder="0" applyAlignment="0" applyProtection="0"/>
    <xf numFmtId="0" fontId="116" fillId="55" borderId="0" applyNumberFormat="0" applyBorder="0" applyAlignment="0" applyProtection="0"/>
    <xf numFmtId="0" fontId="117" fillId="74" borderId="0">
      <alignment horizontal="left" vertical="top"/>
    </xf>
    <xf numFmtId="187" fontId="113" fillId="0" borderId="0" applyFont="0" applyFill="0" applyBorder="0" applyAlignment="0" applyProtection="0"/>
    <xf numFmtId="183" fontId="18" fillId="70"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00" fillId="32"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6" fillId="32"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0" fontId="115" fillId="75" borderId="0" applyNumberFormat="0" applyBorder="0" applyAlignment="0" applyProtection="0"/>
    <xf numFmtId="183" fontId="18" fillId="70" borderId="0" applyNumberFormat="0" applyBorder="0" applyAlignment="0" applyProtection="0"/>
    <xf numFmtId="0" fontId="115"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32" borderId="0" applyNumberFormat="0" applyBorder="0" applyAlignment="0" applyProtection="0"/>
    <xf numFmtId="0" fontId="18" fillId="70" borderId="0" applyNumberFormat="0" applyBorder="0" applyAlignment="0" applyProtection="0"/>
    <xf numFmtId="183"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32" borderId="0" applyNumberFormat="0" applyBorder="0" applyAlignment="0" applyProtection="0"/>
    <xf numFmtId="0" fontId="18" fillId="70" borderId="0" applyNumberFormat="0" applyBorder="0" applyAlignment="0" applyProtection="0"/>
    <xf numFmtId="0" fontId="100" fillId="32" borderId="0" applyNumberFormat="0" applyBorder="0" applyAlignment="0" applyProtection="0"/>
    <xf numFmtId="0" fontId="116" fillId="32" borderId="0" applyNumberFormat="0" applyBorder="0" applyAlignment="0" applyProtection="0"/>
    <xf numFmtId="0" fontId="116" fillId="32" borderId="0" applyNumberFormat="0" applyBorder="0" applyAlignment="0" applyProtection="0"/>
    <xf numFmtId="0" fontId="116" fillId="32" borderId="0" applyNumberFormat="0" applyBorder="0" applyAlignment="0" applyProtection="0"/>
    <xf numFmtId="183" fontId="18" fillId="68"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00" fillId="36"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6" fillId="36"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0" fontId="115" fillId="64" borderId="0" applyNumberFormat="0" applyBorder="0" applyAlignment="0" applyProtection="0"/>
    <xf numFmtId="183" fontId="18" fillId="68" borderId="0" applyNumberFormat="0" applyBorder="0" applyAlignment="0" applyProtection="0"/>
    <xf numFmtId="0" fontId="115" fillId="64"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6" fillId="36" borderId="0" applyNumberFormat="0" applyBorder="0" applyAlignment="0" applyProtection="0"/>
    <xf numFmtId="0" fontId="18" fillId="68" borderId="0" applyNumberFormat="0" applyBorder="0" applyAlignment="0" applyProtection="0"/>
    <xf numFmtId="183"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16" fillId="36" borderId="0" applyNumberFormat="0" applyBorder="0" applyAlignment="0" applyProtection="0"/>
    <xf numFmtId="0" fontId="18" fillId="68" borderId="0" applyNumberFormat="0" applyBorder="0" applyAlignment="0" applyProtection="0"/>
    <xf numFmtId="0" fontId="100"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0" fontId="116" fillId="36" borderId="0" applyNumberFormat="0" applyBorder="0" applyAlignment="0" applyProtection="0"/>
    <xf numFmtId="183" fontId="18"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00" fillId="40"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6" fillId="40"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0" fontId="115" fillId="76" borderId="0" applyNumberFormat="0" applyBorder="0" applyAlignment="0" applyProtection="0"/>
    <xf numFmtId="183" fontId="18" fillId="76" borderId="0" applyNumberFormat="0" applyBorder="0" applyAlignment="0" applyProtection="0"/>
    <xf numFmtId="0" fontId="115"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16" fillId="40" borderId="0" applyNumberFormat="0" applyBorder="0" applyAlignment="0" applyProtection="0"/>
    <xf numFmtId="0" fontId="18" fillId="76" borderId="0" applyNumberFormat="0" applyBorder="0" applyAlignment="0" applyProtection="0"/>
    <xf numFmtId="183"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16" fillId="40" borderId="0" applyNumberFormat="0" applyBorder="0" applyAlignment="0" applyProtection="0"/>
    <xf numFmtId="0" fontId="18" fillId="76" borderId="0" applyNumberFormat="0" applyBorder="0" applyAlignment="0" applyProtection="0"/>
    <xf numFmtId="0" fontId="100" fillId="40" borderId="0" applyNumberFormat="0" applyBorder="0" applyAlignment="0" applyProtection="0"/>
    <xf numFmtId="0" fontId="116" fillId="40" borderId="0" applyNumberFormat="0" applyBorder="0" applyAlignment="0" applyProtection="0"/>
    <xf numFmtId="0" fontId="116" fillId="40" borderId="0" applyNumberFormat="0" applyBorder="0" applyAlignment="0" applyProtection="0"/>
    <xf numFmtId="0" fontId="116" fillId="40" borderId="0" applyNumberFormat="0" applyBorder="0" applyAlignment="0" applyProtection="0"/>
    <xf numFmtId="183" fontId="18" fillId="7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00" fillId="4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6" fillId="44"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0" fontId="115" fillId="72" borderId="0" applyNumberFormat="0" applyBorder="0" applyAlignment="0" applyProtection="0"/>
    <xf numFmtId="183" fontId="18" fillId="77" borderId="0" applyNumberFormat="0" applyBorder="0" applyAlignment="0" applyProtection="0"/>
    <xf numFmtId="0" fontId="115" fillId="72"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16" fillId="44" borderId="0" applyNumberFormat="0" applyBorder="0" applyAlignment="0" applyProtection="0"/>
    <xf numFmtId="0" fontId="18" fillId="77" borderId="0" applyNumberFormat="0" applyBorder="0" applyAlignment="0" applyProtection="0"/>
    <xf numFmtId="183"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16" fillId="44" borderId="0" applyNumberFormat="0" applyBorder="0" applyAlignment="0" applyProtection="0"/>
    <xf numFmtId="0" fontId="18" fillId="77" borderId="0" applyNumberFormat="0" applyBorder="0" applyAlignment="0" applyProtection="0"/>
    <xf numFmtId="0" fontId="100" fillId="44" borderId="0" applyNumberFormat="0" applyBorder="0" applyAlignment="0" applyProtection="0"/>
    <xf numFmtId="0" fontId="116" fillId="44" borderId="0" applyNumberFormat="0" applyBorder="0" applyAlignment="0" applyProtection="0"/>
    <xf numFmtId="0" fontId="116" fillId="44" borderId="0" applyNumberFormat="0" applyBorder="0" applyAlignment="0" applyProtection="0"/>
    <xf numFmtId="0" fontId="116" fillId="44" borderId="0" applyNumberFormat="0" applyBorder="0" applyAlignment="0" applyProtection="0"/>
    <xf numFmtId="183"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00" fillId="48"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6" fillId="48"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0" fontId="115" fillId="70" borderId="0" applyNumberFormat="0" applyBorder="0" applyAlignment="0" applyProtection="0"/>
    <xf numFmtId="183" fontId="18" fillId="70" borderId="0" applyNumberFormat="0" applyBorder="0" applyAlignment="0" applyProtection="0"/>
    <xf numFmtId="0" fontId="115"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48" borderId="0" applyNumberFormat="0" applyBorder="0" applyAlignment="0" applyProtection="0"/>
    <xf numFmtId="0" fontId="18" fillId="70" borderId="0" applyNumberFormat="0" applyBorder="0" applyAlignment="0" applyProtection="0"/>
    <xf numFmtId="183"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16" fillId="48" borderId="0" applyNumberFormat="0" applyBorder="0" applyAlignment="0" applyProtection="0"/>
    <xf numFmtId="0" fontId="18" fillId="70" borderId="0" applyNumberFormat="0" applyBorder="0" applyAlignment="0" applyProtection="0"/>
    <xf numFmtId="0" fontId="100" fillId="48" borderId="0" applyNumberFormat="0" applyBorder="0" applyAlignment="0" applyProtection="0"/>
    <xf numFmtId="0" fontId="116" fillId="48" borderId="0" applyNumberFormat="0" applyBorder="0" applyAlignment="0" applyProtection="0"/>
    <xf numFmtId="0" fontId="116" fillId="48" borderId="0" applyNumberFormat="0" applyBorder="0" applyAlignment="0" applyProtection="0"/>
    <xf numFmtId="0" fontId="116" fillId="48" borderId="0" applyNumberFormat="0" applyBorder="0" applyAlignment="0" applyProtection="0"/>
    <xf numFmtId="183" fontId="18"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00" fillId="52"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6" fillId="52"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0" fontId="115" fillId="78" borderId="0" applyNumberFormat="0" applyBorder="0" applyAlignment="0" applyProtection="0"/>
    <xf numFmtId="183" fontId="18" fillId="78" borderId="0" applyNumberFormat="0" applyBorder="0" applyAlignment="0" applyProtection="0"/>
    <xf numFmtId="0" fontId="115"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16" fillId="52" borderId="0" applyNumberFormat="0" applyBorder="0" applyAlignment="0" applyProtection="0"/>
    <xf numFmtId="0" fontId="18" fillId="78" borderId="0" applyNumberFormat="0" applyBorder="0" applyAlignment="0" applyProtection="0"/>
    <xf numFmtId="183"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16" fillId="52" borderId="0" applyNumberFormat="0" applyBorder="0" applyAlignment="0" applyProtection="0"/>
    <xf numFmtId="0" fontId="18" fillId="78" borderId="0" applyNumberFormat="0" applyBorder="0" applyAlignment="0" applyProtection="0"/>
    <xf numFmtId="0" fontId="100"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0" fontId="116" fillId="52" borderId="0" applyNumberFormat="0" applyBorder="0" applyAlignment="0" applyProtection="0"/>
    <xf numFmtId="188" fontId="104" fillId="0" borderId="0" applyFill="0" applyBorder="0" applyAlignment="0"/>
    <xf numFmtId="43" fontId="104" fillId="0" borderId="0" applyFont="0" applyFill="0" applyBorder="0" applyAlignment="0" applyProtection="0"/>
    <xf numFmtId="183"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93" fillId="28" borderId="44"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9" fillId="28" borderId="44"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8" fillId="62" borderId="50" applyNumberFormat="0" applyAlignment="0" applyProtection="0"/>
    <xf numFmtId="183" fontId="118" fillId="62" borderId="50" applyNumberFormat="0" applyAlignment="0" applyProtection="0"/>
    <xf numFmtId="0"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9" fillId="28" borderId="44" applyNumberFormat="0" applyAlignment="0" applyProtection="0"/>
    <xf numFmtId="0" fontId="18" fillId="0" borderId="0" applyNumberFormat="0" applyFont="0" applyFill="0" applyBorder="0" applyAlignment="0" applyProtection="0"/>
    <xf numFmtId="183" fontId="118" fillId="62" borderId="50"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18" fillId="62" borderId="50" applyNumberFormat="0" applyAlignment="0" applyProtection="0"/>
    <xf numFmtId="0" fontId="118" fillId="62" borderId="50" applyNumberFormat="0" applyAlignment="0" applyProtection="0"/>
    <xf numFmtId="0" fontId="119" fillId="28" borderId="44" applyNumberFormat="0" applyAlignment="0" applyProtection="0"/>
    <xf numFmtId="0" fontId="18" fillId="0" borderId="0" applyNumberFormat="0" applyFont="0" applyFill="0" applyBorder="0" applyAlignment="0" applyProtection="0"/>
    <xf numFmtId="0" fontId="93" fillId="28" borderId="44" applyNumberFormat="0" applyAlignment="0" applyProtection="0"/>
    <xf numFmtId="0" fontId="119" fillId="28" borderId="44" applyNumberFormat="0" applyAlignment="0" applyProtection="0"/>
    <xf numFmtId="0" fontId="119" fillId="28" borderId="44" applyNumberFormat="0" applyAlignment="0" applyProtection="0"/>
    <xf numFmtId="0" fontId="119" fillId="28" borderId="44" applyNumberFormat="0" applyAlignment="0" applyProtection="0"/>
    <xf numFmtId="183" fontId="120" fillId="61"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94" fillId="29" borderId="45"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61"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61"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1" fillId="29" borderId="45" applyNumberFormat="0" applyAlignment="0" applyProtection="0"/>
    <xf numFmtId="0" fontId="122" fillId="0" borderId="45"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20" fillId="79" borderId="51" applyNumberFormat="0" applyAlignment="0" applyProtection="0"/>
    <xf numFmtId="0" fontId="120" fillId="79" borderId="51" applyNumberFormat="0" applyAlignment="0" applyProtection="0"/>
    <xf numFmtId="0" fontId="120" fillId="79" borderId="51" applyNumberFormat="0" applyAlignment="0" applyProtection="0"/>
    <xf numFmtId="183" fontId="120" fillId="61" borderId="51" applyNumberFormat="0" applyAlignment="0" applyProtection="0"/>
    <xf numFmtId="0" fontId="120" fillId="79"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61" borderId="51" applyNumberFormat="0" applyAlignment="0" applyProtection="0"/>
    <xf numFmtId="0" fontId="120" fillId="61" borderId="51" applyNumberFormat="0" applyAlignment="0" applyProtection="0"/>
    <xf numFmtId="0" fontId="121" fillId="29" borderId="45" applyNumberFormat="0" applyAlignment="0" applyProtection="0"/>
    <xf numFmtId="0" fontId="18" fillId="0" borderId="0" applyNumberFormat="0" applyFont="0" applyFill="0" applyBorder="0" applyAlignment="0" applyProtection="0"/>
    <xf numFmtId="183" fontId="120" fillId="61" borderId="51"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0" fillId="61" borderId="51" applyNumberFormat="0" applyAlignment="0" applyProtection="0"/>
    <xf numFmtId="0" fontId="120" fillId="61" borderId="51" applyNumberFormat="0" applyAlignment="0" applyProtection="0"/>
    <xf numFmtId="0" fontId="121" fillId="29" borderId="45" applyNumberFormat="0" applyAlignment="0" applyProtection="0"/>
    <xf numFmtId="0" fontId="18" fillId="0" borderId="0" applyNumberFormat="0" applyFont="0" applyFill="0" applyBorder="0" applyAlignment="0" applyProtection="0"/>
    <xf numFmtId="0" fontId="94" fillId="29" borderId="45" applyNumberFormat="0" applyAlignment="0" applyProtection="0"/>
    <xf numFmtId="0" fontId="121" fillId="29" borderId="45" applyNumberFormat="0" applyAlignment="0" applyProtection="0"/>
    <xf numFmtId="0" fontId="122" fillId="0" borderId="45" applyNumberFormat="0" applyFill="0" applyAlignment="0" applyProtection="0"/>
    <xf numFmtId="0" fontId="122" fillId="0" borderId="45" applyNumberFormat="0" applyFill="0" applyAlignment="0" applyProtection="0"/>
    <xf numFmtId="0" fontId="121" fillId="29" borderId="45" applyNumberFormat="0" applyAlignment="0" applyProtection="0"/>
    <xf numFmtId="0" fontId="122" fillId="0" borderId="45" applyNumberFormat="0" applyFill="0" applyAlignment="0" applyProtection="0"/>
    <xf numFmtId="183"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90" fillId="25"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4" fillId="25" borderId="0" applyNumberFormat="0" applyBorder="0" applyAlignment="0" applyProtection="0"/>
    <xf numFmtId="0" fontId="124"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183" fontId="123" fillId="58" borderId="0" applyNumberFormat="0" applyBorder="0" applyAlignment="0" applyProtection="0"/>
    <xf numFmtId="0"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24" fillId="25" borderId="0" applyNumberFormat="0" applyBorder="0" applyAlignment="0" applyProtection="0"/>
    <xf numFmtId="0" fontId="18" fillId="0" borderId="0" applyNumberFormat="0" applyFont="0" applyFill="0" applyBorder="0" applyAlignment="0" applyProtection="0"/>
    <xf numFmtId="183" fontId="123" fillId="58"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23" fillId="58" borderId="0" applyNumberFormat="0" applyBorder="0" applyAlignment="0" applyProtection="0"/>
    <xf numFmtId="0" fontId="123" fillId="58" borderId="0" applyNumberFormat="0" applyBorder="0" applyAlignment="0" applyProtection="0"/>
    <xf numFmtId="0" fontId="124" fillId="25" borderId="0" applyNumberFormat="0" applyBorder="0" applyAlignment="0" applyProtection="0"/>
    <xf numFmtId="0" fontId="18" fillId="0" borderId="0" applyNumberFormat="0" applyFont="0" applyFill="0" applyBorder="0" applyAlignment="0" applyProtection="0"/>
    <xf numFmtId="0" fontId="90" fillId="25" borderId="0" applyNumberFormat="0" applyBorder="0" applyAlignment="0" applyProtection="0"/>
    <xf numFmtId="0" fontId="124" fillId="25" borderId="0" applyNumberFormat="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25" borderId="0" applyNumberFormat="0" applyBorder="0" applyAlignment="0" applyProtection="0"/>
    <xf numFmtId="0" fontId="124" fillId="0" borderId="0" applyNumberFormat="0" applyFill="0" applyBorder="0" applyAlignment="0" applyProtection="0"/>
    <xf numFmtId="189" fontId="125" fillId="0" borderId="0">
      <alignment horizontal="center"/>
    </xf>
    <xf numFmtId="190" fontId="108" fillId="0" borderId="0" applyFont="0" applyFill="0" applyBorder="0" applyAlignment="0" applyProtection="0"/>
    <xf numFmtId="191" fontId="10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43" fontId="126" fillId="0" borderId="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43" fontId="10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43" fontId="12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8"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164" fontId="108" fillId="0" borderId="0" applyFont="0" applyFill="0" applyBorder="0" applyAlignment="0" applyProtection="0"/>
    <xf numFmtId="43" fontId="10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8" fillId="0" borderId="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43" fontId="105"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43" fontId="72"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72" fillId="0" borderId="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108"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72" fillId="0" borderId="0" applyFont="0" applyFill="0" applyBorder="0" applyAlignment="0" applyProtection="0"/>
    <xf numFmtId="43" fontId="2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8" fillId="0" borderId="0" applyFont="0" applyFill="0" applyBorder="0" applyAlignment="0" applyProtection="0"/>
    <xf numFmtId="43" fontId="72" fillId="0" borderId="0" applyFont="0" applyFill="0" applyBorder="0" applyAlignment="0" applyProtection="0"/>
    <xf numFmtId="43" fontId="10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164" fontId="108" fillId="0" borderId="0" applyFont="0" applyFill="0" applyBorder="0" applyAlignment="0" applyProtection="0"/>
    <xf numFmtId="43" fontId="108"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25" fillId="0" borderId="0" applyFont="0" applyFill="0" applyBorder="0" applyAlignment="0" applyProtection="0"/>
    <xf numFmtId="43" fontId="4" fillId="0" borderId="0" applyFont="0" applyFill="0" applyBorder="0" applyAlignment="0" applyProtection="0"/>
    <xf numFmtId="43" fontId="128" fillId="0" borderId="0" applyFont="0" applyFill="0" applyBorder="0" applyAlignment="0" applyProtection="0"/>
    <xf numFmtId="0" fontId="129" fillId="0" borderId="0" applyNumberFormat="0" applyFill="0" applyBorder="0" applyAlignment="0" applyProtection="0"/>
    <xf numFmtId="183" fontId="108" fillId="0" borderId="0" applyFont="0" applyFill="0" applyBorder="0" applyAlignment="0" applyProtection="0"/>
    <xf numFmtId="169" fontId="104" fillId="0" borderId="0" applyFont="0" applyFill="0" applyBorder="0" applyAlignment="0" applyProtection="0"/>
    <xf numFmtId="169" fontId="108" fillId="0" borderId="0" applyFont="0" applyFill="0" applyBorder="0" applyAlignment="0" applyProtection="0"/>
    <xf numFmtId="0" fontId="108" fillId="0" borderId="0" applyFont="0" applyFill="0" applyBorder="0" applyAlignment="0" applyProtection="0"/>
    <xf numFmtId="169" fontId="108"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30" fillId="0" borderId="0" applyNumberFormat="0" applyFill="0" applyBorder="0" applyProtection="0">
      <alignment vertical="top"/>
    </xf>
    <xf numFmtId="3" fontId="131" fillId="80" borderId="0" applyNumberFormat="0" applyFont="0" applyBorder="0" applyAlignment="0">
      <protection hidden="1"/>
    </xf>
    <xf numFmtId="0" fontId="127" fillId="0" borderId="1">
      <alignment horizontal="center"/>
    </xf>
    <xf numFmtId="38" fontId="132" fillId="81" borderId="0" applyNumberFormat="0" applyBorder="0" applyAlignment="0" applyProtection="0"/>
    <xf numFmtId="3" fontId="133" fillId="0" borderId="0"/>
    <xf numFmtId="0" fontId="134" fillId="0" borderId="7" applyNumberFormat="0" applyAlignment="0" applyProtection="0">
      <alignment horizontal="left" vertical="center"/>
    </xf>
    <xf numFmtId="0" fontId="134" fillId="0" borderId="52">
      <alignment horizontal="left" vertical="center"/>
    </xf>
    <xf numFmtId="0" fontId="135" fillId="0" borderId="0"/>
    <xf numFmtId="0" fontId="136" fillId="0" borderId="0"/>
    <xf numFmtId="0" fontId="137" fillId="0" borderId="0"/>
    <xf numFmtId="0" fontId="138" fillId="0" borderId="0"/>
    <xf numFmtId="0" fontId="139" fillId="0" borderId="0"/>
    <xf numFmtId="183" fontId="140" fillId="0" borderId="0" applyNumberFormat="0" applyFill="0" applyBorder="0" applyAlignment="0" applyProtection="0">
      <alignment vertical="top"/>
      <protection locked="0"/>
    </xf>
    <xf numFmtId="192" fontId="141" fillId="0" borderId="0"/>
    <xf numFmtId="0" fontId="142" fillId="0" borderId="0" applyNumberFormat="0" applyFill="0" applyBorder="0" applyAlignment="0" applyProtection="0"/>
    <xf numFmtId="10" fontId="132" fillId="82" borderId="53" applyNumberFormat="0" applyBorder="0" applyAlignment="0" applyProtection="0"/>
    <xf numFmtId="42" fontId="143" fillId="0" borderId="0">
      <alignment horizontal="center"/>
    </xf>
    <xf numFmtId="193" fontId="144" fillId="0" borderId="0" applyFont="0" applyFill="0" applyBorder="0" applyAlignment="0" applyProtection="0"/>
    <xf numFmtId="194" fontId="110" fillId="0" borderId="0"/>
    <xf numFmtId="195" fontId="145" fillId="0" borderId="0"/>
    <xf numFmtId="196" fontId="141" fillId="0" borderId="0"/>
    <xf numFmtId="197" fontId="141" fillId="0" borderId="0"/>
    <xf numFmtId="183"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96" fillId="0" borderId="46"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7" fillId="0" borderId="46"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183" fontId="146" fillId="0" borderId="54" applyNumberFormat="0" applyFill="0" applyAlignment="0" applyProtection="0"/>
    <xf numFmtId="0"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47" fillId="0" borderId="46" applyNumberFormat="0" applyFill="0" applyAlignment="0" applyProtection="0"/>
    <xf numFmtId="0" fontId="18" fillId="0" borderId="0" applyNumberFormat="0" applyFont="0" applyFill="0" applyBorder="0" applyAlignment="0" applyProtection="0"/>
    <xf numFmtId="183" fontId="146" fillId="0" borderId="54"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6" fillId="0" borderId="54" applyNumberFormat="0" applyFill="0" applyAlignment="0" applyProtection="0"/>
    <xf numFmtId="0" fontId="146" fillId="0" borderId="54" applyNumberFormat="0" applyFill="0" applyAlignment="0" applyProtection="0"/>
    <xf numFmtId="0" fontId="147" fillId="0" borderId="46" applyNumberFormat="0" applyFill="0" applyAlignment="0" applyProtection="0"/>
    <xf numFmtId="0" fontId="18" fillId="0" borderId="0" applyNumberFormat="0" applyFont="0" applyFill="0" applyBorder="0" applyAlignment="0" applyProtection="0"/>
    <xf numFmtId="0" fontId="96" fillId="0" borderId="46" applyNumberFormat="0" applyFill="0" applyAlignment="0" applyProtection="0"/>
    <xf numFmtId="0" fontId="147" fillId="0" borderId="46" applyNumberFormat="0" applyFill="0" applyAlignment="0" applyProtection="0"/>
    <xf numFmtId="0" fontId="147" fillId="0" borderId="46" applyNumberFormat="0" applyFill="0" applyAlignment="0" applyProtection="0"/>
    <xf numFmtId="0" fontId="147" fillId="0" borderId="46" applyNumberFormat="0" applyFill="0" applyAlignment="0" applyProtection="0"/>
    <xf numFmtId="183" fontId="148"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97" fillId="30" borderId="47"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49" fillId="83" borderId="55" applyNumberFormat="0" applyAlignment="0" applyProtection="0"/>
    <xf numFmtId="0" fontId="18" fillId="0" borderId="0" applyNumberFormat="0" applyFont="0" applyFill="0" applyBorder="0" applyAlignment="0" applyProtection="0"/>
    <xf numFmtId="0" fontId="149" fillId="83" borderId="55" applyNumberFormat="0" applyAlignment="0" applyProtection="0"/>
    <xf numFmtId="0" fontId="18" fillId="0" borderId="0" applyNumberFormat="0" applyFont="0" applyFill="0" applyBorder="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8" fillId="83" borderId="55" applyNumberFormat="0" applyAlignment="0" applyProtection="0"/>
    <xf numFmtId="0" fontId="148"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0" fillId="30" borderId="47" applyNumberFormat="0" applyAlignment="0" applyProtection="0"/>
    <xf numFmtId="0" fontId="116" fillId="0" borderId="47" applyNumberFormat="0" applyFill="0" applyAlignment="0" applyProtection="0"/>
    <xf numFmtId="183" fontId="148"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183" fontId="148" fillId="83" borderId="55" applyNumberFormat="0" applyAlignment="0" applyProtection="0"/>
    <xf numFmtId="183" fontId="148" fillId="83" borderId="55" applyNumberFormat="0" applyAlignment="0" applyProtection="0"/>
    <xf numFmtId="0" fontId="149" fillId="83" borderId="55" applyNumberFormat="0" applyAlignment="0" applyProtection="0"/>
    <xf numFmtId="0" fontId="18" fillId="0" borderId="0" applyNumberFormat="0" applyFont="0" applyFill="0" applyBorder="0" applyAlignment="0" applyProtection="0"/>
    <xf numFmtId="0" fontId="149"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8" fillId="83" borderId="55" applyNumberFormat="0" applyAlignment="0" applyProtection="0"/>
    <xf numFmtId="0" fontId="148" fillId="83" borderId="55" applyNumberFormat="0" applyAlignment="0" applyProtection="0"/>
    <xf numFmtId="0" fontId="150" fillId="30" borderId="47" applyNumberFormat="0" applyAlignment="0" applyProtection="0"/>
    <xf numFmtId="0" fontId="18" fillId="0" borderId="0" applyNumberFormat="0" applyFont="0" applyFill="0" applyBorder="0" applyAlignment="0" applyProtection="0"/>
    <xf numFmtId="183" fontId="148" fillId="83" borderId="55" applyNumberFormat="0" applyAlignment="0" applyProtection="0"/>
    <xf numFmtId="183" fontId="148" fillId="83" borderId="55" applyNumberFormat="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48" fillId="83" borderId="55" applyNumberFormat="0" applyAlignment="0" applyProtection="0"/>
    <xf numFmtId="0" fontId="148" fillId="83" borderId="55" applyNumberFormat="0" applyAlignment="0" applyProtection="0"/>
    <xf numFmtId="0" fontId="150" fillId="30" borderId="47" applyNumberFormat="0" applyAlignment="0" applyProtection="0"/>
    <xf numFmtId="0" fontId="18" fillId="0" borderId="0" applyNumberFormat="0" applyFont="0" applyFill="0" applyBorder="0" applyAlignment="0" applyProtection="0"/>
    <xf numFmtId="0" fontId="97" fillId="30" borderId="47" applyNumberFormat="0" applyAlignment="0" applyProtection="0"/>
    <xf numFmtId="0" fontId="150" fillId="30" borderId="47" applyNumberFormat="0" applyAlignment="0" applyProtection="0"/>
    <xf numFmtId="0" fontId="116" fillId="0" borderId="47" applyNumberFormat="0" applyFill="0" applyAlignment="0" applyProtection="0"/>
    <xf numFmtId="0" fontId="116" fillId="0" borderId="47" applyNumberFormat="0" applyFill="0" applyAlignment="0" applyProtection="0"/>
    <xf numFmtId="0" fontId="150" fillId="30" borderId="47" applyNumberFormat="0" applyAlignment="0" applyProtection="0"/>
    <xf numFmtId="0" fontId="116" fillId="0" borderId="47" applyNumberFormat="0" applyFill="0" applyAlignment="0" applyProtection="0"/>
    <xf numFmtId="1" fontId="151" fillId="84" borderId="0"/>
    <xf numFmtId="198" fontId="104" fillId="0" borderId="0" applyFont="0" applyFill="0" applyBorder="0" applyAlignment="0" applyProtection="0"/>
    <xf numFmtId="189" fontId="152" fillId="0" borderId="0"/>
    <xf numFmtId="38" fontId="113" fillId="0" borderId="0" applyFont="0" applyFill="0" applyBorder="0" applyAlignment="0" applyProtection="0"/>
    <xf numFmtId="199" fontId="153" fillId="0" borderId="0" applyFont="0" applyFill="0" applyBorder="0" applyAlignment="0" applyProtection="0"/>
    <xf numFmtId="200" fontId="153" fillId="0" borderId="0" applyFont="0" applyFill="0" applyBorder="0" applyAlignment="0" applyProtection="0"/>
    <xf numFmtId="201" fontId="153" fillId="0" borderId="0" applyFont="0" applyFill="0" applyBorder="0" applyAlignment="0" applyProtection="0"/>
    <xf numFmtId="202" fontId="153" fillId="0" borderId="0" applyFont="0" applyFill="0" applyBorder="0" applyAlignment="0" applyProtection="0"/>
    <xf numFmtId="183" fontId="154" fillId="0" borderId="56"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87" fillId="0" borderId="4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4" fillId="0" borderId="56" applyNumberFormat="0" applyFill="0" applyAlignment="0" applyProtection="0"/>
    <xf numFmtId="0" fontId="154" fillId="0" borderId="56"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6" fillId="0" borderId="41" applyNumberFormat="0" applyFill="0" applyAlignment="0" applyProtection="0"/>
    <xf numFmtId="0" fontId="157" fillId="0" borderId="4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5" fillId="0" borderId="57" applyNumberFormat="0" applyFill="0" applyAlignment="0" applyProtection="0"/>
    <xf numFmtId="0" fontId="155" fillId="0" borderId="57" applyNumberFormat="0" applyFill="0" applyAlignment="0" applyProtection="0"/>
    <xf numFmtId="183" fontId="154" fillId="0" borderId="56" applyNumberFormat="0" applyFill="0" applyAlignment="0" applyProtection="0"/>
    <xf numFmtId="0" fontId="155" fillId="0" borderId="57" applyNumberFormat="0" applyFill="0" applyAlignment="0" applyProtection="0"/>
    <xf numFmtId="0" fontId="154" fillId="0" borderId="56" applyNumberFormat="0" applyFill="0" applyAlignment="0" applyProtection="0"/>
    <xf numFmtId="0" fontId="154" fillId="0" borderId="56" applyNumberFormat="0" applyFill="0" applyAlignment="0" applyProtection="0"/>
    <xf numFmtId="0" fontId="156" fillId="0" borderId="41" applyNumberFormat="0" applyFill="0" applyAlignment="0" applyProtection="0"/>
    <xf numFmtId="0" fontId="18" fillId="0" borderId="0" applyNumberFormat="0" applyFont="0" applyFill="0" applyBorder="0" applyAlignment="0" applyProtection="0"/>
    <xf numFmtId="183" fontId="154" fillId="0" borderId="56" applyNumberFormat="0" applyFill="0" applyAlignment="0" applyProtection="0"/>
    <xf numFmtId="0" fontId="154" fillId="0" borderId="56" applyNumberFormat="0" applyFill="0" applyAlignment="0" applyProtection="0"/>
    <xf numFmtId="0" fontId="154" fillId="0" borderId="56" applyNumberFormat="0" applyFill="0" applyAlignment="0" applyProtection="0"/>
    <xf numFmtId="0" fontId="156" fillId="0" borderId="41" applyNumberFormat="0" applyFill="0" applyAlignment="0" applyProtection="0"/>
    <xf numFmtId="0" fontId="18" fillId="0" borderId="0" applyNumberFormat="0" applyFont="0" applyFill="0" applyBorder="0" applyAlignment="0" applyProtection="0"/>
    <xf numFmtId="0" fontId="87" fillId="0" borderId="41" applyNumberFormat="0" applyFill="0" applyAlignment="0" applyProtection="0"/>
    <xf numFmtId="0" fontId="156" fillId="0" borderId="41" applyNumberFormat="0" applyFill="0" applyAlignment="0" applyProtection="0"/>
    <xf numFmtId="0" fontId="157" fillId="0" borderId="41" applyNumberFormat="0" applyFill="0" applyAlignment="0" applyProtection="0"/>
    <xf numFmtId="0" fontId="157" fillId="0" borderId="41" applyNumberFormat="0" applyFill="0" applyAlignment="0" applyProtection="0"/>
    <xf numFmtId="0" fontId="156" fillId="0" borderId="41" applyNumberFormat="0" applyFill="0" applyAlignment="0" applyProtection="0"/>
    <xf numFmtId="0" fontId="157" fillId="0" borderId="41" applyNumberFormat="0" applyFill="0" applyAlignment="0" applyProtection="0"/>
    <xf numFmtId="183" fontId="158" fillId="0" borderId="58"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88" fillId="0" borderId="42"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8" fillId="0" borderId="58" applyNumberFormat="0" applyFill="0" applyAlignment="0" applyProtection="0"/>
    <xf numFmtId="0" fontId="158" fillId="0" borderId="58"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0" fillId="0" borderId="42" applyNumberFormat="0" applyFill="0" applyAlignment="0" applyProtection="0"/>
    <xf numFmtId="0" fontId="157" fillId="0" borderId="42"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59" fillId="0" borderId="59" applyNumberFormat="0" applyFill="0" applyAlignment="0" applyProtection="0"/>
    <xf numFmtId="0" fontId="159" fillId="0" borderId="59" applyNumberFormat="0" applyFill="0" applyAlignment="0" applyProtection="0"/>
    <xf numFmtId="183" fontId="158" fillId="0" borderId="58" applyNumberFormat="0" applyFill="0" applyAlignment="0" applyProtection="0"/>
    <xf numFmtId="0" fontId="159" fillId="0" borderId="59" applyNumberFormat="0" applyFill="0" applyAlignment="0" applyProtection="0"/>
    <xf numFmtId="0" fontId="158" fillId="0" borderId="58" applyNumberFormat="0" applyFill="0" applyAlignment="0" applyProtection="0"/>
    <xf numFmtId="0" fontId="158" fillId="0" borderId="58" applyNumberFormat="0" applyFill="0" applyAlignment="0" applyProtection="0"/>
    <xf numFmtId="0" fontId="160" fillId="0" borderId="42" applyNumberFormat="0" applyFill="0" applyAlignment="0" applyProtection="0"/>
    <xf numFmtId="0" fontId="18" fillId="0" borderId="0" applyNumberFormat="0" applyFont="0" applyFill="0" applyBorder="0" applyAlignment="0" applyProtection="0"/>
    <xf numFmtId="183" fontId="158" fillId="0" borderId="58" applyNumberFormat="0" applyFill="0" applyAlignment="0" applyProtection="0"/>
    <xf numFmtId="0" fontId="158" fillId="0" borderId="58" applyNumberFormat="0" applyFill="0" applyAlignment="0" applyProtection="0"/>
    <xf numFmtId="0" fontId="158" fillId="0" borderId="58" applyNumberFormat="0" applyFill="0" applyAlignment="0" applyProtection="0"/>
    <xf numFmtId="0" fontId="160" fillId="0" borderId="42" applyNumberFormat="0" applyFill="0" applyAlignment="0" applyProtection="0"/>
    <xf numFmtId="0" fontId="18" fillId="0" borderId="0" applyNumberFormat="0" applyFont="0" applyFill="0" applyBorder="0" applyAlignment="0" applyProtection="0"/>
    <xf numFmtId="0" fontId="88" fillId="0" borderId="42" applyNumberFormat="0" applyFill="0" applyAlignment="0" applyProtection="0"/>
    <xf numFmtId="0" fontId="160" fillId="0" borderId="42" applyNumberFormat="0" applyFill="0" applyAlignment="0" applyProtection="0"/>
    <xf numFmtId="0" fontId="157" fillId="0" borderId="42" applyNumberFormat="0" applyFill="0" applyAlignment="0" applyProtection="0"/>
    <xf numFmtId="0" fontId="157" fillId="0" borderId="42" applyNumberFormat="0" applyFill="0" applyAlignment="0" applyProtection="0"/>
    <xf numFmtId="0" fontId="160" fillId="0" borderId="42" applyNumberFormat="0" applyFill="0" applyAlignment="0" applyProtection="0"/>
    <xf numFmtId="0" fontId="157" fillId="0" borderId="42" applyNumberFormat="0" applyFill="0" applyAlignment="0" applyProtection="0"/>
    <xf numFmtId="183" fontId="161" fillId="0" borderId="60"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89" fillId="0" borderId="43"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1" fillId="0" borderId="60" applyNumberFormat="0" applyFill="0" applyAlignment="0" applyProtection="0"/>
    <xf numFmtId="0" fontId="161" fillId="0" borderId="60"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3" fillId="0" borderId="43" applyNumberFormat="0" applyFill="0" applyAlignment="0" applyProtection="0"/>
    <xf numFmtId="0" fontId="157" fillId="0" borderId="43"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61" applyNumberFormat="0" applyFill="0" applyAlignment="0" applyProtection="0"/>
    <xf numFmtId="0" fontId="162" fillId="0" borderId="61" applyNumberFormat="0" applyFill="0" applyAlignment="0" applyProtection="0"/>
    <xf numFmtId="183" fontId="161" fillId="0" borderId="60" applyNumberFormat="0" applyFill="0" applyAlignment="0" applyProtection="0"/>
    <xf numFmtId="0" fontId="162" fillId="0" borderId="61" applyNumberFormat="0" applyFill="0" applyAlignment="0" applyProtection="0"/>
    <xf numFmtId="0" fontId="161" fillId="0" borderId="60" applyNumberFormat="0" applyFill="0" applyAlignment="0" applyProtection="0"/>
    <xf numFmtId="0" fontId="161" fillId="0" borderId="60" applyNumberFormat="0" applyFill="0" applyAlignment="0" applyProtection="0"/>
    <xf numFmtId="0" fontId="163" fillId="0" borderId="43" applyNumberFormat="0" applyFill="0" applyAlignment="0" applyProtection="0"/>
    <xf numFmtId="0" fontId="18" fillId="0" borderId="0" applyNumberFormat="0" applyFont="0" applyFill="0" applyBorder="0" applyAlignment="0" applyProtection="0"/>
    <xf numFmtId="183" fontId="161" fillId="0" borderId="60" applyNumberFormat="0" applyFill="0" applyAlignment="0" applyProtection="0"/>
    <xf numFmtId="0" fontId="161" fillId="0" borderId="60" applyNumberFormat="0" applyFill="0" applyAlignment="0" applyProtection="0"/>
    <xf numFmtId="0" fontId="161" fillId="0" borderId="60" applyNumberFormat="0" applyFill="0" applyAlignment="0" applyProtection="0"/>
    <xf numFmtId="0" fontId="163" fillId="0" borderId="43" applyNumberFormat="0" applyFill="0" applyAlignment="0" applyProtection="0"/>
    <xf numFmtId="0" fontId="18" fillId="0" borderId="0" applyNumberFormat="0" applyFont="0" applyFill="0" applyBorder="0" applyAlignment="0" applyProtection="0"/>
    <xf numFmtId="0" fontId="89" fillId="0" borderId="43" applyNumberFormat="0" applyFill="0" applyAlignment="0" applyProtection="0"/>
    <xf numFmtId="0" fontId="163" fillId="0" borderId="43" applyNumberFormat="0" applyFill="0" applyAlignment="0" applyProtection="0"/>
    <xf numFmtId="0" fontId="157" fillId="0" borderId="43" applyNumberFormat="0" applyFill="0" applyAlignment="0" applyProtection="0"/>
    <xf numFmtId="0" fontId="157" fillId="0" borderId="43" applyNumberFormat="0" applyFill="0" applyAlignment="0" applyProtection="0"/>
    <xf numFmtId="0" fontId="163" fillId="0" borderId="43" applyNumberFormat="0" applyFill="0" applyAlignment="0" applyProtection="0"/>
    <xf numFmtId="0" fontId="157" fillId="0" borderId="43" applyNumberFormat="0" applyFill="0" applyAlignment="0" applyProtection="0"/>
    <xf numFmtId="183" fontId="161"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89"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3" fillId="0" borderId="0" applyNumberFormat="0" applyFill="0" applyBorder="0" applyAlignment="0" applyProtection="0"/>
    <xf numFmtId="0" fontId="157"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3" fontId="161" fillId="0" borderId="0" applyNumberFormat="0" applyFill="0" applyBorder="0" applyAlignment="0" applyProtection="0"/>
    <xf numFmtId="0" fontId="16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8" fillId="0" borderId="0" applyNumberFormat="0" applyFont="0" applyFill="0" applyBorder="0" applyAlignment="0" applyProtection="0"/>
    <xf numFmtId="183"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8" fillId="0" borderId="0" applyNumberFormat="0" applyFont="0" applyFill="0" applyBorder="0" applyAlignment="0" applyProtection="0"/>
    <xf numFmtId="0" fontId="89" fillId="0" borderId="0" applyNumberFormat="0" applyFill="0" applyBorder="0" applyAlignment="0" applyProtection="0"/>
    <xf numFmtId="0" fontId="163"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63" fillId="0" borderId="0" applyNumberFormat="0" applyFill="0" applyBorder="0" applyAlignment="0" applyProtection="0"/>
    <xf numFmtId="0" fontId="157" fillId="0" borderId="0" applyNumberFormat="0" applyFill="0" applyBorder="0" applyAlignment="0" applyProtection="0"/>
    <xf numFmtId="183"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92" fillId="2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5" fillId="27" borderId="0" applyNumberFormat="0" applyBorder="0" applyAlignment="0" applyProtection="0"/>
    <xf numFmtId="0" fontId="165" fillId="0" borderId="0" applyNumberForma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183" fontId="164" fillId="67" borderId="0" applyNumberFormat="0" applyBorder="0" applyAlignment="0" applyProtection="0"/>
    <xf numFmtId="0"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65" fillId="27" borderId="0" applyNumberFormat="0" applyBorder="0" applyAlignment="0" applyProtection="0"/>
    <xf numFmtId="0" fontId="18" fillId="0" borderId="0" applyNumberFormat="0" applyFont="0" applyFill="0" applyBorder="0" applyAlignment="0" applyProtection="0"/>
    <xf numFmtId="183" fontId="164" fillId="67" borderId="0" applyNumberFormat="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64" fillId="67" borderId="0" applyNumberFormat="0" applyBorder="0" applyAlignment="0" applyProtection="0"/>
    <xf numFmtId="0" fontId="164" fillId="67" borderId="0" applyNumberFormat="0" applyBorder="0" applyAlignment="0" applyProtection="0"/>
    <xf numFmtId="0" fontId="165" fillId="27" borderId="0" applyNumberFormat="0" applyBorder="0" applyAlignment="0" applyProtection="0"/>
    <xf numFmtId="0" fontId="18" fillId="0" borderId="0" applyNumberFormat="0" applyFont="0" applyFill="0" applyBorder="0" applyAlignment="0" applyProtection="0"/>
    <xf numFmtId="0" fontId="92" fillId="27" borderId="0" applyNumberFormat="0" applyBorder="0" applyAlignment="0" applyProtection="0"/>
    <xf numFmtId="0" fontId="165" fillId="27" borderId="0" applyNumberFormat="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27" borderId="0" applyNumberFormat="0" applyBorder="0" applyAlignment="0" applyProtection="0"/>
    <xf numFmtId="0" fontId="165" fillId="0" borderId="0" applyNumberFormat="0" applyFill="0" applyBorder="0" applyAlignment="0" applyProtection="0"/>
    <xf numFmtId="0" fontId="104" fillId="0" borderId="0"/>
    <xf numFmtId="0" fontId="108" fillId="0" borderId="0"/>
    <xf numFmtId="0" fontId="25" fillId="0" borderId="0"/>
    <xf numFmtId="0" fontId="25"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04" fillId="0" borderId="0"/>
    <xf numFmtId="0" fontId="166" fillId="0" borderId="0"/>
    <xf numFmtId="0" fontId="167" fillId="0" borderId="0" applyNumberFormat="0" applyFont="0" applyFill="0" applyBorder="0" applyAlignment="0" applyProtection="0">
      <protection locked="0"/>
    </xf>
    <xf numFmtId="183" fontId="72"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183" fontId="72" fillId="0" borderId="0"/>
    <xf numFmtId="0" fontId="108" fillId="0" borderId="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25"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72" fillId="0" borderId="0"/>
    <xf numFmtId="183" fontId="72" fillId="0" borderId="0"/>
    <xf numFmtId="0" fontId="25" fillId="0" borderId="0"/>
    <xf numFmtId="0" fontId="108" fillId="0" borderId="0"/>
    <xf numFmtId="0" fontId="108" fillId="0" borderId="0"/>
    <xf numFmtId="0" fontId="25" fillId="0" borderId="0"/>
    <xf numFmtId="0" fontId="25" fillId="0" borderId="0"/>
    <xf numFmtId="0" fontId="25"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xf numFmtId="0" fontId="108" fillId="0" borderId="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108" fillId="0" borderId="0"/>
    <xf numFmtId="0" fontId="4" fillId="0" borderId="0"/>
    <xf numFmtId="0" fontId="4" fillId="0" borderId="0"/>
    <xf numFmtId="0" fontId="168" fillId="0" borderId="0"/>
    <xf numFmtId="0" fontId="4" fillId="0" borderId="0"/>
    <xf numFmtId="0" fontId="4" fillId="0" borderId="0"/>
    <xf numFmtId="0" fontId="4" fillId="0" borderId="0"/>
    <xf numFmtId="0" fontId="4" fillId="0" borderId="0"/>
    <xf numFmtId="0" fontId="4" fillId="0" borderId="0"/>
    <xf numFmtId="0" fontId="128" fillId="0" borderId="0"/>
    <xf numFmtId="0" fontId="4" fillId="0" borderId="0"/>
    <xf numFmtId="0" fontId="4" fillId="0" borderId="0"/>
    <xf numFmtId="183" fontId="72" fillId="0" borderId="0"/>
    <xf numFmtId="183" fontId="72" fillId="0" borderId="0"/>
    <xf numFmtId="0" fontId="25" fillId="0" borderId="0"/>
    <xf numFmtId="0" fontId="108" fillId="0" borderId="0"/>
    <xf numFmtId="0" fontId="25" fillId="0" borderId="0"/>
    <xf numFmtId="0" fontId="108" fillId="0" borderId="0"/>
    <xf numFmtId="0" fontId="25" fillId="0" borderId="0" applyNumberFormat="0" applyFont="0" applyFill="0" applyBorder="0" applyAlignment="0" applyProtection="0"/>
    <xf numFmtId="0" fontId="4" fillId="0" borderId="0"/>
    <xf numFmtId="0" fontId="4" fillId="0" borderId="0"/>
    <xf numFmtId="0" fontId="4" fillId="0" borderId="0"/>
    <xf numFmtId="0" fontId="4" fillId="0" borderId="0"/>
    <xf numFmtId="183" fontId="72" fillId="0" borderId="0"/>
    <xf numFmtId="183" fontId="72" fillId="0" borderId="0"/>
    <xf numFmtId="0" fontId="25" fillId="0" borderId="0"/>
    <xf numFmtId="0" fontId="25" fillId="0" borderId="0"/>
    <xf numFmtId="0" fontId="104" fillId="0" borderId="0"/>
    <xf numFmtId="0" fontId="25" fillId="0" borderId="0" applyNumberFormat="0" applyFill="0" applyBorder="0" applyAlignment="0" applyProtection="0"/>
    <xf numFmtId="183" fontId="108" fillId="0" borderId="0"/>
    <xf numFmtId="0" fontId="25" fillId="0" borderId="0"/>
    <xf numFmtId="0" fontId="25" fillId="0" borderId="0"/>
    <xf numFmtId="0" fontId="108" fillId="0" borderId="0"/>
    <xf numFmtId="0" fontId="108" fillId="0" borderId="0"/>
    <xf numFmtId="0" fontId="25" fillId="0" borderId="0" applyNumberFormat="0" applyFont="0" applyFill="0" applyBorder="0" applyAlignment="0" applyProtection="0"/>
    <xf numFmtId="0" fontId="104" fillId="0" borderId="0"/>
    <xf numFmtId="0" fontId="108" fillId="0" borderId="0"/>
    <xf numFmtId="183" fontId="72" fillId="0" borderId="0"/>
    <xf numFmtId="183" fontId="72" fillId="0" borderId="0"/>
    <xf numFmtId="0" fontId="25" fillId="0" borderId="0"/>
    <xf numFmtId="0" fontId="25" fillId="0" borderId="0"/>
    <xf numFmtId="0" fontId="104" fillId="0" borderId="0"/>
    <xf numFmtId="0" fontId="25" fillId="0" borderId="0" applyNumberFormat="0" applyFill="0" applyBorder="0" applyAlignment="0" applyProtection="0"/>
    <xf numFmtId="0" fontId="25" fillId="0" borderId="0"/>
    <xf numFmtId="0" fontId="25" fillId="0" borderId="0"/>
    <xf numFmtId="0" fontId="104" fillId="0" borderId="0"/>
    <xf numFmtId="0" fontId="25" fillId="0" borderId="0" applyNumberFormat="0" applyFill="0" applyBorder="0" applyAlignment="0" applyProtection="0"/>
    <xf numFmtId="183" fontId="72" fillId="0" borderId="0"/>
    <xf numFmtId="0" fontId="25" fillId="0" borderId="0"/>
    <xf numFmtId="0" fontId="104" fillId="0" borderId="0"/>
    <xf numFmtId="0" fontId="108" fillId="0" borderId="0"/>
    <xf numFmtId="183" fontId="72"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183" fontId="108" fillId="0" borderId="0"/>
    <xf numFmtId="183" fontId="114" fillId="0" borderId="0" applyFill="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8" fillId="0" borderId="0"/>
    <xf numFmtId="0" fontId="105" fillId="0" borderId="0"/>
    <xf numFmtId="0" fontId="105" fillId="0" borderId="0"/>
    <xf numFmtId="0" fontId="25" fillId="0" borderId="0" applyNumberFormat="0" applyFont="0" applyFill="0" applyBorder="0" applyAlignment="0" applyProtection="0"/>
    <xf numFmtId="184" fontId="108" fillId="0" borderId="0"/>
    <xf numFmtId="0" fontId="105" fillId="0" borderId="0"/>
    <xf numFmtId="0" fontId="10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183" fontId="4" fillId="0" borderId="0"/>
    <xf numFmtId="0" fontId="108" fillId="0" borderId="0"/>
    <xf numFmtId="0" fontId="4" fillId="0" borderId="0" applyNumberFormat="0" applyFill="0" applyBorder="0" applyAlignment="0" applyProtection="0"/>
    <xf numFmtId="184" fontId="10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08" fillId="0" borderId="0"/>
    <xf numFmtId="0" fontId="4" fillId="0" borderId="0"/>
    <xf numFmtId="0" fontId="25" fillId="0" borderId="0" applyNumberFormat="0" applyFont="0" applyFill="0" applyBorder="0" applyAlignment="0" applyProtection="0"/>
    <xf numFmtId="183" fontId="4" fillId="0" borderId="0"/>
    <xf numFmtId="183" fontId="25" fillId="0" borderId="0"/>
    <xf numFmtId="183" fontId="25" fillId="0" borderId="0"/>
    <xf numFmtId="0" fontId="4" fillId="0" borderId="0"/>
    <xf numFmtId="0" fontId="4" fillId="0" borderId="0"/>
    <xf numFmtId="0" fontId="104" fillId="0" borderId="0"/>
    <xf numFmtId="0" fontId="4" fillId="0" borderId="0"/>
    <xf numFmtId="0" fontId="4" fillId="0" borderId="0" applyNumberFormat="0" applyFill="0" applyBorder="0" applyAlignment="0" applyProtection="0"/>
    <xf numFmtId="183" fontId="18" fillId="0" borderId="0"/>
    <xf numFmtId="0" fontId="4" fillId="0" borderId="0"/>
    <xf numFmtId="0" fontId="4"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183" fontId="18" fillId="0" borderId="0"/>
    <xf numFmtId="0" fontId="4" fillId="0" borderId="0" applyNumberFormat="0" applyFill="0" applyBorder="0" applyAlignment="0" applyProtection="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5" fillId="0" borderId="0"/>
    <xf numFmtId="0" fontId="105" fillId="0" borderId="0"/>
    <xf numFmtId="0" fontId="25" fillId="0" borderId="0" applyNumberFormat="0" applyFont="0" applyFill="0" applyBorder="0" applyAlignment="0" applyProtection="0"/>
    <xf numFmtId="0" fontId="108" fillId="0" borderId="0"/>
    <xf numFmtId="0" fontId="108" fillId="0" borderId="0"/>
    <xf numFmtId="0" fontId="25" fillId="0" borderId="0" applyNumberFormat="0" applyFont="0" applyFill="0" applyBorder="0" applyAlignment="0" applyProtection="0"/>
    <xf numFmtId="0" fontId="108" fillId="0" borderId="0"/>
    <xf numFmtId="0" fontId="108" fillId="0" borderId="0"/>
    <xf numFmtId="0" fontId="25" fillId="0" borderId="0" applyNumberFormat="0" applyFill="0" applyBorder="0" applyAlignment="0" applyProtection="0"/>
    <xf numFmtId="0" fontId="126" fillId="0" borderId="0"/>
    <xf numFmtId="0" fontId="126" fillId="0" borderId="0"/>
    <xf numFmtId="0" fontId="25" fillId="0" borderId="0" applyNumberFormat="0" applyFill="0" applyBorder="0" applyAlignment="0" applyProtection="0"/>
    <xf numFmtId="0" fontId="126" fillId="0" borderId="0"/>
    <xf numFmtId="0" fontId="126" fillId="0" borderId="0"/>
    <xf numFmtId="0" fontId="25" fillId="0" borderId="0" applyNumberFormat="0" applyFont="0" applyFill="0" applyBorder="0" applyAlignment="0" applyProtection="0"/>
    <xf numFmtId="0" fontId="108" fillId="0" borderId="0"/>
    <xf numFmtId="0" fontId="108" fillId="0" borderId="0"/>
    <xf numFmtId="0" fontId="108" fillId="0" borderId="0"/>
    <xf numFmtId="183" fontId="108" fillId="0" borderId="0"/>
    <xf numFmtId="0" fontId="108" fillId="0" borderId="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ont="0" applyFill="0" applyBorder="0" applyAlignment="0" applyProtection="0"/>
    <xf numFmtId="0"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169" fillId="0" borderId="0"/>
    <xf numFmtId="183" fontId="10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104" fillId="0" borderId="0"/>
    <xf numFmtId="0" fontId="25" fillId="0" borderId="0" applyNumberFormat="0" applyFont="0" applyFill="0" applyBorder="0" applyAlignment="0" applyProtection="0"/>
    <xf numFmtId="0" fontId="104" fillId="0" borderId="0"/>
    <xf numFmtId="0" fontId="104" fillId="0" borderId="0"/>
    <xf numFmtId="0" fontId="10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104" fillId="0" borderId="0"/>
    <xf numFmtId="183" fontId="104" fillId="0" borderId="0"/>
    <xf numFmtId="0" fontId="105" fillId="0" borderId="0"/>
    <xf numFmtId="183" fontId="25" fillId="0" borderId="0"/>
    <xf numFmtId="0" fontId="105" fillId="0" borderId="0"/>
    <xf numFmtId="0" fontId="25" fillId="0" borderId="0" applyNumberFormat="0" applyFont="0" applyFill="0" applyBorder="0" applyAlignment="0" applyProtection="0"/>
    <xf numFmtId="183" fontId="104" fillId="0" borderId="0"/>
    <xf numFmtId="0" fontId="105" fillId="0" borderId="0"/>
    <xf numFmtId="0" fontId="105" fillId="0" borderId="0"/>
    <xf numFmtId="0" fontId="25" fillId="0" borderId="0" applyNumberFormat="0" applyFont="0" applyFill="0" applyBorder="0" applyAlignment="0" applyProtection="0"/>
    <xf numFmtId="183" fontId="104" fillId="0" borderId="0"/>
    <xf numFmtId="0" fontId="105" fillId="0" borderId="0"/>
    <xf numFmtId="0" fontId="105" fillId="0" borderId="0"/>
    <xf numFmtId="0" fontId="25" fillId="0" borderId="0" applyNumberFormat="0" applyFont="0" applyFill="0" applyBorder="0" applyAlignment="0" applyProtection="0"/>
    <xf numFmtId="183" fontId="104" fillId="0" borderId="0"/>
    <xf numFmtId="0" fontId="105" fillId="0" borderId="0"/>
    <xf numFmtId="0" fontId="105" fillId="0" borderId="0"/>
    <xf numFmtId="0" fontId="25" fillId="0" borderId="0" applyNumberFormat="0" applyFont="0" applyFill="0" applyBorder="0" applyAlignment="0" applyProtection="0"/>
    <xf numFmtId="183" fontId="104" fillId="0" borderId="0"/>
    <xf numFmtId="0" fontId="105" fillId="0" borderId="0"/>
    <xf numFmtId="0" fontId="105" fillId="0" borderId="0"/>
    <xf numFmtId="0" fontId="25" fillId="0" borderId="0" applyNumberFormat="0" applyFont="0" applyFill="0" applyBorder="0" applyAlignment="0" applyProtection="0"/>
    <xf numFmtId="183" fontId="108" fillId="0" borderId="0"/>
    <xf numFmtId="183" fontId="72"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0" fontId="72" fillId="0" borderId="0"/>
    <xf numFmtId="0" fontId="4" fillId="0" borderId="0"/>
    <xf numFmtId="0" fontId="108"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0" fontId="4" fillId="0" borderId="0"/>
    <xf numFmtId="0" fontId="4"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0" fontId="4" fillId="0" borderId="0"/>
    <xf numFmtId="0" fontId="4"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0" fontId="4" fillId="0" borderId="0"/>
    <xf numFmtId="0" fontId="4"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4" fillId="0" borderId="0"/>
    <xf numFmtId="0" fontId="4" fillId="0" borderId="0"/>
    <xf numFmtId="0" fontId="4" fillId="0" borderId="0"/>
    <xf numFmtId="0" fontId="25" fillId="0" borderId="0"/>
    <xf numFmtId="0" fontId="104" fillId="0" borderId="0"/>
    <xf numFmtId="0" fontId="4" fillId="0" borderId="0"/>
    <xf numFmtId="0" fontId="4" fillId="0" borderId="0"/>
    <xf numFmtId="0" fontId="25" fillId="0" borderId="0"/>
    <xf numFmtId="0" fontId="143" fillId="0" borderId="0"/>
    <xf numFmtId="0" fontId="4" fillId="0" borderId="0"/>
    <xf numFmtId="0" fontId="4" fillId="0" borderId="0"/>
    <xf numFmtId="0" fontId="25" fillId="0" borderId="0"/>
    <xf numFmtId="0" fontId="143" fillId="0" borderId="0"/>
    <xf numFmtId="0" fontId="4" fillId="0" borderId="0"/>
    <xf numFmtId="0" fontId="4" fillId="0" borderId="0"/>
    <xf numFmtId="0" fontId="25" fillId="0" borderId="0"/>
    <xf numFmtId="0" fontId="143" fillId="0" borderId="0"/>
    <xf numFmtId="0" fontId="4" fillId="0" borderId="0"/>
    <xf numFmtId="0" fontId="4" fillId="0" borderId="0"/>
    <xf numFmtId="0" fontId="4" fillId="0" borderId="0"/>
    <xf numFmtId="0" fontId="25" fillId="0" borderId="0"/>
    <xf numFmtId="0" fontId="4" fillId="0" borderId="0"/>
    <xf numFmtId="0" fontId="126" fillId="0" borderId="0"/>
    <xf numFmtId="0" fontId="4" fillId="0" borderId="0"/>
    <xf numFmtId="183" fontId="108" fillId="0" borderId="0"/>
    <xf numFmtId="0" fontId="108" fillId="0" borderId="0"/>
    <xf numFmtId="0" fontId="25" fillId="0" borderId="0"/>
    <xf numFmtId="0" fontId="25" fillId="0" borderId="0" applyNumberFormat="0" applyFill="0" applyBorder="0" applyAlignment="0" applyProtection="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4" fillId="0" borderId="0" applyNumberFormat="0" applyFill="0" applyBorder="0" applyAlignment="0" applyProtection="0"/>
    <xf numFmtId="0" fontId="4" fillId="0" borderId="0"/>
    <xf numFmtId="0" fontId="4" fillId="0" borderId="0"/>
    <xf numFmtId="0" fontId="108" fillId="0" borderId="0"/>
    <xf numFmtId="0" fontId="25" fillId="0" borderId="0" applyNumberFormat="0" applyFont="0" applyFill="0" applyBorder="0" applyAlignment="0" applyProtection="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3" fontId="18"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applyNumberFormat="0" applyFill="0" applyBorder="0" applyAlignment="0" applyProtection="0"/>
    <xf numFmtId="0" fontId="108" fillId="0" borderId="0"/>
    <xf numFmtId="0" fontId="25" fillId="0" borderId="0" applyNumberFormat="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18" fillId="0" borderId="0"/>
    <xf numFmtId="0" fontId="108"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27" fillId="0" borderId="0"/>
    <xf numFmtId="0" fontId="25" fillId="0" borderId="0" applyNumberFormat="0" applyFont="0" applyFill="0" applyBorder="0" applyAlignment="0" applyProtection="0"/>
    <xf numFmtId="183" fontId="18" fillId="0" borderId="0"/>
    <xf numFmtId="0" fontId="127" fillId="0" borderId="0"/>
    <xf numFmtId="0" fontId="25" fillId="0" borderId="0" applyNumberFormat="0" applyFont="0" applyFill="0" applyBorder="0" applyAlignment="0" applyProtection="0"/>
    <xf numFmtId="183" fontId="18" fillId="0" borderId="0"/>
    <xf numFmtId="0" fontId="127" fillId="0" borderId="0"/>
    <xf numFmtId="0" fontId="25" fillId="0" borderId="0" applyNumberFormat="0" applyFont="0" applyFill="0" applyBorder="0" applyAlignment="0" applyProtection="0"/>
    <xf numFmtId="183" fontId="18" fillId="0" borderId="0"/>
    <xf numFmtId="0" fontId="127" fillId="0" borderId="0"/>
    <xf numFmtId="0" fontId="25" fillId="0" borderId="0"/>
    <xf numFmtId="183" fontId="18" fillId="0" borderId="0"/>
    <xf numFmtId="0" fontId="127" fillId="0" borderId="0"/>
    <xf numFmtId="0" fontId="25" fillId="0" borderId="0"/>
    <xf numFmtId="183" fontId="18" fillId="0" borderId="0"/>
    <xf numFmtId="183" fontId="108" fillId="0" borderId="0"/>
    <xf numFmtId="0" fontId="4" fillId="0" borderId="0"/>
    <xf numFmtId="0" fontId="25" fillId="0" borderId="0"/>
    <xf numFmtId="0" fontId="143" fillId="0" borderId="0"/>
    <xf numFmtId="0" fontId="4" fillId="0" borderId="0"/>
    <xf numFmtId="183" fontId="25" fillId="0" borderId="0"/>
    <xf numFmtId="0" fontId="4" fillId="0" borderId="0"/>
    <xf numFmtId="0" fontId="25" fillId="0" borderId="0"/>
    <xf numFmtId="0" fontId="4" fillId="0" borderId="0"/>
    <xf numFmtId="0" fontId="143" fillId="0" borderId="0"/>
    <xf numFmtId="0" fontId="4" fillId="0" borderId="0"/>
    <xf numFmtId="0" fontId="25" fillId="0" borderId="0"/>
    <xf numFmtId="0" fontId="104" fillId="0" borderId="0"/>
    <xf numFmtId="0" fontId="4" fillId="0" borderId="0"/>
    <xf numFmtId="0" fontId="4" fillId="0" borderId="0"/>
    <xf numFmtId="0" fontId="25" fillId="0" borderId="0"/>
    <xf numFmtId="0" fontId="104" fillId="0" borderId="0"/>
    <xf numFmtId="0" fontId="4" fillId="0" borderId="0"/>
    <xf numFmtId="0" fontId="4" fillId="0" borderId="0"/>
    <xf numFmtId="0" fontId="25" fillId="0" borderId="0"/>
    <xf numFmtId="0" fontId="104" fillId="0" borderId="0"/>
    <xf numFmtId="0" fontId="4" fillId="0" borderId="0"/>
    <xf numFmtId="0" fontId="4" fillId="0" borderId="0"/>
    <xf numFmtId="0" fontId="25" fillId="0" borderId="0"/>
    <xf numFmtId="0" fontId="108"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108" fillId="0" borderId="0"/>
    <xf numFmtId="0" fontId="4" fillId="0" borderId="0"/>
    <xf numFmtId="0" fontId="25" fillId="0" borderId="0"/>
    <xf numFmtId="0" fontId="4" fillId="0" borderId="0"/>
    <xf numFmtId="0" fontId="25" fillId="0" borderId="0"/>
    <xf numFmtId="183" fontId="72" fillId="0" borderId="0"/>
    <xf numFmtId="0" fontId="25" fillId="0" borderId="0"/>
    <xf numFmtId="0" fontId="25" fillId="0" borderId="0" applyNumberFormat="0" applyFill="0" applyBorder="0" applyAlignment="0" applyProtection="0"/>
    <xf numFmtId="183" fontId="4" fillId="0" borderId="0"/>
    <xf numFmtId="183" fontId="4" fillId="0" borderId="0"/>
    <xf numFmtId="0" fontId="2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5" fillId="0" borderId="0" applyNumberFormat="0" applyFill="0" applyBorder="0" applyAlignment="0" applyProtection="0"/>
    <xf numFmtId="0" fontId="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 fillId="0" borderId="0"/>
    <xf numFmtId="0" fontId="4" fillId="0" borderId="0"/>
    <xf numFmtId="0" fontId="108" fillId="0" borderId="0"/>
    <xf numFmtId="0" fontId="4" fillId="0" borderId="0" applyNumberFormat="0" applyFill="0" applyBorder="0" applyAlignment="0" applyProtection="0"/>
    <xf numFmtId="183" fontId="108" fillId="0" borderId="0"/>
    <xf numFmtId="0" fontId="25" fillId="0" borderId="0"/>
    <xf numFmtId="0" fontId="108" fillId="0" borderId="0"/>
    <xf numFmtId="0" fontId="108" fillId="0" borderId="0"/>
    <xf numFmtId="0" fontId="25" fillId="0" borderId="0" applyNumberFormat="0" applyFont="0" applyFill="0" applyBorder="0" applyAlignment="0" applyProtection="0"/>
    <xf numFmtId="183" fontId="108" fillId="0" borderId="0"/>
    <xf numFmtId="0" fontId="108" fillId="0" borderId="0"/>
    <xf numFmtId="0" fontId="108" fillId="0" borderId="0"/>
    <xf numFmtId="0" fontId="25" fillId="0" borderId="0" applyNumberFormat="0" applyFont="0" applyFill="0" applyBorder="0" applyAlignment="0" applyProtection="0"/>
    <xf numFmtId="183" fontId="72" fillId="0" borderId="0"/>
    <xf numFmtId="0" fontId="25" fillId="0" borderId="0"/>
    <xf numFmtId="0" fontId="25" fillId="0" borderId="0"/>
    <xf numFmtId="0" fontId="25" fillId="0" borderId="0" applyNumberFormat="0" applyFill="0" applyBorder="0" applyAlignment="0" applyProtection="0"/>
    <xf numFmtId="183" fontId="7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183" fontId="108" fillId="0" borderId="0"/>
    <xf numFmtId="0" fontId="108" fillId="0" borderId="0"/>
    <xf numFmtId="0" fontId="4" fillId="0" borderId="0"/>
    <xf numFmtId="0" fontId="25" fillId="0" borderId="0"/>
    <xf numFmtId="0" fontId="4" fillId="0" borderId="0"/>
    <xf numFmtId="183" fontId="25" fillId="0" borderId="0"/>
    <xf numFmtId="0" fontId="25" fillId="0" borderId="0"/>
    <xf numFmtId="0" fontId="25" fillId="0" borderId="0"/>
    <xf numFmtId="0" fontId="4" fillId="0" borderId="0"/>
    <xf numFmtId="0" fontId="25" fillId="0" borderId="0"/>
    <xf numFmtId="0" fontId="4" fillId="0" borderId="0"/>
    <xf numFmtId="0" fontId="25" fillId="0" borderId="0"/>
    <xf numFmtId="0" fontId="4" fillId="0" borderId="0"/>
    <xf numFmtId="0" fontId="25" fillId="0" borderId="0"/>
    <xf numFmtId="0" fontId="4" fillId="0" borderId="0"/>
    <xf numFmtId="0" fontId="25" fillId="0" borderId="0"/>
    <xf numFmtId="0" fontId="4" fillId="0" borderId="0"/>
    <xf numFmtId="0" fontId="25" fillId="0" borderId="0"/>
    <xf numFmtId="0" fontId="4" fillId="0" borderId="0"/>
    <xf numFmtId="184" fontId="25" fillId="0" borderId="0"/>
    <xf numFmtId="0" fontId="4" fillId="0" borderId="0"/>
    <xf numFmtId="0" fontId="25" fillId="0" borderId="0"/>
    <xf numFmtId="0" fontId="25" fillId="0" borderId="0"/>
    <xf numFmtId="0" fontId="4" fillId="0" borderId="0"/>
    <xf numFmtId="184" fontId="25" fillId="0" borderId="0"/>
    <xf numFmtId="0" fontId="4" fillId="0" borderId="0"/>
    <xf numFmtId="0" fontId="25" fillId="0" borderId="0"/>
    <xf numFmtId="0" fontId="25" fillId="0" borderId="0"/>
    <xf numFmtId="0" fontId="4" fillId="0" borderId="0"/>
    <xf numFmtId="183" fontId="25"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183" fontId="170" fillId="0" borderId="0"/>
    <xf numFmtId="0" fontId="108" fillId="0" borderId="0"/>
    <xf numFmtId="0" fontId="25" fillId="0" borderId="0"/>
    <xf numFmtId="0" fontId="25" fillId="0" borderId="0" applyNumberFormat="0" applyFont="0" applyFill="0" applyBorder="0" applyAlignment="0" applyProtection="0"/>
    <xf numFmtId="0" fontId="72" fillId="0" borderId="0"/>
    <xf numFmtId="0" fontId="170" fillId="0" borderId="0" applyNumberFormat="0" applyFill="0" applyBorder="0" applyAlignment="0" applyProtection="0"/>
    <xf numFmtId="0" fontId="170"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08" fillId="0" borderId="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25" fillId="0" borderId="0" applyNumberFormat="0" applyFont="0" applyFill="0" applyBorder="0" applyAlignment="0" applyProtection="0"/>
    <xf numFmtId="0" fontId="25" fillId="0" borderId="0"/>
    <xf numFmtId="0" fontId="4" fillId="0" borderId="0"/>
    <xf numFmtId="0" fontId="4" fillId="0" borderId="0" applyNumberFormat="0" applyFill="0" applyBorder="0" applyAlignment="0" applyProtection="0"/>
    <xf numFmtId="0" fontId="108" fillId="0" borderId="0"/>
    <xf numFmtId="0" fontId="4" fillId="0" borderId="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08" fillId="0" borderId="0"/>
    <xf numFmtId="0" fontId="25" fillId="0" borderId="0" applyNumberFormat="0" applyFont="0" applyFill="0" applyBorder="0" applyAlignment="0" applyProtection="0"/>
    <xf numFmtId="0" fontId="104" fillId="0" borderId="0"/>
    <xf numFmtId="0" fontId="170" fillId="0" borderId="0"/>
    <xf numFmtId="183" fontId="18" fillId="0" borderId="0"/>
    <xf numFmtId="0" fontId="25" fillId="0" borderId="0"/>
    <xf numFmtId="0" fontId="108" fillId="0" borderId="0"/>
    <xf numFmtId="0" fontId="25" fillId="0" borderId="0" applyNumberFormat="0" applyFont="0" applyFill="0" applyBorder="0" applyAlignment="0" applyProtection="0"/>
    <xf numFmtId="183" fontId="18" fillId="0" borderId="0"/>
    <xf numFmtId="0" fontId="170" fillId="0" borderId="0"/>
    <xf numFmtId="0" fontId="25" fillId="0" borderId="0" applyNumberFormat="0" applyFont="0" applyFill="0" applyBorder="0" applyAlignment="0" applyProtection="0"/>
    <xf numFmtId="183" fontId="18" fillId="0" borderId="0"/>
    <xf numFmtId="0" fontId="25" fillId="0" borderId="0" applyNumberFormat="0" applyFont="0" applyFill="0" applyBorder="0" applyAlignment="0" applyProtection="0"/>
    <xf numFmtId="183" fontId="18" fillId="0" borderId="0"/>
    <xf numFmtId="0" fontId="25" fillId="0" borderId="0" applyNumberFormat="0" applyFont="0" applyFill="0" applyBorder="0" applyAlignment="0" applyProtection="0"/>
    <xf numFmtId="183" fontId="18" fillId="0" borderId="0"/>
    <xf numFmtId="0" fontId="25" fillId="0" borderId="0" applyNumberFormat="0" applyFont="0" applyFill="0" applyBorder="0" applyAlignment="0" applyProtection="0"/>
    <xf numFmtId="183" fontId="18" fillId="0" borderId="0"/>
    <xf numFmtId="0" fontId="25" fillId="0" borderId="0" applyNumberFormat="0" applyFont="0" applyFill="0" applyBorder="0" applyAlignment="0" applyProtection="0"/>
    <xf numFmtId="183" fontId="18" fillId="0" borderId="0"/>
    <xf numFmtId="0" fontId="25" fillId="0" borderId="0" applyNumberFormat="0" applyFont="0" applyFill="0" applyBorder="0" applyAlignment="0" applyProtection="0"/>
    <xf numFmtId="183" fontId="108"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183" fontId="72" fillId="0" borderId="0"/>
    <xf numFmtId="183" fontId="72" fillId="0" borderId="0"/>
    <xf numFmtId="0" fontId="108" fillId="0" borderId="0"/>
    <xf numFmtId="0" fontId="25" fillId="0" borderId="0" applyNumberFormat="0" applyFill="0" applyBorder="0" applyAlignment="0" applyProtection="0"/>
    <xf numFmtId="183" fontId="72" fillId="0" borderId="0"/>
    <xf numFmtId="0" fontId="25" fillId="0" borderId="0" applyNumberFormat="0" applyFill="0" applyBorder="0" applyAlignment="0" applyProtection="0"/>
    <xf numFmtId="0" fontId="108" fillId="0" borderId="0"/>
    <xf numFmtId="0" fontId="25" fillId="0" borderId="0"/>
    <xf numFmtId="0" fontId="25" fillId="0" borderId="0" applyNumberFormat="0" applyFill="0" applyBorder="0" applyAlignment="0" applyProtection="0"/>
    <xf numFmtId="184" fontId="7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3" fontId="4" fillId="0" borderId="0"/>
    <xf numFmtId="0" fontId="4" fillId="0" borderId="0" applyNumberForma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72" fillId="0" borderId="0"/>
    <xf numFmtId="183" fontId="72" fillId="0" borderId="0"/>
    <xf numFmtId="0" fontId="25" fillId="0" borderId="0"/>
    <xf numFmtId="0" fontId="25" fillId="0" borderId="0" applyNumberFormat="0" applyFont="0" applyFill="0" applyBorder="0" applyAlignment="0" applyProtection="0"/>
    <xf numFmtId="0" fontId="108" fillId="0" borderId="0"/>
    <xf numFmtId="0" fontId="108" fillId="0" borderId="0"/>
    <xf numFmtId="0" fontId="25" fillId="0" borderId="0"/>
    <xf numFmtId="0" fontId="25" fillId="0" borderId="0" applyNumberFormat="0" applyFill="0" applyBorder="0" applyAlignment="0" applyProtection="0"/>
    <xf numFmtId="183" fontId="4"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25" fillId="0" borderId="0" applyNumberFormat="0" applyFont="0" applyFill="0" applyBorder="0" applyAlignment="0" applyProtection="0"/>
    <xf numFmtId="0" fontId="25" fillId="0" borderId="0"/>
    <xf numFmtId="0" fontId="4" fillId="0" borderId="0" applyNumberFormat="0" applyFill="0" applyBorder="0" applyAlignment="0" applyProtection="0"/>
    <xf numFmtId="0" fontId="25" fillId="0" borderId="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5" fillId="0" borderId="0"/>
    <xf numFmtId="0" fontId="4" fillId="0" borderId="0" applyNumberFormat="0" applyFill="0" applyBorder="0" applyAlignment="0" applyProtection="0"/>
    <xf numFmtId="0" fontId="4" fillId="0" borderId="0"/>
    <xf numFmtId="0" fontId="4" fillId="0" borderId="0"/>
    <xf numFmtId="0" fontId="25" fillId="0" borderId="0"/>
    <xf numFmtId="0" fontId="25" fillId="0" borderId="0" applyNumberFormat="0" applyFill="0" applyBorder="0" applyAlignment="0" applyProtection="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3" fontId="18" fillId="0" borderId="0"/>
    <xf numFmtId="183" fontId="18" fillId="0" borderId="0"/>
    <xf numFmtId="0" fontId="108" fillId="0" borderId="0"/>
    <xf numFmtId="183" fontId="72" fillId="0" borderId="0"/>
    <xf numFmtId="183" fontId="72" fillId="0" borderId="0"/>
    <xf numFmtId="0" fontId="25" fillId="0" borderId="0" applyNumberFormat="0" applyFill="0" applyBorder="0" applyAlignment="0" applyProtection="0"/>
    <xf numFmtId="183" fontId="18" fillId="0" borderId="0"/>
    <xf numFmtId="183" fontId="18" fillId="0" borderId="0"/>
    <xf numFmtId="0" fontId="108" fillId="0" borderId="0"/>
    <xf numFmtId="183" fontId="72" fillId="0" borderId="0"/>
    <xf numFmtId="183" fontId="72" fillId="0" borderId="0"/>
    <xf numFmtId="0" fontId="25" fillId="0" borderId="0" applyNumberFormat="0" applyFill="0" applyBorder="0" applyAlignment="0" applyProtection="0"/>
    <xf numFmtId="183" fontId="18" fillId="0" borderId="0"/>
    <xf numFmtId="183" fontId="18" fillId="0" borderId="0"/>
    <xf numFmtId="0" fontId="108" fillId="0" borderId="0"/>
    <xf numFmtId="183" fontId="72" fillId="0" borderId="0"/>
    <xf numFmtId="183" fontId="72" fillId="0" borderId="0"/>
    <xf numFmtId="0" fontId="25" fillId="0" borderId="0" applyNumberFormat="0" applyFill="0" applyBorder="0" applyAlignment="0" applyProtection="0"/>
    <xf numFmtId="183" fontId="18" fillId="0" borderId="0"/>
    <xf numFmtId="0" fontId="108" fillId="0" borderId="0"/>
    <xf numFmtId="0" fontId="25" fillId="0" borderId="0" applyNumberFormat="0" applyFill="0" applyBorder="0" applyAlignment="0" applyProtection="0"/>
    <xf numFmtId="183" fontId="18" fillId="0" borderId="0"/>
    <xf numFmtId="0" fontId="108" fillId="0" borderId="0"/>
    <xf numFmtId="0" fontId="25" fillId="0" borderId="0" applyNumberFormat="0" applyFill="0" applyBorder="0" applyAlignment="0" applyProtection="0"/>
    <xf numFmtId="183" fontId="18" fillId="0" borderId="0"/>
    <xf numFmtId="0" fontId="108" fillId="0" borderId="0"/>
    <xf numFmtId="0" fontId="25" fillId="0" borderId="0" applyNumberFormat="0" applyFill="0" applyBorder="0" applyAlignment="0" applyProtection="0"/>
    <xf numFmtId="183" fontId="108"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108" fillId="0" borderId="0"/>
    <xf numFmtId="0" fontId="4" fillId="0" borderId="0"/>
    <xf numFmtId="0" fontId="4" fillId="0" borderId="0"/>
    <xf numFmtId="0" fontId="1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18" fillId="0" borderId="0"/>
    <xf numFmtId="183" fontId="18" fillId="0" borderId="0"/>
    <xf numFmtId="183" fontId="72" fillId="0" borderId="0"/>
    <xf numFmtId="183" fontId="72" fillId="0" borderId="0"/>
    <xf numFmtId="0" fontId="25" fillId="0" borderId="0"/>
    <xf numFmtId="0" fontId="25" fillId="0" borderId="0" applyNumberFormat="0" applyFill="0" applyBorder="0" applyAlignment="0" applyProtection="0"/>
    <xf numFmtId="183" fontId="4" fillId="0" borderId="0"/>
    <xf numFmtId="0" fontId="25" fillId="0" borderId="0"/>
    <xf numFmtId="0" fontId="4" fillId="0" borderId="0"/>
    <xf numFmtId="0" fontId="4" fillId="0" borderId="0"/>
    <xf numFmtId="0" fontId="25" fillId="0" borderId="0"/>
    <xf numFmtId="0" fontId="4" fillId="0" borderId="0" applyNumberFormat="0" applyFill="0" applyBorder="0" applyAlignment="0" applyProtection="0"/>
    <xf numFmtId="183" fontId="4" fillId="0" borderId="0"/>
    <xf numFmtId="183" fontId="4" fillId="0" borderId="0"/>
    <xf numFmtId="0" fontId="25" fillId="0" borderId="0"/>
    <xf numFmtId="0" fontId="4" fillId="0" borderId="0"/>
    <xf numFmtId="0" fontId="4" fillId="0" borderId="0"/>
    <xf numFmtId="0" fontId="4" fillId="0" borderId="0" applyNumberFormat="0" applyFill="0" applyBorder="0" applyAlignment="0" applyProtection="0"/>
    <xf numFmtId="183" fontId="4" fillId="0" borderId="0"/>
    <xf numFmtId="183" fontId="18" fillId="0" borderId="0"/>
    <xf numFmtId="0" fontId="25" fillId="0" borderId="0"/>
    <xf numFmtId="183" fontId="18" fillId="0" borderId="0"/>
    <xf numFmtId="0" fontId="25" fillId="0" borderId="0"/>
    <xf numFmtId="183" fontId="18" fillId="0" borderId="0"/>
    <xf numFmtId="183" fontId="18" fillId="0" borderId="0"/>
    <xf numFmtId="183" fontId="18" fillId="0" borderId="0"/>
    <xf numFmtId="183" fontId="18" fillId="0" borderId="0"/>
    <xf numFmtId="183" fontId="10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18" fillId="0" borderId="0"/>
    <xf numFmtId="183" fontId="18" fillId="0" borderId="0"/>
    <xf numFmtId="183" fontId="72" fillId="0" borderId="0"/>
    <xf numFmtId="183" fontId="72" fillId="0" borderId="0"/>
    <xf numFmtId="0" fontId="108" fillId="0" borderId="0"/>
    <xf numFmtId="0" fontId="25" fillId="0" borderId="0"/>
    <xf numFmtId="0" fontId="25" fillId="0" borderId="0" applyNumberFormat="0" applyFont="0" applyFill="0" applyBorder="0" applyAlignment="0" applyProtection="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5" fillId="0" borderId="0"/>
    <xf numFmtId="0" fontId="4" fillId="0" borderId="0" applyNumberFormat="0" applyFill="0" applyBorder="0" applyAlignment="0" applyProtection="0"/>
    <xf numFmtId="0" fontId="4" fillId="0" borderId="0"/>
    <xf numFmtId="0" fontId="4" fillId="0" borderId="0"/>
    <xf numFmtId="0" fontId="25" fillId="0" borderId="0"/>
    <xf numFmtId="0" fontId="25" fillId="0" borderId="0" applyNumberFormat="0" applyFill="0" applyBorder="0" applyAlignment="0" applyProtection="0"/>
    <xf numFmtId="183"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3" fontId="4" fillId="0" borderId="0"/>
    <xf numFmtId="0" fontId="25" fillId="0" borderId="0"/>
    <xf numFmtId="0" fontId="4" fillId="0" borderId="0"/>
    <xf numFmtId="0" fontId="4" fillId="0" borderId="0"/>
    <xf numFmtId="0" fontId="4" fillId="0" borderId="0" applyNumberFormat="0" applyFill="0" applyBorder="0" applyAlignment="0" applyProtection="0"/>
    <xf numFmtId="183" fontId="4" fillId="0" borderId="0"/>
    <xf numFmtId="183" fontId="18" fillId="0" borderId="0"/>
    <xf numFmtId="0" fontId="104" fillId="0" borderId="0"/>
    <xf numFmtId="183" fontId="18" fillId="0" borderId="0"/>
    <xf numFmtId="0" fontId="104" fillId="0" borderId="0"/>
    <xf numFmtId="183" fontId="18" fillId="0" borderId="0"/>
    <xf numFmtId="183" fontId="18" fillId="0" borderId="0"/>
    <xf numFmtId="183" fontId="18" fillId="0" borderId="0"/>
    <xf numFmtId="183" fontId="18" fillId="0" borderId="0"/>
    <xf numFmtId="183" fontId="10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25" fillId="0" borderId="0"/>
    <xf numFmtId="183" fontId="25" fillId="0" borderId="0"/>
    <xf numFmtId="0" fontId="104" fillId="0" borderId="0"/>
    <xf numFmtId="183" fontId="72" fillId="0" borderId="0"/>
    <xf numFmtId="0" fontId="104" fillId="0" borderId="0"/>
    <xf numFmtId="183" fontId="72" fillId="0" borderId="0"/>
    <xf numFmtId="0" fontId="108" fillId="0" borderId="0"/>
    <xf numFmtId="0" fontId="25" fillId="0" borderId="0"/>
    <xf numFmtId="0" fontId="25"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0" borderId="0" applyNumberFormat="0" applyFill="0" applyBorder="0" applyProtection="0">
      <alignment vertical="top" wrapText="1"/>
    </xf>
    <xf numFmtId="0" fontId="171" fillId="0" borderId="0" applyNumberFormat="0" applyFill="0" applyBorder="0" applyProtection="0">
      <alignment vertical="top" wrapText="1"/>
    </xf>
    <xf numFmtId="203" fontId="172" fillId="0" borderId="0" applyFill="0" applyBorder="0" applyProtection="0">
      <alignment horizontal="right" vertical="top"/>
    </xf>
    <xf numFmtId="183" fontId="173" fillId="61"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95" fillId="29" borderId="44"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61"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61"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4" fillId="29" borderId="44" applyNumberFormat="0" applyAlignment="0" applyProtection="0"/>
    <xf numFmtId="0" fontId="147" fillId="0" borderId="44"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173" fillId="79" borderId="50" applyNumberFormat="0" applyAlignment="0" applyProtection="0"/>
    <xf numFmtId="0" fontId="173" fillId="79" borderId="50" applyNumberFormat="0" applyAlignment="0" applyProtection="0"/>
    <xf numFmtId="0" fontId="173" fillId="79" borderId="50" applyNumberFormat="0" applyAlignment="0" applyProtection="0"/>
    <xf numFmtId="183" fontId="173" fillId="61" borderId="50" applyNumberFormat="0" applyAlignment="0" applyProtection="0"/>
    <xf numFmtId="0" fontId="173" fillId="79"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61" borderId="50" applyNumberFormat="0" applyAlignment="0" applyProtection="0"/>
    <xf numFmtId="0" fontId="173" fillId="61" borderId="50" applyNumberFormat="0" applyAlignment="0" applyProtection="0"/>
    <xf numFmtId="0" fontId="174" fillId="29" borderId="44" applyNumberFormat="0" applyAlignment="0" applyProtection="0"/>
    <xf numFmtId="0" fontId="25" fillId="0" borderId="0" applyNumberFormat="0" applyFont="0" applyFill="0" applyBorder="0" applyAlignment="0" applyProtection="0"/>
    <xf numFmtId="183" fontId="173" fillId="61" borderId="50"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3" fillId="61" borderId="50" applyNumberFormat="0" applyAlignment="0" applyProtection="0"/>
    <xf numFmtId="0" fontId="173" fillId="61" borderId="50" applyNumberFormat="0" applyAlignment="0" applyProtection="0"/>
    <xf numFmtId="0" fontId="174" fillId="29" borderId="44" applyNumberFormat="0" applyAlignment="0" applyProtection="0"/>
    <xf numFmtId="0" fontId="25" fillId="0" borderId="0" applyNumberFormat="0" applyFont="0" applyFill="0" applyBorder="0" applyAlignment="0" applyProtection="0"/>
    <xf numFmtId="0" fontId="95" fillId="29" borderId="44" applyNumberFormat="0" applyAlignment="0" applyProtection="0"/>
    <xf numFmtId="0" fontId="174" fillId="29" borderId="44" applyNumberFormat="0" applyAlignment="0" applyProtection="0"/>
    <xf numFmtId="0" fontId="147" fillId="0" borderId="44" applyNumberFormat="0" applyFill="0" applyAlignment="0" applyProtection="0"/>
    <xf numFmtId="0" fontId="147" fillId="0" borderId="44" applyNumberFormat="0" applyFill="0" applyAlignment="0" applyProtection="0"/>
    <xf numFmtId="0" fontId="174" fillId="29" borderId="44" applyNumberFormat="0" applyAlignment="0" applyProtection="0"/>
    <xf numFmtId="0" fontId="147" fillId="0" borderId="44" applyNumberFormat="0" applyFill="0" applyAlignment="0" applyProtection="0"/>
    <xf numFmtId="204" fontId="175" fillId="0" borderId="0">
      <alignment horizontal="left"/>
    </xf>
    <xf numFmtId="40" fontId="176" fillId="74" borderId="0">
      <alignment horizontal="right"/>
    </xf>
    <xf numFmtId="0" fontId="177" fillId="74" borderId="0">
      <alignment horizontal="right"/>
    </xf>
    <xf numFmtId="0" fontId="178" fillId="74" borderId="62"/>
    <xf numFmtId="0" fontId="178" fillId="0" borderId="0" applyBorder="0">
      <alignment horizontal="centerContinuous"/>
    </xf>
    <xf numFmtId="0" fontId="179" fillId="0" borderId="0" applyBorder="0">
      <alignment horizontal="centerContinuous"/>
    </xf>
    <xf numFmtId="0" fontId="25" fillId="0" borderId="0" applyNumberFormat="0" applyFont="0" applyFill="0" applyBorder="0" applyAlignment="0" applyProtection="0"/>
    <xf numFmtId="0" fontId="25" fillId="0" borderId="0" applyNumberFormat="0" applyFont="0" applyFill="0" applyBorder="0" applyAlignment="0" applyProtection="0"/>
    <xf numFmtId="10" fontId="108" fillId="0" borderId="0" applyFont="0" applyFill="0" applyBorder="0" applyAlignment="0" applyProtection="0"/>
    <xf numFmtId="9" fontId="104" fillId="0" borderId="0" applyFont="0" applyFill="0" applyBorder="0" applyAlignment="0" applyProtection="0"/>
    <xf numFmtId="183" fontId="180" fillId="0" borderId="0" applyNumberFormat="0" applyFill="0" applyBorder="0" applyProtection="0">
      <alignment horizontal="left"/>
    </xf>
    <xf numFmtId="183" fontId="180" fillId="0" borderId="0" applyNumberFormat="0" applyFill="0" applyBorder="0" applyAlignment="0" applyProtection="0"/>
    <xf numFmtId="183" fontId="180" fillId="0" borderId="0" applyNumberFormat="0" applyFill="0" applyBorder="0" applyAlignment="0" applyProtection="0"/>
    <xf numFmtId="183" fontId="180" fillId="0" borderId="0" applyNumberFormat="0" applyFill="0" applyBorder="0" applyAlignment="0" applyProtection="0"/>
    <xf numFmtId="183" fontId="180" fillId="0" borderId="0" applyNumberFormat="0" applyFill="0" applyBorder="0" applyProtection="0">
      <alignment horizontal="left"/>
    </xf>
    <xf numFmtId="183" fontId="180" fillId="0" borderId="0" applyNumberFormat="0" applyFill="0" applyBorder="0" applyAlignment="0" applyProtection="0"/>
    <xf numFmtId="2" fontId="181" fillId="74" borderId="0">
      <protection locked="0"/>
    </xf>
    <xf numFmtId="205" fontId="171" fillId="0" borderId="0"/>
    <xf numFmtId="9"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82" fillId="0" borderId="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0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26" fillId="0" borderId="0" applyFont="0" applyFill="0" applyBorder="0" applyAlignment="0" applyProtection="0"/>
    <xf numFmtId="9" fontId="18" fillId="0" borderId="0" applyFont="0" applyFill="0" applyBorder="0" applyAlignment="0" applyProtection="0"/>
    <xf numFmtId="9" fontId="126"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9" fontId="72"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0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83" fillId="67" borderId="63" applyNumberFormat="0" applyProtection="0">
      <alignment vertical="center"/>
    </xf>
    <xf numFmtId="4" fontId="184" fillId="85" borderId="63" applyNumberFormat="0" applyProtection="0">
      <alignment vertical="center"/>
    </xf>
    <xf numFmtId="4" fontId="183" fillId="85" borderId="63" applyNumberFormat="0" applyProtection="0">
      <alignment horizontal="left" vertical="center" indent="1"/>
    </xf>
    <xf numFmtId="0" fontId="183" fillId="85" borderId="63" applyNumberFormat="0" applyProtection="0">
      <alignment horizontal="left" vertical="top" indent="1"/>
    </xf>
    <xf numFmtId="4" fontId="183" fillId="86" borderId="0" applyNumberFormat="0" applyProtection="0">
      <alignment horizontal="left" vertical="center" indent="1"/>
    </xf>
    <xf numFmtId="4" fontId="185" fillId="57" borderId="63" applyNumberFormat="0" applyProtection="0">
      <alignment horizontal="right" vertical="center"/>
    </xf>
    <xf numFmtId="4" fontId="185" fillId="66" borderId="63" applyNumberFormat="0" applyProtection="0">
      <alignment horizontal="right" vertical="center"/>
    </xf>
    <xf numFmtId="4" fontId="185" fillId="64" borderId="63" applyNumberFormat="0" applyProtection="0">
      <alignment horizontal="right" vertical="center"/>
    </xf>
    <xf numFmtId="4" fontId="185" fillId="69" borderId="63" applyNumberFormat="0" applyProtection="0">
      <alignment horizontal="right" vertical="center"/>
    </xf>
    <xf numFmtId="4" fontId="185" fillId="73" borderId="63" applyNumberFormat="0" applyProtection="0">
      <alignment horizontal="right" vertical="center"/>
    </xf>
    <xf numFmtId="4" fontId="185" fillId="78" borderId="63" applyNumberFormat="0" applyProtection="0">
      <alignment horizontal="right" vertical="center"/>
    </xf>
    <xf numFmtId="4" fontId="185" fillId="76" borderId="63" applyNumberFormat="0" applyProtection="0">
      <alignment horizontal="right" vertical="center"/>
    </xf>
    <xf numFmtId="4" fontId="185" fillId="87" borderId="63" applyNumberFormat="0" applyProtection="0">
      <alignment horizontal="right" vertical="center"/>
    </xf>
    <xf numFmtId="4" fontId="185" fillId="68" borderId="63" applyNumberFormat="0" applyProtection="0">
      <alignment horizontal="right" vertical="center"/>
    </xf>
    <xf numFmtId="4" fontId="183" fillId="88" borderId="64" applyNumberFormat="0" applyProtection="0">
      <alignment horizontal="left" vertical="center" indent="1"/>
    </xf>
    <xf numFmtId="4" fontId="185" fillId="89" borderId="0" applyNumberFormat="0" applyProtection="0">
      <alignment horizontal="left" vertical="center" indent="1"/>
    </xf>
    <xf numFmtId="4" fontId="186" fillId="90" borderId="0" applyNumberFormat="0" applyProtection="0">
      <alignment horizontal="left" vertical="center" indent="1"/>
    </xf>
    <xf numFmtId="4" fontId="185" fillId="91" borderId="63" applyNumberFormat="0" applyProtection="0">
      <alignment horizontal="right" vertical="center"/>
    </xf>
    <xf numFmtId="4" fontId="187" fillId="89" borderId="0" applyNumberFormat="0" applyProtection="0">
      <alignment horizontal="left" vertical="center" indent="1"/>
    </xf>
    <xf numFmtId="4" fontId="187" fillId="86" borderId="0" applyNumberFormat="0" applyProtection="0">
      <alignment horizontal="left" vertical="center" indent="1"/>
    </xf>
    <xf numFmtId="0" fontId="108" fillId="90" borderId="63" applyNumberFormat="0" applyProtection="0">
      <alignment horizontal="left" vertical="center" indent="1"/>
    </xf>
    <xf numFmtId="0" fontId="108" fillId="90" borderId="63" applyNumberFormat="0" applyProtection="0">
      <alignment horizontal="left" vertical="center" indent="1"/>
    </xf>
    <xf numFmtId="0" fontId="108" fillId="90" borderId="63" applyNumberFormat="0" applyProtection="0">
      <alignment horizontal="left" vertical="center" indent="1"/>
    </xf>
    <xf numFmtId="0" fontId="108" fillId="90" borderId="63" applyNumberFormat="0" applyProtection="0">
      <alignment horizontal="left" vertical="top" indent="1"/>
    </xf>
    <xf numFmtId="0" fontId="108" fillId="90" borderId="63" applyNumberFormat="0" applyProtection="0">
      <alignment horizontal="left" vertical="top" indent="1"/>
    </xf>
    <xf numFmtId="0" fontId="108" fillId="90" borderId="63" applyNumberFormat="0" applyProtection="0">
      <alignment horizontal="left" vertical="top" indent="1"/>
    </xf>
    <xf numFmtId="0" fontId="108" fillId="86" borderId="63" applyNumberFormat="0" applyProtection="0">
      <alignment horizontal="left" vertical="center" indent="1"/>
    </xf>
    <xf numFmtId="0" fontId="108" fillId="86" borderId="63" applyNumberFormat="0" applyProtection="0">
      <alignment horizontal="left" vertical="center" indent="1"/>
    </xf>
    <xf numFmtId="0" fontId="108" fillId="86" borderId="63" applyNumberFormat="0" applyProtection="0">
      <alignment horizontal="left" vertical="center" indent="1"/>
    </xf>
    <xf numFmtId="0" fontId="108" fillId="86" borderId="63" applyNumberFormat="0" applyProtection="0">
      <alignment horizontal="left" vertical="top" indent="1"/>
    </xf>
    <xf numFmtId="0" fontId="108" fillId="86" borderId="63" applyNumberFormat="0" applyProtection="0">
      <alignment horizontal="left" vertical="top" indent="1"/>
    </xf>
    <xf numFmtId="0" fontId="108" fillId="86" borderId="63" applyNumberFormat="0" applyProtection="0">
      <alignment horizontal="left" vertical="top" indent="1"/>
    </xf>
    <xf numFmtId="0" fontId="108" fillId="92" borderId="63" applyNumberFormat="0" applyProtection="0">
      <alignment horizontal="left" vertical="center" indent="1"/>
    </xf>
    <xf numFmtId="0" fontId="108" fillId="92" borderId="63" applyNumberFormat="0" applyProtection="0">
      <alignment horizontal="left" vertical="center" indent="1"/>
    </xf>
    <xf numFmtId="0" fontId="108" fillId="92" borderId="63" applyNumberFormat="0" applyProtection="0">
      <alignment horizontal="left" vertical="center" indent="1"/>
    </xf>
    <xf numFmtId="0" fontId="108" fillId="92" borderId="63" applyNumberFormat="0" applyProtection="0">
      <alignment horizontal="left" vertical="top" indent="1"/>
    </xf>
    <xf numFmtId="0" fontId="108" fillId="92" borderId="63" applyNumberFormat="0" applyProtection="0">
      <alignment horizontal="left" vertical="top" indent="1"/>
    </xf>
    <xf numFmtId="0" fontId="108" fillId="92" borderId="63" applyNumberFormat="0" applyProtection="0">
      <alignment horizontal="left" vertical="top" indent="1"/>
    </xf>
    <xf numFmtId="0" fontId="108" fillId="93" borderId="63" applyNumberFormat="0" applyProtection="0">
      <alignment horizontal="left" vertical="center" indent="1"/>
    </xf>
    <xf numFmtId="0" fontId="108" fillId="93" borderId="63" applyNumberFormat="0" applyProtection="0">
      <alignment horizontal="left" vertical="center" indent="1"/>
    </xf>
    <xf numFmtId="0" fontId="108" fillId="93" borderId="63" applyNumberFormat="0" applyProtection="0">
      <alignment horizontal="left" vertical="center" indent="1"/>
    </xf>
    <xf numFmtId="0" fontId="108" fillId="93" borderId="63" applyNumberFormat="0" applyProtection="0">
      <alignment horizontal="left" vertical="top" indent="1"/>
    </xf>
    <xf numFmtId="0" fontId="108" fillId="93" borderId="63" applyNumberFormat="0" applyProtection="0">
      <alignment horizontal="left" vertical="top" indent="1"/>
    </xf>
    <xf numFmtId="0" fontId="108" fillId="93" borderId="63" applyNumberFormat="0" applyProtection="0">
      <alignment horizontal="left" vertical="top" indent="1"/>
    </xf>
    <xf numFmtId="4" fontId="185" fillId="82" borderId="63" applyNumberFormat="0" applyProtection="0">
      <alignment vertical="center"/>
    </xf>
    <xf numFmtId="4" fontId="188" fillId="82" borderId="63" applyNumberFormat="0" applyProtection="0">
      <alignment vertical="center"/>
    </xf>
    <xf numFmtId="4" fontId="185" fillId="82" borderId="63" applyNumberFormat="0" applyProtection="0">
      <alignment horizontal="left" vertical="center" indent="1"/>
    </xf>
    <xf numFmtId="0" fontId="185" fillId="82" borderId="63" applyNumberFormat="0" applyProtection="0">
      <alignment horizontal="left" vertical="top" indent="1"/>
    </xf>
    <xf numFmtId="4" fontId="185" fillId="89" borderId="63" applyNumberFormat="0" applyProtection="0">
      <alignment horizontal="right" vertical="center"/>
    </xf>
    <xf numFmtId="4" fontId="185" fillId="94" borderId="51" applyNumberFormat="0" applyProtection="0">
      <alignment horizontal="right" vertical="center"/>
    </xf>
    <xf numFmtId="4" fontId="188" fillId="89" borderId="63" applyNumberFormat="0" applyProtection="0">
      <alignment horizontal="right" vertical="center"/>
    </xf>
    <xf numFmtId="4" fontId="185" fillId="91" borderId="63" applyNumberFormat="0" applyProtection="0">
      <alignment horizontal="left" vertical="center" indent="1"/>
    </xf>
    <xf numFmtId="0" fontId="185" fillId="86" borderId="63" applyNumberFormat="0" applyProtection="0">
      <alignment horizontal="left" vertical="top" indent="1"/>
    </xf>
    <xf numFmtId="4" fontId="189" fillId="95" borderId="0" applyNumberFormat="0" applyProtection="0">
      <alignment horizontal="left" vertical="center" indent="1"/>
    </xf>
    <xf numFmtId="4" fontId="190" fillId="89" borderId="63" applyNumberFormat="0" applyProtection="0">
      <alignment horizontal="right" vertical="center"/>
    </xf>
    <xf numFmtId="0" fontId="25" fillId="0" borderId="0" applyNumberFormat="0" applyFont="0" applyFill="0" applyBorder="0" applyAlignment="0" applyProtection="0"/>
    <xf numFmtId="0" fontId="191" fillId="0" borderId="0"/>
    <xf numFmtId="0" fontId="187" fillId="0" borderId="0">
      <alignment vertical="top"/>
    </xf>
    <xf numFmtId="0" fontId="192" fillId="0" borderId="65"/>
    <xf numFmtId="183" fontId="149" fillId="0" borderId="66"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6" fillId="0" borderId="49"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9" fillId="0" borderId="66"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9" fillId="0" borderId="66"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93" fillId="0" borderId="49" applyNumberFormat="0" applyFill="0" applyAlignment="0" applyProtection="0"/>
    <xf numFmtId="0" fontId="25" fillId="0" borderId="49"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148" fillId="0" borderId="67" applyNumberFormat="0" applyFill="0" applyAlignment="0" applyProtection="0"/>
    <xf numFmtId="0" fontId="148" fillId="0" borderId="67" applyNumberFormat="0" applyFill="0" applyAlignment="0" applyProtection="0"/>
    <xf numFmtId="0" fontId="148" fillId="0" borderId="67" applyNumberFormat="0" applyFill="0" applyAlignment="0" applyProtection="0"/>
    <xf numFmtId="183" fontId="149" fillId="0" borderId="66" applyNumberFormat="0" applyFill="0" applyAlignment="0" applyProtection="0"/>
    <xf numFmtId="0" fontId="148" fillId="0" borderId="67"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9" fillId="0" borderId="66" applyNumberFormat="0" applyFill="0" applyAlignment="0" applyProtection="0"/>
    <xf numFmtId="0" fontId="149" fillId="0" borderId="66" applyNumberFormat="0" applyFill="0" applyAlignment="0" applyProtection="0"/>
    <xf numFmtId="0" fontId="193" fillId="0" borderId="49" applyNumberFormat="0" applyFill="0" applyAlignment="0" applyProtection="0"/>
    <xf numFmtId="0" fontId="25" fillId="0" borderId="0" applyNumberFormat="0" applyFont="0" applyFill="0" applyBorder="0" applyAlignment="0" applyProtection="0"/>
    <xf numFmtId="183" fontId="149" fillId="0" borderId="66"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49" fillId="0" borderId="66" applyNumberFormat="0" applyFill="0" applyAlignment="0" applyProtection="0"/>
    <xf numFmtId="0" fontId="149" fillId="0" borderId="66" applyNumberFormat="0" applyFill="0" applyAlignment="0" applyProtection="0"/>
    <xf numFmtId="0" fontId="193" fillId="0" borderId="49" applyNumberFormat="0" applyFill="0" applyAlignment="0" applyProtection="0"/>
    <xf numFmtId="0" fontId="25" fillId="0" borderId="0" applyNumberFormat="0" applyFont="0" applyFill="0" applyBorder="0" applyAlignment="0" applyProtection="0"/>
    <xf numFmtId="0" fontId="26" fillId="0" borderId="49" applyNumberFormat="0" applyFill="0" applyAlignment="0" applyProtection="0"/>
    <xf numFmtId="0" fontId="193" fillId="0" borderId="49" applyNumberFormat="0" applyFill="0" applyAlignment="0" applyProtection="0"/>
    <xf numFmtId="0" fontId="25" fillId="0" borderId="49" applyNumberFormat="0" applyFill="0" applyAlignment="0" applyProtection="0"/>
    <xf numFmtId="0" fontId="25" fillId="0" borderId="49" applyNumberFormat="0" applyFill="0" applyAlignment="0" applyProtection="0"/>
    <xf numFmtId="0" fontId="193" fillId="0" borderId="49" applyNumberFormat="0" applyFill="0" applyAlignment="0" applyProtection="0"/>
    <xf numFmtId="0" fontId="25" fillId="0" borderId="49" applyNumberFormat="0" applyFill="0" applyAlignment="0" applyProtection="0"/>
    <xf numFmtId="183"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99"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183" fontId="194" fillId="0" borderId="0" applyNumberFormat="0" applyFill="0" applyBorder="0" applyAlignment="0" applyProtection="0"/>
    <xf numFmtId="0"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25" fillId="0" borderId="0" applyNumberFormat="0" applyFont="0" applyFill="0" applyBorder="0" applyAlignment="0" applyProtection="0"/>
    <xf numFmtId="183" fontId="194"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25" fillId="0" borderId="0" applyNumberFormat="0" applyFont="0" applyFill="0" applyBorder="0" applyAlignment="0" applyProtection="0"/>
    <xf numFmtId="0" fontId="99"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183" fontId="197"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9"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183" fontId="197" fillId="0" borderId="0" applyNumberFormat="0" applyFill="0" applyBorder="0" applyAlignment="0" applyProtection="0"/>
    <xf numFmtId="0" fontId="198"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9" fillId="0" borderId="0" applyNumberFormat="0" applyFill="0" applyBorder="0" applyAlignment="0" applyProtection="0"/>
    <xf numFmtId="0" fontId="25" fillId="0" borderId="0" applyNumberFormat="0" applyFont="0" applyFill="0" applyBorder="0" applyAlignment="0" applyProtection="0"/>
    <xf numFmtId="183" fontId="197"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9" fillId="0" borderId="0" applyNumberFormat="0" applyFill="0" applyBorder="0" applyAlignment="0" applyProtection="0"/>
    <xf numFmtId="0" fontId="25" fillId="0" borderId="0" applyNumberFormat="0" applyFont="0" applyFill="0" applyBorder="0" applyAlignment="0" applyProtection="0"/>
    <xf numFmtId="0" fontId="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183" fontId="200"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2"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183" fontId="200" fillId="0" borderId="0" applyNumberFormat="0" applyFill="0" applyBorder="0" applyAlignment="0" applyProtection="0"/>
    <xf numFmtId="0" fontId="201"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5" fillId="0" borderId="0" applyNumberFormat="0" applyFont="0" applyFill="0" applyBorder="0" applyAlignment="0" applyProtection="0"/>
    <xf numFmtId="183" fontId="200"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5"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3" fontId="204" fillId="0" borderId="0"/>
    <xf numFmtId="204" fontId="175" fillId="0" borderId="0">
      <alignment horizontal="left"/>
    </xf>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183" fontId="108" fillId="63" borderId="68"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48" applyNumberFormat="0" applyFont="0" applyFill="0" applyAlignment="0" applyProtection="0"/>
    <xf numFmtId="0" fontId="25" fillId="31" borderId="48" applyNumberFormat="0" applyFont="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48" applyNumberFormat="0" applyFont="0" applyFill="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08" fillId="63" borderId="68"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08" fillId="63" borderId="68"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0" borderId="0" applyNumberFormat="0" applyFont="0" applyFill="0" applyBorder="0" applyAlignment="0" applyProtection="0"/>
    <xf numFmtId="0" fontId="18" fillId="63" borderId="69" applyNumberFormat="0" applyFont="0" applyAlignment="0" applyProtection="0"/>
    <xf numFmtId="0" fontId="18" fillId="63" borderId="69" applyNumberFormat="0" applyFont="0" applyAlignment="0" applyProtection="0"/>
    <xf numFmtId="0" fontId="18" fillId="63" borderId="69"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183" fontId="108" fillId="63" borderId="6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0" applyNumberFormat="0" applyFont="0" applyFill="0" applyBorder="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25" fillId="0" borderId="48" applyNumberFormat="0" applyFont="0" applyFill="0" applyAlignment="0" applyProtection="0"/>
    <xf numFmtId="0" fontId="18" fillId="31" borderId="48" applyNumberFormat="0" applyFont="0" applyAlignment="0" applyProtection="0"/>
    <xf numFmtId="0" fontId="108" fillId="63" borderId="68" applyNumberFormat="0" applyFont="0" applyAlignment="0" applyProtection="0"/>
    <xf numFmtId="0" fontId="18" fillId="31" borderId="48" applyNumberFormat="0" applyFont="0" applyAlignment="0" applyProtection="0"/>
    <xf numFmtId="0" fontId="108" fillId="63" borderId="6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18" fillId="31" borderId="48" applyNumberFormat="0" applyFont="0" applyAlignment="0" applyProtection="0"/>
    <xf numFmtId="0" fontId="18" fillId="31" borderId="48" applyNumberFormat="0" applyFont="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0" borderId="48" applyNumberFormat="0" applyFont="0" applyFill="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183" fontId="108" fillId="63" borderId="68"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108" fillId="63" borderId="68" applyNumberFormat="0" applyFont="0" applyAlignment="0" applyProtection="0"/>
    <xf numFmtId="0" fontId="108" fillId="63" borderId="6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25" fillId="31" borderId="48"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0" borderId="48" applyNumberFormat="0" applyFont="0" applyFill="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25"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0" fontId="4" fillId="31" borderId="48" applyNumberFormat="0" applyFont="0" applyAlignment="0" applyProtection="0"/>
    <xf numFmtId="189" fontId="152" fillId="0" borderId="0"/>
    <xf numFmtId="206" fontId="113" fillId="0" borderId="0" applyFont="0" applyFill="0" applyBorder="0" applyAlignment="0" applyProtection="0"/>
    <xf numFmtId="185" fontId="112" fillId="0" borderId="0" applyFont="0" applyFill="0" applyBorder="0" applyAlignment="0" applyProtection="0"/>
    <xf numFmtId="207" fontId="108" fillId="0" borderId="0" applyFont="0" applyFill="0" applyBorder="0" applyAlignment="0" applyProtection="0"/>
    <xf numFmtId="208" fontId="108" fillId="0" borderId="0" applyFont="0" applyFill="0" applyBorder="0" applyAlignment="0" applyProtection="0"/>
    <xf numFmtId="44"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10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4" fillId="0" borderId="0" applyFont="0" applyFill="0" applyBorder="0" applyAlignment="0" applyProtection="0"/>
    <xf numFmtId="44" fontId="10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10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10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44" fontId="25" fillId="0" borderId="0" applyFont="0" applyFill="0" applyBorder="0" applyAlignment="0" applyProtection="0"/>
    <xf numFmtId="44" fontId="4" fillId="0" borderId="0" applyFont="0" applyFill="0" applyBorder="0" applyAlignment="0" applyProtection="0"/>
    <xf numFmtId="183"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91" fillId="26"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06" fillId="26" borderId="0" applyNumberFormat="0" applyBorder="0" applyAlignment="0" applyProtection="0"/>
    <xf numFmtId="0" fontId="206"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06" fillId="26" borderId="0" applyNumberFormat="0" applyBorder="0" applyAlignment="0" applyProtection="0"/>
    <xf numFmtId="0" fontId="206"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205" fillId="57" borderId="0" applyNumberFormat="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5" fillId="57" borderId="0" applyNumberFormat="0" applyBorder="0" applyAlignment="0" applyProtection="0"/>
    <xf numFmtId="0" fontId="205" fillId="57" borderId="0" applyNumberFormat="0" applyBorder="0" applyAlignment="0" applyProtection="0"/>
    <xf numFmtId="0" fontId="206" fillId="26" borderId="0" applyNumberFormat="0" applyBorder="0" applyAlignment="0" applyProtection="0"/>
    <xf numFmtId="0" fontId="25" fillId="0" borderId="0" applyNumberFormat="0" applyFont="0" applyFill="0" applyBorder="0" applyAlignment="0" applyProtection="0"/>
    <xf numFmtId="0" fontId="91" fillId="26" borderId="0" applyNumberFormat="0" applyBorder="0" applyAlignment="0" applyProtection="0"/>
    <xf numFmtId="0" fontId="206" fillId="26" borderId="0" applyNumberFormat="0" applyBorder="0" applyAlignment="0" applyProtection="0"/>
    <xf numFmtId="0" fontId="206" fillId="0" borderId="0" applyNumberFormat="0" applyFill="0" applyBorder="0" applyAlignment="0" applyProtection="0"/>
    <xf numFmtId="0" fontId="206" fillId="0" borderId="0" applyNumberFormat="0" applyFill="0" applyBorder="0" applyAlignment="0" applyProtection="0"/>
    <xf numFmtId="0" fontId="206" fillId="26" borderId="0" applyNumberFormat="0" applyBorder="0" applyAlignment="0" applyProtection="0"/>
    <xf numFmtId="0" fontId="206" fillId="0" borderId="0" applyNumberForma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101" fillId="0" borderId="0" applyFont="0" applyFill="0" applyBorder="0" applyAlignment="0" applyProtection="0"/>
  </cellStyleXfs>
  <cellXfs count="702">
    <xf numFmtId="0" fontId="0" fillId="0" borderId="0" xfId="0"/>
    <xf numFmtId="0" fontId="19" fillId="0" borderId="0" xfId="0" applyFont="1" applyBorder="1" applyAlignment="1">
      <alignment vertical="center"/>
    </xf>
    <xf numFmtId="0" fontId="19" fillId="0" borderId="0" xfId="0" applyFont="1" applyAlignment="1">
      <alignment vertical="center"/>
    </xf>
    <xf numFmtId="0" fontId="27" fillId="3" borderId="0" xfId="0" applyFont="1" applyFill="1" applyAlignment="1">
      <alignment vertical="center"/>
    </xf>
    <xf numFmtId="0" fontId="19" fillId="0" borderId="0" xfId="0" applyFont="1" applyFill="1" applyBorder="1" applyAlignment="1">
      <alignment vertical="center"/>
    </xf>
    <xf numFmtId="0" fontId="33" fillId="3" borderId="0" xfId="0" applyFont="1" applyFill="1" applyAlignment="1">
      <alignment vertical="center"/>
    </xf>
    <xf numFmtId="0" fontId="23" fillId="0" borderId="0" xfId="0" applyFont="1" applyAlignment="1">
      <alignment vertical="center"/>
    </xf>
    <xf numFmtId="0" fontId="23" fillId="0" borderId="0" xfId="0" applyFont="1"/>
    <xf numFmtId="0" fontId="34" fillId="3" borderId="4" xfId="0" applyFont="1" applyFill="1" applyBorder="1" applyAlignment="1">
      <alignment vertical="center" wrapText="1"/>
    </xf>
    <xf numFmtId="0" fontId="34" fillId="3" borderId="5" xfId="0" applyFont="1" applyFill="1" applyBorder="1" applyAlignment="1">
      <alignment vertical="center" wrapText="1"/>
    </xf>
    <xf numFmtId="0" fontId="23" fillId="0" borderId="0" xfId="0" applyFont="1" applyFill="1" applyAlignment="1">
      <alignment vertical="center"/>
    </xf>
    <xf numFmtId="0" fontId="23" fillId="3" borderId="0" xfId="0" applyFont="1" applyFill="1" applyAlignment="1">
      <alignment vertical="center"/>
    </xf>
    <xf numFmtId="0" fontId="23" fillId="3" borderId="0" xfId="0" applyFont="1" applyFill="1" applyBorder="1" applyAlignment="1">
      <alignment vertical="center"/>
    </xf>
    <xf numFmtId="0" fontId="23" fillId="3" borderId="0" xfId="0" applyFont="1" applyFill="1"/>
    <xf numFmtId="0" fontId="36" fillId="8" borderId="6" xfId="0" applyFont="1" applyFill="1" applyBorder="1" applyAlignment="1">
      <alignment vertical="center" wrapText="1"/>
    </xf>
    <xf numFmtId="0" fontId="0" fillId="3" borderId="0" xfId="0" applyFill="1"/>
    <xf numFmtId="0" fontId="17" fillId="3" borderId="0" xfId="0" applyFont="1"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applyBorder="1" applyAlignment="1">
      <alignment vertical="center"/>
    </xf>
    <xf numFmtId="0" fontId="39" fillId="13" borderId="18" xfId="0" applyFont="1" applyFill="1" applyBorder="1" applyAlignment="1">
      <alignment horizontal="right" vertical="center"/>
    </xf>
    <xf numFmtId="0" fontId="34" fillId="5" borderId="18" xfId="0" applyFont="1" applyFill="1" applyBorder="1" applyAlignment="1">
      <alignment horizontal="right" vertical="center" wrapText="1"/>
    </xf>
    <xf numFmtId="0" fontId="40" fillId="5" borderId="19" xfId="0" applyFont="1" applyFill="1" applyBorder="1" applyAlignment="1">
      <alignment horizontal="right" vertical="center" wrapText="1"/>
    </xf>
    <xf numFmtId="0" fontId="42" fillId="3" borderId="0" xfId="0" applyFont="1" applyFill="1" applyBorder="1" applyAlignment="1">
      <alignment vertical="center"/>
    </xf>
    <xf numFmtId="0" fontId="42" fillId="3" borderId="0" xfId="0" applyFont="1" applyFill="1" applyAlignment="1">
      <alignment vertical="center"/>
    </xf>
    <xf numFmtId="0" fontId="42" fillId="0" borderId="0" xfId="0" applyFont="1" applyAlignment="1">
      <alignment vertical="center"/>
    </xf>
    <xf numFmtId="41" fontId="17" fillId="3" borderId="0" xfId="0" applyNumberFormat="1" applyFont="1" applyFill="1" applyBorder="1" applyAlignment="1">
      <alignment horizontal="right" vertical="center" wrapText="1"/>
    </xf>
    <xf numFmtId="3" fontId="17" fillId="3" borderId="0" xfId="0" applyNumberFormat="1" applyFont="1" applyFill="1" applyBorder="1" applyAlignment="1">
      <alignment horizontal="right" vertical="center" wrapText="1"/>
    </xf>
    <xf numFmtId="0" fontId="17" fillId="3" borderId="23" xfId="0" applyFont="1" applyFill="1" applyBorder="1" applyAlignment="1">
      <alignment vertical="center" wrapText="1"/>
    </xf>
    <xf numFmtId="0" fontId="26" fillId="3" borderId="23" xfId="0" applyFont="1" applyFill="1" applyBorder="1" applyAlignment="1">
      <alignment vertical="center" wrapText="1"/>
    </xf>
    <xf numFmtId="3" fontId="26" fillId="3" borderId="0" xfId="0" applyNumberFormat="1" applyFont="1" applyFill="1" applyBorder="1" applyAlignment="1">
      <alignment horizontal="right" vertical="center" wrapText="1"/>
    </xf>
    <xf numFmtId="0" fontId="17" fillId="3" borderId="0" xfId="0" applyFont="1" applyFill="1"/>
    <xf numFmtId="3" fontId="36" fillId="3" borderId="0" xfId="0" applyNumberFormat="1" applyFont="1" applyFill="1" applyBorder="1" applyAlignment="1">
      <alignment horizontal="right"/>
    </xf>
    <xf numFmtId="3" fontId="41" fillId="3" borderId="0" xfId="0" applyNumberFormat="1" applyFont="1" applyFill="1" applyBorder="1" applyAlignment="1">
      <alignment horizontal="right"/>
    </xf>
    <xf numFmtId="168" fontId="23" fillId="3" borderId="0" xfId="0" applyNumberFormat="1" applyFont="1" applyFill="1" applyAlignment="1">
      <alignment vertical="center"/>
    </xf>
    <xf numFmtId="0" fontId="35" fillId="6" borderId="26" xfId="0" applyFont="1" applyFill="1" applyBorder="1" applyAlignment="1">
      <alignment horizontal="center" vertical="center" wrapText="1"/>
    </xf>
    <xf numFmtId="0" fontId="35" fillId="6" borderId="25" xfId="0" applyFont="1" applyFill="1" applyBorder="1" applyAlignment="1">
      <alignment horizontal="center" vertical="center" wrapText="1"/>
    </xf>
    <xf numFmtId="0" fontId="35" fillId="6" borderId="27" xfId="0" applyFont="1" applyFill="1" applyBorder="1" applyAlignment="1">
      <alignment horizontal="center" vertical="center" wrapText="1"/>
    </xf>
    <xf numFmtId="0" fontId="34" fillId="3" borderId="22" xfId="0" applyFont="1" applyFill="1" applyBorder="1" applyAlignment="1">
      <alignment vertical="center" wrapText="1"/>
    </xf>
    <xf numFmtId="0" fontId="34" fillId="3" borderId="24" xfId="0" applyFont="1" applyFill="1" applyBorder="1" applyAlignment="1">
      <alignment vertical="center" wrapText="1"/>
    </xf>
    <xf numFmtId="0" fontId="34" fillId="3" borderId="9" xfId="0" applyFont="1" applyFill="1" applyBorder="1" applyAlignment="1">
      <alignment vertical="center"/>
    </xf>
    <xf numFmtId="0" fontId="23" fillId="3" borderId="23" xfId="0" applyFont="1" applyFill="1" applyBorder="1" applyAlignment="1">
      <alignment vertical="center"/>
    </xf>
    <xf numFmtId="0" fontId="36" fillId="8" borderId="9" xfId="0" applyFont="1" applyFill="1" applyBorder="1" applyAlignment="1">
      <alignment vertical="center" wrapText="1"/>
    </xf>
    <xf numFmtId="0" fontId="35" fillId="3" borderId="28" xfId="0" applyFont="1" applyFill="1" applyBorder="1" applyAlignment="1">
      <alignment vertical="center"/>
    </xf>
    <xf numFmtId="0" fontId="35" fillId="17" borderId="26" xfId="0" applyFont="1" applyFill="1" applyBorder="1" applyAlignment="1">
      <alignment horizontal="center" vertical="center" wrapText="1"/>
    </xf>
    <xf numFmtId="0" fontId="52" fillId="3" borderId="9" xfId="0" applyFont="1" applyFill="1" applyBorder="1" applyAlignment="1">
      <alignment horizontal="left" vertical="center" wrapText="1"/>
    </xf>
    <xf numFmtId="3" fontId="52" fillId="18" borderId="6" xfId="0" applyNumberFormat="1" applyFont="1" applyFill="1" applyBorder="1" applyAlignment="1">
      <alignment horizontal="center" vertical="center" wrapText="1"/>
    </xf>
    <xf numFmtId="3" fontId="52" fillId="18" borderId="7" xfId="0" applyNumberFormat="1" applyFont="1" applyFill="1" applyBorder="1" applyAlignment="1">
      <alignment horizontal="center" vertical="center" wrapText="1"/>
    </xf>
    <xf numFmtId="3" fontId="52" fillId="19" borderId="8" xfId="0" applyNumberFormat="1" applyFont="1" applyFill="1" applyBorder="1" applyAlignment="1">
      <alignment horizontal="center" vertical="center" wrapText="1"/>
    </xf>
    <xf numFmtId="3" fontId="52" fillId="3" borderId="6" xfId="0" applyNumberFormat="1" applyFont="1" applyFill="1" applyBorder="1" applyAlignment="1">
      <alignment horizontal="right" vertical="center" wrapText="1"/>
    </xf>
    <xf numFmtId="3" fontId="52" fillId="3" borderId="7" xfId="0" applyNumberFormat="1" applyFont="1" applyFill="1" applyBorder="1" applyAlignment="1">
      <alignment horizontal="right" vertical="center" wrapText="1"/>
    </xf>
    <xf numFmtId="3" fontId="32" fillId="2" borderId="3" xfId="0" applyNumberFormat="1" applyFont="1" applyFill="1" applyBorder="1" applyAlignment="1">
      <alignment horizontal="right" vertical="center" wrapText="1"/>
    </xf>
    <xf numFmtId="3" fontId="32" fillId="2" borderId="0" xfId="0" applyNumberFormat="1" applyFont="1" applyFill="1" applyBorder="1" applyAlignment="1">
      <alignment horizontal="right" vertical="center" wrapText="1"/>
    </xf>
    <xf numFmtId="3" fontId="32" fillId="20" borderId="0" xfId="0" applyNumberFormat="1" applyFont="1" applyFill="1" applyBorder="1" applyAlignment="1">
      <alignment horizontal="right" vertical="center" wrapText="1"/>
    </xf>
    <xf numFmtId="3" fontId="32" fillId="2" borderId="4" xfId="0" applyNumberFormat="1" applyFont="1" applyFill="1" applyBorder="1" applyAlignment="1">
      <alignment horizontal="right" vertical="center" wrapText="1"/>
    </xf>
    <xf numFmtId="3" fontId="32" fillId="20" borderId="10" xfId="0" applyNumberFormat="1" applyFont="1" applyFill="1" applyBorder="1" applyAlignment="1">
      <alignment horizontal="right" vertical="center" wrapText="1"/>
    </xf>
    <xf numFmtId="0" fontId="30" fillId="3" borderId="3" xfId="0" applyFont="1" applyFill="1" applyBorder="1" applyAlignment="1">
      <alignment horizontal="left" vertical="center" wrapText="1"/>
    </xf>
    <xf numFmtId="3" fontId="52" fillId="3" borderId="3" xfId="0" applyNumberFormat="1" applyFont="1" applyFill="1" applyBorder="1" applyAlignment="1">
      <alignment horizontal="right" vertical="center" wrapText="1"/>
    </xf>
    <xf numFmtId="3" fontId="52" fillId="3" borderId="0" xfId="0" applyNumberFormat="1" applyFont="1" applyFill="1" applyBorder="1" applyAlignment="1">
      <alignment horizontal="right" vertical="center" wrapText="1"/>
    </xf>
    <xf numFmtId="3" fontId="52" fillId="19" borderId="0" xfId="0" applyNumberFormat="1" applyFont="1" applyFill="1" applyBorder="1" applyAlignment="1">
      <alignment horizontal="right" vertical="center" wrapText="1"/>
    </xf>
    <xf numFmtId="3" fontId="52" fillId="19" borderId="10" xfId="0" applyNumberFormat="1" applyFont="1" applyFill="1" applyBorder="1" applyAlignment="1">
      <alignment horizontal="right" vertical="center" wrapText="1"/>
    </xf>
    <xf numFmtId="0" fontId="54" fillId="3" borderId="3" xfId="0" applyFont="1" applyFill="1" applyBorder="1" applyAlignment="1">
      <alignment horizontal="left" vertical="center" wrapText="1" indent="1"/>
    </xf>
    <xf numFmtId="3" fontId="32" fillId="3" borderId="3" xfId="0" applyNumberFormat="1" applyFont="1" applyFill="1" applyBorder="1" applyAlignment="1">
      <alignment horizontal="right" vertical="center" wrapText="1"/>
    </xf>
    <xf numFmtId="3" fontId="32" fillId="3" borderId="0" xfId="0" applyNumberFormat="1" applyFont="1" applyFill="1" applyBorder="1" applyAlignment="1">
      <alignment horizontal="right" vertical="center" wrapText="1"/>
    </xf>
    <xf numFmtId="3" fontId="32" fillId="19" borderId="0" xfId="0" applyNumberFormat="1" applyFont="1" applyFill="1" applyBorder="1" applyAlignment="1">
      <alignment horizontal="right" vertical="center" wrapText="1"/>
    </xf>
    <xf numFmtId="3" fontId="47" fillId="3" borderId="0" xfId="0" applyNumberFormat="1" applyFont="1" applyFill="1" applyBorder="1" applyAlignment="1">
      <alignment horizontal="right" vertical="center" wrapText="1"/>
    </xf>
    <xf numFmtId="3" fontId="32" fillId="19" borderId="10" xfId="0" applyNumberFormat="1" applyFont="1" applyFill="1" applyBorder="1" applyAlignment="1">
      <alignment horizontal="right" vertical="center" wrapText="1"/>
    </xf>
    <xf numFmtId="0" fontId="55" fillId="3" borderId="3" xfId="0" applyFont="1" applyFill="1" applyBorder="1" applyAlignment="1">
      <alignment horizontal="left" vertical="center" wrapText="1" indent="3"/>
    </xf>
    <xf numFmtId="3" fontId="56" fillId="3" borderId="3" xfId="0" applyNumberFormat="1" applyFont="1" applyFill="1" applyBorder="1" applyAlignment="1">
      <alignment horizontal="right" vertical="center" wrapText="1"/>
    </xf>
    <xf numFmtId="3" fontId="56" fillId="3" borderId="0" xfId="0" applyNumberFormat="1" applyFont="1" applyFill="1" applyBorder="1" applyAlignment="1">
      <alignment horizontal="right" vertical="center" wrapText="1"/>
    </xf>
    <xf numFmtId="3" fontId="56" fillId="19" borderId="0" xfId="0" applyNumberFormat="1" applyFont="1" applyFill="1" applyBorder="1" applyAlignment="1">
      <alignment horizontal="right" vertical="center" wrapText="1"/>
    </xf>
    <xf numFmtId="3" fontId="24" fillId="3" borderId="0" xfId="0" applyNumberFormat="1" applyFont="1" applyFill="1" applyBorder="1" applyAlignment="1">
      <alignment horizontal="right" vertical="center" wrapText="1"/>
    </xf>
    <xf numFmtId="3" fontId="56" fillId="19" borderId="10" xfId="0" applyNumberFormat="1" applyFont="1" applyFill="1" applyBorder="1" applyAlignment="1">
      <alignment horizontal="right" vertical="center" wrapText="1"/>
    </xf>
    <xf numFmtId="3" fontId="56" fillId="0" borderId="0" xfId="0" applyNumberFormat="1" applyFont="1" applyFill="1" applyBorder="1" applyAlignment="1">
      <alignment horizontal="right" vertical="center" wrapText="1"/>
    </xf>
    <xf numFmtId="3" fontId="32" fillId="3" borderId="29" xfId="0" applyNumberFormat="1" applyFont="1" applyFill="1" applyBorder="1" applyAlignment="1">
      <alignment horizontal="right" vertical="center" wrapText="1"/>
    </xf>
    <xf numFmtId="3" fontId="32" fillId="3" borderId="30" xfId="0" applyNumberFormat="1" applyFont="1" applyFill="1" applyBorder="1" applyAlignment="1">
      <alignment horizontal="right" vertical="center" wrapText="1"/>
    </xf>
    <xf numFmtId="3" fontId="52" fillId="3" borderId="31" xfId="0" applyNumberFormat="1" applyFont="1" applyFill="1" applyBorder="1" applyAlignment="1">
      <alignment horizontal="right" vertical="center" wrapText="1"/>
    </xf>
    <xf numFmtId="3" fontId="52" fillId="3" borderId="32" xfId="0" applyNumberFormat="1" applyFont="1" applyFill="1" applyBorder="1" applyAlignment="1">
      <alignment horizontal="right" vertical="center" wrapText="1"/>
    </xf>
    <xf numFmtId="3" fontId="52" fillId="19" borderId="32" xfId="0" applyNumberFormat="1" applyFont="1" applyFill="1" applyBorder="1" applyAlignment="1">
      <alignment horizontal="right" vertical="center" wrapText="1"/>
    </xf>
    <xf numFmtId="3" fontId="31" fillId="3" borderId="32" xfId="0" applyNumberFormat="1" applyFont="1" applyFill="1" applyBorder="1" applyAlignment="1">
      <alignment horizontal="right" vertical="center" wrapText="1"/>
    </xf>
    <xf numFmtId="3" fontId="52" fillId="19" borderId="33" xfId="0" applyNumberFormat="1" applyFont="1" applyFill="1" applyBorder="1" applyAlignment="1">
      <alignment horizontal="right" vertical="center" wrapText="1"/>
    </xf>
    <xf numFmtId="0" fontId="54" fillId="3" borderId="4" xfId="0" applyFont="1" applyFill="1" applyBorder="1" applyAlignment="1">
      <alignment horizontal="left" vertical="center"/>
    </xf>
    <xf numFmtId="165" fontId="32" fillId="3" borderId="4" xfId="0" applyNumberFormat="1" applyFont="1" applyFill="1" applyBorder="1" applyAlignment="1">
      <alignment horizontal="right" vertical="center" wrapText="1"/>
    </xf>
    <xf numFmtId="165" fontId="32" fillId="3" borderId="11" xfId="0" applyNumberFormat="1" applyFont="1" applyFill="1" applyBorder="1" applyAlignment="1">
      <alignment horizontal="right" vertical="center" wrapText="1"/>
    </xf>
    <xf numFmtId="165" fontId="32" fillId="19" borderId="11" xfId="0" applyNumberFormat="1" applyFont="1" applyFill="1" applyBorder="1" applyAlignment="1">
      <alignment horizontal="right" vertical="center" wrapText="1"/>
    </xf>
    <xf numFmtId="168" fontId="47" fillId="3" borderId="0" xfId="0" applyNumberFormat="1" applyFont="1" applyFill="1" applyBorder="1" applyAlignment="1">
      <alignment horizontal="right" vertical="center" wrapText="1"/>
    </xf>
    <xf numFmtId="165" fontId="32" fillId="19" borderId="12" xfId="0" applyNumberFormat="1" applyFont="1" applyFill="1" applyBorder="1" applyAlignment="1">
      <alignment horizontal="right" vertical="center" wrapText="1"/>
    </xf>
    <xf numFmtId="0" fontId="54" fillId="3" borderId="3" xfId="0" applyFont="1" applyFill="1" applyBorder="1" applyAlignment="1">
      <alignment horizontal="left" vertical="center" wrapText="1"/>
    </xf>
    <xf numFmtId="3" fontId="32" fillId="18" borderId="3" xfId="0" applyNumberFormat="1" applyFont="1" applyFill="1" applyBorder="1" applyAlignment="1">
      <alignment horizontal="right" vertical="center" wrapText="1"/>
    </xf>
    <xf numFmtId="3" fontId="32" fillId="18" borderId="0" xfId="0" applyNumberFormat="1" applyFont="1" applyFill="1" applyBorder="1" applyAlignment="1">
      <alignment horizontal="right" vertical="center" wrapText="1"/>
    </xf>
    <xf numFmtId="167" fontId="32" fillId="3" borderId="0" xfId="0" applyNumberFormat="1" applyFont="1" applyFill="1" applyBorder="1" applyAlignment="1">
      <alignment horizontal="right" vertical="center" wrapText="1"/>
    </xf>
    <xf numFmtId="167" fontId="32" fillId="19" borderId="0" xfId="0" applyNumberFormat="1" applyFont="1" applyFill="1" applyBorder="1" applyAlignment="1">
      <alignment horizontal="right" vertical="center" wrapText="1"/>
    </xf>
    <xf numFmtId="167" fontId="32" fillId="3" borderId="3" xfId="0" applyNumberFormat="1" applyFont="1" applyFill="1" applyBorder="1" applyAlignment="1">
      <alignment horizontal="right" vertical="center" wrapText="1"/>
    </xf>
    <xf numFmtId="167" fontId="47" fillId="3" borderId="0" xfId="0" applyNumberFormat="1" applyFont="1" applyFill="1" applyBorder="1" applyAlignment="1">
      <alignment horizontal="right" vertical="center" wrapText="1"/>
    </xf>
    <xf numFmtId="167" fontId="32" fillId="19" borderId="10" xfId="0" applyNumberFormat="1" applyFont="1" applyFill="1" applyBorder="1" applyAlignment="1">
      <alignment horizontal="right" vertical="center" wrapText="1"/>
    </xf>
    <xf numFmtId="2" fontId="32" fillId="3" borderId="5" xfId="0" applyNumberFormat="1" applyFont="1" applyFill="1" applyBorder="1" applyAlignment="1">
      <alignment horizontal="right" vertical="center" wrapText="1"/>
    </xf>
    <xf numFmtId="2" fontId="32" fillId="3" borderId="18" xfId="0" applyNumberFormat="1" applyFont="1" applyFill="1" applyBorder="1" applyAlignment="1">
      <alignment horizontal="right" vertical="center" wrapText="1"/>
    </xf>
    <xf numFmtId="2" fontId="32" fillId="19" borderId="19" xfId="0" applyNumberFormat="1" applyFont="1" applyFill="1" applyBorder="1" applyAlignment="1">
      <alignment horizontal="right" vertical="center" wrapText="1"/>
    </xf>
    <xf numFmtId="4" fontId="47" fillId="3" borderId="18" xfId="0" applyNumberFormat="1" applyFont="1" applyFill="1" applyBorder="1" applyAlignment="1">
      <alignment horizontal="right" vertical="center" wrapText="1"/>
    </xf>
    <xf numFmtId="0" fontId="30" fillId="3" borderId="4" xfId="0" applyFont="1" applyFill="1" applyBorder="1" applyAlignment="1">
      <alignment horizontal="left" vertical="center"/>
    </xf>
    <xf numFmtId="3" fontId="52" fillId="3" borderId="4" xfId="0" applyNumberFormat="1" applyFont="1" applyFill="1" applyBorder="1" applyAlignment="1">
      <alignment horizontal="right" vertical="center" wrapText="1"/>
    </xf>
    <xf numFmtId="3" fontId="52" fillId="3" borderId="11" xfId="0" applyNumberFormat="1" applyFont="1" applyFill="1" applyBorder="1" applyAlignment="1">
      <alignment horizontal="right" vertical="center" wrapText="1"/>
    </xf>
    <xf numFmtId="0" fontId="30" fillId="3" borderId="34" xfId="0" applyFont="1" applyFill="1" applyBorder="1" applyAlignment="1">
      <alignment horizontal="left" vertical="center" wrapText="1"/>
    </xf>
    <xf numFmtId="3" fontId="21" fillId="3" borderId="34" xfId="0" applyNumberFormat="1" applyFont="1" applyFill="1" applyBorder="1" applyAlignment="1">
      <alignment vertical="center"/>
    </xf>
    <xf numFmtId="3" fontId="21" fillId="3" borderId="32" xfId="0" applyNumberFormat="1" applyFont="1" applyFill="1" applyBorder="1" applyAlignment="1">
      <alignment vertical="center"/>
    </xf>
    <xf numFmtId="3" fontId="21" fillId="19" borderId="32" xfId="0" applyNumberFormat="1" applyFont="1" applyFill="1" applyBorder="1" applyAlignment="1">
      <alignment vertical="center"/>
    </xf>
    <xf numFmtId="3" fontId="21" fillId="3" borderId="31" xfId="0" applyNumberFormat="1" applyFont="1" applyFill="1" applyBorder="1" applyAlignment="1">
      <alignment vertical="center"/>
    </xf>
    <xf numFmtId="3" fontId="21" fillId="19" borderId="33" xfId="0" applyNumberFormat="1" applyFont="1" applyFill="1" applyBorder="1" applyAlignment="1">
      <alignment vertical="center"/>
    </xf>
    <xf numFmtId="0" fontId="29" fillId="2" borderId="4" xfId="0" applyFont="1" applyFill="1" applyBorder="1" applyAlignment="1">
      <alignment horizontal="left" vertical="center" wrapText="1"/>
    </xf>
    <xf numFmtId="3" fontId="29" fillId="21" borderId="4" xfId="0" applyNumberFormat="1" applyFont="1" applyFill="1" applyBorder="1" applyAlignment="1">
      <alignment horizontal="right" vertical="center" wrapText="1"/>
    </xf>
    <xf numFmtId="3" fontId="29" fillId="21" borderId="11" xfId="0" applyNumberFormat="1" applyFont="1" applyFill="1" applyBorder="1" applyAlignment="1">
      <alignment horizontal="right" vertical="center" wrapText="1"/>
    </xf>
    <xf numFmtId="3" fontId="29" fillId="20" borderId="12" xfId="0" applyNumberFormat="1" applyFont="1" applyFill="1" applyBorder="1" applyAlignment="1">
      <alignment horizontal="right" vertical="center" wrapText="1"/>
    </xf>
    <xf numFmtId="165" fontId="58" fillId="2" borderId="4" xfId="0" applyNumberFormat="1" applyFont="1" applyFill="1" applyBorder="1" applyAlignment="1">
      <alignment horizontal="right" vertical="center" wrapText="1"/>
    </xf>
    <xf numFmtId="165" fontId="58" fillId="2" borderId="11" xfId="0" applyNumberFormat="1" applyFont="1" applyFill="1" applyBorder="1" applyAlignment="1">
      <alignment horizontal="right" vertical="center" wrapText="1"/>
    </xf>
    <xf numFmtId="165" fontId="29" fillId="2" borderId="0" xfId="0" applyNumberFormat="1" applyFont="1" applyFill="1" applyBorder="1" applyAlignment="1">
      <alignment horizontal="right" vertical="center" wrapText="1"/>
    </xf>
    <xf numFmtId="3" fontId="52" fillId="18" borderId="3" xfId="0" applyNumberFormat="1" applyFont="1" applyFill="1" applyBorder="1" applyAlignment="1">
      <alignment horizontal="right" vertical="center" wrapText="1"/>
    </xf>
    <xf numFmtId="3" fontId="52" fillId="18" borderId="0" xfId="0" applyNumberFormat="1" applyFont="1" applyFill="1" applyBorder="1" applyAlignment="1">
      <alignment horizontal="right" vertical="center" wrapText="1"/>
    </xf>
    <xf numFmtId="3" fontId="32" fillId="18" borderId="5" xfId="0" applyNumberFormat="1" applyFont="1" applyFill="1" applyBorder="1" applyAlignment="1">
      <alignment horizontal="right" vertical="center" wrapText="1"/>
    </xf>
    <xf numFmtId="3" fontId="32" fillId="18" borderId="18" xfId="0" applyNumberFormat="1" applyFont="1" applyFill="1" applyBorder="1" applyAlignment="1">
      <alignment horizontal="right" vertical="center" wrapText="1"/>
    </xf>
    <xf numFmtId="3" fontId="32" fillId="18" borderId="6" xfId="0" applyNumberFormat="1" applyFont="1" applyFill="1" applyBorder="1" applyAlignment="1">
      <alignment horizontal="right" vertical="center" wrapText="1"/>
    </xf>
    <xf numFmtId="3" fontId="32" fillId="18" borderId="7" xfId="0" applyNumberFormat="1" applyFont="1" applyFill="1" applyBorder="1" applyAlignment="1">
      <alignment horizontal="right" vertical="center" wrapText="1"/>
    </xf>
    <xf numFmtId="165" fontId="32" fillId="3" borderId="6" xfId="0" applyNumberFormat="1" applyFont="1" applyFill="1" applyBorder="1" applyAlignment="1">
      <alignment horizontal="right" vertical="center" wrapText="1"/>
    </xf>
    <xf numFmtId="165" fontId="32" fillId="3" borderId="7" xfId="0" applyNumberFormat="1" applyFont="1" applyFill="1" applyBorder="1" applyAlignment="1">
      <alignment horizontal="right" vertical="center" wrapText="1"/>
    </xf>
    <xf numFmtId="168" fontId="32" fillId="19" borderId="8" xfId="0" applyNumberFormat="1" applyFont="1" applyFill="1" applyBorder="1" applyAlignment="1">
      <alignment horizontal="right" vertical="center" wrapText="1"/>
    </xf>
    <xf numFmtId="0" fontId="32" fillId="3" borderId="7" xfId="0" applyFont="1" applyFill="1" applyBorder="1" applyAlignment="1">
      <alignment horizontal="right" vertical="center" wrapText="1"/>
    </xf>
    <xf numFmtId="0" fontId="30" fillId="3" borderId="4" xfId="0" applyFont="1" applyFill="1" applyBorder="1" applyAlignment="1">
      <alignment horizontal="left" vertical="center" wrapText="1"/>
    </xf>
    <xf numFmtId="3" fontId="52" fillId="18" borderId="4" xfId="0" applyNumberFormat="1" applyFont="1" applyFill="1" applyBorder="1" applyAlignment="1">
      <alignment horizontal="right" vertical="center" wrapText="1"/>
    </xf>
    <xf numFmtId="3" fontId="52" fillId="19" borderId="12" xfId="0" applyNumberFormat="1" applyFont="1" applyFill="1" applyBorder="1" applyAlignment="1">
      <alignment horizontal="right" vertical="center" wrapText="1"/>
    </xf>
    <xf numFmtId="0" fontId="54" fillId="3" borderId="5" xfId="0" applyFont="1" applyFill="1" applyBorder="1" applyAlignment="1">
      <alignment horizontal="left" vertical="center" wrapText="1" indent="1"/>
    </xf>
    <xf numFmtId="3" fontId="32" fillId="19" borderId="19" xfId="0" applyNumberFormat="1" applyFont="1" applyFill="1" applyBorder="1" applyAlignment="1">
      <alignment horizontal="right" vertical="center" wrapText="1"/>
    </xf>
    <xf numFmtId="3" fontId="32" fillId="3" borderId="5" xfId="0" applyNumberFormat="1" applyFont="1" applyFill="1" applyBorder="1" applyAlignment="1">
      <alignment horizontal="right" vertical="center" wrapText="1"/>
    </xf>
    <xf numFmtId="3" fontId="32" fillId="3" borderId="18" xfId="0" applyNumberFormat="1" applyFont="1" applyFill="1" applyBorder="1" applyAlignment="1">
      <alignment horizontal="right" vertical="center" wrapText="1"/>
    </xf>
    <xf numFmtId="3" fontId="47" fillId="3" borderId="18" xfId="0" applyNumberFormat="1" applyFont="1" applyFill="1" applyBorder="1" applyAlignment="1">
      <alignment horizontal="right" vertical="center" wrapText="1"/>
    </xf>
    <xf numFmtId="0" fontId="26" fillId="3" borderId="22" xfId="0" applyFont="1" applyFill="1" applyBorder="1" applyAlignment="1">
      <alignment vertical="center" wrapText="1"/>
    </xf>
    <xf numFmtId="10" fontId="26" fillId="2" borderId="0" xfId="0" applyNumberFormat="1" applyFont="1" applyFill="1" applyAlignment="1">
      <alignment horizontal="right" vertical="center" wrapText="1" indent="1"/>
    </xf>
    <xf numFmtId="0" fontId="28" fillId="3" borderId="23" xfId="0" applyFont="1" applyFill="1" applyBorder="1" applyAlignment="1">
      <alignment vertical="center" wrapText="1"/>
    </xf>
    <xf numFmtId="0" fontId="0" fillId="3" borderId="0" xfId="0" applyFill="1" applyAlignment="1">
      <alignment wrapText="1"/>
    </xf>
    <xf numFmtId="0" fontId="48" fillId="3" borderId="0" xfId="0" applyFont="1" applyFill="1" applyAlignment="1">
      <alignment horizontal="left"/>
    </xf>
    <xf numFmtId="0" fontId="48" fillId="3" borderId="0" xfId="0" applyFont="1" applyFill="1" applyAlignment="1"/>
    <xf numFmtId="167" fontId="32" fillId="2" borderId="3" xfId="2" applyNumberFormat="1" applyFont="1" applyFill="1" applyBorder="1" applyAlignment="1">
      <alignment horizontal="right" vertical="center" wrapText="1"/>
    </xf>
    <xf numFmtId="0" fontId="30" fillId="3" borderId="3" xfId="0" applyFont="1" applyFill="1" applyBorder="1" applyAlignment="1">
      <alignment horizontal="left" vertical="center"/>
    </xf>
    <xf numFmtId="3" fontId="56" fillId="3" borderId="3" xfId="2" applyNumberFormat="1" applyFont="1" applyFill="1" applyBorder="1" applyAlignment="1">
      <alignment horizontal="right" vertical="center" wrapText="1"/>
    </xf>
    <xf numFmtId="3" fontId="32" fillId="3" borderId="3" xfId="2" applyNumberFormat="1" applyFont="1" applyFill="1" applyBorder="1" applyAlignment="1">
      <alignment horizontal="right" vertical="center" wrapText="1"/>
    </xf>
    <xf numFmtId="3" fontId="52" fillId="19" borderId="10" xfId="0" applyNumberFormat="1" applyFont="1" applyFill="1" applyBorder="1" applyAlignment="1">
      <alignment horizontal="center" vertical="center" wrapText="1"/>
    </xf>
    <xf numFmtId="3" fontId="32" fillId="19" borderId="10" xfId="0" applyNumberFormat="1" applyFont="1" applyFill="1" applyBorder="1" applyAlignment="1">
      <alignment horizontal="center" vertical="center" wrapText="1"/>
    </xf>
    <xf numFmtId="0" fontId="54" fillId="3" borderId="5" xfId="0" applyFont="1" applyFill="1" applyBorder="1" applyAlignment="1">
      <alignment horizontal="left" vertical="center" wrapText="1"/>
    </xf>
    <xf numFmtId="3" fontId="32" fillId="19" borderId="8" xfId="0" applyNumberFormat="1" applyFont="1" applyFill="1" applyBorder="1" applyAlignment="1">
      <alignment horizontal="center" vertical="center" wrapText="1"/>
    </xf>
    <xf numFmtId="3" fontId="32" fillId="18" borderId="11" xfId="0" applyNumberFormat="1" applyFont="1" applyFill="1" applyBorder="1" applyAlignment="1">
      <alignment horizontal="right" vertical="center" wrapText="1"/>
    </xf>
    <xf numFmtId="3" fontId="32" fillId="19" borderId="12" xfId="0" applyNumberFormat="1" applyFont="1" applyFill="1" applyBorder="1" applyAlignment="1">
      <alignment horizontal="center" vertical="center" wrapText="1"/>
    </xf>
    <xf numFmtId="3" fontId="32" fillId="19" borderId="19" xfId="0" applyNumberFormat="1" applyFont="1" applyFill="1" applyBorder="1" applyAlignment="1">
      <alignment horizontal="center" vertical="center" wrapText="1"/>
    </xf>
    <xf numFmtId="0" fontId="17" fillId="3" borderId="24" xfId="0" applyFont="1" applyFill="1" applyBorder="1" applyAlignment="1">
      <alignment vertical="center" wrapText="1"/>
    </xf>
    <xf numFmtId="0" fontId="28" fillId="5" borderId="18" xfId="0" applyFont="1" applyFill="1" applyBorder="1" applyAlignment="1">
      <alignment horizontal="right" vertical="center" wrapText="1"/>
    </xf>
    <xf numFmtId="0" fontId="41" fillId="3" borderId="3" xfId="0" applyFont="1" applyFill="1" applyBorder="1" applyAlignment="1">
      <alignment vertical="center"/>
    </xf>
    <xf numFmtId="0" fontId="49" fillId="3" borderId="3" xfId="0" applyFont="1" applyFill="1" applyBorder="1" applyAlignment="1">
      <alignment horizontal="left" vertical="center" indent="3"/>
    </xf>
    <xf numFmtId="0" fontId="41" fillId="3" borderId="0" xfId="0" applyFont="1" applyFill="1"/>
    <xf numFmtId="0" fontId="41" fillId="0" borderId="0" xfId="0" applyFont="1"/>
    <xf numFmtId="0" fontId="39" fillId="6" borderId="26" xfId="0" applyFont="1" applyFill="1" applyBorder="1" applyAlignment="1">
      <alignment horizontal="right" vertical="center"/>
    </xf>
    <xf numFmtId="0" fontId="39" fillId="15" borderId="27" xfId="0" applyFont="1" applyFill="1" applyBorder="1" applyAlignment="1">
      <alignment horizontal="right" vertical="center"/>
    </xf>
    <xf numFmtId="0" fontId="39" fillId="15" borderId="27" xfId="0" applyFont="1" applyFill="1" applyBorder="1" applyAlignment="1">
      <alignment horizontal="right" vertical="center" wrapText="1"/>
    </xf>
    <xf numFmtId="0" fontId="65" fillId="3" borderId="0" xfId="0" applyFont="1" applyFill="1"/>
    <xf numFmtId="0" fontId="65" fillId="0" borderId="0" xfId="0" applyFont="1"/>
    <xf numFmtId="166" fontId="65" fillId="3" borderId="0" xfId="0" applyNumberFormat="1" applyFont="1" applyFill="1" applyBorder="1" applyAlignment="1">
      <alignment horizontal="right" vertical="center"/>
    </xf>
    <xf numFmtId="0" fontId="65" fillId="3" borderId="3" xfId="0" applyFont="1" applyFill="1" applyBorder="1" applyAlignment="1">
      <alignment horizontal="left" vertical="center"/>
    </xf>
    <xf numFmtId="0" fontId="66" fillId="3" borderId="0" xfId="0" applyFont="1" applyFill="1"/>
    <xf numFmtId="0" fontId="39" fillId="3" borderId="0" xfId="0" applyFont="1" applyFill="1"/>
    <xf numFmtId="0" fontId="39" fillId="6" borderId="25" xfId="0" applyFont="1" applyFill="1" applyBorder="1" applyAlignment="1">
      <alignment horizontal="left" vertical="center"/>
    </xf>
    <xf numFmtId="0" fontId="39" fillId="3" borderId="3" xfId="0" applyFont="1" applyFill="1" applyBorder="1" applyAlignment="1">
      <alignment horizontal="left" vertical="center"/>
    </xf>
    <xf numFmtId="0" fontId="65" fillId="3" borderId="0" xfId="0" applyFont="1" applyFill="1" applyAlignment="1">
      <alignment horizontal="left" vertical="center"/>
    </xf>
    <xf numFmtId="0" fontId="65" fillId="3" borderId="0" xfId="0" applyFont="1" applyFill="1" applyBorder="1"/>
    <xf numFmtId="0" fontId="65" fillId="3" borderId="0" xfId="0" applyFont="1" applyFill="1" applyAlignment="1">
      <alignment vertical="center"/>
    </xf>
    <xf numFmtId="0" fontId="65" fillId="0" borderId="0" xfId="0" applyFont="1" applyAlignment="1">
      <alignment vertical="center"/>
    </xf>
    <xf numFmtId="0" fontId="65" fillId="0" borderId="0" xfId="0" applyFont="1" applyBorder="1"/>
    <xf numFmtId="0" fontId="59" fillId="7" borderId="6" xfId="0" applyFont="1" applyFill="1" applyBorder="1" applyAlignment="1">
      <alignment horizontal="right" vertical="center"/>
    </xf>
    <xf numFmtId="0" fontId="28" fillId="6" borderId="7" xfId="0" applyFont="1" applyFill="1" applyBorder="1" applyAlignment="1">
      <alignment horizontal="right" vertical="center" wrapText="1"/>
    </xf>
    <xf numFmtId="0" fontId="60" fillId="6" borderId="8" xfId="0" applyFont="1" applyFill="1" applyBorder="1" applyAlignment="1">
      <alignment horizontal="right" vertical="center" wrapText="1"/>
    </xf>
    <xf numFmtId="0" fontId="51" fillId="7" borderId="13" xfId="0" applyFont="1" applyFill="1" applyBorder="1" applyAlignment="1">
      <alignment horizontal="center" vertical="center"/>
    </xf>
    <xf numFmtId="0" fontId="51" fillId="7" borderId="0" xfId="0" applyFont="1" applyFill="1" applyBorder="1" applyAlignment="1">
      <alignment horizontal="center" vertical="center"/>
    </xf>
    <xf numFmtId="0" fontId="51" fillId="7" borderId="11" xfId="0" applyFont="1" applyFill="1" applyBorder="1" applyAlignment="1">
      <alignment horizontal="center" vertical="center"/>
    </xf>
    <xf numFmtId="0" fontId="51" fillId="7" borderId="6" xfId="0" applyFont="1" applyFill="1" applyBorder="1" applyAlignment="1">
      <alignment horizontal="center" vertical="center"/>
    </xf>
    <xf numFmtId="0" fontId="51" fillId="7" borderId="7" xfId="0" applyFont="1" applyFill="1" applyBorder="1" applyAlignment="1">
      <alignment horizontal="center" vertical="center"/>
    </xf>
    <xf numFmtId="0" fontId="35" fillId="17" borderId="27" xfId="0" applyFont="1" applyFill="1" applyBorder="1" applyAlignment="1">
      <alignment horizontal="center" vertical="center" wrapText="1"/>
    </xf>
    <xf numFmtId="0" fontId="19" fillId="3" borderId="0" xfId="0" applyFont="1" applyFill="1" applyAlignment="1">
      <alignment vertical="center"/>
    </xf>
    <xf numFmtId="0" fontId="19" fillId="3" borderId="0" xfId="0" applyFont="1" applyFill="1" applyAlignment="1">
      <alignment vertical="top"/>
    </xf>
    <xf numFmtId="0" fontId="19" fillId="3" borderId="0" xfId="0" applyFont="1" applyFill="1" applyBorder="1" applyAlignment="1">
      <alignment vertical="center"/>
    </xf>
    <xf numFmtId="10" fontId="26" fillId="2" borderId="35" xfId="0" applyNumberFormat="1" applyFont="1" applyFill="1" applyBorder="1" applyAlignment="1">
      <alignment horizontal="right" vertical="center" wrapText="1" indent="1"/>
    </xf>
    <xf numFmtId="10" fontId="26" fillId="3" borderId="36" xfId="0" applyNumberFormat="1" applyFont="1" applyFill="1" applyBorder="1" applyAlignment="1">
      <alignment horizontal="right" vertical="center" wrapText="1" indent="1"/>
    </xf>
    <xf numFmtId="170" fontId="65" fillId="3" borderId="0" xfId="0" applyNumberFormat="1" applyFont="1" applyFill="1" applyBorder="1" applyAlignment="1">
      <alignment vertical="center"/>
    </xf>
    <xf numFmtId="170" fontId="65" fillId="16" borderId="10" xfId="0" applyNumberFormat="1" applyFont="1" applyFill="1" applyBorder="1" applyAlignment="1">
      <alignment vertical="center"/>
    </xf>
    <xf numFmtId="170" fontId="37" fillId="3" borderId="0" xfId="1" applyNumberFormat="1" applyFont="1" applyFill="1" applyBorder="1" applyAlignment="1">
      <alignment horizontal="right" vertical="center"/>
    </xf>
    <xf numFmtId="170" fontId="66" fillId="3" borderId="0" xfId="0" applyNumberFormat="1" applyFont="1" applyFill="1" applyBorder="1" applyAlignment="1">
      <alignment vertical="center"/>
    </xf>
    <xf numFmtId="170" fontId="66" fillId="16" borderId="10" xfId="0" applyNumberFormat="1" applyFont="1" applyFill="1" applyBorder="1" applyAlignment="1">
      <alignment vertical="center"/>
    </xf>
    <xf numFmtId="170" fontId="65" fillId="3" borderId="18" xfId="0" applyNumberFormat="1" applyFont="1" applyFill="1" applyBorder="1" applyAlignment="1">
      <alignment vertical="center"/>
    </xf>
    <xf numFmtId="170" fontId="65" fillId="16" borderId="19" xfId="0" applyNumberFormat="1" applyFont="1" applyFill="1" applyBorder="1" applyAlignment="1">
      <alignment vertical="center"/>
    </xf>
    <xf numFmtId="170" fontId="39" fillId="14" borderId="7" xfId="0" applyNumberFormat="1" applyFont="1" applyFill="1" applyBorder="1" applyAlignment="1">
      <alignment vertical="center"/>
    </xf>
    <xf numFmtId="170" fontId="39" fillId="14" borderId="8" xfId="0" applyNumberFormat="1" applyFont="1" applyFill="1" applyBorder="1" applyAlignment="1">
      <alignment vertical="center"/>
    </xf>
    <xf numFmtId="170" fontId="65" fillId="3" borderId="11" xfId="0" applyNumberFormat="1" applyFont="1" applyFill="1" applyBorder="1" applyAlignment="1">
      <alignment vertical="center"/>
    </xf>
    <xf numFmtId="170" fontId="65" fillId="16" borderId="12" xfId="0" applyNumberFormat="1" applyFont="1" applyFill="1" applyBorder="1" applyAlignment="1">
      <alignment vertical="center"/>
    </xf>
    <xf numFmtId="170" fontId="37" fillId="3" borderId="0" xfId="0" applyNumberFormat="1" applyFont="1" applyFill="1" applyBorder="1" applyAlignment="1">
      <alignment horizontal="right" vertical="center"/>
    </xf>
    <xf numFmtId="170" fontId="39" fillId="6" borderId="26" xfId="0" applyNumberFormat="1" applyFont="1" applyFill="1" applyBorder="1" applyAlignment="1">
      <alignment vertical="center"/>
    </xf>
    <xf numFmtId="170" fontId="39" fillId="15" borderId="27" xfId="0" applyNumberFormat="1" applyFont="1" applyFill="1" applyBorder="1" applyAlignment="1">
      <alignment vertical="center"/>
    </xf>
    <xf numFmtId="170" fontId="35" fillId="6" borderId="27" xfId="0" applyNumberFormat="1" applyFont="1" applyFill="1" applyBorder="1" applyAlignment="1">
      <alignment vertical="center"/>
    </xf>
    <xf numFmtId="170" fontId="37" fillId="16" borderId="10" xfId="0" applyNumberFormat="1" applyFont="1" applyFill="1" applyBorder="1" applyAlignment="1">
      <alignment horizontal="right" vertical="center"/>
    </xf>
    <xf numFmtId="170" fontId="65" fillId="3" borderId="0" xfId="0" applyNumberFormat="1" applyFont="1" applyFill="1" applyBorder="1" applyAlignment="1">
      <alignment horizontal="right" vertical="center"/>
    </xf>
    <xf numFmtId="170" fontId="23" fillId="16" borderId="10" xfId="0" applyNumberFormat="1" applyFont="1" applyFill="1" applyBorder="1" applyAlignment="1">
      <alignment vertical="center"/>
    </xf>
    <xf numFmtId="170" fontId="67" fillId="3" borderId="0" xfId="0" applyNumberFormat="1" applyFont="1" applyFill="1" applyBorder="1" applyAlignment="1">
      <alignment horizontal="right" vertical="center"/>
    </xf>
    <xf numFmtId="170" fontId="68" fillId="3" borderId="0" xfId="0" applyNumberFormat="1" applyFont="1" applyFill="1" applyBorder="1" applyAlignment="1">
      <alignment horizontal="right" vertical="center"/>
    </xf>
    <xf numFmtId="170" fontId="38" fillId="16" borderId="10" xfId="0" applyNumberFormat="1" applyFont="1" applyFill="1" applyBorder="1" applyAlignment="1">
      <alignment horizontal="right" vertical="center"/>
    </xf>
    <xf numFmtId="171" fontId="39" fillId="3" borderId="0" xfId="0" applyNumberFormat="1" applyFont="1" applyFill="1" applyBorder="1" applyAlignment="1">
      <alignment vertical="center"/>
    </xf>
    <xf numFmtId="171" fontId="39" fillId="16" borderId="0" xfId="0" applyNumberFormat="1" applyFont="1" applyFill="1" applyBorder="1" applyAlignment="1">
      <alignment vertical="center"/>
    </xf>
    <xf numFmtId="171" fontId="39" fillId="3" borderId="3" xfId="0" applyNumberFormat="1" applyFont="1" applyFill="1" applyBorder="1" applyAlignment="1">
      <alignment vertical="center"/>
    </xf>
    <xf numFmtId="170" fontId="35" fillId="3" borderId="7" xfId="0" applyNumberFormat="1" applyFont="1" applyFill="1" applyBorder="1" applyAlignment="1">
      <alignment vertical="center"/>
    </xf>
    <xf numFmtId="170" fontId="35" fillId="2" borderId="7" xfId="0" applyNumberFormat="1" applyFont="1" applyFill="1" applyBorder="1" applyAlignment="1">
      <alignment vertical="center"/>
    </xf>
    <xf numFmtId="170" fontId="35" fillId="3" borderId="6" xfId="0" applyNumberFormat="1" applyFont="1" applyFill="1" applyBorder="1" applyAlignment="1">
      <alignment vertical="center"/>
    </xf>
    <xf numFmtId="170" fontId="35" fillId="2" borderId="8" xfId="0" applyNumberFormat="1" applyFont="1" applyFill="1" applyBorder="1" applyAlignment="1">
      <alignment vertical="center"/>
    </xf>
    <xf numFmtId="170" fontId="23" fillId="3" borderId="0" xfId="0" applyNumberFormat="1" applyFont="1" applyFill="1" applyAlignment="1">
      <alignment vertical="center"/>
    </xf>
    <xf numFmtId="170" fontId="23" fillId="2" borderId="0" xfId="0" applyNumberFormat="1" applyFont="1" applyFill="1" applyAlignment="1">
      <alignment vertical="center"/>
    </xf>
    <xf numFmtId="170" fontId="23" fillId="3" borderId="3" xfId="0" applyNumberFormat="1" applyFont="1" applyFill="1" applyBorder="1" applyAlignment="1">
      <alignment vertical="center"/>
    </xf>
    <xf numFmtId="170" fontId="23" fillId="3" borderId="0" xfId="0" applyNumberFormat="1" applyFont="1" applyFill="1" applyBorder="1" applyAlignment="1">
      <alignment vertical="center"/>
    </xf>
    <xf numFmtId="170" fontId="23" fillId="2" borderId="10" xfId="0" applyNumberFormat="1" applyFont="1" applyFill="1" applyBorder="1" applyAlignment="1">
      <alignment vertical="center"/>
    </xf>
    <xf numFmtId="170" fontId="35" fillId="14" borderId="7" xfId="0" applyNumberFormat="1" applyFont="1" applyFill="1" applyBorder="1" applyAlignment="1">
      <alignment vertical="center"/>
    </xf>
    <xf numFmtId="170" fontId="35" fillId="9" borderId="7" xfId="0" applyNumberFormat="1" applyFont="1" applyFill="1" applyBorder="1" applyAlignment="1">
      <alignment vertical="center"/>
    </xf>
    <xf numFmtId="170" fontId="35" fillId="14" borderId="6" xfId="0" applyNumberFormat="1" applyFont="1" applyFill="1" applyBorder="1" applyAlignment="1">
      <alignment vertical="center"/>
    </xf>
    <xf numFmtId="170" fontId="35" fillId="9" borderId="8" xfId="0" applyNumberFormat="1" applyFont="1" applyFill="1" applyBorder="1" applyAlignment="1">
      <alignment vertical="center"/>
    </xf>
    <xf numFmtId="170" fontId="35" fillId="3" borderId="2" xfId="0" applyNumberFormat="1" applyFont="1" applyFill="1" applyBorder="1" applyAlignment="1">
      <alignment vertical="center"/>
    </xf>
    <xf numFmtId="170" fontId="35" fillId="2" borderId="2" xfId="0" applyNumberFormat="1" applyFont="1" applyFill="1" applyBorder="1" applyAlignment="1">
      <alignment vertical="center"/>
    </xf>
    <xf numFmtId="170" fontId="35" fillId="3" borderId="15" xfId="0" applyNumberFormat="1" applyFont="1" applyFill="1" applyBorder="1" applyAlignment="1">
      <alignment vertical="center"/>
    </xf>
    <xf numFmtId="170" fontId="35" fillId="2" borderId="16" xfId="0" applyNumberFormat="1" applyFont="1" applyFill="1" applyBorder="1" applyAlignment="1">
      <alignment vertical="center"/>
    </xf>
    <xf numFmtId="170" fontId="23" fillId="2" borderId="0" xfId="0" applyNumberFormat="1" applyFont="1" applyFill="1" applyBorder="1" applyAlignment="1">
      <alignment vertical="center"/>
    </xf>
    <xf numFmtId="171" fontId="23" fillId="3" borderId="3" xfId="0" applyNumberFormat="1" applyFont="1" applyFill="1" applyBorder="1" applyAlignment="1">
      <alignment vertical="center"/>
    </xf>
    <xf numFmtId="171" fontId="23" fillId="3" borderId="0" xfId="0" applyNumberFormat="1" applyFont="1" applyFill="1" applyBorder="1" applyAlignment="1">
      <alignment vertical="center"/>
    </xf>
    <xf numFmtId="171" fontId="23" fillId="3" borderId="10" xfId="0" applyNumberFormat="1" applyFont="1" applyFill="1" applyBorder="1" applyAlignment="1">
      <alignment vertical="center"/>
    </xf>
    <xf numFmtId="171" fontId="23" fillId="3" borderId="0" xfId="0" applyNumberFormat="1" applyFont="1" applyFill="1" applyAlignment="1">
      <alignment vertical="center"/>
    </xf>
    <xf numFmtId="170" fontId="17" fillId="3" borderId="0" xfId="0" applyNumberFormat="1" applyFont="1" applyFill="1" applyBorder="1" applyAlignment="1">
      <alignment horizontal="right" vertical="center"/>
    </xf>
    <xf numFmtId="170" fontId="17" fillId="3" borderId="11" xfId="0" applyNumberFormat="1" applyFont="1" applyFill="1" applyBorder="1" applyAlignment="1">
      <alignment horizontal="right" vertical="center"/>
    </xf>
    <xf numFmtId="170" fontId="43" fillId="3" borderId="12" xfId="0" applyNumberFormat="1" applyFont="1" applyFill="1" applyBorder="1" applyAlignment="1">
      <alignment horizontal="right" vertical="center"/>
    </xf>
    <xf numFmtId="170" fontId="17" fillId="2" borderId="0" xfId="0" applyNumberFormat="1" applyFont="1" applyFill="1" applyBorder="1" applyAlignment="1">
      <alignment horizontal="right" vertical="center" wrapText="1"/>
    </xf>
    <xf numFmtId="170" fontId="17" fillId="3" borderId="0" xfId="0" applyNumberFormat="1" applyFont="1" applyFill="1" applyBorder="1" applyAlignment="1">
      <alignment horizontal="right" vertical="center" wrapText="1"/>
    </xf>
    <xf numFmtId="170" fontId="43" fillId="3" borderId="10" xfId="0" applyNumberFormat="1" applyFont="1" applyFill="1" applyBorder="1" applyAlignment="1">
      <alignment horizontal="right" vertical="center" wrapText="1"/>
    </xf>
    <xf numFmtId="170" fontId="17" fillId="2" borderId="11" xfId="0" applyNumberFormat="1" applyFont="1" applyFill="1" applyBorder="1" applyAlignment="1">
      <alignment horizontal="right" vertical="center" wrapText="1"/>
    </xf>
    <xf numFmtId="170" fontId="17" fillId="3" borderId="11" xfId="0" applyNumberFormat="1" applyFont="1" applyFill="1" applyBorder="1" applyAlignment="1">
      <alignment horizontal="right" vertical="center" wrapText="1"/>
    </xf>
    <xf numFmtId="170" fontId="43" fillId="3" borderId="12" xfId="0" applyNumberFormat="1" applyFont="1" applyFill="1" applyBorder="1" applyAlignment="1">
      <alignment horizontal="right" vertical="center" wrapText="1"/>
    </xf>
    <xf numFmtId="170" fontId="43" fillId="3" borderId="10" xfId="0" applyNumberFormat="1" applyFont="1" applyFill="1" applyBorder="1" applyAlignment="1">
      <alignment horizontal="right" vertical="center"/>
    </xf>
    <xf numFmtId="170" fontId="26" fillId="3" borderId="0" xfId="0" applyNumberFormat="1" applyFont="1" applyFill="1" applyBorder="1" applyAlignment="1">
      <alignment horizontal="right" vertical="center"/>
    </xf>
    <xf numFmtId="170" fontId="44" fillId="3" borderId="10" xfId="0" applyNumberFormat="1" applyFont="1" applyFill="1" applyBorder="1" applyAlignment="1">
      <alignment horizontal="right" vertical="center"/>
    </xf>
    <xf numFmtId="170" fontId="44" fillId="3" borderId="10" xfId="0" applyNumberFormat="1" applyFont="1" applyFill="1" applyBorder="1" applyAlignment="1">
      <alignment horizontal="right" vertical="center" wrapText="1"/>
    </xf>
    <xf numFmtId="170" fontId="26" fillId="2" borderId="0" xfId="0" applyNumberFormat="1" applyFont="1" applyFill="1" applyBorder="1" applyAlignment="1">
      <alignment horizontal="right" vertical="center" wrapText="1"/>
    </xf>
    <xf numFmtId="170" fontId="26" fillId="3" borderId="0" xfId="0" applyNumberFormat="1" applyFont="1" applyFill="1" applyBorder="1" applyAlignment="1">
      <alignment horizontal="right" vertical="center" wrapText="1"/>
    </xf>
    <xf numFmtId="170" fontId="17" fillId="3" borderId="26" xfId="0" applyNumberFormat="1" applyFont="1" applyFill="1" applyBorder="1" applyAlignment="1">
      <alignment horizontal="right" vertical="center"/>
    </xf>
    <xf numFmtId="170" fontId="43" fillId="3" borderId="27" xfId="0" applyNumberFormat="1" applyFont="1" applyFill="1" applyBorder="1" applyAlignment="1">
      <alignment horizontal="right" vertical="center"/>
    </xf>
    <xf numFmtId="170" fontId="17" fillId="2" borderId="26" xfId="0" applyNumberFormat="1" applyFont="1" applyFill="1" applyBorder="1" applyAlignment="1">
      <alignment horizontal="right" vertical="center" wrapText="1"/>
    </xf>
    <xf numFmtId="170" fontId="17" fillId="3" borderId="26" xfId="0" applyNumberFormat="1" applyFont="1" applyFill="1" applyBorder="1" applyAlignment="1">
      <alignment horizontal="right" vertical="center" wrapText="1"/>
    </xf>
    <xf numFmtId="170" fontId="17" fillId="3" borderId="2" xfId="0" applyNumberFormat="1" applyFont="1" applyFill="1" applyBorder="1" applyAlignment="1">
      <alignment horizontal="right" vertical="center" wrapText="1"/>
    </xf>
    <xf numFmtId="170" fontId="43" fillId="3" borderId="16" xfId="0" applyNumberFormat="1" applyFont="1" applyFill="1" applyBorder="1" applyAlignment="1">
      <alignment horizontal="right" vertical="center" wrapText="1"/>
    </xf>
    <xf numFmtId="170" fontId="43" fillId="3" borderId="27" xfId="0" applyNumberFormat="1" applyFont="1" applyFill="1" applyBorder="1" applyAlignment="1">
      <alignment horizontal="right" vertical="center" wrapText="1"/>
    </xf>
    <xf numFmtId="170" fontId="0" fillId="2" borderId="11" xfId="0" applyNumberFormat="1" applyFill="1" applyBorder="1" applyAlignment="1">
      <alignment vertical="center"/>
    </xf>
    <xf numFmtId="170" fontId="0" fillId="3" borderId="11" xfId="0" applyNumberFormat="1" applyFill="1" applyBorder="1" applyAlignment="1">
      <alignment vertical="center"/>
    </xf>
    <xf numFmtId="170" fontId="46" fillId="3" borderId="12" xfId="0" applyNumberFormat="1" applyFont="1" applyFill="1" applyBorder="1" applyAlignment="1">
      <alignment vertical="center"/>
    </xf>
    <xf numFmtId="170" fontId="45" fillId="2" borderId="0" xfId="0" applyNumberFormat="1" applyFont="1" applyFill="1" applyBorder="1" applyAlignment="1">
      <alignment vertical="center"/>
    </xf>
    <xf numFmtId="170" fontId="45" fillId="3" borderId="0" xfId="0" applyNumberFormat="1" applyFont="1" applyFill="1" applyBorder="1" applyAlignment="1">
      <alignment vertical="center"/>
    </xf>
    <xf numFmtId="170" fontId="17" fillId="3" borderId="18" xfId="0" applyNumberFormat="1" applyFont="1" applyFill="1" applyBorder="1" applyAlignment="1">
      <alignment vertical="center"/>
    </xf>
    <xf numFmtId="170" fontId="43" fillId="3" borderId="19" xfId="0" applyNumberFormat="1" applyFont="1" applyFill="1" applyBorder="1" applyAlignment="1">
      <alignment vertical="center"/>
    </xf>
    <xf numFmtId="170" fontId="43" fillId="3" borderId="19" xfId="0" applyNumberFormat="1" applyFont="1" applyFill="1" applyBorder="1" applyAlignment="1">
      <alignment horizontal="right" vertical="center" wrapText="1"/>
    </xf>
    <xf numFmtId="172" fontId="45" fillId="3" borderId="0" xfId="0" applyNumberFormat="1" applyFont="1" applyFill="1" applyBorder="1" applyAlignment="1">
      <alignment vertical="center"/>
    </xf>
    <xf numFmtId="0" fontId="51" fillId="13" borderId="14" xfId="0" applyFont="1" applyFill="1" applyBorder="1" applyAlignment="1">
      <alignment horizontal="center" vertical="center"/>
    </xf>
    <xf numFmtId="167" fontId="32" fillId="2" borderId="3" xfId="6" applyNumberFormat="1" applyFont="1" applyFill="1" applyBorder="1" applyAlignment="1">
      <alignment horizontal="right" vertical="center" wrapText="1"/>
    </xf>
    <xf numFmtId="3" fontId="56" fillId="3" borderId="3" xfId="6" applyNumberFormat="1" applyFont="1" applyFill="1" applyBorder="1" applyAlignment="1">
      <alignment horizontal="right" vertical="center" wrapText="1"/>
    </xf>
    <xf numFmtId="3" fontId="32" fillId="3" borderId="3" xfId="6" applyNumberFormat="1" applyFont="1" applyFill="1" applyBorder="1" applyAlignment="1">
      <alignment horizontal="right" vertical="center" wrapText="1"/>
    </xf>
    <xf numFmtId="170" fontId="65" fillId="16" borderId="10" xfId="0" applyNumberFormat="1" applyFont="1" applyFill="1" applyBorder="1" applyAlignment="1">
      <alignment horizontal="right" vertical="center"/>
    </xf>
    <xf numFmtId="170" fontId="65" fillId="16" borderId="0" xfId="0" applyNumberFormat="1" applyFont="1" applyFill="1" applyBorder="1" applyAlignment="1">
      <alignment horizontal="right" vertical="center"/>
    </xf>
    <xf numFmtId="170" fontId="65" fillId="3" borderId="3" xfId="0" applyNumberFormat="1" applyFont="1" applyFill="1" applyBorder="1" applyAlignment="1">
      <alignment horizontal="right" vertical="center"/>
    </xf>
    <xf numFmtId="170" fontId="65" fillId="16" borderId="0" xfId="0" applyNumberFormat="1" applyFont="1" applyFill="1" applyBorder="1" applyAlignment="1">
      <alignment vertical="center"/>
    </xf>
    <xf numFmtId="170" fontId="37" fillId="3" borderId="3" xfId="1" applyNumberFormat="1" applyFont="1" applyFill="1" applyBorder="1" applyAlignment="1">
      <alignment horizontal="right" vertical="center"/>
    </xf>
    <xf numFmtId="170" fontId="66" fillId="16" borderId="0" xfId="0" applyNumberFormat="1" applyFont="1" applyFill="1" applyBorder="1" applyAlignment="1">
      <alignment vertical="center"/>
    </xf>
    <xf numFmtId="170" fontId="66" fillId="3" borderId="3" xfId="0" applyNumberFormat="1" applyFont="1" applyFill="1" applyBorder="1" applyAlignment="1">
      <alignment vertical="center"/>
    </xf>
    <xf numFmtId="170" fontId="39" fillId="14" borderId="6" xfId="0" applyNumberFormat="1" applyFont="1" applyFill="1" applyBorder="1" applyAlignment="1">
      <alignment vertical="center"/>
    </xf>
    <xf numFmtId="170" fontId="37" fillId="16" borderId="10" xfId="1" applyNumberFormat="1" applyFont="1" applyFill="1" applyBorder="1" applyAlignment="1">
      <alignment horizontal="right" vertical="center"/>
    </xf>
    <xf numFmtId="170" fontId="37" fillId="16" borderId="0" xfId="1" applyNumberFormat="1" applyFont="1" applyFill="1" applyBorder="1" applyAlignment="1">
      <alignment horizontal="right" vertical="center"/>
    </xf>
    <xf numFmtId="170" fontId="39" fillId="15" borderId="26" xfId="0" applyNumberFormat="1" applyFont="1" applyFill="1" applyBorder="1" applyAlignment="1">
      <alignment vertical="center"/>
    </xf>
    <xf numFmtId="170" fontId="39" fillId="6" borderId="25" xfId="0" applyNumberFormat="1" applyFont="1" applyFill="1" applyBorder="1" applyAlignment="1">
      <alignment vertical="center"/>
    </xf>
    <xf numFmtId="170" fontId="65" fillId="3" borderId="11" xfId="0" applyNumberFormat="1" applyFont="1" applyFill="1" applyBorder="1" applyAlignment="1">
      <alignment horizontal="right" vertical="center"/>
    </xf>
    <xf numFmtId="170" fontId="65" fillId="16" borderId="12" xfId="0" applyNumberFormat="1" applyFont="1" applyFill="1" applyBorder="1" applyAlignment="1">
      <alignment horizontal="right" vertical="center"/>
    </xf>
    <xf numFmtId="170" fontId="65" fillId="16" borderId="11" xfId="0" applyNumberFormat="1" applyFont="1" applyFill="1" applyBorder="1" applyAlignment="1">
      <alignment horizontal="right" vertical="center"/>
    </xf>
    <xf numFmtId="170" fontId="65" fillId="3" borderId="4" xfId="0" applyNumberFormat="1" applyFont="1" applyFill="1" applyBorder="1" applyAlignment="1">
      <alignment horizontal="right" vertical="center"/>
    </xf>
    <xf numFmtId="170" fontId="37" fillId="16" borderId="0" xfId="0" applyNumberFormat="1" applyFont="1" applyFill="1" applyBorder="1" applyAlignment="1">
      <alignment horizontal="right" vertical="center"/>
    </xf>
    <xf numFmtId="170" fontId="37" fillId="3" borderId="3" xfId="0" applyNumberFormat="1" applyFont="1" applyFill="1" applyBorder="1" applyAlignment="1">
      <alignment horizontal="right" vertical="center"/>
    </xf>
    <xf numFmtId="170" fontId="65" fillId="3" borderId="3" xfId="0" applyNumberFormat="1" applyFont="1" applyFill="1" applyBorder="1" applyAlignment="1">
      <alignment vertical="center"/>
    </xf>
    <xf numFmtId="170" fontId="35" fillId="3" borderId="8" xfId="0" applyNumberFormat="1" applyFont="1" applyFill="1" applyBorder="1" applyAlignment="1">
      <alignment vertical="center"/>
    </xf>
    <xf numFmtId="170" fontId="35" fillId="3" borderId="6" xfId="0" applyNumberFormat="1" applyFont="1" applyFill="1" applyBorder="1" applyAlignment="1">
      <alignment horizontal="right" vertical="center"/>
    </xf>
    <xf numFmtId="170" fontId="35" fillId="3" borderId="7" xfId="0" applyNumberFormat="1" applyFont="1" applyFill="1" applyBorder="1" applyAlignment="1">
      <alignment horizontal="right" vertical="center"/>
    </xf>
    <xf numFmtId="170" fontId="23" fillId="3" borderId="10" xfId="0" applyNumberFormat="1" applyFont="1" applyFill="1" applyBorder="1" applyAlignment="1">
      <alignment vertical="center"/>
    </xf>
    <xf numFmtId="170" fontId="35" fillId="14" borderId="8" xfId="0" applyNumberFormat="1" applyFont="1" applyFill="1" applyBorder="1" applyAlignment="1">
      <alignment vertical="center"/>
    </xf>
    <xf numFmtId="170" fontId="23" fillId="3" borderId="5" xfId="0" applyNumberFormat="1" applyFont="1" applyFill="1" applyBorder="1" applyAlignment="1">
      <alignment vertical="center"/>
    </xf>
    <xf numFmtId="170" fontId="23" fillId="3" borderId="18" xfId="0" applyNumberFormat="1" applyFont="1" applyFill="1" applyBorder="1" applyAlignment="1">
      <alignment vertical="center"/>
    </xf>
    <xf numFmtId="170" fontId="35" fillId="3" borderId="16" xfId="0" applyNumberFormat="1" applyFont="1" applyFill="1" applyBorder="1" applyAlignment="1">
      <alignment vertical="center"/>
    </xf>
    <xf numFmtId="0" fontId="51" fillId="13" borderId="20" xfId="0" applyFont="1" applyFill="1" applyBorder="1" applyAlignment="1">
      <alignment horizontal="center" vertical="center"/>
    </xf>
    <xf numFmtId="167" fontId="32" fillId="2" borderId="0" xfId="6" applyNumberFormat="1" applyFont="1" applyFill="1" applyBorder="1" applyAlignment="1">
      <alignment horizontal="right" vertical="center" wrapText="1"/>
    </xf>
    <xf numFmtId="3" fontId="56" fillId="3" borderId="0" xfId="6" applyNumberFormat="1" applyFont="1" applyFill="1" applyBorder="1" applyAlignment="1">
      <alignment horizontal="right" vertical="center" wrapText="1"/>
    </xf>
    <xf numFmtId="3" fontId="32" fillId="3" borderId="0" xfId="6" applyNumberFormat="1" applyFont="1" applyFill="1" applyBorder="1" applyAlignment="1">
      <alignment horizontal="right" vertical="center" wrapText="1"/>
    </xf>
    <xf numFmtId="170" fontId="38" fillId="3" borderId="3" xfId="0" applyNumberFormat="1" applyFont="1" applyFill="1" applyBorder="1" applyAlignment="1">
      <alignment horizontal="right" vertical="center"/>
    </xf>
    <xf numFmtId="170" fontId="38" fillId="3" borderId="0" xfId="0" applyNumberFormat="1" applyFont="1" applyFill="1" applyBorder="1" applyAlignment="1">
      <alignment horizontal="right" vertical="center"/>
    </xf>
    <xf numFmtId="172" fontId="45" fillId="3" borderId="18" xfId="0" applyNumberFormat="1" applyFont="1" applyFill="1" applyBorder="1" applyAlignment="1">
      <alignment vertical="center"/>
    </xf>
    <xf numFmtId="0" fontId="51" fillId="13" borderId="7" xfId="0" applyFont="1" applyFill="1" applyBorder="1" applyAlignment="1">
      <alignment horizontal="center" vertical="center"/>
    </xf>
    <xf numFmtId="3" fontId="52" fillId="19" borderId="8" xfId="0" applyNumberFormat="1" applyFont="1" applyFill="1" applyBorder="1" applyAlignment="1">
      <alignment horizontal="right" vertical="center" wrapText="1"/>
    </xf>
    <xf numFmtId="170" fontId="38" fillId="2" borderId="10" xfId="0" applyNumberFormat="1" applyFont="1" applyFill="1" applyBorder="1" applyAlignment="1">
      <alignment horizontal="right" vertical="center"/>
    </xf>
    <xf numFmtId="170" fontId="71" fillId="16" borderId="10" xfId="0" applyNumberFormat="1" applyFont="1" applyFill="1" applyBorder="1" applyAlignment="1">
      <alignment vertical="center"/>
    </xf>
    <xf numFmtId="0" fontId="42" fillId="3" borderId="0" xfId="0" applyFont="1" applyFill="1"/>
    <xf numFmtId="173" fontId="23" fillId="3" borderId="0" xfId="0" applyNumberFormat="1" applyFont="1" applyFill="1" applyBorder="1" applyAlignment="1">
      <alignment vertical="center"/>
    </xf>
    <xf numFmtId="173" fontId="23" fillId="16" borderId="10" xfId="0" applyNumberFormat="1" applyFont="1" applyFill="1" applyBorder="1" applyAlignment="1">
      <alignment vertical="center"/>
    </xf>
    <xf numFmtId="173" fontId="74" fillId="3" borderId="0" xfId="1" applyNumberFormat="1" applyFont="1" applyFill="1" applyBorder="1" applyAlignment="1">
      <alignment horizontal="right" vertical="center"/>
    </xf>
    <xf numFmtId="173" fontId="71" fillId="3" borderId="0" xfId="0" applyNumberFormat="1" applyFont="1" applyFill="1" applyBorder="1" applyAlignment="1">
      <alignment vertical="center"/>
    </xf>
    <xf numFmtId="173" fontId="71" fillId="16" borderId="10" xfId="0" applyNumberFormat="1" applyFont="1" applyFill="1" applyBorder="1" applyAlignment="1">
      <alignment vertical="center"/>
    </xf>
    <xf numFmtId="173" fontId="23" fillId="3" borderId="18" xfId="0" applyNumberFormat="1" applyFont="1" applyFill="1" applyBorder="1" applyAlignment="1">
      <alignment vertical="center"/>
    </xf>
    <xf numFmtId="173" fontId="35" fillId="14" borderId="7" xfId="0" applyNumberFormat="1" applyFont="1" applyFill="1" applyBorder="1" applyAlignment="1">
      <alignment vertical="center"/>
    </xf>
    <xf numFmtId="173" fontId="35" fillId="14" borderId="8" xfId="0" applyNumberFormat="1" applyFont="1" applyFill="1" applyBorder="1" applyAlignment="1">
      <alignment vertical="center"/>
    </xf>
    <xf numFmtId="173" fontId="23" fillId="3" borderId="11" xfId="0" applyNumberFormat="1" applyFont="1" applyFill="1" applyBorder="1" applyAlignment="1">
      <alignment vertical="center"/>
    </xf>
    <xf numFmtId="173" fontId="35" fillId="6" borderId="26" xfId="0" applyNumberFormat="1" applyFont="1" applyFill="1" applyBorder="1" applyAlignment="1">
      <alignment vertical="center"/>
    </xf>
    <xf numFmtId="173" fontId="35" fillId="6" borderId="27" xfId="0" applyNumberFormat="1" applyFont="1" applyFill="1" applyBorder="1" applyAlignment="1">
      <alignment vertical="center"/>
    </xf>
    <xf numFmtId="173" fontId="23" fillId="16" borderId="12" xfId="0" applyNumberFormat="1" applyFont="1" applyFill="1" applyBorder="1" applyAlignment="1">
      <alignment vertical="center"/>
    </xf>
    <xf numFmtId="173" fontId="74" fillId="3" borderId="0" xfId="0" applyNumberFormat="1" applyFont="1" applyFill="1" applyBorder="1" applyAlignment="1">
      <alignment horizontal="right" vertical="center"/>
    </xf>
    <xf numFmtId="173" fontId="23" fillId="3" borderId="0" xfId="0" applyNumberFormat="1" applyFont="1" applyFill="1" applyBorder="1" applyAlignment="1">
      <alignment horizontal="right" vertical="center"/>
    </xf>
    <xf numFmtId="173" fontId="76" fillId="3" borderId="0" xfId="0" applyNumberFormat="1" applyFont="1" applyFill="1" applyBorder="1" applyAlignment="1">
      <alignment horizontal="right" vertical="center"/>
    </xf>
    <xf numFmtId="173" fontId="38" fillId="3" borderId="0" xfId="0" applyNumberFormat="1" applyFont="1" applyFill="1" applyBorder="1" applyAlignment="1">
      <alignment horizontal="right" vertical="center"/>
    </xf>
    <xf numFmtId="0" fontId="51" fillId="13" borderId="11" xfId="0" applyFont="1" applyFill="1" applyBorder="1" applyAlignment="1">
      <alignment horizontal="center" vertical="center"/>
    </xf>
    <xf numFmtId="174" fontId="44" fillId="22" borderId="10" xfId="0" applyNumberFormat="1" applyFont="1" applyFill="1" applyBorder="1" applyAlignment="1">
      <alignment horizontal="right" vertical="center" wrapText="1" indent="1"/>
    </xf>
    <xf numFmtId="174" fontId="44" fillId="22" borderId="37" xfId="0" applyNumberFormat="1" applyFont="1" applyFill="1" applyBorder="1" applyAlignment="1">
      <alignment horizontal="right" vertical="center" wrapText="1" indent="1"/>
    </xf>
    <xf numFmtId="174" fontId="43" fillId="22" borderId="10" xfId="0" applyNumberFormat="1" applyFont="1" applyFill="1" applyBorder="1" applyAlignment="1">
      <alignment horizontal="right" vertical="center" wrapText="1" indent="1"/>
    </xf>
    <xf numFmtId="0" fontId="0" fillId="0" borderId="0" xfId="0" applyFill="1"/>
    <xf numFmtId="175" fontId="43" fillId="22" borderId="10" xfId="0" applyNumberFormat="1" applyFont="1" applyFill="1" applyBorder="1" applyAlignment="1">
      <alignment horizontal="right" vertical="center" wrapText="1" indent="1"/>
    </xf>
    <xf numFmtId="175" fontId="43" fillId="22" borderId="19" xfId="0" applyNumberFormat="1" applyFont="1" applyFill="1" applyBorder="1" applyAlignment="1">
      <alignment horizontal="right" vertical="center" wrapText="1" indent="1"/>
    </xf>
    <xf numFmtId="167" fontId="26" fillId="0" borderId="7" xfId="0" applyNumberFormat="1" applyFont="1" applyFill="1" applyBorder="1" applyAlignment="1">
      <alignment horizontal="right" vertical="center" wrapText="1" indent="1"/>
    </xf>
    <xf numFmtId="174" fontId="44" fillId="0" borderId="8" xfId="0" applyNumberFormat="1" applyFont="1" applyFill="1" applyBorder="1" applyAlignment="1">
      <alignment horizontal="right" vertical="center" wrapText="1" indent="1"/>
    </xf>
    <xf numFmtId="0" fontId="13" fillId="3" borderId="38" xfId="0" applyFont="1" applyFill="1" applyBorder="1" applyAlignment="1">
      <alignment vertical="center" wrapText="1"/>
    </xf>
    <xf numFmtId="0" fontId="45" fillId="2" borderId="0" xfId="0" applyFont="1" applyFill="1" applyBorder="1" applyAlignment="1">
      <alignment vertical="center"/>
    </xf>
    <xf numFmtId="170" fontId="13" fillId="2" borderId="18" xfId="0" applyNumberFormat="1" applyFont="1" applyFill="1" applyBorder="1" applyAlignment="1">
      <alignment horizontal="right" vertical="center" wrapText="1"/>
    </xf>
    <xf numFmtId="0" fontId="13" fillId="2" borderId="18" xfId="0" applyFont="1" applyFill="1" applyBorder="1" applyAlignment="1">
      <alignment vertical="center"/>
    </xf>
    <xf numFmtId="170" fontId="13" fillId="3" borderId="18" xfId="0" applyNumberFormat="1" applyFont="1" applyFill="1" applyBorder="1" applyAlignment="1">
      <alignment vertical="center"/>
    </xf>
    <xf numFmtId="176" fontId="71" fillId="3" borderId="0" xfId="0" applyNumberFormat="1" applyFont="1" applyFill="1" applyBorder="1" applyAlignment="1">
      <alignment vertical="center"/>
    </xf>
    <xf numFmtId="176" fontId="71" fillId="16" borderId="10" xfId="0" applyNumberFormat="1" applyFont="1" applyFill="1" applyBorder="1" applyAlignment="1">
      <alignment vertical="center"/>
    </xf>
    <xf numFmtId="170" fontId="35" fillId="16" borderId="10" xfId="0" applyNumberFormat="1" applyFont="1" applyFill="1" applyBorder="1" applyAlignment="1">
      <alignment vertical="center"/>
    </xf>
    <xf numFmtId="168" fontId="17" fillId="3" borderId="0" xfId="0" applyNumberFormat="1" applyFont="1" applyFill="1" applyAlignment="1">
      <alignment vertical="center"/>
    </xf>
    <xf numFmtId="0" fontId="12" fillId="0" borderId="23" xfId="0" applyFont="1" applyFill="1" applyBorder="1" applyAlignment="1">
      <alignment horizontal="left" indent="3"/>
    </xf>
    <xf numFmtId="0" fontId="62" fillId="0" borderId="23" xfId="0" applyFont="1" applyFill="1" applyBorder="1" applyAlignment="1">
      <alignment vertical="center" wrapText="1"/>
    </xf>
    <xf numFmtId="0" fontId="49" fillId="0" borderId="3" xfId="0" applyFont="1" applyFill="1" applyBorder="1" applyAlignment="1">
      <alignment horizontal="left" vertical="center" indent="3"/>
    </xf>
    <xf numFmtId="0" fontId="23" fillId="0" borderId="23" xfId="0" applyFont="1" applyFill="1" applyBorder="1" applyAlignment="1">
      <alignment vertical="center"/>
    </xf>
    <xf numFmtId="170" fontId="23" fillId="0" borderId="3" xfId="0" applyNumberFormat="1" applyFont="1" applyFill="1" applyBorder="1" applyAlignment="1">
      <alignment vertical="center"/>
    </xf>
    <xf numFmtId="170" fontId="23" fillId="0" borderId="0" xfId="0" applyNumberFormat="1" applyFont="1" applyFill="1" applyBorder="1" applyAlignment="1">
      <alignment vertical="center"/>
    </xf>
    <xf numFmtId="170" fontId="23" fillId="0" borderId="10" xfId="0" applyNumberFormat="1" applyFont="1" applyFill="1" applyBorder="1" applyAlignment="1">
      <alignment vertical="center"/>
    </xf>
    <xf numFmtId="170" fontId="23" fillId="0" borderId="0" xfId="0" applyNumberFormat="1" applyFont="1" applyFill="1" applyAlignment="1">
      <alignment vertical="center"/>
    </xf>
    <xf numFmtId="170" fontId="38" fillId="0" borderId="3" xfId="0" applyNumberFormat="1" applyFont="1" applyFill="1" applyBorder="1" applyAlignment="1">
      <alignment horizontal="right" vertical="center"/>
    </xf>
    <xf numFmtId="170" fontId="38" fillId="0" borderId="0" xfId="0" applyNumberFormat="1" applyFont="1" applyFill="1" applyBorder="1" applyAlignment="1">
      <alignment horizontal="right" vertical="center"/>
    </xf>
    <xf numFmtId="171" fontId="23" fillId="0" borderId="3" xfId="0" applyNumberFormat="1" applyFont="1" applyFill="1" applyBorder="1" applyAlignment="1">
      <alignment vertical="center"/>
    </xf>
    <xf numFmtId="171" fontId="23" fillId="0" borderId="0" xfId="0" applyNumberFormat="1" applyFont="1" applyFill="1" applyBorder="1" applyAlignment="1">
      <alignment vertical="center"/>
    </xf>
    <xf numFmtId="171" fontId="23" fillId="0" borderId="10" xfId="0" applyNumberFormat="1" applyFont="1" applyFill="1" applyBorder="1" applyAlignment="1">
      <alignment vertical="center"/>
    </xf>
    <xf numFmtId="0" fontId="36" fillId="0" borderId="7" xfId="0" applyFont="1" applyFill="1" applyBorder="1" applyAlignment="1">
      <alignment vertical="center"/>
    </xf>
    <xf numFmtId="171" fontId="65" fillId="0" borderId="7" xfId="0" applyNumberFormat="1" applyFont="1" applyFill="1" applyBorder="1"/>
    <xf numFmtId="170" fontId="65" fillId="0" borderId="7" xfId="0" applyNumberFormat="1" applyFont="1" applyFill="1" applyBorder="1" applyAlignment="1">
      <alignment horizontal="right"/>
    </xf>
    <xf numFmtId="170" fontId="65" fillId="0" borderId="7" xfId="0" applyNumberFormat="1" applyFont="1" applyFill="1" applyBorder="1"/>
    <xf numFmtId="173" fontId="23" fillId="0" borderId="7" xfId="0" applyNumberFormat="1" applyFont="1" applyFill="1" applyBorder="1"/>
    <xf numFmtId="0" fontId="23" fillId="0" borderId="7" xfId="0" applyFont="1" applyFill="1" applyBorder="1"/>
    <xf numFmtId="0" fontId="65" fillId="0" borderId="0" xfId="0" applyFont="1" applyFill="1" applyBorder="1"/>
    <xf numFmtId="0" fontId="36" fillId="0" borderId="6" xfId="0" applyFont="1" applyFill="1" applyBorder="1" applyAlignment="1">
      <alignment vertical="center"/>
    </xf>
    <xf numFmtId="0" fontId="65" fillId="0" borderId="7" xfId="0" applyFont="1" applyFill="1" applyBorder="1"/>
    <xf numFmtId="0" fontId="65" fillId="0" borderId="7" xfId="0" applyFont="1" applyFill="1" applyBorder="1" applyAlignment="1">
      <alignment horizontal="right"/>
    </xf>
    <xf numFmtId="0" fontId="23" fillId="0" borderId="8" xfId="0" applyFont="1" applyFill="1" applyBorder="1"/>
    <xf numFmtId="0" fontId="11" fillId="0" borderId="23" xfId="0" applyFont="1" applyFill="1" applyBorder="1" applyAlignment="1">
      <alignment horizontal="left" indent="3"/>
    </xf>
    <xf numFmtId="10" fontId="11" fillId="2" borderId="0" xfId="0" applyNumberFormat="1" applyFont="1" applyFill="1" applyAlignment="1">
      <alignment horizontal="right" vertical="center" wrapText="1" indent="1"/>
    </xf>
    <xf numFmtId="10" fontId="11" fillId="3" borderId="0" xfId="0" applyNumberFormat="1" applyFont="1" applyFill="1" applyAlignment="1">
      <alignment horizontal="right" vertical="center" wrapText="1" indent="1"/>
    </xf>
    <xf numFmtId="167" fontId="11" fillId="3" borderId="0" xfId="0" applyNumberFormat="1" applyFont="1" applyFill="1" applyBorder="1" applyAlignment="1">
      <alignment horizontal="right" vertical="center" wrapText="1" indent="1"/>
    </xf>
    <xf numFmtId="167" fontId="11" fillId="2" borderId="5" xfId="0" applyNumberFormat="1" applyFont="1" applyFill="1" applyBorder="1" applyAlignment="1">
      <alignment horizontal="right" vertical="center" wrapText="1" indent="1"/>
    </xf>
    <xf numFmtId="167" fontId="11" fillId="3" borderId="18" xfId="0" applyNumberFormat="1" applyFont="1" applyFill="1" applyBorder="1" applyAlignment="1">
      <alignment horizontal="right" vertical="center" wrapText="1" indent="1"/>
    </xf>
    <xf numFmtId="175" fontId="43" fillId="22" borderId="0" xfId="0" applyNumberFormat="1" applyFont="1" applyFill="1" applyBorder="1" applyAlignment="1">
      <alignment horizontal="right" vertical="center" wrapText="1" indent="1"/>
    </xf>
    <xf numFmtId="0" fontId="11" fillId="0" borderId="0" xfId="0" applyFont="1" applyFill="1" applyBorder="1" applyAlignment="1">
      <alignment horizontal="left" indent="3"/>
    </xf>
    <xf numFmtId="0" fontId="59" fillId="13" borderId="5" xfId="0" applyFont="1" applyFill="1" applyBorder="1" applyAlignment="1">
      <alignment horizontal="right" vertical="center" wrapText="1"/>
    </xf>
    <xf numFmtId="0" fontId="39" fillId="6" borderId="26" xfId="0" applyFont="1" applyFill="1" applyBorder="1" applyAlignment="1">
      <alignment horizontal="right" vertical="center" wrapText="1"/>
    </xf>
    <xf numFmtId="167" fontId="11" fillId="0" borderId="0" xfId="0" applyNumberFormat="1" applyFont="1" applyFill="1" applyBorder="1" applyAlignment="1">
      <alignment horizontal="right" vertical="center" wrapText="1" indent="1"/>
    </xf>
    <xf numFmtId="167" fontId="26" fillId="2" borderId="6" xfId="0" applyNumberFormat="1" applyFont="1" applyFill="1" applyBorder="1" applyAlignment="1">
      <alignment horizontal="right" vertical="center" wrapText="1" indent="1"/>
    </xf>
    <xf numFmtId="165" fontId="32" fillId="3" borderId="3" xfId="0" applyNumberFormat="1" applyFont="1" applyFill="1" applyBorder="1" applyAlignment="1">
      <alignment horizontal="right" vertical="center" wrapText="1"/>
    </xf>
    <xf numFmtId="165" fontId="32" fillId="3" borderId="0" xfId="0" applyNumberFormat="1" applyFont="1" applyFill="1" applyBorder="1" applyAlignment="1">
      <alignment horizontal="right" vertical="center" wrapText="1"/>
    </xf>
    <xf numFmtId="165" fontId="32" fillId="19" borderId="10" xfId="0" applyNumberFormat="1" applyFont="1" applyFill="1" applyBorder="1" applyAlignment="1">
      <alignment horizontal="right" vertical="center" wrapText="1"/>
    </xf>
    <xf numFmtId="0" fontId="54" fillId="3" borderId="23" xfId="0" applyFont="1" applyFill="1" applyBorder="1" applyAlignment="1">
      <alignment horizontal="left" vertical="center"/>
    </xf>
    <xf numFmtId="0" fontId="9" fillId="2" borderId="11" xfId="0" applyFont="1" applyFill="1" applyBorder="1" applyAlignment="1">
      <alignment vertical="center"/>
    </xf>
    <xf numFmtId="165" fontId="32" fillId="0" borderId="11" xfId="0" applyNumberFormat="1" applyFont="1" applyFill="1" applyBorder="1" applyAlignment="1">
      <alignment horizontal="right" vertical="center" wrapText="1"/>
    </xf>
    <xf numFmtId="165" fontId="32" fillId="0" borderId="0" xfId="0" applyNumberFormat="1" applyFont="1" applyFill="1" applyBorder="1" applyAlignment="1">
      <alignment horizontal="right" vertical="center" wrapText="1"/>
    </xf>
    <xf numFmtId="167" fontId="26" fillId="0" borderId="11" xfId="0" applyNumberFormat="1" applyFont="1" applyFill="1" applyBorder="1" applyAlignment="1">
      <alignment horizontal="right" vertical="center" wrapText="1" indent="1"/>
    </xf>
    <xf numFmtId="0" fontId="62" fillId="0" borderId="11" xfId="0" applyFont="1" applyFill="1" applyBorder="1" applyAlignment="1">
      <alignment wrapText="1"/>
    </xf>
    <xf numFmtId="167" fontId="26" fillId="2" borderId="11" xfId="0" applyNumberFormat="1" applyFont="1" applyFill="1" applyBorder="1" applyAlignment="1">
      <alignment horizontal="right" vertical="center" wrapText="1" indent="1"/>
    </xf>
    <xf numFmtId="174" fontId="44" fillId="0" borderId="11" xfId="0" applyNumberFormat="1" applyFont="1" applyFill="1" applyBorder="1" applyAlignment="1">
      <alignment horizontal="right" vertical="center" wrapText="1" indent="1"/>
    </xf>
    <xf numFmtId="0" fontId="9" fillId="0" borderId="23" xfId="0" applyFont="1" applyFill="1" applyBorder="1" applyAlignment="1">
      <alignment horizontal="left" indent="3"/>
    </xf>
    <xf numFmtId="10" fontId="9" fillId="2" borderId="0" xfId="0" applyNumberFormat="1" applyFont="1" applyFill="1" applyAlignment="1">
      <alignment horizontal="right" vertical="center" wrapText="1" indent="1"/>
    </xf>
    <xf numFmtId="10" fontId="9" fillId="3" borderId="0" xfId="0" applyNumberFormat="1" applyFont="1" applyFill="1" applyAlignment="1">
      <alignment horizontal="right" vertical="center" wrapText="1" indent="1"/>
    </xf>
    <xf numFmtId="0" fontId="9" fillId="0" borderId="24" xfId="0" applyFont="1" applyFill="1" applyBorder="1" applyAlignment="1">
      <alignment horizontal="left" indent="3"/>
    </xf>
    <xf numFmtId="0" fontId="11" fillId="0" borderId="11" xfId="0" applyFont="1" applyFill="1" applyBorder="1"/>
    <xf numFmtId="167" fontId="11" fillId="2" borderId="0" xfId="0" applyNumberFormat="1" applyFont="1" applyFill="1" applyBorder="1" applyAlignment="1">
      <alignment horizontal="right" vertical="center" wrapText="1" indent="1"/>
    </xf>
    <xf numFmtId="175" fontId="43" fillId="22" borderId="11" xfId="0" applyNumberFormat="1" applyFont="1" applyFill="1" applyBorder="1" applyAlignment="1">
      <alignment horizontal="right" vertical="center" wrapText="1" indent="1"/>
    </xf>
    <xf numFmtId="167" fontId="9" fillId="2" borderId="3" xfId="0" applyNumberFormat="1" applyFont="1" applyFill="1" applyBorder="1" applyAlignment="1">
      <alignment horizontal="right" vertical="center" wrapText="1" indent="1"/>
    </xf>
    <xf numFmtId="167" fontId="9" fillId="3" borderId="0" xfId="0" applyNumberFormat="1" applyFont="1" applyFill="1" applyBorder="1" applyAlignment="1">
      <alignment horizontal="right" vertical="center" wrapText="1" indent="1"/>
    </xf>
    <xf numFmtId="167" fontId="9" fillId="2" borderId="5" xfId="0" applyNumberFormat="1" applyFont="1" applyFill="1" applyBorder="1" applyAlignment="1">
      <alignment horizontal="right" vertical="center" wrapText="1" indent="1"/>
    </xf>
    <xf numFmtId="167" fontId="9" fillId="3" borderId="18" xfId="0" applyNumberFormat="1" applyFont="1" applyFill="1" applyBorder="1" applyAlignment="1">
      <alignment horizontal="right" vertical="center" wrapText="1" indent="1"/>
    </xf>
    <xf numFmtId="170" fontId="35" fillId="3" borderId="0" xfId="0" applyNumberFormat="1" applyFont="1" applyFill="1" applyBorder="1" applyAlignment="1">
      <alignment vertical="center"/>
    </xf>
    <xf numFmtId="0" fontId="48" fillId="3" borderId="0" xfId="0" applyFont="1" applyFill="1" applyAlignment="1">
      <alignment horizontal="left"/>
    </xf>
    <xf numFmtId="177" fontId="27" fillId="3" borderId="0" xfId="0" applyNumberFormat="1" applyFont="1" applyFill="1" applyAlignment="1">
      <alignment vertical="center"/>
    </xf>
    <xf numFmtId="177" fontId="0" fillId="3" borderId="0" xfId="0" applyNumberFormat="1" applyFill="1"/>
    <xf numFmtId="177" fontId="72" fillId="3" borderId="0" xfId="0" applyNumberFormat="1" applyFont="1" applyFill="1"/>
    <xf numFmtId="177" fontId="14" fillId="3" borderId="0" xfId="0" applyNumberFormat="1" applyFont="1" applyFill="1"/>
    <xf numFmtId="177" fontId="72" fillId="0" borderId="0" xfId="0" applyNumberFormat="1" applyFont="1" applyFill="1"/>
    <xf numFmtId="177" fontId="14" fillId="0" borderId="0" xfId="0" applyNumberFormat="1" applyFont="1" applyFill="1"/>
    <xf numFmtId="177" fontId="0" fillId="0" borderId="0" xfId="0" applyNumberFormat="1"/>
    <xf numFmtId="177" fontId="34" fillId="3" borderId="4" xfId="0" applyNumberFormat="1" applyFont="1" applyFill="1" applyBorder="1" applyAlignment="1">
      <alignment vertical="center" wrapText="1"/>
    </xf>
    <xf numFmtId="177" fontId="23" fillId="0" borderId="0" xfId="0" applyNumberFormat="1" applyFont="1"/>
    <xf numFmtId="177" fontId="34" fillId="3" borderId="5" xfId="0" applyNumberFormat="1" applyFont="1" applyFill="1" applyBorder="1" applyAlignment="1">
      <alignment vertical="center" wrapText="1"/>
    </xf>
    <xf numFmtId="177" fontId="35" fillId="6" borderId="2" xfId="0" applyNumberFormat="1" applyFont="1" applyFill="1" applyBorder="1" applyAlignment="1">
      <alignment horizontal="right" vertical="center"/>
    </xf>
    <xf numFmtId="177" fontId="35" fillId="10" borderId="2" xfId="0" applyNumberFormat="1" applyFont="1" applyFill="1" applyBorder="1" applyAlignment="1">
      <alignment horizontal="right" vertical="center"/>
    </xf>
    <xf numFmtId="177" fontId="35" fillId="6" borderId="15" xfId="0" applyNumberFormat="1" applyFont="1" applyFill="1" applyBorder="1" applyAlignment="1">
      <alignment horizontal="right" vertical="center"/>
    </xf>
    <xf numFmtId="177" fontId="35" fillId="10" borderId="16" xfId="0" applyNumberFormat="1" applyFont="1" applyFill="1" applyBorder="1" applyAlignment="1">
      <alignment horizontal="right" vertical="center"/>
    </xf>
    <xf numFmtId="177" fontId="39" fillId="6" borderId="2" xfId="0" applyNumberFormat="1" applyFont="1" applyFill="1" applyBorder="1" applyAlignment="1">
      <alignment horizontal="right" vertical="center"/>
    </xf>
    <xf numFmtId="177" fontId="26" fillId="4" borderId="6" xfId="0" applyNumberFormat="1" applyFont="1" applyFill="1" applyBorder="1" applyAlignment="1">
      <alignment vertical="center" wrapText="1"/>
    </xf>
    <xf numFmtId="177" fontId="35" fillId="8" borderId="7" xfId="0" applyNumberFormat="1" applyFont="1" applyFill="1" applyBorder="1" applyAlignment="1">
      <alignment vertical="center"/>
    </xf>
    <xf numFmtId="177" fontId="35" fillId="8" borderId="6" xfId="0" applyNumberFormat="1" applyFont="1" applyFill="1" applyBorder="1" applyAlignment="1">
      <alignment vertical="center"/>
    </xf>
    <xf numFmtId="177" fontId="39" fillId="8" borderId="7" xfId="0" applyNumberFormat="1" applyFont="1" applyFill="1" applyBorder="1" applyAlignment="1">
      <alignment vertical="center"/>
    </xf>
    <xf numFmtId="177" fontId="35" fillId="14" borderId="7" xfId="0" applyNumberFormat="1" applyFont="1" applyFill="1" applyBorder="1" applyAlignment="1">
      <alignment vertical="center"/>
    </xf>
    <xf numFmtId="177" fontId="10" fillId="3" borderId="4" xfId="0" applyNumberFormat="1" applyFont="1" applyFill="1" applyBorder="1" applyAlignment="1">
      <alignment vertical="center" wrapText="1"/>
    </xf>
    <xf numFmtId="177" fontId="23" fillId="3" borderId="0" xfId="0" applyNumberFormat="1" applyFont="1" applyFill="1" applyBorder="1" applyAlignment="1">
      <alignment horizontal="right" vertical="center"/>
    </xf>
    <xf numFmtId="177" fontId="23" fillId="0" borderId="0" xfId="0" applyNumberFormat="1" applyFont="1" applyFill="1" applyBorder="1" applyAlignment="1">
      <alignment horizontal="right" vertical="center"/>
    </xf>
    <xf numFmtId="177" fontId="17" fillId="3" borderId="3" xfId="0" applyNumberFormat="1" applyFont="1" applyFill="1" applyBorder="1" applyAlignment="1">
      <alignment vertical="center" wrapText="1"/>
    </xf>
    <xf numFmtId="177" fontId="17" fillId="3" borderId="5" xfId="0" applyNumberFormat="1" applyFont="1" applyFill="1" applyBorder="1" applyAlignment="1">
      <alignment vertical="center" wrapText="1"/>
    </xf>
    <xf numFmtId="177" fontId="35" fillId="0" borderId="0" xfId="0" applyNumberFormat="1" applyFont="1"/>
    <xf numFmtId="177" fontId="17" fillId="3" borderId="3" xfId="0" applyNumberFormat="1" applyFont="1" applyFill="1" applyBorder="1" applyAlignment="1">
      <alignment wrapText="1"/>
    </xf>
    <xf numFmtId="177" fontId="17" fillId="3" borderId="3" xfId="0" applyNumberFormat="1" applyFont="1" applyFill="1" applyBorder="1" applyAlignment="1">
      <alignment horizontal="left" vertical="center" wrapText="1"/>
    </xf>
    <xf numFmtId="177" fontId="26" fillId="4" borderId="4" xfId="0" applyNumberFormat="1" applyFont="1" applyFill="1" applyBorder="1" applyAlignment="1">
      <alignment vertical="center" wrapText="1"/>
    </xf>
    <xf numFmtId="177" fontId="35" fillId="9" borderId="7" xfId="0" applyNumberFormat="1" applyFont="1" applyFill="1" applyBorder="1" applyAlignment="1">
      <alignment horizontal="right" vertical="center"/>
    </xf>
    <xf numFmtId="177" fontId="35" fillId="14" borderId="6" xfId="0" applyNumberFormat="1" applyFont="1" applyFill="1" applyBorder="1" applyAlignment="1">
      <alignment vertical="center"/>
    </xf>
    <xf numFmtId="177" fontId="35" fillId="9" borderId="8" xfId="0" applyNumberFormat="1" applyFont="1" applyFill="1" applyBorder="1" applyAlignment="1">
      <alignment horizontal="right" vertical="center"/>
    </xf>
    <xf numFmtId="177" fontId="39" fillId="14" borderId="7" xfId="0" applyNumberFormat="1" applyFont="1" applyFill="1" applyBorder="1" applyAlignment="1">
      <alignment vertical="center"/>
    </xf>
    <xf numFmtId="177" fontId="35" fillId="0" borderId="0" xfId="0" applyNumberFormat="1" applyFont="1" applyFill="1" applyBorder="1"/>
    <xf numFmtId="177" fontId="63" fillId="3" borderId="4" xfId="0" applyNumberFormat="1" applyFont="1" applyFill="1" applyBorder="1" applyAlignment="1">
      <alignment vertical="center" wrapText="1"/>
    </xf>
    <xf numFmtId="177" fontId="15" fillId="0" borderId="3" xfId="0" applyNumberFormat="1" applyFont="1" applyFill="1" applyBorder="1" applyAlignment="1">
      <alignment vertical="center" wrapText="1"/>
    </xf>
    <xf numFmtId="177" fontId="8" fillId="0" borderId="5" xfId="0" applyNumberFormat="1" applyFont="1" applyFill="1" applyBorder="1" applyAlignment="1">
      <alignment vertical="center" wrapText="1"/>
    </xf>
    <xf numFmtId="177" fontId="26" fillId="4" borderId="3" xfId="0" applyNumberFormat="1" applyFont="1" applyFill="1" applyBorder="1" applyAlignment="1">
      <alignment vertical="center" wrapText="1"/>
    </xf>
    <xf numFmtId="177" fontId="63" fillId="3" borderId="6" xfId="0" applyNumberFormat="1" applyFont="1" applyFill="1" applyBorder="1" applyAlignment="1">
      <alignment vertical="center" wrapText="1"/>
    </xf>
    <xf numFmtId="177" fontId="26" fillId="4" borderId="5" xfId="0" applyNumberFormat="1" applyFont="1" applyFill="1" applyBorder="1" applyAlignment="1">
      <alignment vertical="center" wrapText="1"/>
    </xf>
    <xf numFmtId="177" fontId="16" fillId="3" borderId="4" xfId="0" applyNumberFormat="1" applyFont="1" applyFill="1" applyBorder="1" applyAlignment="1">
      <alignment vertical="center" wrapText="1"/>
    </xf>
    <xf numFmtId="177" fontId="15" fillId="3" borderId="3" xfId="0" applyNumberFormat="1" applyFont="1" applyFill="1" applyBorder="1" applyAlignment="1">
      <alignment vertical="center" wrapText="1"/>
    </xf>
    <xf numFmtId="177" fontId="26" fillId="3" borderId="3" xfId="0" applyNumberFormat="1" applyFont="1" applyFill="1" applyBorder="1" applyAlignment="1">
      <alignment vertical="center"/>
    </xf>
    <xf numFmtId="177" fontId="35" fillId="3" borderId="0" xfId="0" applyNumberFormat="1" applyFont="1" applyFill="1" applyBorder="1" applyAlignment="1">
      <alignment vertical="center"/>
    </xf>
    <xf numFmtId="177" fontId="35" fillId="11" borderId="0" xfId="0" applyNumberFormat="1" applyFont="1" applyFill="1" applyBorder="1" applyAlignment="1">
      <alignment horizontal="right" vertical="center"/>
    </xf>
    <xf numFmtId="177" fontId="35" fillId="3" borderId="3" xfId="0" applyNumberFormat="1" applyFont="1" applyFill="1" applyBorder="1" applyAlignment="1">
      <alignment vertical="center"/>
    </xf>
    <xf numFmtId="177" fontId="35" fillId="11" borderId="10" xfId="0" applyNumberFormat="1" applyFont="1" applyFill="1" applyBorder="1" applyAlignment="1">
      <alignment horizontal="right" vertical="center"/>
    </xf>
    <xf numFmtId="177" fontId="35" fillId="3" borderId="0" xfId="0" applyNumberFormat="1" applyFont="1" applyFill="1" applyBorder="1" applyAlignment="1">
      <alignment horizontal="right" vertical="center"/>
    </xf>
    <xf numFmtId="177" fontId="39" fillId="3" borderId="0" xfId="0" applyNumberFormat="1" applyFont="1" applyFill="1" applyBorder="1" applyAlignment="1">
      <alignment vertical="center"/>
    </xf>
    <xf numFmtId="177" fontId="39" fillId="3" borderId="0" xfId="0" applyNumberFormat="1" applyFont="1" applyFill="1" applyBorder="1" applyAlignment="1">
      <alignment horizontal="right" vertical="center"/>
    </xf>
    <xf numFmtId="177" fontId="35" fillId="0" borderId="0" xfId="0" applyNumberFormat="1" applyFont="1" applyBorder="1"/>
    <xf numFmtId="177" fontId="36" fillId="8" borderId="4" xfId="0" applyNumberFormat="1" applyFont="1" applyFill="1" applyBorder="1" applyAlignment="1">
      <alignment vertical="center" wrapText="1"/>
    </xf>
    <xf numFmtId="177" fontId="36" fillId="8" borderId="5" xfId="0" applyNumberFormat="1" applyFont="1" applyFill="1" applyBorder="1" applyAlignment="1">
      <alignment vertical="center" wrapText="1"/>
    </xf>
    <xf numFmtId="177" fontId="23" fillId="3" borderId="0" xfId="0" applyNumberFormat="1" applyFont="1" applyFill="1"/>
    <xf numFmtId="177" fontId="23" fillId="3" borderId="0" xfId="0" applyNumberFormat="1" applyFont="1" applyFill="1" applyAlignment="1">
      <alignment vertical="center"/>
    </xf>
    <xf numFmtId="177" fontId="23" fillId="3" borderId="0" xfId="0" applyNumberFormat="1" applyFont="1" applyFill="1" applyBorder="1" applyAlignment="1">
      <alignment vertical="center"/>
    </xf>
    <xf numFmtId="177" fontId="65" fillId="3" borderId="0" xfId="0" applyNumberFormat="1" applyFont="1" applyFill="1" applyAlignment="1">
      <alignment vertical="center"/>
    </xf>
    <xf numFmtId="177" fontId="65" fillId="3" borderId="0" xfId="0" applyNumberFormat="1" applyFont="1" applyFill="1"/>
    <xf numFmtId="177" fontId="23" fillId="0" borderId="0" xfId="0" applyNumberFormat="1" applyFont="1" applyFill="1" applyAlignment="1">
      <alignment vertical="center"/>
    </xf>
    <xf numFmtId="177" fontId="23" fillId="0" borderId="0" xfId="0" applyNumberFormat="1" applyFont="1" applyFill="1" applyBorder="1" applyAlignment="1">
      <alignment vertical="center"/>
    </xf>
    <xf numFmtId="177" fontId="23" fillId="0" borderId="0" xfId="0" applyNumberFormat="1" applyFont="1" applyAlignment="1">
      <alignment vertical="center"/>
    </xf>
    <xf numFmtId="177" fontId="23" fillId="0" borderId="0" xfId="0" applyNumberFormat="1" applyFont="1" applyFill="1"/>
    <xf numFmtId="177" fontId="65" fillId="0" borderId="0" xfId="0" applyNumberFormat="1" applyFont="1" applyAlignment="1">
      <alignment vertical="center"/>
    </xf>
    <xf numFmtId="177" fontId="23" fillId="0" borderId="0" xfId="0" applyNumberFormat="1" applyFont="1" applyBorder="1" applyAlignment="1">
      <alignment horizontal="right" vertical="center"/>
    </xf>
    <xf numFmtId="177" fontId="23" fillId="0" borderId="0" xfId="0" applyNumberFormat="1" applyFont="1" applyBorder="1" applyAlignment="1">
      <alignment vertical="center"/>
    </xf>
    <xf numFmtId="177" fontId="39" fillId="14" borderId="7" xfId="0" applyNumberFormat="1" applyFont="1" applyFill="1" applyBorder="1" applyAlignment="1">
      <alignment horizontal="right" vertical="center"/>
    </xf>
    <xf numFmtId="167" fontId="26" fillId="2" borderId="6" xfId="0" applyNumberFormat="1" applyFont="1" applyFill="1" applyBorder="1" applyAlignment="1">
      <alignment horizontal="left" vertical="center" wrapText="1" indent="1"/>
    </xf>
    <xf numFmtId="0" fontId="82" fillId="6" borderId="0" xfId="0" applyFont="1" applyFill="1" applyAlignment="1">
      <alignment horizontal="left" vertical="center" wrapText="1"/>
    </xf>
    <xf numFmtId="0" fontId="84" fillId="0" borderId="0" xfId="0" applyFont="1" applyAlignment="1">
      <alignment horizontal="left" vertical="center" wrapText="1"/>
    </xf>
    <xf numFmtId="0" fontId="81" fillId="0" borderId="0" xfId="0" applyFont="1" applyAlignment="1">
      <alignment vertical="center"/>
    </xf>
    <xf numFmtId="0" fontId="85" fillId="0" borderId="0" xfId="0" applyFont="1" applyAlignment="1">
      <alignment horizontal="left" vertical="center" wrapText="1"/>
    </xf>
    <xf numFmtId="0" fontId="84" fillId="0" borderId="39" xfId="0" applyFont="1" applyBorder="1" applyAlignment="1">
      <alignment horizontal="left" vertical="center" wrapText="1"/>
    </xf>
    <xf numFmtId="0" fontId="84" fillId="0" borderId="39" xfId="0" applyFont="1" applyBorder="1" applyAlignment="1">
      <alignment horizontal="right" vertical="center"/>
    </xf>
    <xf numFmtId="0" fontId="84" fillId="0" borderId="39" xfId="0" applyFont="1" applyBorder="1" applyAlignment="1">
      <alignment horizontal="left" vertical="center"/>
    </xf>
    <xf numFmtId="0" fontId="81" fillId="0" borderId="0" xfId="0" applyFont="1" applyAlignment="1">
      <alignment vertical="center" wrapText="1"/>
    </xf>
    <xf numFmtId="0" fontId="84" fillId="0" borderId="0" xfId="0" applyFont="1" applyAlignment="1">
      <alignment horizontal="right" vertical="center"/>
    </xf>
    <xf numFmtId="0" fontId="84" fillId="0" borderId="40" xfId="0" applyFont="1" applyBorder="1" applyAlignment="1">
      <alignment horizontal="left" vertical="center" wrapText="1"/>
    </xf>
    <xf numFmtId="0" fontId="84" fillId="0" borderId="40" xfId="0" applyFont="1" applyBorder="1" applyAlignment="1">
      <alignment horizontal="right" vertical="center"/>
    </xf>
    <xf numFmtId="0" fontId="26" fillId="2" borderId="0" xfId="0" applyNumberFormat="1" applyFont="1" applyFill="1" applyBorder="1" applyAlignment="1">
      <alignment horizontal="right" vertical="center" wrapText="1"/>
    </xf>
    <xf numFmtId="0" fontId="84" fillId="0" borderId="0" xfId="0" applyFont="1" applyAlignment="1">
      <alignment horizontal="right" vertical="center" wrapText="1"/>
    </xf>
    <xf numFmtId="0" fontId="85" fillId="0" borderId="0" xfId="0" applyFont="1" applyAlignment="1">
      <alignment horizontal="right" vertical="center"/>
    </xf>
    <xf numFmtId="0" fontId="85" fillId="0" borderId="0" xfId="0" applyFont="1" applyAlignment="1">
      <alignment horizontal="right" vertical="center" wrapText="1"/>
    </xf>
    <xf numFmtId="0" fontId="84" fillId="0" borderId="39" xfId="0" applyFont="1" applyBorder="1" applyAlignment="1">
      <alignment horizontal="right" vertical="center" wrapText="1"/>
    </xf>
    <xf numFmtId="0" fontId="84" fillId="0" borderId="40" xfId="0" applyFont="1" applyBorder="1" applyAlignment="1">
      <alignment horizontal="right" vertical="center" wrapText="1"/>
    </xf>
    <xf numFmtId="0" fontId="32" fillId="3" borderId="18" xfId="0" applyFont="1" applyFill="1" applyBorder="1" applyAlignment="1">
      <alignment horizontal="left" vertical="top" wrapText="1"/>
    </xf>
    <xf numFmtId="167" fontId="7" fillId="2" borderId="3" xfId="0" applyNumberFormat="1" applyFont="1" applyFill="1" applyBorder="1" applyAlignment="1">
      <alignment horizontal="right" vertical="center" wrapText="1" indent="1"/>
    </xf>
    <xf numFmtId="178" fontId="23" fillId="0" borderId="0" xfId="0" applyNumberFormat="1" applyFont="1"/>
    <xf numFmtId="179" fontId="35" fillId="0" borderId="0" xfId="0" applyNumberFormat="1" applyFont="1"/>
    <xf numFmtId="178" fontId="35" fillId="0" borderId="0" xfId="0" applyNumberFormat="1" applyFont="1"/>
    <xf numFmtId="180" fontId="35" fillId="0" borderId="0" xfId="0" applyNumberFormat="1" applyFont="1" applyBorder="1"/>
    <xf numFmtId="167" fontId="35" fillId="0" borderId="0" xfId="0" applyNumberFormat="1" applyFont="1"/>
    <xf numFmtId="177" fontId="86" fillId="3" borderId="0" xfId="0" applyNumberFormat="1" applyFont="1" applyFill="1"/>
    <xf numFmtId="167" fontId="75" fillId="8" borderId="18" xfId="2" applyNumberFormat="1" applyFont="1" applyFill="1" applyBorder="1" applyAlignment="1">
      <alignment vertical="center" wrapText="1"/>
    </xf>
    <xf numFmtId="167" fontId="75" fillId="12" borderId="19" xfId="2" applyNumberFormat="1" applyFont="1" applyFill="1" applyBorder="1" applyAlignment="1">
      <alignment vertical="center" wrapText="1"/>
    </xf>
    <xf numFmtId="167" fontId="75" fillId="8" borderId="5" xfId="2" applyNumberFormat="1" applyFont="1" applyFill="1" applyBorder="1" applyAlignment="1">
      <alignment vertical="center" wrapText="1"/>
    </xf>
    <xf numFmtId="3" fontId="32" fillId="0" borderId="0" xfId="0" applyNumberFormat="1" applyFont="1" applyFill="1" applyBorder="1" applyAlignment="1">
      <alignment horizontal="right" vertical="center" wrapText="1"/>
    </xf>
    <xf numFmtId="3" fontId="32" fillId="0" borderId="30" xfId="0" applyNumberFormat="1" applyFont="1" applyFill="1" applyBorder="1" applyAlignment="1">
      <alignment horizontal="right" vertical="center" wrapText="1"/>
    </xf>
    <xf numFmtId="3" fontId="52" fillId="0" borderId="30" xfId="0" applyNumberFormat="1" applyFont="1" applyFill="1" applyBorder="1" applyAlignment="1">
      <alignment horizontal="right" vertical="center" wrapText="1"/>
    </xf>
    <xf numFmtId="167" fontId="32" fillId="0" borderId="0" xfId="0" applyNumberFormat="1" applyFont="1" applyFill="1" applyBorder="1" applyAlignment="1">
      <alignment horizontal="right" vertical="center" wrapText="1"/>
    </xf>
    <xf numFmtId="2" fontId="32" fillId="0" borderId="18" xfId="0" applyNumberFormat="1" applyFont="1" applyFill="1" applyBorder="1" applyAlignment="1">
      <alignment horizontal="right" vertical="center" wrapText="1"/>
    </xf>
    <xf numFmtId="3" fontId="56" fillId="0" borderId="0" xfId="6" applyNumberFormat="1" applyFont="1" applyFill="1" applyBorder="1" applyAlignment="1">
      <alignment horizontal="right" vertical="center" wrapText="1"/>
    </xf>
    <xf numFmtId="3" fontId="32" fillId="0" borderId="0" xfId="6" applyNumberFormat="1" applyFont="1" applyFill="1" applyBorder="1" applyAlignment="1">
      <alignment horizontal="right" vertical="center" wrapText="1"/>
    </xf>
    <xf numFmtId="3" fontId="21" fillId="0" borderId="32" xfId="0" applyNumberFormat="1" applyFont="1" applyFill="1" applyBorder="1" applyAlignment="1">
      <alignment vertical="center"/>
    </xf>
    <xf numFmtId="165" fontId="32" fillId="0" borderId="7" xfId="0" applyNumberFormat="1" applyFont="1" applyFill="1" applyBorder="1" applyAlignment="1">
      <alignment horizontal="right" vertical="center" wrapText="1"/>
    </xf>
    <xf numFmtId="3" fontId="32" fillId="0" borderId="18" xfId="0" applyNumberFormat="1" applyFont="1" applyFill="1" applyBorder="1" applyAlignment="1">
      <alignment horizontal="right" vertical="center" wrapText="1"/>
    </xf>
    <xf numFmtId="0" fontId="32" fillId="3" borderId="0" xfId="0" applyFont="1" applyFill="1" applyBorder="1" applyAlignment="1">
      <alignment horizontal="left" vertical="top" wrapText="1"/>
    </xf>
    <xf numFmtId="0" fontId="6" fillId="0" borderId="23" xfId="0" applyFont="1" applyFill="1" applyBorder="1" applyAlignment="1">
      <alignment horizontal="left" indent="3"/>
    </xf>
    <xf numFmtId="178" fontId="65" fillId="3" borderId="0" xfId="0" applyNumberFormat="1" applyFont="1" applyFill="1" applyBorder="1" applyAlignment="1">
      <alignment horizontal="right" vertical="center"/>
    </xf>
    <xf numFmtId="181" fontId="35" fillId="8" borderId="6" xfId="0" applyNumberFormat="1" applyFont="1" applyFill="1" applyBorder="1" applyAlignment="1">
      <alignment vertical="center"/>
    </xf>
    <xf numFmtId="181" fontId="35" fillId="8" borderId="7" xfId="0" applyNumberFormat="1" applyFont="1" applyFill="1" applyBorder="1" applyAlignment="1">
      <alignment vertical="center"/>
    </xf>
    <xf numFmtId="181" fontId="35" fillId="14" borderId="7" xfId="0" applyNumberFormat="1" applyFont="1" applyFill="1" applyBorder="1" applyAlignment="1">
      <alignment vertical="center"/>
    </xf>
    <xf numFmtId="181" fontId="35" fillId="11" borderId="8" xfId="0" applyNumberFormat="1" applyFont="1" applyFill="1" applyBorder="1" applyAlignment="1">
      <alignment horizontal="right" vertical="center"/>
    </xf>
    <xf numFmtId="181" fontId="23" fillId="3" borderId="3" xfId="0" applyNumberFormat="1" applyFont="1" applyFill="1" applyBorder="1" applyAlignment="1">
      <alignment horizontal="right" vertical="center"/>
    </xf>
    <xf numFmtId="181" fontId="65" fillId="3" borderId="0" xfId="0" applyNumberFormat="1" applyFont="1" applyFill="1" applyBorder="1" applyAlignment="1">
      <alignment horizontal="right" vertical="center"/>
    </xf>
    <xf numFmtId="181" fontId="23" fillId="0" borderId="0" xfId="0" applyNumberFormat="1" applyFont="1" applyAlignment="1">
      <alignment vertical="center"/>
    </xf>
    <xf numFmtId="181" fontId="65" fillId="3" borderId="0" xfId="0" applyNumberFormat="1" applyFont="1" applyFill="1" applyBorder="1" applyAlignment="1">
      <alignment vertical="center"/>
    </xf>
    <xf numFmtId="181" fontId="23" fillId="11" borderId="10" xfId="0" applyNumberFormat="1" applyFont="1" applyFill="1" applyBorder="1" applyAlignment="1">
      <alignment horizontal="right" vertical="center"/>
    </xf>
    <xf numFmtId="181" fontId="35" fillId="9" borderId="8" xfId="0" applyNumberFormat="1" applyFont="1" applyFill="1" applyBorder="1" applyAlignment="1">
      <alignment vertical="center"/>
    </xf>
    <xf numFmtId="181" fontId="35" fillId="14" borderId="6" xfId="0" applyNumberFormat="1" applyFont="1" applyFill="1" applyBorder="1" applyAlignment="1">
      <alignment vertical="center"/>
    </xf>
    <xf numFmtId="181" fontId="39" fillId="14" borderId="7" xfId="0" applyNumberFormat="1" applyFont="1" applyFill="1" applyBorder="1" applyAlignment="1">
      <alignment vertical="center"/>
    </xf>
    <xf numFmtId="181" fontId="35" fillId="9" borderId="8" xfId="0" applyNumberFormat="1" applyFont="1" applyFill="1" applyBorder="1" applyAlignment="1">
      <alignment horizontal="right" vertical="center"/>
    </xf>
    <xf numFmtId="181" fontId="65" fillId="3" borderId="3" xfId="0" applyNumberFormat="1" applyFont="1" applyFill="1" applyBorder="1" applyAlignment="1">
      <alignment horizontal="right" vertical="center"/>
    </xf>
    <xf numFmtId="181" fontId="65" fillId="0" borderId="3" xfId="0" applyNumberFormat="1" applyFont="1" applyFill="1" applyBorder="1" applyAlignment="1">
      <alignment horizontal="right" vertical="center"/>
    </xf>
    <xf numFmtId="181" fontId="65" fillId="0" borderId="0" xfId="0" applyNumberFormat="1" applyFont="1" applyFill="1" applyBorder="1" applyAlignment="1">
      <alignment horizontal="right" vertical="center"/>
    </xf>
    <xf numFmtId="181" fontId="23" fillId="3" borderId="0" xfId="0" applyNumberFormat="1" applyFont="1" applyFill="1" applyBorder="1" applyAlignment="1">
      <alignment horizontal="right" vertical="center"/>
    </xf>
    <xf numFmtId="181" fontId="23" fillId="11" borderId="0" xfId="0" applyNumberFormat="1" applyFont="1" applyFill="1" applyBorder="1" applyAlignment="1">
      <alignment horizontal="right" vertical="center"/>
    </xf>
    <xf numFmtId="181" fontId="69" fillId="3" borderId="0" xfId="0" applyNumberFormat="1" applyFont="1" applyFill="1" applyAlignment="1">
      <alignment horizontal="right" vertical="center"/>
    </xf>
    <xf numFmtId="181" fontId="23" fillId="0" borderId="0" xfId="0" applyNumberFormat="1" applyFont="1" applyFill="1" applyBorder="1" applyAlignment="1">
      <alignment horizontal="right" vertical="center"/>
    </xf>
    <xf numFmtId="181" fontId="35" fillId="9" borderId="7" xfId="0" applyNumberFormat="1" applyFont="1" applyFill="1" applyBorder="1" applyAlignment="1">
      <alignment vertical="center"/>
    </xf>
    <xf numFmtId="181" fontId="39" fillId="8" borderId="7" xfId="0" applyNumberFormat="1" applyFont="1" applyFill="1" applyBorder="1" applyAlignment="1">
      <alignment vertical="center"/>
    </xf>
    <xf numFmtId="181" fontId="35" fillId="8" borderId="7" xfId="0" applyNumberFormat="1" applyFont="1" applyFill="1" applyBorder="1" applyAlignment="1">
      <alignment horizontal="right" vertical="center"/>
    </xf>
    <xf numFmtId="181" fontId="23" fillId="0" borderId="0" xfId="0" applyNumberFormat="1" applyFont="1" applyAlignment="1">
      <alignment horizontal="right" vertical="center"/>
    </xf>
    <xf numFmtId="181" fontId="23" fillId="0" borderId="0" xfId="0" applyNumberFormat="1" applyFont="1"/>
    <xf numFmtId="181" fontId="35" fillId="9" borderId="7" xfId="0" applyNumberFormat="1" applyFont="1" applyFill="1" applyBorder="1" applyAlignment="1">
      <alignment horizontal="right" vertical="center"/>
    </xf>
    <xf numFmtId="181" fontId="35" fillId="0" borderId="0" xfId="0" applyNumberFormat="1" applyFont="1"/>
    <xf numFmtId="181" fontId="35" fillId="14" borderId="7" xfId="0" applyNumberFormat="1" applyFont="1" applyFill="1" applyBorder="1" applyAlignment="1">
      <alignment horizontal="right" vertical="center"/>
    </xf>
    <xf numFmtId="181" fontId="23" fillId="3" borderId="11" xfId="0" applyNumberFormat="1" applyFont="1" applyFill="1" applyBorder="1" applyAlignment="1">
      <alignment horizontal="right" vertical="center"/>
    </xf>
    <xf numFmtId="181" fontId="36" fillId="8" borderId="11" xfId="0" applyNumberFormat="1" applyFont="1" applyFill="1" applyBorder="1" applyAlignment="1">
      <alignment vertical="center" wrapText="1"/>
    </xf>
    <xf numFmtId="181" fontId="36" fillId="12" borderId="11" xfId="0" applyNumberFormat="1" applyFont="1" applyFill="1" applyBorder="1" applyAlignment="1">
      <alignment vertical="center" wrapText="1"/>
    </xf>
    <xf numFmtId="181" fontId="36" fillId="8" borderId="4" xfId="0" applyNumberFormat="1" applyFont="1" applyFill="1" applyBorder="1" applyAlignment="1">
      <alignment vertical="center" wrapText="1"/>
    </xf>
    <xf numFmtId="181" fontId="36" fillId="12" borderId="12" xfId="0" applyNumberFormat="1" applyFont="1" applyFill="1" applyBorder="1" applyAlignment="1">
      <alignment vertical="center" wrapText="1"/>
    </xf>
    <xf numFmtId="181" fontId="75" fillId="8" borderId="4" xfId="0" applyNumberFormat="1" applyFont="1" applyFill="1" applyBorder="1" applyAlignment="1">
      <alignment vertical="center" wrapText="1"/>
    </xf>
    <xf numFmtId="181" fontId="75" fillId="12" borderId="12" xfId="0" applyNumberFormat="1" applyFont="1" applyFill="1" applyBorder="1" applyAlignment="1">
      <alignment vertical="center" wrapText="1"/>
    </xf>
    <xf numFmtId="181" fontId="35" fillId="14" borderId="11" xfId="0" applyNumberFormat="1" applyFont="1" applyFill="1" applyBorder="1" applyAlignment="1">
      <alignment horizontal="right" vertical="center"/>
    </xf>
    <xf numFmtId="181" fontId="35" fillId="14" borderId="11" xfId="0" applyNumberFormat="1" applyFont="1" applyFill="1" applyBorder="1" applyAlignment="1">
      <alignment vertical="center"/>
    </xf>
    <xf numFmtId="181" fontId="35" fillId="11" borderId="7" xfId="0" applyNumberFormat="1" applyFont="1" applyFill="1" applyBorder="1" applyAlignment="1">
      <alignment horizontal="right" vertical="center"/>
    </xf>
    <xf numFmtId="179" fontId="65" fillId="3" borderId="0" xfId="0" applyNumberFormat="1" applyFont="1" applyFill="1" applyBorder="1" applyAlignment="1">
      <alignment horizontal="right" vertical="center"/>
    </xf>
    <xf numFmtId="179" fontId="35" fillId="8" borderId="7" xfId="0" applyNumberFormat="1" applyFont="1" applyFill="1" applyBorder="1" applyAlignment="1">
      <alignment vertical="center"/>
    </xf>
    <xf numFmtId="179" fontId="23" fillId="3" borderId="0" xfId="0" applyNumberFormat="1" applyFont="1" applyFill="1" applyBorder="1" applyAlignment="1">
      <alignment horizontal="right" vertical="center"/>
    </xf>
    <xf numFmtId="182" fontId="39" fillId="3" borderId="0" xfId="0" applyNumberFormat="1" applyFont="1" applyFill="1" applyBorder="1" applyAlignment="1">
      <alignment horizontal="right" vertical="center"/>
    </xf>
    <xf numFmtId="170" fontId="35" fillId="14" borderId="11" xfId="0" applyNumberFormat="1" applyFont="1" applyFill="1" applyBorder="1" applyAlignment="1">
      <alignment vertical="center"/>
    </xf>
    <xf numFmtId="167" fontId="36" fillId="8" borderId="18" xfId="2" applyNumberFormat="1" applyFont="1" applyFill="1" applyBorder="1" applyAlignment="1">
      <alignment vertical="center" wrapText="1"/>
    </xf>
    <xf numFmtId="164" fontId="35" fillId="11" borderId="10" xfId="0" applyNumberFormat="1" applyFont="1" applyFill="1" applyBorder="1" applyAlignment="1">
      <alignment horizontal="right" vertical="center"/>
    </xf>
    <xf numFmtId="164" fontId="39" fillId="3" borderId="0" xfId="0" applyNumberFormat="1" applyFont="1" applyFill="1" applyBorder="1" applyAlignment="1">
      <alignment vertical="center"/>
    </xf>
    <xf numFmtId="164" fontId="35" fillId="3" borderId="0" xfId="0" applyNumberFormat="1" applyFont="1" applyFill="1" applyBorder="1" applyAlignment="1">
      <alignment horizontal="right" vertical="center"/>
    </xf>
    <xf numFmtId="164" fontId="35" fillId="3" borderId="3" xfId="0" applyNumberFormat="1" applyFont="1" applyFill="1" applyBorder="1" applyAlignment="1">
      <alignment horizontal="right" vertical="center"/>
    </xf>
    <xf numFmtId="179" fontId="35" fillId="14" borderId="7" xfId="0" applyNumberFormat="1" applyFont="1" applyFill="1" applyBorder="1" applyAlignment="1">
      <alignment horizontal="right" vertical="center"/>
    </xf>
    <xf numFmtId="179" fontId="35" fillId="9" borderId="8" xfId="0" applyNumberFormat="1" applyFont="1" applyFill="1" applyBorder="1" applyAlignment="1">
      <alignment horizontal="right" vertical="center"/>
    </xf>
    <xf numFmtId="170" fontId="5" fillId="2" borderId="26" xfId="0" applyNumberFormat="1" applyFont="1" applyFill="1" applyBorder="1" applyAlignment="1">
      <alignment horizontal="right" vertical="center" wrapText="1"/>
    </xf>
    <xf numFmtId="170" fontId="5" fillId="3" borderId="11" xfId="0" applyNumberFormat="1" applyFont="1" applyFill="1" applyBorder="1" applyAlignment="1">
      <alignment horizontal="right" vertical="center" wrapText="1"/>
    </xf>
    <xf numFmtId="170" fontId="5" fillId="3" borderId="0" xfId="0" applyNumberFormat="1" applyFont="1" applyFill="1" applyBorder="1" applyAlignment="1">
      <alignment horizontal="right" vertical="center" wrapText="1"/>
    </xf>
    <xf numFmtId="170" fontId="5" fillId="3" borderId="26" xfId="0" applyNumberFormat="1" applyFont="1" applyFill="1" applyBorder="1" applyAlignment="1">
      <alignment horizontal="right" vertical="center" wrapText="1"/>
    </xf>
    <xf numFmtId="170" fontId="5" fillId="3" borderId="18" xfId="0" applyNumberFormat="1" applyFont="1" applyFill="1" applyBorder="1" applyAlignment="1">
      <alignment vertical="center"/>
    </xf>
    <xf numFmtId="170" fontId="5" fillId="2" borderId="11" xfId="0" applyNumberFormat="1" applyFont="1" applyFill="1" applyBorder="1" applyAlignment="1">
      <alignment vertical="center"/>
    </xf>
    <xf numFmtId="170" fontId="5" fillId="2" borderId="0" xfId="0" applyNumberFormat="1" applyFont="1" applyFill="1" applyBorder="1" applyAlignment="1">
      <alignment horizontal="right" vertical="center" wrapText="1"/>
    </xf>
    <xf numFmtId="170" fontId="5" fillId="2" borderId="18" xfId="0" applyNumberFormat="1" applyFont="1" applyFill="1" applyBorder="1" applyAlignment="1">
      <alignment vertical="center"/>
    </xf>
    <xf numFmtId="0" fontId="0" fillId="0" borderId="0" xfId="0"/>
    <xf numFmtId="0" fontId="47" fillId="3" borderId="0" xfId="0" applyFont="1" applyFill="1" applyAlignment="1"/>
    <xf numFmtId="170" fontId="43" fillId="3" borderId="10" xfId="0" applyNumberFormat="1" applyFont="1" applyFill="1" applyBorder="1" applyAlignment="1">
      <alignment horizontal="right" vertical="center"/>
    </xf>
    <xf numFmtId="170" fontId="43" fillId="3" borderId="19" xfId="0" applyNumberFormat="1" applyFont="1" applyFill="1" applyBorder="1" applyAlignment="1">
      <alignment vertical="center"/>
    </xf>
    <xf numFmtId="0" fontId="39" fillId="6" borderId="2" xfId="0" applyFont="1" applyFill="1" applyBorder="1" applyAlignment="1">
      <alignment horizontal="right" vertical="center"/>
    </xf>
    <xf numFmtId="178" fontId="65" fillId="3" borderId="0" xfId="0" applyNumberFormat="1" applyFont="1" applyFill="1" applyBorder="1" applyAlignment="1">
      <alignment horizontal="right" vertical="center"/>
    </xf>
    <xf numFmtId="179" fontId="65" fillId="3" borderId="0" xfId="0" applyNumberFormat="1" applyFont="1" applyFill="1" applyBorder="1" applyAlignment="1">
      <alignment horizontal="right" vertical="center"/>
    </xf>
    <xf numFmtId="170" fontId="65" fillId="3" borderId="0" xfId="0" applyNumberFormat="1" applyFont="1" applyFill="1" applyBorder="1" applyAlignment="1">
      <alignment horizontal="right" vertical="center"/>
    </xf>
    <xf numFmtId="0" fontId="35" fillId="6" borderId="2" xfId="0" applyFont="1" applyFill="1" applyBorder="1" applyAlignment="1">
      <alignment horizontal="right" vertical="center"/>
    </xf>
    <xf numFmtId="0" fontId="35" fillId="6" borderId="15" xfId="0" applyFont="1" applyFill="1" applyBorder="1" applyAlignment="1">
      <alignment horizontal="right" vertical="center"/>
    </xf>
    <xf numFmtId="0" fontId="35" fillId="10" borderId="16" xfId="0" applyFont="1" applyFill="1" applyBorder="1" applyAlignment="1">
      <alignment horizontal="right" vertical="center"/>
    </xf>
    <xf numFmtId="179" fontId="35" fillId="8" borderId="7" xfId="0" applyNumberFormat="1" applyFont="1" applyFill="1" applyBorder="1" applyAlignment="1">
      <alignment vertical="center"/>
    </xf>
    <xf numFmtId="0" fontId="35" fillId="0" borderId="0" xfId="0" applyFont="1"/>
    <xf numFmtId="179" fontId="23" fillId="3" borderId="0" xfId="0" applyNumberFormat="1" applyFont="1" applyFill="1" applyBorder="1" applyAlignment="1">
      <alignment horizontal="right" vertical="center"/>
    </xf>
    <xf numFmtId="0" fontId="35" fillId="0" borderId="0" xfId="0" applyFont="1" applyFill="1"/>
    <xf numFmtId="167" fontId="75" fillId="8" borderId="5" xfId="2" applyNumberFormat="1" applyFont="1" applyFill="1" applyBorder="1" applyAlignment="1">
      <alignment vertical="center" wrapText="1"/>
    </xf>
    <xf numFmtId="167" fontId="75" fillId="8" borderId="18" xfId="2" applyNumberFormat="1" applyFont="1" applyFill="1" applyBorder="1" applyAlignment="1">
      <alignment vertical="center" wrapText="1"/>
    </xf>
    <xf numFmtId="167" fontId="36" fillId="8" borderId="18" xfId="2" applyNumberFormat="1" applyFont="1" applyFill="1" applyBorder="1" applyAlignment="1">
      <alignment vertical="center" wrapText="1"/>
    </xf>
    <xf numFmtId="0" fontId="47" fillId="3" borderId="0" xfId="0" applyFont="1" applyFill="1" applyAlignment="1">
      <alignment horizontal="left"/>
    </xf>
    <xf numFmtId="170" fontId="26" fillId="3" borderId="0" xfId="0" applyNumberFormat="1" applyFont="1" applyFill="1" applyBorder="1" applyAlignment="1">
      <alignment horizontal="right" vertical="center"/>
    </xf>
    <xf numFmtId="170" fontId="0" fillId="3" borderId="11" xfId="0" applyNumberFormat="1" applyFill="1" applyBorder="1" applyAlignment="1">
      <alignment vertical="center"/>
    </xf>
    <xf numFmtId="170" fontId="26" fillId="2" borderId="0" xfId="0" applyNumberFormat="1" applyFont="1" applyFill="1" applyBorder="1" applyAlignment="1">
      <alignment horizontal="right" vertical="center"/>
    </xf>
    <xf numFmtId="172" fontId="45" fillId="3" borderId="0" xfId="0" applyNumberFormat="1" applyFont="1" applyFill="1" applyBorder="1" applyAlignment="1">
      <alignment vertical="center"/>
    </xf>
    <xf numFmtId="172" fontId="45" fillId="3" borderId="18" xfId="0" applyNumberFormat="1" applyFont="1" applyFill="1" applyBorder="1" applyAlignment="1">
      <alignment vertical="center"/>
    </xf>
    <xf numFmtId="168" fontId="26" fillId="2" borderId="0" xfId="0" applyNumberFormat="1" applyFont="1" applyFill="1" applyBorder="1" applyAlignment="1">
      <alignment horizontal="right" vertical="center"/>
    </xf>
    <xf numFmtId="0" fontId="45" fillId="2" borderId="0" xfId="0" applyFont="1" applyFill="1" applyBorder="1" applyAlignment="1">
      <alignment vertical="center"/>
    </xf>
    <xf numFmtId="182" fontId="39" fillId="3" borderId="0" xfId="0" applyNumberFormat="1" applyFont="1" applyFill="1" applyBorder="1" applyAlignment="1">
      <alignment horizontal="right" vertical="center"/>
    </xf>
    <xf numFmtId="2" fontId="39" fillId="3" borderId="0" xfId="0" applyNumberFormat="1" applyFont="1" applyFill="1" applyBorder="1" applyAlignment="1">
      <alignment vertical="center"/>
    </xf>
    <xf numFmtId="2" fontId="39" fillId="3" borderId="0" xfId="0" applyNumberFormat="1" applyFont="1" applyFill="1" applyBorder="1" applyAlignment="1">
      <alignment horizontal="right" vertical="center"/>
    </xf>
    <xf numFmtId="165" fontId="35" fillId="14" borderId="11" xfId="0" applyNumberFormat="1" applyFont="1" applyFill="1" applyBorder="1" applyAlignment="1">
      <alignment vertical="center"/>
    </xf>
    <xf numFmtId="165" fontId="35" fillId="8" borderId="7" xfId="0" applyNumberFormat="1" applyFont="1" applyFill="1" applyBorder="1" applyAlignment="1">
      <alignment vertical="center"/>
    </xf>
    <xf numFmtId="165" fontId="35" fillId="14" borderId="7" xfId="0" applyNumberFormat="1" applyFont="1" applyFill="1" applyBorder="1" applyAlignment="1">
      <alignment vertical="center"/>
    </xf>
    <xf numFmtId="172" fontId="45" fillId="3" borderId="70" xfId="0" applyNumberFormat="1" applyFont="1" applyFill="1" applyBorder="1" applyAlignment="1">
      <alignment vertical="center"/>
    </xf>
    <xf numFmtId="0" fontId="23" fillId="3" borderId="3" xfId="0" applyFont="1" applyFill="1" applyBorder="1" applyAlignment="1">
      <alignment vertical="center" wrapText="1"/>
    </xf>
    <xf numFmtId="178" fontId="23" fillId="0" borderId="0" xfId="0" applyNumberFormat="1" applyFont="1" applyFill="1" applyBorder="1" applyAlignment="1">
      <alignment horizontal="right" vertical="center"/>
    </xf>
    <xf numFmtId="179" fontId="23" fillId="0" borderId="0" xfId="0" applyNumberFormat="1" applyFont="1" applyFill="1" applyBorder="1" applyAlignment="1">
      <alignment horizontal="right" vertical="center"/>
    </xf>
    <xf numFmtId="179" fontId="35" fillId="14" borderId="7" xfId="0" applyNumberFormat="1" applyFont="1" applyFill="1" applyBorder="1" applyAlignment="1">
      <alignment vertical="center"/>
    </xf>
    <xf numFmtId="170" fontId="65" fillId="0" borderId="0" xfId="0" applyNumberFormat="1" applyFont="1" applyFill="1" applyBorder="1" applyAlignment="1">
      <alignment horizontal="right" vertical="center"/>
    </xf>
    <xf numFmtId="170" fontId="3" fillId="2" borderId="11" xfId="0" applyNumberFormat="1" applyFont="1" applyFill="1" applyBorder="1" applyAlignment="1">
      <alignment horizontal="right" vertical="center"/>
    </xf>
    <xf numFmtId="170" fontId="3" fillId="2" borderId="0" xfId="0" applyNumberFormat="1" applyFont="1" applyFill="1" applyBorder="1" applyAlignment="1">
      <alignment horizontal="right" vertical="center"/>
    </xf>
    <xf numFmtId="170" fontId="0" fillId="2" borderId="0" xfId="0" applyNumberFormat="1" applyFill="1" applyBorder="1" applyAlignment="1">
      <alignment vertical="center"/>
    </xf>
    <xf numFmtId="170" fontId="3" fillId="2" borderId="18" xfId="0" applyNumberFormat="1" applyFont="1" applyFill="1" applyBorder="1" applyAlignment="1">
      <alignment vertical="center"/>
    </xf>
    <xf numFmtId="168" fontId="3" fillId="2" borderId="11" xfId="0" applyNumberFormat="1" applyFont="1" applyFill="1" applyBorder="1" applyAlignment="1">
      <alignment horizontal="right" vertical="center"/>
    </xf>
    <xf numFmtId="168" fontId="3" fillId="2" borderId="0" xfId="0" applyNumberFormat="1" applyFont="1" applyFill="1" applyBorder="1" applyAlignment="1">
      <alignment horizontal="right" vertical="center"/>
    </xf>
    <xf numFmtId="168" fontId="3" fillId="2" borderId="26" xfId="0" applyNumberFormat="1" applyFont="1" applyFill="1" applyBorder="1" applyAlignment="1">
      <alignment horizontal="right" vertical="center"/>
    </xf>
    <xf numFmtId="0" fontId="62" fillId="0" borderId="6" xfId="0" applyFont="1" applyFill="1" applyBorder="1" applyAlignment="1">
      <alignment vertical="center"/>
    </xf>
    <xf numFmtId="0" fontId="62" fillId="0" borderId="7" xfId="0" applyFont="1" applyFill="1" applyBorder="1" applyAlignment="1">
      <alignment vertical="center"/>
    </xf>
    <xf numFmtId="0" fontId="0" fillId="3" borderId="7" xfId="0" applyFill="1" applyBorder="1" applyAlignment="1"/>
    <xf numFmtId="0" fontId="0" fillId="0" borderId="8" xfId="0" applyBorder="1" applyAlignment="1"/>
    <xf numFmtId="0" fontId="2" fillId="3" borderId="0" xfId="0" applyFont="1" applyFill="1" applyAlignment="1">
      <alignment vertical="center"/>
    </xf>
    <xf numFmtId="0" fontId="1" fillId="3" borderId="0" xfId="0" applyFont="1" applyFill="1" applyAlignment="1">
      <alignment vertical="center"/>
    </xf>
    <xf numFmtId="170" fontId="208" fillId="3" borderId="0" xfId="0" quotePrefix="1" applyNumberFormat="1" applyFont="1" applyFill="1" applyBorder="1" applyAlignment="1">
      <alignment horizontal="right" vertical="center"/>
    </xf>
    <xf numFmtId="177" fontId="209" fillId="3" borderId="3" xfId="0" applyNumberFormat="1" applyFont="1" applyFill="1" applyBorder="1" applyAlignment="1">
      <alignment vertical="center" wrapText="1"/>
    </xf>
    <xf numFmtId="170" fontId="3" fillId="2" borderId="11" xfId="0" applyNumberFormat="1" applyFont="1" applyFill="1" applyBorder="1" applyAlignment="1">
      <alignment horizontal="right" vertical="center" wrapText="1"/>
    </xf>
    <xf numFmtId="170" fontId="3" fillId="2" borderId="3" xfId="0" applyNumberFormat="1" applyFont="1" applyFill="1" applyBorder="1" applyAlignment="1">
      <alignment horizontal="right" vertical="center" wrapText="1"/>
    </xf>
    <xf numFmtId="170" fontId="26" fillId="2" borderId="3" xfId="0" applyNumberFormat="1" applyFont="1" applyFill="1" applyBorder="1" applyAlignment="1">
      <alignment horizontal="right" vertical="center"/>
    </xf>
    <xf numFmtId="170" fontId="3" fillId="2" borderId="26" xfId="0" applyNumberFormat="1" applyFont="1" applyFill="1" applyBorder="1" applyAlignment="1">
      <alignment horizontal="right" vertical="center" wrapText="1"/>
    </xf>
    <xf numFmtId="170" fontId="3" fillId="2" borderId="18" xfId="0" applyNumberFormat="1" applyFont="1" applyFill="1" applyBorder="1" applyAlignment="1">
      <alignment horizontal="right" vertical="center" wrapText="1"/>
    </xf>
    <xf numFmtId="170" fontId="5" fillId="2" borderId="11" xfId="0" applyNumberFormat="1" applyFont="1" applyFill="1" applyBorder="1" applyAlignment="1">
      <alignment horizontal="right" vertical="center" wrapText="1"/>
    </xf>
    <xf numFmtId="170" fontId="5" fillId="2" borderId="3" xfId="0" applyNumberFormat="1" applyFont="1" applyFill="1" applyBorder="1" applyAlignment="1">
      <alignment horizontal="right" vertical="center" wrapText="1"/>
    </xf>
    <xf numFmtId="170" fontId="5" fillId="2" borderId="18" xfId="0" applyNumberFormat="1" applyFont="1" applyFill="1" applyBorder="1" applyAlignment="1">
      <alignment horizontal="right" vertical="center" wrapText="1"/>
    </xf>
    <xf numFmtId="170" fontId="26" fillId="2" borderId="3" xfId="0" applyNumberFormat="1" applyFont="1" applyFill="1" applyBorder="1" applyAlignment="1">
      <alignment horizontal="right" vertical="center" wrapText="1"/>
    </xf>
    <xf numFmtId="170" fontId="17" fillId="2" borderId="3" xfId="0" applyNumberFormat="1" applyFont="1" applyFill="1" applyBorder="1" applyAlignment="1">
      <alignment horizontal="right" vertical="center" wrapText="1"/>
    </xf>
    <xf numFmtId="170" fontId="62" fillId="2" borderId="3" xfId="0" applyNumberFormat="1" applyFont="1" applyFill="1" applyBorder="1" applyAlignment="1">
      <alignment horizontal="right" vertical="center"/>
    </xf>
    <xf numFmtId="0" fontId="210" fillId="3" borderId="22" xfId="0" applyFont="1" applyFill="1" applyBorder="1" applyAlignment="1">
      <alignment vertical="center"/>
    </xf>
    <xf numFmtId="170" fontId="3" fillId="3" borderId="11" xfId="0" applyNumberFormat="1" applyFont="1" applyFill="1" applyBorder="1" applyAlignment="1">
      <alignment horizontal="right" vertical="center" wrapText="1"/>
    </xf>
    <xf numFmtId="170" fontId="3" fillId="3" borderId="0" xfId="0" applyNumberFormat="1" applyFont="1" applyFill="1" applyBorder="1" applyAlignment="1">
      <alignment horizontal="right" vertical="center" wrapText="1"/>
    </xf>
    <xf numFmtId="170" fontId="3" fillId="3" borderId="26" xfId="0" applyNumberFormat="1" applyFont="1" applyFill="1" applyBorder="1" applyAlignment="1">
      <alignment horizontal="right" vertical="center" wrapText="1"/>
    </xf>
    <xf numFmtId="170" fontId="3" fillId="3" borderId="18" xfId="0" applyNumberFormat="1" applyFont="1" applyFill="1" applyBorder="1" applyAlignment="1">
      <alignment horizontal="right" vertical="center" wrapText="1"/>
    </xf>
    <xf numFmtId="0" fontId="37" fillId="3" borderId="3" xfId="0" applyFont="1" applyFill="1" applyBorder="1" applyAlignment="1">
      <alignment vertical="center"/>
    </xf>
    <xf numFmtId="0" fontId="74" fillId="3" borderId="23" xfId="0" applyFont="1" applyFill="1" applyBorder="1" applyAlignment="1">
      <alignment vertical="center"/>
    </xf>
    <xf numFmtId="0" fontId="74" fillId="0" borderId="23" xfId="0" applyFont="1" applyFill="1" applyBorder="1" applyAlignment="1">
      <alignment vertical="center"/>
    </xf>
    <xf numFmtId="0" fontId="74" fillId="3" borderId="23" xfId="0" applyFont="1" applyFill="1" applyBorder="1" applyAlignment="1">
      <alignment vertical="center" wrapText="1"/>
    </xf>
    <xf numFmtId="0" fontId="73" fillId="6" borderId="17" xfId="0" applyFont="1" applyFill="1" applyBorder="1" applyAlignment="1">
      <alignment horizontal="center" vertical="center" wrapText="1"/>
    </xf>
    <xf numFmtId="0" fontId="73" fillId="6" borderId="20" xfId="0" applyFont="1" applyFill="1" applyBorder="1" applyAlignment="1">
      <alignment horizontal="center" vertical="center" wrapText="1"/>
    </xf>
    <xf numFmtId="0" fontId="73" fillId="6" borderId="21" xfId="0" applyFont="1" applyFill="1" applyBorder="1" applyAlignment="1">
      <alignment horizontal="center" vertical="center" wrapText="1"/>
    </xf>
    <xf numFmtId="0" fontId="207" fillId="6" borderId="17" xfId="0" applyFont="1" applyFill="1" applyBorder="1" applyAlignment="1">
      <alignment horizontal="center" vertical="center" wrapText="1"/>
    </xf>
    <xf numFmtId="0" fontId="207" fillId="6" borderId="20" xfId="0" applyFont="1" applyFill="1" applyBorder="1" applyAlignment="1">
      <alignment horizontal="center" vertical="center" wrapText="1"/>
    </xf>
    <xf numFmtId="0" fontId="207" fillId="6" borderId="21" xfId="0" applyFont="1" applyFill="1" applyBorder="1" applyAlignment="1">
      <alignment horizontal="center" vertical="center" wrapText="1"/>
    </xf>
    <xf numFmtId="177" fontId="73" fillId="6" borderId="17" xfId="0" applyNumberFormat="1" applyFont="1" applyFill="1" applyBorder="1" applyAlignment="1">
      <alignment horizontal="center" vertical="center" wrapText="1"/>
    </xf>
    <xf numFmtId="177" fontId="73" fillId="6" borderId="20" xfId="0" applyNumberFormat="1" applyFont="1" applyFill="1" applyBorder="1" applyAlignment="1">
      <alignment horizontal="center" vertical="center" wrapText="1"/>
    </xf>
    <xf numFmtId="177" fontId="73" fillId="6" borderId="21" xfId="0" applyNumberFormat="1" applyFont="1" applyFill="1" applyBorder="1" applyAlignment="1">
      <alignment horizontal="center" vertical="center" wrapText="1"/>
    </xf>
    <xf numFmtId="177" fontId="23" fillId="3" borderId="0" xfId="0" applyNumberFormat="1" applyFont="1" applyFill="1" applyAlignment="1">
      <alignment horizontal="left" vertical="center" wrapText="1"/>
    </xf>
    <xf numFmtId="177" fontId="26" fillId="6" borderId="4" xfId="0" applyNumberFormat="1" applyFont="1" applyFill="1" applyBorder="1" applyAlignment="1">
      <alignment horizontal="center" vertical="center" wrapText="1"/>
    </xf>
    <xf numFmtId="177" fontId="26" fillId="6" borderId="11" xfId="0" applyNumberFormat="1" applyFont="1" applyFill="1" applyBorder="1" applyAlignment="1">
      <alignment horizontal="center" vertical="center" wrapText="1"/>
    </xf>
    <xf numFmtId="177" fontId="26" fillId="6" borderId="12" xfId="0" applyNumberFormat="1" applyFont="1" applyFill="1" applyBorder="1" applyAlignment="1">
      <alignment horizontal="center" vertical="center" wrapText="1"/>
    </xf>
    <xf numFmtId="177" fontId="23" fillId="3" borderId="0" xfId="0" applyNumberFormat="1" applyFont="1" applyFill="1" applyAlignment="1">
      <alignment horizontal="left" vertical="center"/>
    </xf>
    <xf numFmtId="177" fontId="26" fillId="6" borderId="17" xfId="0" applyNumberFormat="1" applyFont="1" applyFill="1" applyBorder="1" applyAlignment="1">
      <alignment horizontal="center" vertical="center" wrapText="1"/>
    </xf>
    <xf numFmtId="177" fontId="26" fillId="6" borderId="20" xfId="0" applyNumberFormat="1" applyFont="1" applyFill="1" applyBorder="1" applyAlignment="1">
      <alignment horizontal="center" vertical="center" wrapText="1"/>
    </xf>
    <xf numFmtId="177" fontId="26" fillId="6" borderId="21" xfId="0" applyNumberFormat="1" applyFont="1" applyFill="1" applyBorder="1" applyAlignment="1">
      <alignment horizontal="center" vertical="center" wrapText="1"/>
    </xf>
    <xf numFmtId="177" fontId="23" fillId="0" borderId="0" xfId="0" applyNumberFormat="1" applyFont="1" applyFill="1" applyAlignment="1">
      <alignment horizontal="left" vertical="center" wrapText="1"/>
    </xf>
    <xf numFmtId="0" fontId="28" fillId="3" borderId="22" xfId="0" applyFont="1" applyFill="1" applyBorder="1" applyAlignment="1">
      <alignment horizontal="left" vertical="center" wrapText="1"/>
    </xf>
    <xf numFmtId="0" fontId="28" fillId="3" borderId="23" xfId="0" applyFont="1" applyFill="1" applyBorder="1" applyAlignment="1">
      <alignment horizontal="left" vertical="center" wrapText="1"/>
    </xf>
    <xf numFmtId="0" fontId="28" fillId="3" borderId="24" xfId="0" applyFont="1" applyFill="1" applyBorder="1" applyAlignment="1">
      <alignment horizontal="left" vertical="center" wrapText="1"/>
    </xf>
    <xf numFmtId="0" fontId="82" fillId="6" borderId="0" xfId="0" applyFont="1" applyFill="1" applyAlignment="1">
      <alignment horizontal="right"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5" borderId="6" xfId="0" applyFont="1" applyFill="1" applyBorder="1" applyAlignment="1">
      <alignment horizontal="center" vertical="center" wrapText="1"/>
    </xf>
    <xf numFmtId="0" fontId="26" fillId="5" borderId="7" xfId="0" applyFont="1" applyFill="1" applyBorder="1" applyAlignment="1">
      <alignment horizontal="center" vertical="center" wrapText="1"/>
    </xf>
    <xf numFmtId="0" fontId="26" fillId="5" borderId="8" xfId="0" applyFont="1" applyFill="1" applyBorder="1" applyAlignment="1">
      <alignment horizontal="center" vertical="center" wrapText="1"/>
    </xf>
    <xf numFmtId="0" fontId="36" fillId="6" borderId="17" xfId="0"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21" xfId="0" applyFont="1" applyFill="1" applyBorder="1" applyAlignment="1">
      <alignment horizontal="center" vertical="center" wrapText="1"/>
    </xf>
    <xf numFmtId="0" fontId="65" fillId="3" borderId="0" xfId="0" applyFont="1" applyFill="1" applyAlignment="1">
      <alignment horizontal="left" vertical="center" wrapText="1"/>
    </xf>
    <xf numFmtId="0" fontId="36" fillId="6" borderId="11" xfId="0" applyFont="1" applyFill="1" applyBorder="1" applyAlignment="1">
      <alignment horizontal="center" vertical="center" wrapText="1"/>
    </xf>
    <xf numFmtId="0" fontId="36" fillId="6" borderId="12" xfId="0" applyFont="1" applyFill="1" applyBorder="1" applyAlignment="1">
      <alignment horizontal="center" vertical="center" wrapText="1"/>
    </xf>
    <xf numFmtId="0" fontId="36" fillId="6" borderId="20" xfId="0" applyFont="1" applyFill="1" applyBorder="1" applyAlignment="1">
      <alignment horizontal="center" vertical="center"/>
    </xf>
    <xf numFmtId="0" fontId="36" fillId="6" borderId="21" xfId="0" applyFont="1" applyFill="1" applyBorder="1" applyAlignment="1">
      <alignment horizontal="center" vertical="center"/>
    </xf>
    <xf numFmtId="0" fontId="36" fillId="6" borderId="17" xfId="0" applyFont="1" applyFill="1" applyBorder="1" applyAlignment="1">
      <alignment horizontal="center" vertical="center"/>
    </xf>
    <xf numFmtId="0" fontId="36" fillId="6" borderId="4"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31" fillId="6" borderId="7" xfId="0" applyFont="1" applyFill="1" applyBorder="1" applyAlignment="1">
      <alignment horizontal="center" vertical="center" wrapText="1"/>
    </xf>
    <xf numFmtId="0" fontId="31" fillId="24" borderId="12" xfId="0" applyFont="1" applyFill="1" applyBorder="1" applyAlignment="1">
      <alignment horizontal="center" vertical="center" wrapText="1"/>
    </xf>
    <xf numFmtId="0" fontId="31" fillId="24" borderId="19" xfId="0" applyFont="1" applyFill="1" applyBorder="1" applyAlignment="1">
      <alignment horizontal="center" vertical="center" wrapText="1"/>
    </xf>
    <xf numFmtId="0" fontId="19" fillId="0" borderId="0" xfId="0" applyFont="1" applyBorder="1" applyAlignment="1">
      <alignment horizontal="left" vertical="center" wrapText="1"/>
    </xf>
    <xf numFmtId="0" fontId="19" fillId="0" borderId="0" xfId="0" applyFont="1" applyBorder="1" applyAlignment="1">
      <alignment horizontal="left" vertical="center"/>
    </xf>
    <xf numFmtId="0" fontId="31" fillId="23" borderId="12" xfId="0" applyFont="1" applyFill="1" applyBorder="1" applyAlignment="1">
      <alignment horizontal="center" vertical="center" wrapText="1"/>
    </xf>
    <xf numFmtId="0" fontId="31" fillId="23" borderId="19" xfId="0" applyFont="1" applyFill="1" applyBorder="1" applyAlignment="1">
      <alignment horizontal="center" vertical="center" wrapText="1"/>
    </xf>
    <xf numFmtId="0" fontId="31" fillId="0" borderId="0" xfId="0" applyFont="1" applyFill="1" applyAlignment="1">
      <alignment horizontal="left" vertical="top" wrapText="1"/>
    </xf>
    <xf numFmtId="0" fontId="30" fillId="3" borderId="22" xfId="0" applyFont="1" applyFill="1" applyBorder="1" applyAlignment="1">
      <alignment horizontal="left" vertical="center" wrapText="1"/>
    </xf>
    <xf numFmtId="0" fontId="30" fillId="3" borderId="24" xfId="0" applyFont="1" applyFill="1" applyBorder="1" applyAlignment="1">
      <alignment horizontal="left" vertical="center" wrapText="1"/>
    </xf>
    <xf numFmtId="0" fontId="26" fillId="6" borderId="6" xfId="0" applyFont="1" applyFill="1" applyBorder="1" applyAlignment="1">
      <alignment horizontal="center" vertical="center" wrapText="1"/>
    </xf>
    <xf numFmtId="0" fontId="26" fillId="6" borderId="7" xfId="0" applyFont="1" applyFill="1" applyBorder="1" applyAlignment="1">
      <alignment horizontal="center" vertical="center" wrapText="1"/>
    </xf>
    <xf numFmtId="0" fontId="26" fillId="6" borderId="8" xfId="0" applyFont="1" applyFill="1" applyBorder="1" applyAlignment="1">
      <alignment horizontal="center" vertical="center" wrapText="1"/>
    </xf>
    <xf numFmtId="0" fontId="62" fillId="0" borderId="6" xfId="0" applyFont="1" applyFill="1" applyBorder="1" applyAlignment="1">
      <alignment horizontal="left" vertical="top" wrapText="1"/>
    </xf>
    <xf numFmtId="0" fontId="62" fillId="0" borderId="7" xfId="0" applyFont="1" applyFill="1" applyBorder="1" applyAlignment="1">
      <alignment horizontal="left" vertical="top" wrapText="1"/>
    </xf>
    <xf numFmtId="0" fontId="62" fillId="0" borderId="8" xfId="0" applyFont="1" applyFill="1" applyBorder="1" applyAlignment="1">
      <alignment horizontal="left" vertical="top" wrapText="1"/>
    </xf>
    <xf numFmtId="0" fontId="48" fillId="3" borderId="0" xfId="0" applyFont="1" applyFill="1" applyAlignment="1">
      <alignment horizontal="left" wrapText="1"/>
    </xf>
    <xf numFmtId="0" fontId="28" fillId="3" borderId="22" xfId="0" applyFont="1" applyFill="1" applyBorder="1" applyAlignment="1">
      <alignment horizontal="center" vertical="center" wrapText="1"/>
    </xf>
    <xf numFmtId="0" fontId="28" fillId="3" borderId="24" xfId="0" applyFont="1" applyFill="1" applyBorder="1" applyAlignment="1">
      <alignment horizontal="center" vertical="center" wrapText="1"/>
    </xf>
    <xf numFmtId="0" fontId="62" fillId="3" borderId="22" xfId="0" applyFont="1" applyFill="1" applyBorder="1" applyAlignment="1">
      <alignment horizontal="left" vertical="center" wrapText="1"/>
    </xf>
    <xf numFmtId="0" fontId="62" fillId="3" borderId="24" xfId="0" applyFont="1" applyFill="1" applyBorder="1" applyAlignment="1">
      <alignment horizontal="left" vertical="center" wrapText="1"/>
    </xf>
    <xf numFmtId="0" fontId="32" fillId="3" borderId="0" xfId="0" applyFont="1" applyFill="1" applyBorder="1" applyAlignment="1">
      <alignment horizontal="left" vertical="top" wrapText="1"/>
    </xf>
    <xf numFmtId="0" fontId="32" fillId="3" borderId="0" xfId="0" applyFont="1" applyFill="1" applyAlignment="1">
      <alignment horizontal="left" vertical="top" wrapText="1"/>
    </xf>
    <xf numFmtId="0" fontId="48" fillId="3" borderId="0" xfId="0" applyFont="1" applyFill="1" applyAlignment="1">
      <alignment horizontal="left"/>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5" xfId="7"/>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Y49"/>
  <sheetViews>
    <sheetView showGridLines="0" tabSelected="1" zoomScaleNormal="100" zoomScaleSheetLayoutView="85" workbookViewId="0">
      <pane xSplit="1" ySplit="3" topLeftCell="AO4" activePane="bottomRight" state="frozen"/>
      <selection pane="topRight" activeCell="B1" sqref="B1"/>
      <selection pane="bottomLeft" activeCell="A4" sqref="A4"/>
      <selection pane="bottomRight" activeCell="BC6" sqref="BC6"/>
    </sheetView>
  </sheetViews>
  <sheetFormatPr defaultColWidth="9" defaultRowHeight="28.5" customHeight="1"/>
  <cols>
    <col min="1" max="1" width="60.625" style="408" customWidth="1"/>
    <col min="2" max="3" width="10.5" style="460" bestFit="1" customWidth="1"/>
    <col min="4" max="4" width="9.125" style="460" bestFit="1" customWidth="1"/>
    <col min="5" max="7" width="10.5" style="460" bestFit="1" customWidth="1"/>
    <col min="8" max="8" width="10.5" style="463" bestFit="1" customWidth="1"/>
    <col min="9" max="9" width="10.5" style="464" bestFit="1" customWidth="1"/>
    <col min="10" max="11" width="10.5" style="460" bestFit="1" customWidth="1"/>
    <col min="12" max="12" width="10.125" style="460" customWidth="1"/>
    <col min="13" max="15" width="9.25" style="460" customWidth="1"/>
    <col min="16" max="16" width="10.5" style="460" bestFit="1" customWidth="1"/>
    <col min="17" max="20" width="10.125" style="460" customWidth="1"/>
    <col min="21" max="21" width="10.5" style="460" bestFit="1" customWidth="1"/>
    <col min="22" max="25" width="10.125" style="460" customWidth="1"/>
    <col min="26" max="26" width="10.5" style="460" bestFit="1" customWidth="1"/>
    <col min="27" max="28" width="10.125" style="460" customWidth="1"/>
    <col min="29" max="29" width="10.125" style="462" customWidth="1"/>
    <col min="30" max="30" width="10.125" style="460" customWidth="1"/>
    <col min="31" max="31" width="10.5" style="460" bestFit="1" customWidth="1"/>
    <col min="32" max="33" width="10.125" style="460" customWidth="1"/>
    <col min="34" max="34" width="10.125" style="462" customWidth="1"/>
    <col min="35" max="35" width="10.125" style="460" customWidth="1"/>
    <col min="36" max="36" width="10.5" style="460" bestFit="1" customWidth="1"/>
    <col min="37" max="37" width="9" style="408"/>
    <col min="38" max="39" width="10.125" style="460" customWidth="1"/>
    <col min="40" max="40" width="10.125" style="462" customWidth="1"/>
    <col min="41" max="41" width="10.125" style="460" customWidth="1"/>
    <col min="42" max="42" width="10.5" style="460" bestFit="1" customWidth="1"/>
    <col min="43" max="43" width="9.125" style="408" bestFit="1" customWidth="1"/>
    <col min="44" max="16384" width="9" style="408"/>
  </cols>
  <sheetData>
    <row r="1" spans="1:493" s="406" customFormat="1" ht="50.25" customHeight="1" thickBot="1">
      <c r="A1" s="400" t="s">
        <v>322</v>
      </c>
      <c r="B1" s="400"/>
      <c r="C1" s="401"/>
      <c r="D1" s="401"/>
      <c r="E1" s="401"/>
      <c r="F1" s="401"/>
      <c r="G1" s="401"/>
      <c r="H1" s="401"/>
      <c r="I1" s="401"/>
      <c r="J1" s="401"/>
      <c r="K1" s="401"/>
      <c r="L1" s="401"/>
      <c r="M1" s="401"/>
      <c r="N1" s="401"/>
      <c r="O1" s="401"/>
      <c r="P1" s="401"/>
      <c r="Q1" s="401"/>
      <c r="R1" s="401"/>
      <c r="S1" s="401"/>
      <c r="T1" s="401"/>
      <c r="U1" s="401"/>
      <c r="V1" s="401"/>
      <c r="W1" s="401"/>
      <c r="X1" s="401"/>
      <c r="Y1" s="401"/>
      <c r="Z1" s="401"/>
      <c r="AA1" s="402"/>
      <c r="AB1" s="402"/>
      <c r="AC1" s="403"/>
      <c r="AD1" s="402"/>
      <c r="AE1" s="402"/>
      <c r="AF1" s="404"/>
      <c r="AG1" s="404"/>
      <c r="AH1" s="405"/>
      <c r="AI1" s="404"/>
      <c r="AJ1" s="404"/>
      <c r="AK1" s="401"/>
      <c r="AL1" s="402"/>
      <c r="AM1" s="402"/>
      <c r="AN1" s="403"/>
      <c r="AO1" s="402"/>
      <c r="AP1" s="402"/>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401"/>
      <c r="DK1" s="401"/>
      <c r="DL1" s="401"/>
      <c r="DM1" s="401"/>
      <c r="DN1" s="401"/>
      <c r="DO1" s="401"/>
      <c r="DP1" s="401"/>
      <c r="DQ1" s="401"/>
      <c r="DR1" s="401"/>
      <c r="DS1" s="401"/>
      <c r="DT1" s="401"/>
      <c r="DU1" s="401"/>
      <c r="DV1" s="401"/>
      <c r="DW1" s="401"/>
      <c r="DX1" s="401"/>
      <c r="DY1" s="401"/>
      <c r="DZ1" s="401"/>
      <c r="EA1" s="401"/>
      <c r="EB1" s="401"/>
      <c r="EC1" s="401"/>
      <c r="ED1" s="401"/>
      <c r="EE1" s="401"/>
      <c r="EF1" s="401"/>
      <c r="EG1" s="401"/>
      <c r="EH1" s="401"/>
      <c r="EI1" s="401"/>
      <c r="EJ1" s="401"/>
      <c r="EK1" s="401"/>
      <c r="EL1" s="401"/>
      <c r="EM1" s="401"/>
      <c r="EN1" s="401"/>
      <c r="EO1" s="401"/>
      <c r="EP1" s="401"/>
      <c r="EQ1" s="401"/>
      <c r="ER1" s="401"/>
      <c r="ES1" s="401"/>
      <c r="ET1" s="401"/>
      <c r="EU1" s="401"/>
      <c r="EV1" s="401"/>
      <c r="EW1" s="401"/>
      <c r="EX1" s="401"/>
      <c r="EY1" s="401"/>
      <c r="EZ1" s="401"/>
      <c r="FA1" s="401"/>
      <c r="FB1" s="401"/>
      <c r="FC1" s="401"/>
      <c r="FD1" s="401"/>
      <c r="FE1" s="401"/>
      <c r="FF1" s="401"/>
      <c r="FG1" s="401"/>
      <c r="FH1" s="401"/>
      <c r="FI1" s="401"/>
      <c r="FJ1" s="401"/>
      <c r="FK1" s="401"/>
      <c r="FL1" s="401"/>
      <c r="FM1" s="401"/>
      <c r="FN1" s="401"/>
      <c r="FO1" s="401"/>
      <c r="FP1" s="401"/>
      <c r="FQ1" s="401"/>
      <c r="FR1" s="401"/>
      <c r="FS1" s="401"/>
      <c r="FT1" s="401"/>
      <c r="FU1" s="401"/>
      <c r="FV1" s="401"/>
      <c r="FW1" s="401"/>
      <c r="FX1" s="401"/>
      <c r="FY1" s="401"/>
      <c r="FZ1" s="401"/>
      <c r="GA1" s="401"/>
      <c r="GB1" s="401"/>
      <c r="GC1" s="401"/>
      <c r="GD1" s="401"/>
      <c r="GE1" s="401"/>
      <c r="GF1" s="401"/>
      <c r="GG1" s="401"/>
      <c r="GH1" s="401"/>
      <c r="GI1" s="401"/>
      <c r="GJ1" s="401"/>
      <c r="GK1" s="401"/>
      <c r="GL1" s="401"/>
      <c r="GM1" s="401"/>
      <c r="GN1" s="401"/>
      <c r="GO1" s="401"/>
      <c r="GP1" s="401"/>
      <c r="GQ1" s="401"/>
      <c r="GR1" s="401"/>
      <c r="GS1" s="401"/>
      <c r="GT1" s="401"/>
      <c r="GU1" s="401"/>
      <c r="GV1" s="401"/>
      <c r="GW1" s="401"/>
      <c r="GX1" s="401"/>
      <c r="GY1" s="401"/>
      <c r="GZ1" s="401"/>
      <c r="HA1" s="401"/>
      <c r="HB1" s="401"/>
      <c r="HC1" s="401"/>
      <c r="HD1" s="401"/>
      <c r="HE1" s="401"/>
      <c r="HF1" s="401"/>
      <c r="HG1" s="401"/>
      <c r="HH1" s="401"/>
      <c r="HI1" s="401"/>
      <c r="HJ1" s="401"/>
      <c r="HK1" s="401"/>
      <c r="HL1" s="401"/>
      <c r="HM1" s="401"/>
      <c r="HN1" s="401"/>
      <c r="HO1" s="401"/>
      <c r="HP1" s="401"/>
      <c r="HQ1" s="401"/>
      <c r="HR1" s="401"/>
      <c r="HS1" s="401"/>
      <c r="HT1" s="401"/>
      <c r="HU1" s="401"/>
      <c r="HV1" s="401"/>
      <c r="HW1" s="401"/>
      <c r="HX1" s="401"/>
      <c r="HY1" s="401"/>
      <c r="HZ1" s="401"/>
      <c r="IA1" s="401"/>
      <c r="IB1" s="401"/>
      <c r="IC1" s="401"/>
      <c r="ID1" s="401"/>
      <c r="IE1" s="401"/>
      <c r="IF1" s="401"/>
      <c r="IG1" s="401"/>
      <c r="IH1" s="401"/>
      <c r="II1" s="401"/>
      <c r="IJ1" s="401"/>
      <c r="IK1" s="401"/>
      <c r="IL1" s="401"/>
      <c r="IM1" s="401"/>
      <c r="IN1" s="401"/>
      <c r="IO1" s="401"/>
      <c r="IP1" s="401"/>
      <c r="IQ1" s="401"/>
      <c r="IR1" s="401"/>
      <c r="IS1" s="401"/>
      <c r="IT1" s="401"/>
      <c r="IU1" s="401"/>
      <c r="IV1" s="401"/>
      <c r="IW1" s="401"/>
      <c r="IX1" s="401"/>
      <c r="IY1" s="401"/>
      <c r="IZ1" s="401"/>
      <c r="JA1" s="401"/>
      <c r="JB1" s="401"/>
      <c r="JC1" s="401"/>
      <c r="JD1" s="401"/>
      <c r="JE1" s="401"/>
      <c r="JF1" s="401"/>
      <c r="JG1" s="401"/>
      <c r="JH1" s="401"/>
      <c r="JI1" s="401"/>
      <c r="JJ1" s="401"/>
      <c r="JK1" s="401"/>
      <c r="JL1" s="401"/>
      <c r="JM1" s="401"/>
      <c r="JN1" s="401"/>
      <c r="JO1" s="401"/>
      <c r="JP1" s="401"/>
      <c r="JQ1" s="401"/>
      <c r="JR1" s="401"/>
      <c r="JS1" s="401"/>
      <c r="JT1" s="401"/>
      <c r="JU1" s="401"/>
      <c r="JV1" s="401"/>
      <c r="JW1" s="401"/>
      <c r="JX1" s="401"/>
      <c r="JY1" s="401"/>
      <c r="JZ1" s="401"/>
      <c r="KA1" s="401"/>
      <c r="KB1" s="401"/>
      <c r="KC1" s="401"/>
      <c r="KD1" s="401"/>
      <c r="KE1" s="401"/>
      <c r="KF1" s="401"/>
      <c r="KG1" s="401"/>
      <c r="KH1" s="401"/>
      <c r="KI1" s="401"/>
      <c r="KJ1" s="401"/>
      <c r="KK1" s="401"/>
      <c r="KL1" s="401"/>
      <c r="KM1" s="401"/>
      <c r="KN1" s="401"/>
      <c r="KO1" s="401"/>
      <c r="KP1" s="401"/>
      <c r="KQ1" s="401"/>
      <c r="KR1" s="401"/>
      <c r="KS1" s="401"/>
      <c r="KT1" s="401"/>
      <c r="KU1" s="401"/>
      <c r="KV1" s="401"/>
      <c r="KW1" s="401"/>
      <c r="KX1" s="401"/>
      <c r="KY1" s="401"/>
      <c r="KZ1" s="401"/>
      <c r="LA1" s="401"/>
      <c r="LB1" s="401"/>
      <c r="LC1" s="401"/>
      <c r="LD1" s="401"/>
      <c r="LE1" s="401"/>
      <c r="LF1" s="401"/>
      <c r="LG1" s="401"/>
      <c r="LH1" s="401"/>
      <c r="LI1" s="401"/>
      <c r="LJ1" s="401"/>
      <c r="LK1" s="401"/>
      <c r="LL1" s="401"/>
      <c r="LM1" s="401"/>
      <c r="LN1" s="401"/>
      <c r="LO1" s="401"/>
      <c r="LP1" s="401"/>
      <c r="LQ1" s="401"/>
      <c r="LR1" s="401"/>
      <c r="LS1" s="401"/>
      <c r="LT1" s="401"/>
      <c r="LU1" s="401"/>
      <c r="LV1" s="401"/>
      <c r="LW1" s="401"/>
      <c r="LX1" s="401"/>
      <c r="LY1" s="401"/>
      <c r="LZ1" s="401"/>
      <c r="MA1" s="401"/>
      <c r="MB1" s="401"/>
      <c r="MC1" s="401"/>
      <c r="MD1" s="401"/>
      <c r="ME1" s="401"/>
      <c r="MF1" s="401"/>
      <c r="MG1" s="401"/>
      <c r="MH1" s="401"/>
      <c r="MI1" s="401"/>
      <c r="MJ1" s="401"/>
      <c r="MK1" s="401"/>
      <c r="ML1" s="401"/>
      <c r="MM1" s="401"/>
      <c r="MN1" s="401"/>
      <c r="MO1" s="401"/>
      <c r="MP1" s="401"/>
      <c r="MQ1" s="401"/>
      <c r="MR1" s="401"/>
      <c r="MS1" s="401"/>
      <c r="MT1" s="401"/>
      <c r="MU1" s="401"/>
      <c r="MV1" s="401"/>
      <c r="MW1" s="401"/>
      <c r="MX1" s="401"/>
      <c r="MY1" s="401"/>
      <c r="MZ1" s="401"/>
      <c r="NA1" s="401"/>
      <c r="NB1" s="401"/>
      <c r="NC1" s="401"/>
      <c r="ND1" s="401"/>
      <c r="NE1" s="401"/>
      <c r="NF1" s="401"/>
      <c r="NG1" s="401"/>
      <c r="NH1" s="401"/>
      <c r="NI1" s="401"/>
      <c r="NJ1" s="401"/>
      <c r="NK1" s="401"/>
      <c r="NL1" s="401"/>
      <c r="NM1" s="401"/>
      <c r="NN1" s="401"/>
      <c r="NO1" s="401"/>
      <c r="NP1" s="401"/>
      <c r="NQ1" s="401"/>
      <c r="NR1" s="401"/>
      <c r="NS1" s="401"/>
      <c r="NT1" s="401"/>
      <c r="NU1" s="401"/>
      <c r="NV1" s="401"/>
      <c r="NW1" s="401"/>
      <c r="NX1" s="401"/>
      <c r="NY1" s="401"/>
      <c r="NZ1" s="401"/>
      <c r="OA1" s="401"/>
      <c r="OB1" s="401"/>
      <c r="OC1" s="401"/>
      <c r="OD1" s="401"/>
      <c r="OE1" s="401"/>
      <c r="OF1" s="401"/>
      <c r="OG1" s="401"/>
      <c r="OH1" s="401"/>
      <c r="OI1" s="401"/>
      <c r="OJ1" s="401"/>
      <c r="OK1" s="401"/>
      <c r="OL1" s="401"/>
      <c r="OM1" s="401"/>
      <c r="ON1" s="401"/>
      <c r="OO1" s="401"/>
      <c r="OP1" s="401"/>
      <c r="OQ1" s="401"/>
      <c r="OR1" s="401"/>
      <c r="OS1" s="401"/>
      <c r="OT1" s="401"/>
      <c r="OU1" s="401"/>
      <c r="OV1" s="401"/>
      <c r="OW1" s="401"/>
      <c r="OX1" s="401"/>
      <c r="OY1" s="401"/>
      <c r="OZ1" s="401"/>
      <c r="PA1" s="401"/>
      <c r="PB1" s="401"/>
      <c r="PC1" s="401"/>
      <c r="PD1" s="401"/>
      <c r="PE1" s="401"/>
      <c r="PF1" s="401"/>
      <c r="PG1" s="401"/>
      <c r="PH1" s="401"/>
      <c r="PI1" s="401"/>
      <c r="PJ1" s="401"/>
      <c r="PK1" s="401"/>
      <c r="PL1" s="401"/>
      <c r="PM1" s="401"/>
      <c r="PN1" s="401"/>
      <c r="PO1" s="401"/>
      <c r="PP1" s="401"/>
      <c r="PQ1" s="401"/>
      <c r="PR1" s="401"/>
      <c r="PS1" s="401"/>
      <c r="PT1" s="401"/>
      <c r="PU1" s="401"/>
      <c r="PV1" s="401"/>
      <c r="PW1" s="401"/>
      <c r="PX1" s="401"/>
      <c r="PY1" s="401"/>
      <c r="PZ1" s="401"/>
      <c r="QA1" s="401"/>
      <c r="QB1" s="401"/>
      <c r="QC1" s="401"/>
      <c r="QD1" s="401"/>
      <c r="QE1" s="401"/>
      <c r="QF1" s="401"/>
      <c r="QG1" s="401"/>
      <c r="QH1" s="401"/>
      <c r="QI1" s="401"/>
      <c r="QJ1" s="401"/>
      <c r="QK1" s="401"/>
      <c r="QL1" s="401"/>
      <c r="QM1" s="401"/>
      <c r="QN1" s="401"/>
      <c r="QO1" s="401"/>
      <c r="QP1" s="401"/>
      <c r="QQ1" s="401"/>
      <c r="QR1" s="401"/>
      <c r="QS1" s="401"/>
      <c r="QT1" s="401"/>
      <c r="QU1" s="401"/>
      <c r="QV1" s="401"/>
      <c r="QW1" s="401"/>
      <c r="QX1" s="401"/>
      <c r="QY1" s="401"/>
      <c r="QZ1" s="401"/>
      <c r="RA1" s="401"/>
      <c r="RB1" s="401"/>
      <c r="RC1" s="401"/>
      <c r="RD1" s="401"/>
      <c r="RE1" s="401"/>
      <c r="RF1" s="401"/>
      <c r="RG1" s="401"/>
      <c r="RH1" s="401"/>
      <c r="RI1" s="401"/>
      <c r="RJ1" s="401"/>
      <c r="RK1" s="401"/>
      <c r="RL1" s="401"/>
      <c r="RM1" s="401"/>
      <c r="RN1" s="401"/>
      <c r="RO1" s="401"/>
      <c r="RP1" s="401"/>
      <c r="RQ1" s="401"/>
      <c r="RR1" s="401"/>
      <c r="RS1" s="401"/>
      <c r="RT1" s="401"/>
      <c r="RU1" s="401"/>
      <c r="RV1" s="401"/>
      <c r="RW1" s="401"/>
      <c r="RX1" s="401"/>
      <c r="RY1" s="401"/>
    </row>
    <row r="2" spans="1:493" ht="28.5" customHeight="1">
      <c r="A2" s="407" t="s">
        <v>48</v>
      </c>
      <c r="B2" s="650">
        <v>2012</v>
      </c>
      <c r="C2" s="650"/>
      <c r="D2" s="650"/>
      <c r="E2" s="650"/>
      <c r="F2" s="651"/>
      <c r="G2" s="650">
        <v>2013</v>
      </c>
      <c r="H2" s="650"/>
      <c r="I2" s="650"/>
      <c r="J2" s="650"/>
      <c r="K2" s="651"/>
      <c r="L2" s="649">
        <v>2014</v>
      </c>
      <c r="M2" s="650"/>
      <c r="N2" s="650"/>
      <c r="O2" s="650"/>
      <c r="P2" s="651"/>
      <c r="Q2" s="649">
        <v>2015</v>
      </c>
      <c r="R2" s="650"/>
      <c r="S2" s="650"/>
      <c r="T2" s="650"/>
      <c r="U2" s="651"/>
      <c r="V2" s="653">
        <v>2016</v>
      </c>
      <c r="W2" s="654"/>
      <c r="X2" s="654"/>
      <c r="Y2" s="654"/>
      <c r="Z2" s="655"/>
      <c r="AA2" s="645">
        <v>2017</v>
      </c>
      <c r="AB2" s="646"/>
      <c r="AC2" s="646"/>
      <c r="AD2" s="646"/>
      <c r="AE2" s="647"/>
      <c r="AF2" s="645" t="s">
        <v>264</v>
      </c>
      <c r="AG2" s="646"/>
      <c r="AH2" s="646"/>
      <c r="AI2" s="646"/>
      <c r="AJ2" s="647"/>
      <c r="AL2" s="645" t="s">
        <v>313</v>
      </c>
      <c r="AM2" s="646"/>
      <c r="AN2" s="646"/>
      <c r="AO2" s="646"/>
      <c r="AP2" s="647"/>
      <c r="AQ2" s="639" t="s">
        <v>312</v>
      </c>
      <c r="AR2" s="640"/>
      <c r="AS2" s="640"/>
      <c r="AT2" s="640"/>
      <c r="AU2" s="641"/>
      <c r="AV2" s="566"/>
      <c r="AW2" s="642" t="s">
        <v>311</v>
      </c>
      <c r="AX2" s="643"/>
      <c r="AY2" s="643"/>
      <c r="AZ2" s="643"/>
      <c r="BA2" s="644"/>
    </row>
    <row r="3" spans="1:493" ht="16.5" customHeight="1" thickBot="1">
      <c r="A3" s="409" t="s">
        <v>49</v>
      </c>
      <c r="B3" s="410" t="s">
        <v>2</v>
      </c>
      <c r="C3" s="410" t="s">
        <v>3</v>
      </c>
      <c r="D3" s="410" t="s">
        <v>4</v>
      </c>
      <c r="E3" s="410" t="s">
        <v>5</v>
      </c>
      <c r="F3" s="411">
        <v>2012</v>
      </c>
      <c r="G3" s="412" t="s">
        <v>2</v>
      </c>
      <c r="H3" s="410" t="s">
        <v>3</v>
      </c>
      <c r="I3" s="410" t="s">
        <v>4</v>
      </c>
      <c r="J3" s="410" t="s">
        <v>5</v>
      </c>
      <c r="K3" s="411">
        <v>2013</v>
      </c>
      <c r="L3" s="412" t="s">
        <v>2</v>
      </c>
      <c r="M3" s="410" t="s">
        <v>3</v>
      </c>
      <c r="N3" s="410" t="s">
        <v>4</v>
      </c>
      <c r="O3" s="410" t="s">
        <v>5</v>
      </c>
      <c r="P3" s="413">
        <v>2014</v>
      </c>
      <c r="Q3" s="410" t="s">
        <v>2</v>
      </c>
      <c r="R3" s="410" t="s">
        <v>3</v>
      </c>
      <c r="S3" s="410" t="s">
        <v>4</v>
      </c>
      <c r="T3" s="410" t="s">
        <v>5</v>
      </c>
      <c r="U3" s="413">
        <v>2015</v>
      </c>
      <c r="V3" s="410" t="s">
        <v>181</v>
      </c>
      <c r="W3" s="410" t="s">
        <v>3</v>
      </c>
      <c r="X3" s="410" t="s">
        <v>4</v>
      </c>
      <c r="Y3" s="410" t="s">
        <v>5</v>
      </c>
      <c r="Z3" s="413" t="s">
        <v>202</v>
      </c>
      <c r="AA3" s="410" t="s">
        <v>2</v>
      </c>
      <c r="AB3" s="410" t="s">
        <v>3</v>
      </c>
      <c r="AC3" s="414" t="s">
        <v>4</v>
      </c>
      <c r="AD3" s="410" t="s">
        <v>5</v>
      </c>
      <c r="AE3" s="413">
        <v>2017</v>
      </c>
      <c r="AF3" s="410" t="s">
        <v>2</v>
      </c>
      <c r="AG3" s="410" t="s">
        <v>3</v>
      </c>
      <c r="AH3" s="414" t="s">
        <v>4</v>
      </c>
      <c r="AI3" s="410" t="s">
        <v>5</v>
      </c>
      <c r="AJ3" s="413">
        <v>2018</v>
      </c>
      <c r="AL3" s="412" t="s">
        <v>2</v>
      </c>
      <c r="AM3" s="410" t="s">
        <v>3</v>
      </c>
      <c r="AN3" s="414" t="s">
        <v>4</v>
      </c>
      <c r="AO3" s="410" t="s">
        <v>5</v>
      </c>
      <c r="AP3" s="413" t="s">
        <v>229</v>
      </c>
      <c r="AQ3" s="575" t="s">
        <v>2</v>
      </c>
      <c r="AR3" s="574" t="s">
        <v>3</v>
      </c>
      <c r="AS3" s="570" t="s">
        <v>4</v>
      </c>
      <c r="AT3" s="574" t="s">
        <v>5</v>
      </c>
      <c r="AU3" s="576">
        <v>2019</v>
      </c>
      <c r="AV3" s="566"/>
      <c r="AW3" s="575" t="s">
        <v>2</v>
      </c>
      <c r="AX3" s="574" t="s">
        <v>3</v>
      </c>
      <c r="AY3" s="570" t="s">
        <v>4</v>
      </c>
      <c r="AZ3" s="574" t="s">
        <v>5</v>
      </c>
      <c r="BA3" s="576">
        <v>2019</v>
      </c>
    </row>
    <row r="4" spans="1:493" ht="34.5" customHeight="1" thickBot="1">
      <c r="A4" s="415" t="s">
        <v>50</v>
      </c>
      <c r="B4" s="509">
        <f>SUM(B5:B8)</f>
        <v>669.2</v>
      </c>
      <c r="C4" s="509">
        <f t="shared" ref="C4:G4" si="0">SUM(C5:C8)</f>
        <v>713.8</v>
      </c>
      <c r="D4" s="509">
        <f t="shared" si="0"/>
        <v>644.5</v>
      </c>
      <c r="E4" s="509">
        <f t="shared" si="0"/>
        <v>750.60000000000014</v>
      </c>
      <c r="F4" s="545">
        <f>SUM(F5:F8)</f>
        <v>2778.0999999999995</v>
      </c>
      <c r="G4" s="508">
        <f t="shared" si="0"/>
        <v>697.1</v>
      </c>
      <c r="H4" s="509">
        <f t="shared" ref="H4" si="1">SUM(H5:H8)</f>
        <v>735.9</v>
      </c>
      <c r="I4" s="509">
        <f t="shared" ref="I4" si="2">SUM(I5:I8)</f>
        <v>677.3</v>
      </c>
      <c r="J4" s="509">
        <f t="shared" ref="J4:M4" si="3">SUM(J5:J8)</f>
        <v>800.5</v>
      </c>
      <c r="K4" s="545">
        <f>SUM(K5:K8)</f>
        <v>2910.8</v>
      </c>
      <c r="L4" s="508">
        <f t="shared" si="3"/>
        <v>723.29999999999984</v>
      </c>
      <c r="M4" s="509">
        <f t="shared" si="3"/>
        <v>1745.9</v>
      </c>
      <c r="N4" s="509">
        <f t="shared" ref="N4" si="4">SUM(N5:N8)</f>
        <v>2419.6</v>
      </c>
      <c r="O4" s="509">
        <f t="shared" ref="O4" si="5">SUM(O5:O8)</f>
        <v>2521.1000000000004</v>
      </c>
      <c r="P4" s="511">
        <f>SUM(P5:P8)</f>
        <v>7409.9</v>
      </c>
      <c r="Q4" s="509">
        <f t="shared" ref="Q4:T4" si="6">SUM(Q5:Q8)</f>
        <v>2329</v>
      </c>
      <c r="R4" s="509">
        <f t="shared" si="6"/>
        <v>2469.1999999999998</v>
      </c>
      <c r="S4" s="509">
        <f t="shared" si="6"/>
        <v>2414.8999999999996</v>
      </c>
      <c r="T4" s="509">
        <f t="shared" si="6"/>
        <v>2609.9</v>
      </c>
      <c r="U4" s="511">
        <f>SUM(U5:U8)</f>
        <v>9823</v>
      </c>
      <c r="V4" s="509">
        <f t="shared" ref="V4:Y4" si="7">SUM(V5:V8)</f>
        <v>2364</v>
      </c>
      <c r="W4" s="509">
        <f t="shared" si="7"/>
        <v>2442.9</v>
      </c>
      <c r="X4" s="509">
        <f t="shared" si="7"/>
        <v>2387.8000000000002</v>
      </c>
      <c r="Y4" s="509">
        <f t="shared" si="7"/>
        <v>2535.1</v>
      </c>
      <c r="Z4" s="511">
        <f>SUM(Z5:Z8)</f>
        <v>9729.7999999999993</v>
      </c>
      <c r="AA4" s="509">
        <f>SUM(AA5:AA8)</f>
        <v>2388.6</v>
      </c>
      <c r="AB4" s="509">
        <f>SUM(AB5:AB8)</f>
        <v>2469.9</v>
      </c>
      <c r="AC4" s="509">
        <f>SUM(AC5:AC8)</f>
        <v>2390.9</v>
      </c>
      <c r="AD4" s="529">
        <f t="shared" ref="AD4:AE4" si="8">SUM(AD5:AD8)</f>
        <v>2579.1999999999998</v>
      </c>
      <c r="AE4" s="511">
        <f t="shared" si="8"/>
        <v>9828.6</v>
      </c>
      <c r="AF4" s="509">
        <f>SUM(AF5:AF8)</f>
        <v>2360.6999999999998</v>
      </c>
      <c r="AG4" s="509">
        <f>SUM(AG5:AG8)</f>
        <v>2476.9</v>
      </c>
      <c r="AH4" s="535">
        <f>SUM(AH5:AH8)</f>
        <v>2435.4</v>
      </c>
      <c r="AI4" s="535">
        <f>SUM(AI5:AI8)</f>
        <v>2682</v>
      </c>
      <c r="AJ4" s="511">
        <f t="shared" ref="AJ4" si="9">SUM(AJ5:AJ8)</f>
        <v>9955</v>
      </c>
      <c r="AK4" s="532"/>
      <c r="AL4" s="508">
        <f>SUM(AL5:AL8)</f>
        <v>2345.9</v>
      </c>
      <c r="AM4" s="509">
        <f>SUM(AM5:AM8)</f>
        <v>2603.1999999999998</v>
      </c>
      <c r="AN4" s="510">
        <f>SUM(AN5:AN8)</f>
        <v>2735</v>
      </c>
      <c r="AO4" s="510">
        <f t="shared" ref="AO4" si="10">SUM(AO5:AO8)</f>
        <v>3002</v>
      </c>
      <c r="AP4" s="511">
        <f>SUM(AP5:AP8)</f>
        <v>10686.100000000002</v>
      </c>
      <c r="AQ4" s="508">
        <f>SUM(AQ5:AQ8)</f>
        <v>2782.4</v>
      </c>
      <c r="AR4" s="509">
        <f>SUM(AR5:AR8)</f>
        <v>2913</v>
      </c>
      <c r="AS4" s="597"/>
      <c r="AT4" s="597"/>
      <c r="AU4" s="511">
        <f>SUM(AU5:AU8)</f>
        <v>5695.4</v>
      </c>
      <c r="AV4" s="566"/>
      <c r="AW4" s="508">
        <f>SUM(AW5:AW8)</f>
        <v>2791.6</v>
      </c>
      <c r="AX4" s="509">
        <f>SUM(AX5:AX8)</f>
        <v>2923</v>
      </c>
      <c r="AY4" s="597"/>
      <c r="AZ4" s="597"/>
      <c r="BA4" s="511">
        <f>SUM(AW4:AX4)</f>
        <v>5714.6</v>
      </c>
    </row>
    <row r="5" spans="1:493" ht="24.75" customHeight="1">
      <c r="A5" s="420" t="s">
        <v>51</v>
      </c>
      <c r="B5" s="524">
        <v>424</v>
      </c>
      <c r="C5" s="524">
        <v>427.1</v>
      </c>
      <c r="D5" s="524">
        <v>434.4</v>
      </c>
      <c r="E5" s="524">
        <v>446.6</v>
      </c>
      <c r="F5" s="525">
        <f>SUM(B5:E5)</f>
        <v>1732.1</v>
      </c>
      <c r="G5" s="512">
        <v>451.7</v>
      </c>
      <c r="H5" s="524">
        <v>452</v>
      </c>
      <c r="I5" s="524">
        <v>460.3</v>
      </c>
      <c r="J5" s="524">
        <v>466.1</v>
      </c>
      <c r="K5" s="525">
        <f>SUM(G5:J5)</f>
        <v>1830.1</v>
      </c>
      <c r="L5" s="512">
        <v>467.79999999999995</v>
      </c>
      <c r="M5" s="524">
        <v>1204.5</v>
      </c>
      <c r="N5" s="524">
        <v>1710.7</v>
      </c>
      <c r="O5" s="524">
        <v>1701.7</v>
      </c>
      <c r="P5" s="516">
        <f>SUM(L5:O5)</f>
        <v>5084.7</v>
      </c>
      <c r="Q5" s="524">
        <v>1637.2</v>
      </c>
      <c r="R5" s="524">
        <v>1652</v>
      </c>
      <c r="S5" s="524">
        <v>1643.3</v>
      </c>
      <c r="T5" s="526">
        <v>1620.6</v>
      </c>
      <c r="U5" s="516">
        <v>6553.1</v>
      </c>
      <c r="V5" s="524">
        <v>1565.7</v>
      </c>
      <c r="W5" s="524">
        <v>1586.9</v>
      </c>
      <c r="X5" s="524">
        <v>1583.7</v>
      </c>
      <c r="Y5" s="526">
        <v>1589</v>
      </c>
      <c r="Z5" s="516">
        <f>SUM(V5:Y5)</f>
        <v>6325.3</v>
      </c>
      <c r="AA5" s="524">
        <v>1542.7</v>
      </c>
      <c r="AB5" s="524">
        <v>1533.3</v>
      </c>
      <c r="AC5" s="513">
        <v>1494</v>
      </c>
      <c r="AD5" s="513">
        <v>1497.9</v>
      </c>
      <c r="AE5" s="516">
        <f>SUM(AA5:AD5)</f>
        <v>6067.9</v>
      </c>
      <c r="AF5" s="524">
        <v>1470.2</v>
      </c>
      <c r="AG5" s="527">
        <v>1483.8</v>
      </c>
      <c r="AH5" s="513">
        <v>1481.7</v>
      </c>
      <c r="AI5" s="513">
        <v>1484.8</v>
      </c>
      <c r="AJ5" s="516">
        <f>SUM(AF5:AI5)</f>
        <v>5920.5</v>
      </c>
      <c r="AK5" s="486"/>
      <c r="AL5" s="512">
        <v>1352.2</v>
      </c>
      <c r="AM5" s="527">
        <v>1482.1</v>
      </c>
      <c r="AN5" s="514">
        <v>1630.5</v>
      </c>
      <c r="AO5" s="507">
        <v>1627.8000000000002</v>
      </c>
      <c r="AP5" s="516">
        <f>SUM(AL5:AO5)</f>
        <v>6092.6</v>
      </c>
      <c r="AQ5" s="512">
        <v>1606</v>
      </c>
      <c r="AR5" s="600">
        <v>1616.1</v>
      </c>
      <c r="AS5" s="514"/>
      <c r="AT5" s="571"/>
      <c r="AU5" s="516">
        <f>SUM(AQ5:AT5)</f>
        <v>3222.1</v>
      </c>
      <c r="AV5" s="566"/>
      <c r="AW5" s="512">
        <v>1606</v>
      </c>
      <c r="AX5" s="600">
        <v>1616.1</v>
      </c>
      <c r="AY5" s="514"/>
      <c r="AZ5" s="571"/>
      <c r="BA5" s="516">
        <f>SUM(AW5:AZ5)</f>
        <v>3222.1</v>
      </c>
    </row>
    <row r="6" spans="1:493" ht="20.100000000000001" customHeight="1">
      <c r="A6" s="423" t="s">
        <v>52</v>
      </c>
      <c r="B6" s="524">
        <v>234.6</v>
      </c>
      <c r="C6" s="524">
        <v>272.7</v>
      </c>
      <c r="D6" s="524">
        <v>198</v>
      </c>
      <c r="E6" s="524">
        <v>286.3</v>
      </c>
      <c r="F6" s="525">
        <f t="shared" ref="F6:F8" si="11">SUM(B6:E6)</f>
        <v>991.59999999999991</v>
      </c>
      <c r="G6" s="512">
        <v>223.8</v>
      </c>
      <c r="H6" s="524">
        <v>265.2</v>
      </c>
      <c r="I6" s="524">
        <v>204</v>
      </c>
      <c r="J6" s="524">
        <v>317.2</v>
      </c>
      <c r="K6" s="525">
        <f t="shared" ref="K6:K8" si="12">SUM(G6:J6)</f>
        <v>1010.2</v>
      </c>
      <c r="L6" s="512">
        <v>242.19999999999993</v>
      </c>
      <c r="M6" s="524">
        <v>479.1</v>
      </c>
      <c r="N6" s="524">
        <v>591.6</v>
      </c>
      <c r="O6" s="524">
        <v>641.1</v>
      </c>
      <c r="P6" s="516">
        <f t="shared" ref="P6:P8" si="13">SUM(L6:O6)</f>
        <v>1954</v>
      </c>
      <c r="Q6" s="524">
        <v>553.29999999999995</v>
      </c>
      <c r="R6" s="524">
        <v>688.7</v>
      </c>
      <c r="S6" s="524">
        <v>616.9</v>
      </c>
      <c r="T6" s="526">
        <v>738</v>
      </c>
      <c r="U6" s="516">
        <v>2596.9</v>
      </c>
      <c r="V6" s="524">
        <v>599.79999999999995</v>
      </c>
      <c r="W6" s="524">
        <v>645</v>
      </c>
      <c r="X6" s="524">
        <v>562.9</v>
      </c>
      <c r="Y6" s="526">
        <v>658.4</v>
      </c>
      <c r="Z6" s="516">
        <f t="shared" ref="Z6:Z27" si="14">SUM(V6:Y6)</f>
        <v>2466.1</v>
      </c>
      <c r="AA6" s="524">
        <v>562.1</v>
      </c>
      <c r="AB6" s="524">
        <v>652.29999999999995</v>
      </c>
      <c r="AC6" s="513">
        <v>588.4</v>
      </c>
      <c r="AD6" s="513">
        <v>735.8</v>
      </c>
      <c r="AE6" s="516">
        <f t="shared" ref="AE6:AE8" si="15">SUM(AA6:AD6)</f>
        <v>2538.6000000000004</v>
      </c>
      <c r="AF6" s="524">
        <v>635.9</v>
      </c>
      <c r="AG6" s="527">
        <v>708.5</v>
      </c>
      <c r="AH6" s="513">
        <v>677.7</v>
      </c>
      <c r="AI6" s="513">
        <v>860.1</v>
      </c>
      <c r="AJ6" s="516">
        <f t="shared" ref="AJ6:AJ8" si="16">SUM(AF6:AI6)</f>
        <v>2882.2000000000003</v>
      </c>
      <c r="AK6" s="486"/>
      <c r="AL6" s="512">
        <v>635.9</v>
      </c>
      <c r="AM6" s="527">
        <v>738.5</v>
      </c>
      <c r="AN6" s="514">
        <v>741.6</v>
      </c>
      <c r="AO6" s="507">
        <v>927.80000000000018</v>
      </c>
      <c r="AP6" s="516">
        <f t="shared" ref="AP6:AP8" si="17">SUM(AL6:AO6)</f>
        <v>3043.8</v>
      </c>
      <c r="AQ6" s="512">
        <v>772.7</v>
      </c>
      <c r="AR6" s="600">
        <v>861.6</v>
      </c>
      <c r="AS6" s="514"/>
      <c r="AT6" s="571"/>
      <c r="AU6" s="516">
        <f t="shared" ref="AU6:AU8" si="18">SUM(AQ6:AT6)</f>
        <v>1634.3000000000002</v>
      </c>
      <c r="AV6" s="566"/>
      <c r="AW6" s="512">
        <v>772.7</v>
      </c>
      <c r="AX6" s="600">
        <v>861.6</v>
      </c>
      <c r="AY6" s="514"/>
      <c r="AZ6" s="571"/>
      <c r="BA6" s="516">
        <f t="shared" ref="BA6:BA8" si="19">SUM(AW6:AZ6)</f>
        <v>1634.3000000000002</v>
      </c>
    </row>
    <row r="7" spans="1:493" ht="20.100000000000001" customHeight="1">
      <c r="A7" s="423" t="s">
        <v>53</v>
      </c>
      <c r="B7" s="524">
        <v>2.7</v>
      </c>
      <c r="C7" s="524">
        <v>6.2</v>
      </c>
      <c r="D7" s="524">
        <v>2.6</v>
      </c>
      <c r="E7" s="524">
        <v>7.2</v>
      </c>
      <c r="F7" s="525">
        <f t="shared" si="11"/>
        <v>18.7</v>
      </c>
      <c r="G7" s="512">
        <v>13.1</v>
      </c>
      <c r="H7" s="524">
        <v>11.8</v>
      </c>
      <c r="I7" s="524">
        <v>7.1</v>
      </c>
      <c r="J7" s="524">
        <v>9.6999999999999993</v>
      </c>
      <c r="K7" s="525">
        <f t="shared" si="12"/>
        <v>41.7</v>
      </c>
      <c r="L7" s="512">
        <v>7.8999999999999986</v>
      </c>
      <c r="M7" s="524">
        <v>55.4</v>
      </c>
      <c r="N7" s="524">
        <v>104.1</v>
      </c>
      <c r="O7" s="524">
        <v>159.9</v>
      </c>
      <c r="P7" s="516">
        <f t="shared" si="13"/>
        <v>327.29999999999995</v>
      </c>
      <c r="Q7" s="524">
        <v>118.4</v>
      </c>
      <c r="R7" s="524">
        <v>106.9</v>
      </c>
      <c r="S7" s="524">
        <v>131.19999999999999</v>
      </c>
      <c r="T7" s="526">
        <v>226.89999999999998</v>
      </c>
      <c r="U7" s="516">
        <v>583.4</v>
      </c>
      <c r="V7" s="524">
        <v>172.8</v>
      </c>
      <c r="W7" s="524">
        <v>191.1</v>
      </c>
      <c r="X7" s="524">
        <v>221.3</v>
      </c>
      <c r="Y7" s="526">
        <v>265.60000000000002</v>
      </c>
      <c r="Z7" s="516">
        <f t="shared" si="14"/>
        <v>850.80000000000007</v>
      </c>
      <c r="AA7" s="524">
        <v>248.6</v>
      </c>
      <c r="AB7" s="524">
        <v>243.3</v>
      </c>
      <c r="AC7" s="513">
        <v>264.5</v>
      </c>
      <c r="AD7" s="513">
        <v>298.8</v>
      </c>
      <c r="AE7" s="516">
        <f t="shared" si="15"/>
        <v>1055.2</v>
      </c>
      <c r="AF7" s="524">
        <v>208.6</v>
      </c>
      <c r="AG7" s="527">
        <v>239</v>
      </c>
      <c r="AH7" s="513">
        <v>237.6</v>
      </c>
      <c r="AI7" s="513">
        <v>286.2</v>
      </c>
      <c r="AJ7" s="516">
        <f t="shared" si="16"/>
        <v>971.40000000000009</v>
      </c>
      <c r="AK7" s="486"/>
      <c r="AL7" s="512">
        <v>317.5</v>
      </c>
      <c r="AM7" s="527">
        <v>341.7</v>
      </c>
      <c r="AN7" s="514">
        <v>328.6</v>
      </c>
      <c r="AO7" s="507">
        <v>398.20000000000005</v>
      </c>
      <c r="AP7" s="516">
        <f t="shared" si="17"/>
        <v>1386</v>
      </c>
      <c r="AQ7" s="512">
        <v>347.4</v>
      </c>
      <c r="AR7" s="600">
        <v>379.3</v>
      </c>
      <c r="AS7" s="514"/>
      <c r="AT7" s="571"/>
      <c r="AU7" s="516">
        <f t="shared" si="18"/>
        <v>726.7</v>
      </c>
      <c r="AV7" s="566"/>
      <c r="AW7" s="512">
        <v>347.4</v>
      </c>
      <c r="AX7" s="600">
        <v>379.3</v>
      </c>
      <c r="AY7" s="514"/>
      <c r="AZ7" s="571"/>
      <c r="BA7" s="516">
        <f t="shared" si="19"/>
        <v>726.7</v>
      </c>
    </row>
    <row r="8" spans="1:493" ht="20.100000000000001" customHeight="1" thickBot="1">
      <c r="A8" s="424" t="s">
        <v>54</v>
      </c>
      <c r="B8" s="524">
        <v>7.9</v>
      </c>
      <c r="C8" s="524">
        <v>7.8</v>
      </c>
      <c r="D8" s="524">
        <v>9.5</v>
      </c>
      <c r="E8" s="524">
        <v>10.5</v>
      </c>
      <c r="F8" s="525">
        <f t="shared" si="11"/>
        <v>35.700000000000003</v>
      </c>
      <c r="G8" s="512">
        <v>8.5</v>
      </c>
      <c r="H8" s="524">
        <v>6.9</v>
      </c>
      <c r="I8" s="524">
        <v>5.9</v>
      </c>
      <c r="J8" s="524">
        <v>7.5</v>
      </c>
      <c r="K8" s="525">
        <f t="shared" si="12"/>
        <v>28.8</v>
      </c>
      <c r="L8" s="512">
        <v>5.4</v>
      </c>
      <c r="M8" s="524">
        <v>6.9</v>
      </c>
      <c r="N8" s="524">
        <v>13.2</v>
      </c>
      <c r="O8" s="524">
        <v>18.399999999999999</v>
      </c>
      <c r="P8" s="516">
        <f t="shared" si="13"/>
        <v>43.9</v>
      </c>
      <c r="Q8" s="524">
        <v>20.100000000000001</v>
      </c>
      <c r="R8" s="524">
        <v>21.6</v>
      </c>
      <c r="S8" s="524">
        <v>23.5</v>
      </c>
      <c r="T8" s="526">
        <v>24.399999999999991</v>
      </c>
      <c r="U8" s="516">
        <v>89.6</v>
      </c>
      <c r="V8" s="524">
        <v>25.7</v>
      </c>
      <c r="W8" s="524">
        <v>19.899999999999999</v>
      </c>
      <c r="X8" s="524">
        <v>19.899999999999999</v>
      </c>
      <c r="Y8" s="526">
        <v>22.1</v>
      </c>
      <c r="Z8" s="516">
        <f t="shared" si="14"/>
        <v>87.6</v>
      </c>
      <c r="AA8" s="524">
        <v>35.200000000000003</v>
      </c>
      <c r="AB8" s="524">
        <v>41</v>
      </c>
      <c r="AC8" s="513">
        <v>44</v>
      </c>
      <c r="AD8" s="513">
        <v>46.7</v>
      </c>
      <c r="AE8" s="516">
        <f t="shared" si="15"/>
        <v>166.9</v>
      </c>
      <c r="AF8" s="524">
        <v>46</v>
      </c>
      <c r="AG8" s="527">
        <v>45.6</v>
      </c>
      <c r="AH8" s="513">
        <v>38.4</v>
      </c>
      <c r="AI8" s="513">
        <v>50.9</v>
      </c>
      <c r="AJ8" s="516">
        <f t="shared" si="16"/>
        <v>180.9</v>
      </c>
      <c r="AK8" s="486"/>
      <c r="AL8" s="512">
        <v>40.299999999999997</v>
      </c>
      <c r="AM8" s="527">
        <v>40.9</v>
      </c>
      <c r="AN8" s="514">
        <v>34.299999999999997</v>
      </c>
      <c r="AO8" s="507">
        <v>48.199999999999989</v>
      </c>
      <c r="AP8" s="516">
        <f t="shared" si="17"/>
        <v>163.69999999999999</v>
      </c>
      <c r="AQ8" s="512">
        <v>56.3</v>
      </c>
      <c r="AR8" s="600">
        <v>56</v>
      </c>
      <c r="AS8" s="514"/>
      <c r="AT8" s="571"/>
      <c r="AU8" s="516">
        <f t="shared" si="18"/>
        <v>112.3</v>
      </c>
      <c r="AV8" s="566"/>
      <c r="AW8" s="512">
        <v>65.5</v>
      </c>
      <c r="AX8" s="600">
        <v>66</v>
      </c>
      <c r="AY8" s="514"/>
      <c r="AZ8" s="571"/>
      <c r="BA8" s="516">
        <f t="shared" si="19"/>
        <v>131.5</v>
      </c>
    </row>
    <row r="9" spans="1:493" s="425" customFormat="1" ht="24.95" customHeight="1" thickBot="1">
      <c r="A9" s="415" t="s">
        <v>55</v>
      </c>
      <c r="B9" s="509">
        <f>SUM(B10:B17)</f>
        <v>-464.5</v>
      </c>
      <c r="C9" s="509">
        <f t="shared" ref="C9:Z9" si="20">SUM(C10:C17)</f>
        <v>-499.7</v>
      </c>
      <c r="D9" s="509">
        <f t="shared" si="20"/>
        <v>-444.9</v>
      </c>
      <c r="E9" s="509">
        <f t="shared" si="20"/>
        <v>-562.4</v>
      </c>
      <c r="F9" s="528">
        <f t="shared" si="20"/>
        <v>-1971.5000000000002</v>
      </c>
      <c r="G9" s="508">
        <f t="shared" si="20"/>
        <v>-512.92000000000007</v>
      </c>
      <c r="H9" s="509">
        <f t="shared" si="20"/>
        <v>-542.4</v>
      </c>
      <c r="I9" s="509">
        <f t="shared" si="20"/>
        <v>-510.7</v>
      </c>
      <c r="J9" s="509">
        <f t="shared" si="20"/>
        <v>-591.70000000000005</v>
      </c>
      <c r="K9" s="528">
        <f t="shared" si="20"/>
        <v>-2157.7199999999998</v>
      </c>
      <c r="L9" s="508">
        <f t="shared" si="20"/>
        <v>-507.5</v>
      </c>
      <c r="M9" s="509">
        <f t="shared" si="20"/>
        <v>-1351.8000000000002</v>
      </c>
      <c r="N9" s="509">
        <f t="shared" si="20"/>
        <v>-1992.5000000000002</v>
      </c>
      <c r="O9" s="509">
        <f t="shared" si="20"/>
        <v>-2125.3999999999996</v>
      </c>
      <c r="P9" s="517">
        <f t="shared" si="20"/>
        <v>-5977.2000000000016</v>
      </c>
      <c r="Q9" s="509">
        <f t="shared" si="20"/>
        <v>-1909</v>
      </c>
      <c r="R9" s="509">
        <f t="shared" si="20"/>
        <v>-1899.4999999999998</v>
      </c>
      <c r="S9" s="509">
        <f t="shared" si="20"/>
        <v>-1900.1</v>
      </c>
      <c r="T9" s="509">
        <f t="shared" si="20"/>
        <v>-2159.2999999999997</v>
      </c>
      <c r="U9" s="517">
        <f t="shared" si="20"/>
        <v>-7867.9000000000005</v>
      </c>
      <c r="V9" s="509">
        <f t="shared" si="20"/>
        <v>-1948</v>
      </c>
      <c r="W9" s="509">
        <f t="shared" si="20"/>
        <v>-2042</v>
      </c>
      <c r="X9" s="509">
        <f t="shared" si="20"/>
        <v>-1938.6999999999998</v>
      </c>
      <c r="Y9" s="509">
        <f t="shared" si="20"/>
        <v>-2140.6</v>
      </c>
      <c r="Z9" s="517">
        <f t="shared" si="20"/>
        <v>-8069.2999999999993</v>
      </c>
      <c r="AA9" s="509">
        <f>SUM(AA10:AA17)</f>
        <v>-1938.1999999999996</v>
      </c>
      <c r="AB9" s="509">
        <f>SUM(AB10:AB17)</f>
        <v>-1962.8000000000002</v>
      </c>
      <c r="AC9" s="509">
        <f>SUM(AC10:AC17)</f>
        <v>-1975.7</v>
      </c>
      <c r="AD9" s="529">
        <f t="shared" ref="AD9:AE9" si="21">SUM(AD10:AD17)</f>
        <v>-2139.1999999999998</v>
      </c>
      <c r="AE9" s="517">
        <f t="shared" si="21"/>
        <v>-8015.9</v>
      </c>
      <c r="AF9" s="509">
        <f>SUM(AF10:AF17)</f>
        <v>-1903.1000000000001</v>
      </c>
      <c r="AG9" s="509">
        <f>SUM(AG10:AG17)</f>
        <v>-1986.5000000000002</v>
      </c>
      <c r="AH9" s="530">
        <f>SUM(AH10:AH17)</f>
        <v>-2044</v>
      </c>
      <c r="AI9" s="530">
        <f>SUM(AI10:AI17)</f>
        <v>-2266</v>
      </c>
      <c r="AJ9" s="517">
        <f t="shared" ref="AJ9" si="22">SUM(AJ10:AJ17)</f>
        <v>-8199.6</v>
      </c>
      <c r="AK9" s="487"/>
      <c r="AL9" s="508">
        <f>SUM(AL10:AL17)</f>
        <v>-1917.1000000000001</v>
      </c>
      <c r="AM9" s="509">
        <f>SUM(AM10:AM17)</f>
        <v>-2127</v>
      </c>
      <c r="AN9" s="510">
        <f>SUM(AN10:AN17)</f>
        <v>-2345.8000000000002</v>
      </c>
      <c r="AO9" s="510">
        <f>SUM(AO10:AO17)</f>
        <v>-2588.9</v>
      </c>
      <c r="AP9" s="517">
        <f t="shared" ref="AP9" si="23">SUM(AP10:AP17)</f>
        <v>-8978.7999999999993</v>
      </c>
      <c r="AQ9" s="508">
        <f>SUM(AQ10:AQ17)</f>
        <v>-2317.1</v>
      </c>
      <c r="AR9" s="509">
        <f>SUM(AR10:AR17)</f>
        <v>-2404.4</v>
      </c>
      <c r="AS9" s="597"/>
      <c r="AT9" s="597"/>
      <c r="AU9" s="517">
        <f t="shared" ref="AU9" si="24">SUM(AU10:AU17)</f>
        <v>-4721.4999999999991</v>
      </c>
      <c r="AV9" s="578"/>
      <c r="AW9" s="508">
        <f>SUM(AW10:AW17)</f>
        <v>-2317.0000000000005</v>
      </c>
      <c r="AX9" s="509">
        <f>SUM(AX10:AX17)</f>
        <v>-2407.2000000000003</v>
      </c>
      <c r="AY9" s="597"/>
      <c r="AZ9" s="597"/>
      <c r="BA9" s="517">
        <f>SUM(AW9:AX9)</f>
        <v>-4724.2000000000007</v>
      </c>
      <c r="BB9" s="408"/>
    </row>
    <row r="10" spans="1:493" ht="20.100000000000001" customHeight="1">
      <c r="A10" s="426" t="s">
        <v>59</v>
      </c>
      <c r="B10" s="524">
        <v>-49.7</v>
      </c>
      <c r="C10" s="524">
        <v>-55.1</v>
      </c>
      <c r="D10" s="524">
        <v>-58.6</v>
      </c>
      <c r="E10" s="524">
        <v>-59.3</v>
      </c>
      <c r="F10" s="525">
        <f t="shared" ref="F10:F12" si="25">SUM(B10:E10)</f>
        <v>-222.7</v>
      </c>
      <c r="G10" s="512">
        <v>-60.7</v>
      </c>
      <c r="H10" s="524">
        <v>-62</v>
      </c>
      <c r="I10" s="524">
        <v>-62.2</v>
      </c>
      <c r="J10" s="524">
        <v>-71.400000000000006</v>
      </c>
      <c r="K10" s="525">
        <f t="shared" ref="K10:K12" si="26">SUM(G10:J10)</f>
        <v>-256.3</v>
      </c>
      <c r="L10" s="512">
        <v>-71.400000000000006</v>
      </c>
      <c r="M10" s="524">
        <v>-288</v>
      </c>
      <c r="N10" s="524">
        <v>-495.9</v>
      </c>
      <c r="O10" s="524">
        <v>-557.20000000000005</v>
      </c>
      <c r="P10" s="516">
        <f t="shared" ref="P10:P12" si="27">SUM(L10:O10)</f>
        <v>-1412.5</v>
      </c>
      <c r="Q10" s="524">
        <v>-482.3</v>
      </c>
      <c r="R10" s="524">
        <v>-522.4</v>
      </c>
      <c r="S10" s="524">
        <v>-551.20000000000005</v>
      </c>
      <c r="T10" s="526">
        <v>-585.09999999999991</v>
      </c>
      <c r="U10" s="516">
        <v>-2141</v>
      </c>
      <c r="V10" s="524">
        <v>-550.29999999999995</v>
      </c>
      <c r="W10" s="524">
        <v>-456.6</v>
      </c>
      <c r="X10" s="524">
        <v>-459.2</v>
      </c>
      <c r="Y10" s="526">
        <v>-472.6</v>
      </c>
      <c r="Z10" s="516">
        <f t="shared" ref="Z10:Z11" si="28">SUM(V10:Y10)</f>
        <v>-1938.6999999999998</v>
      </c>
      <c r="AA10" s="524">
        <v>-468.2</v>
      </c>
      <c r="AB10" s="524">
        <v>-483.5</v>
      </c>
      <c r="AC10" s="513">
        <v>-528.5</v>
      </c>
      <c r="AD10" s="513">
        <v>-533.79999999999995</v>
      </c>
      <c r="AE10" s="516">
        <f t="shared" ref="AE10:AE18" si="29">SUM(AA10:AD10)</f>
        <v>-2014</v>
      </c>
      <c r="AF10" s="524">
        <v>-504.5</v>
      </c>
      <c r="AG10" s="527">
        <v>-521.1</v>
      </c>
      <c r="AH10" s="531">
        <v>-550.29999999999995</v>
      </c>
      <c r="AI10" s="546">
        <v>-560.1</v>
      </c>
      <c r="AJ10" s="516">
        <f t="shared" ref="AJ10:AJ18" si="30">SUM(AF10:AI10)</f>
        <v>-2136</v>
      </c>
      <c r="AK10" s="532"/>
      <c r="AL10" s="512">
        <v>-504.5</v>
      </c>
      <c r="AM10" s="527">
        <v>-578.5</v>
      </c>
      <c r="AN10" s="514">
        <v>-674.8</v>
      </c>
      <c r="AO10" s="546">
        <v>-691.10000000000014</v>
      </c>
      <c r="AP10" s="516">
        <f t="shared" ref="AP10:AP18" si="31">SUM(AL10:AO10)</f>
        <v>-2448.9</v>
      </c>
      <c r="AQ10" s="512">
        <v>-651.29999999999995</v>
      </c>
      <c r="AR10" s="601">
        <v>-678.4</v>
      </c>
      <c r="AS10" s="514"/>
      <c r="AT10" s="572"/>
      <c r="AU10" s="516">
        <f t="shared" ref="AU10:AU17" si="32">SUM(AQ10:AT10)</f>
        <v>-1329.6999999999998</v>
      </c>
      <c r="AV10" s="566"/>
      <c r="AW10" s="512">
        <v>-563.79999999999995</v>
      </c>
      <c r="AX10" s="601">
        <v>-591.4</v>
      </c>
      <c r="AY10" s="514"/>
      <c r="AZ10" s="572"/>
      <c r="BA10" s="516">
        <f t="shared" ref="BA10:BA18" si="33">SUM(AW10:AZ10)</f>
        <v>-1155.1999999999998</v>
      </c>
    </row>
    <row r="11" spans="1:493" ht="20.100000000000001" customHeight="1">
      <c r="A11" s="423" t="s">
        <v>58</v>
      </c>
      <c r="B11" s="524">
        <v>-54.4</v>
      </c>
      <c r="C11" s="524">
        <v>-56.7</v>
      </c>
      <c r="D11" s="524">
        <v>-60.2</v>
      </c>
      <c r="E11" s="524">
        <v>-71.7</v>
      </c>
      <c r="F11" s="525">
        <f t="shared" si="25"/>
        <v>-243</v>
      </c>
      <c r="G11" s="512">
        <v>-60.7</v>
      </c>
      <c r="H11" s="524">
        <v>-62.3</v>
      </c>
      <c r="I11" s="524">
        <v>-64.8</v>
      </c>
      <c r="J11" s="524">
        <v>-68.599999999999994</v>
      </c>
      <c r="K11" s="525">
        <f t="shared" si="26"/>
        <v>-256.39999999999998</v>
      </c>
      <c r="L11" s="512">
        <v>-62.4</v>
      </c>
      <c r="M11" s="524">
        <v>-311.3</v>
      </c>
      <c r="N11" s="524">
        <v>-478.3</v>
      </c>
      <c r="O11" s="524">
        <v>-443.8</v>
      </c>
      <c r="P11" s="516">
        <f t="shared" si="27"/>
        <v>-1295.8</v>
      </c>
      <c r="Q11" s="524">
        <v>-467.9</v>
      </c>
      <c r="R11" s="524">
        <v>-393.5</v>
      </c>
      <c r="S11" s="524">
        <v>-401.2</v>
      </c>
      <c r="T11" s="526">
        <v>-436.70000000000005</v>
      </c>
      <c r="U11" s="516">
        <v>-1699.3</v>
      </c>
      <c r="V11" s="524">
        <v>-423.7</v>
      </c>
      <c r="W11" s="524">
        <v>-527.5</v>
      </c>
      <c r="X11" s="524">
        <v>-507.9</v>
      </c>
      <c r="Y11" s="526">
        <v>-512.4</v>
      </c>
      <c r="Z11" s="516">
        <f t="shared" si="28"/>
        <v>-1971.5</v>
      </c>
      <c r="AA11" s="524">
        <v>-472.3</v>
      </c>
      <c r="AB11" s="524">
        <v>-446.7</v>
      </c>
      <c r="AC11" s="513">
        <v>-429.2</v>
      </c>
      <c r="AD11" s="513">
        <v>-434.8</v>
      </c>
      <c r="AE11" s="516">
        <f t="shared" si="29"/>
        <v>-1783</v>
      </c>
      <c r="AF11" s="524">
        <v>-454.5</v>
      </c>
      <c r="AG11" s="527">
        <v>-439.1</v>
      </c>
      <c r="AH11" s="531">
        <v>-452.5</v>
      </c>
      <c r="AI11" s="546">
        <v>-430.6</v>
      </c>
      <c r="AJ11" s="516">
        <f t="shared" si="30"/>
        <v>-1776.6999999999998</v>
      </c>
      <c r="AK11" s="532"/>
      <c r="AL11" s="512">
        <v>-454.5</v>
      </c>
      <c r="AM11" s="527">
        <v>-470.8</v>
      </c>
      <c r="AN11" s="514">
        <v>-523.5</v>
      </c>
      <c r="AO11" s="546">
        <v>-521.90000000000009</v>
      </c>
      <c r="AP11" s="516">
        <f t="shared" si="31"/>
        <v>-1970.7</v>
      </c>
      <c r="AQ11" s="512">
        <v>-440.1</v>
      </c>
      <c r="AR11" s="601">
        <v>-444.6</v>
      </c>
      <c r="AS11" s="514"/>
      <c r="AT11" s="572"/>
      <c r="AU11" s="516">
        <f t="shared" si="32"/>
        <v>-884.7</v>
      </c>
      <c r="AV11" s="566"/>
      <c r="AW11" s="512">
        <v>-547.1</v>
      </c>
      <c r="AX11" s="601">
        <v>-553.6</v>
      </c>
      <c r="AY11" s="514"/>
      <c r="AZ11" s="572"/>
      <c r="BA11" s="516">
        <f t="shared" si="33"/>
        <v>-1100.7</v>
      </c>
    </row>
    <row r="12" spans="1:493" ht="20.100000000000001" customHeight="1">
      <c r="A12" s="423" t="s">
        <v>61</v>
      </c>
      <c r="B12" s="524">
        <v>-5.5</v>
      </c>
      <c r="C12" s="524">
        <v>-7.6</v>
      </c>
      <c r="D12" s="524">
        <v>-7</v>
      </c>
      <c r="E12" s="524">
        <v>-16.100000000000001</v>
      </c>
      <c r="F12" s="525">
        <f t="shared" si="25"/>
        <v>-36.200000000000003</v>
      </c>
      <c r="G12" s="512">
        <v>-25.8</v>
      </c>
      <c r="H12" s="524">
        <v>-16.8</v>
      </c>
      <c r="I12" s="524">
        <v>-10.7</v>
      </c>
      <c r="J12" s="524">
        <v>-10.6</v>
      </c>
      <c r="K12" s="525">
        <f t="shared" si="26"/>
        <v>-63.9</v>
      </c>
      <c r="L12" s="512">
        <v>-10.300000000000011</v>
      </c>
      <c r="M12" s="524">
        <v>-189.7</v>
      </c>
      <c r="N12" s="524">
        <v>-348.6</v>
      </c>
      <c r="O12" s="524">
        <v>-376.6</v>
      </c>
      <c r="P12" s="516">
        <f t="shared" si="27"/>
        <v>-925.2</v>
      </c>
      <c r="Q12" s="524">
        <v>-332.5</v>
      </c>
      <c r="R12" s="524">
        <v>-291.7</v>
      </c>
      <c r="S12" s="524">
        <v>-314.89999999999998</v>
      </c>
      <c r="T12" s="526">
        <v>-393.59999999999991</v>
      </c>
      <c r="U12" s="516">
        <v>-1332.8</v>
      </c>
      <c r="V12" s="524">
        <v>-326.8</v>
      </c>
      <c r="W12" s="524">
        <v>-317.3</v>
      </c>
      <c r="X12" s="524">
        <v>-330.5</v>
      </c>
      <c r="Y12" s="526">
        <v>-380.1</v>
      </c>
      <c r="Z12" s="516">
        <f>SUM(V12:Y12)</f>
        <v>-1354.7</v>
      </c>
      <c r="AA12" s="524">
        <v>-323.60000000000002</v>
      </c>
      <c r="AB12" s="524">
        <v>-318.8</v>
      </c>
      <c r="AC12" s="513">
        <v>-323.3</v>
      </c>
      <c r="AD12" s="513">
        <v>-357.9</v>
      </c>
      <c r="AE12" s="516">
        <f t="shared" si="29"/>
        <v>-1323.6</v>
      </c>
      <c r="AF12" s="524">
        <v>-258.5</v>
      </c>
      <c r="AG12" s="527">
        <v>-275.2</v>
      </c>
      <c r="AH12" s="531">
        <v>-277.3</v>
      </c>
      <c r="AI12" s="546">
        <v>-331.7</v>
      </c>
      <c r="AJ12" s="516">
        <f t="shared" si="30"/>
        <v>-1142.7</v>
      </c>
      <c r="AK12" s="532"/>
      <c r="AL12" s="512">
        <v>-272.5</v>
      </c>
      <c r="AM12" s="527">
        <v>-282.5</v>
      </c>
      <c r="AN12" s="514">
        <v>-281.10000000000002</v>
      </c>
      <c r="AO12" s="546">
        <v>-338.1</v>
      </c>
      <c r="AP12" s="516">
        <f t="shared" si="31"/>
        <v>-1174.2</v>
      </c>
      <c r="AQ12" s="512">
        <v>-289.39999999999998</v>
      </c>
      <c r="AR12" s="601">
        <v>-321.7</v>
      </c>
      <c r="AS12" s="514"/>
      <c r="AT12" s="572"/>
      <c r="AU12" s="516">
        <f t="shared" si="32"/>
        <v>-611.09999999999991</v>
      </c>
      <c r="AV12" s="566"/>
      <c r="AW12" s="512">
        <v>-289.39999999999998</v>
      </c>
      <c r="AX12" s="601">
        <v>-321.7</v>
      </c>
      <c r="AY12" s="514"/>
      <c r="AZ12" s="572"/>
      <c r="BA12" s="516">
        <f t="shared" si="33"/>
        <v>-611.09999999999991</v>
      </c>
    </row>
    <row r="13" spans="1:493" ht="20.100000000000001" customHeight="1">
      <c r="A13" s="423" t="s">
        <v>56</v>
      </c>
      <c r="B13" s="524">
        <v>-206.8</v>
      </c>
      <c r="C13" s="524">
        <v>-226.6</v>
      </c>
      <c r="D13" s="524">
        <v>-171.5</v>
      </c>
      <c r="E13" s="524">
        <v>-219</v>
      </c>
      <c r="F13" s="525">
        <f>SUM(B13:E13)</f>
        <v>-823.9</v>
      </c>
      <c r="G13" s="512">
        <v>-207.5</v>
      </c>
      <c r="H13" s="524">
        <v>-239.5</v>
      </c>
      <c r="I13" s="524">
        <v>-219.3</v>
      </c>
      <c r="J13" s="524">
        <v>-260.7</v>
      </c>
      <c r="K13" s="525">
        <f>SUM(G13:J13)</f>
        <v>-927</v>
      </c>
      <c r="L13" s="512">
        <v>-210.7</v>
      </c>
      <c r="M13" s="524">
        <v>-260.89999999999998</v>
      </c>
      <c r="N13" s="524">
        <v>-262.39999999999998</v>
      </c>
      <c r="O13" s="524">
        <v>-295.60000000000002</v>
      </c>
      <c r="P13" s="516">
        <f>SUM(L13:O13)</f>
        <v>-1029.5999999999999</v>
      </c>
      <c r="Q13" s="524">
        <v>-235.5</v>
      </c>
      <c r="R13" s="524">
        <v>-274</v>
      </c>
      <c r="S13" s="524">
        <v>-257.3</v>
      </c>
      <c r="T13" s="526">
        <v>-299.10000000000014</v>
      </c>
      <c r="U13" s="516">
        <v>-1065.9000000000001</v>
      </c>
      <c r="V13" s="524">
        <v>-248.5</v>
      </c>
      <c r="W13" s="524">
        <v>-316.3</v>
      </c>
      <c r="X13" s="524">
        <v>-252.1</v>
      </c>
      <c r="Y13" s="526">
        <v>-297.3</v>
      </c>
      <c r="Z13" s="516">
        <f t="shared" si="14"/>
        <v>-1114.2</v>
      </c>
      <c r="AA13" s="524">
        <v>-264.3</v>
      </c>
      <c r="AB13" s="524">
        <v>-298.39999999999998</v>
      </c>
      <c r="AC13" s="513">
        <v>-269.7</v>
      </c>
      <c r="AD13" s="513">
        <v>-321.2</v>
      </c>
      <c r="AE13" s="516">
        <f t="shared" si="29"/>
        <v>-1153.6000000000001</v>
      </c>
      <c r="AF13" s="524">
        <v>-269.39999999999998</v>
      </c>
      <c r="AG13" s="527">
        <v>-316.8</v>
      </c>
      <c r="AH13" s="531">
        <v>-323.5</v>
      </c>
      <c r="AI13" s="546">
        <v>-406.8</v>
      </c>
      <c r="AJ13" s="516">
        <f t="shared" si="30"/>
        <v>-1316.5</v>
      </c>
      <c r="AK13" s="532"/>
      <c r="AL13" s="512">
        <v>-269.39999999999998</v>
      </c>
      <c r="AM13" s="527">
        <v>-323</v>
      </c>
      <c r="AN13" s="514">
        <v>-338.9</v>
      </c>
      <c r="AO13" s="546">
        <v>-424</v>
      </c>
      <c r="AP13" s="516">
        <f t="shared" si="31"/>
        <v>-1355.3</v>
      </c>
      <c r="AQ13" s="512">
        <v>-369</v>
      </c>
      <c r="AR13" s="601">
        <v>-418</v>
      </c>
      <c r="AS13" s="514"/>
      <c r="AT13" s="572"/>
      <c r="AU13" s="516">
        <f t="shared" si="32"/>
        <v>-787</v>
      </c>
      <c r="AV13" s="566"/>
      <c r="AW13" s="512">
        <v>-366.9</v>
      </c>
      <c r="AX13" s="601">
        <v>-415.8</v>
      </c>
      <c r="AY13" s="514"/>
      <c r="AZ13" s="572"/>
      <c r="BA13" s="516">
        <f t="shared" si="33"/>
        <v>-782.7</v>
      </c>
    </row>
    <row r="14" spans="1:493" ht="20.100000000000001" customHeight="1">
      <c r="A14" s="427" t="s">
        <v>57</v>
      </c>
      <c r="B14" s="524">
        <v>-71.5</v>
      </c>
      <c r="C14" s="524">
        <v>-71.8</v>
      </c>
      <c r="D14" s="524">
        <v>-73.7</v>
      </c>
      <c r="E14" s="524">
        <v>-95.7</v>
      </c>
      <c r="F14" s="525">
        <f t="shared" ref="F14:F18" si="34">SUM(B14:E14)</f>
        <v>-312.7</v>
      </c>
      <c r="G14" s="512">
        <v>-79</v>
      </c>
      <c r="H14" s="524">
        <v>-81.3</v>
      </c>
      <c r="I14" s="524">
        <v>-79.3</v>
      </c>
      <c r="J14" s="524">
        <v>-92.4</v>
      </c>
      <c r="K14" s="525">
        <f t="shared" ref="K14:K18" si="35">SUM(G14:J14)</f>
        <v>-332</v>
      </c>
      <c r="L14" s="512">
        <v>-75.3</v>
      </c>
      <c r="M14" s="524">
        <v>-132.19999999999999</v>
      </c>
      <c r="N14" s="524">
        <v>-186.8</v>
      </c>
      <c r="O14" s="524">
        <v>-218.3</v>
      </c>
      <c r="P14" s="516">
        <f t="shared" ref="P14:P18" si="36">SUM(L14:O14)</f>
        <v>-612.6</v>
      </c>
      <c r="Q14" s="524">
        <v>-189.2</v>
      </c>
      <c r="R14" s="524">
        <v>-193.2</v>
      </c>
      <c r="S14" s="524">
        <v>-200.1</v>
      </c>
      <c r="T14" s="526">
        <v>-220.1</v>
      </c>
      <c r="U14" s="516">
        <v>-802.6</v>
      </c>
      <c r="V14" s="524">
        <v>-200.5</v>
      </c>
      <c r="W14" s="524">
        <v>-202.2</v>
      </c>
      <c r="X14" s="524">
        <v>-202.6</v>
      </c>
      <c r="Y14" s="526">
        <v>-222.5</v>
      </c>
      <c r="Z14" s="516">
        <f t="shared" si="14"/>
        <v>-827.8</v>
      </c>
      <c r="AA14" s="524">
        <v>-211.1</v>
      </c>
      <c r="AB14" s="524">
        <v>-215.9</v>
      </c>
      <c r="AC14" s="513">
        <v>-224</v>
      </c>
      <c r="AD14" s="513">
        <v>-243.3</v>
      </c>
      <c r="AE14" s="516">
        <f t="shared" si="29"/>
        <v>-894.3</v>
      </c>
      <c r="AF14" s="524">
        <v>-205.2</v>
      </c>
      <c r="AG14" s="527">
        <v>-214.9</v>
      </c>
      <c r="AH14" s="531">
        <v>-217.1</v>
      </c>
      <c r="AI14" s="546">
        <v>-265.60000000000002</v>
      </c>
      <c r="AJ14" s="516">
        <f t="shared" si="30"/>
        <v>-902.80000000000007</v>
      </c>
      <c r="AK14" s="532"/>
      <c r="AL14" s="512">
        <v>-205.2</v>
      </c>
      <c r="AM14" s="527">
        <v>-223.5</v>
      </c>
      <c r="AN14" s="514">
        <v>-236.5</v>
      </c>
      <c r="AO14" s="546">
        <v>-268.69999999999993</v>
      </c>
      <c r="AP14" s="516">
        <f t="shared" si="31"/>
        <v>-933.9</v>
      </c>
      <c r="AQ14" s="512">
        <v>-249.5</v>
      </c>
      <c r="AR14" s="601">
        <v>-245.6</v>
      </c>
      <c r="AS14" s="514"/>
      <c r="AT14" s="572"/>
      <c r="AU14" s="516">
        <f t="shared" si="32"/>
        <v>-495.1</v>
      </c>
      <c r="AV14" s="566"/>
      <c r="AW14" s="512">
        <v>-244.8</v>
      </c>
      <c r="AX14" s="601">
        <v>-241.8</v>
      </c>
      <c r="AY14" s="514"/>
      <c r="AZ14" s="572"/>
      <c r="BA14" s="516">
        <f t="shared" si="33"/>
        <v>-486.6</v>
      </c>
    </row>
    <row r="15" spans="1:493" ht="20.100000000000001" customHeight="1">
      <c r="A15" s="423" t="s">
        <v>60</v>
      </c>
      <c r="B15" s="524">
        <v>-40.6</v>
      </c>
      <c r="C15" s="524">
        <v>-40.299999999999997</v>
      </c>
      <c r="D15" s="524">
        <v>-38.9</v>
      </c>
      <c r="E15" s="524">
        <v>-58.6</v>
      </c>
      <c r="F15" s="525">
        <f t="shared" si="34"/>
        <v>-178.4</v>
      </c>
      <c r="G15" s="512">
        <v>-43.1</v>
      </c>
      <c r="H15" s="524">
        <v>-41.9</v>
      </c>
      <c r="I15" s="524">
        <v>-40.4</v>
      </c>
      <c r="J15" s="524">
        <v>-53.2</v>
      </c>
      <c r="K15" s="525">
        <f t="shared" si="35"/>
        <v>-178.60000000000002</v>
      </c>
      <c r="L15" s="512">
        <v>-44.7</v>
      </c>
      <c r="M15" s="524">
        <v>-108.2</v>
      </c>
      <c r="N15" s="524">
        <v>-118</v>
      </c>
      <c r="O15" s="524">
        <v>-150.9</v>
      </c>
      <c r="P15" s="516">
        <f t="shared" si="36"/>
        <v>-421.79999999999995</v>
      </c>
      <c r="Q15" s="524">
        <v>-129.1</v>
      </c>
      <c r="R15" s="524">
        <v>-140.80000000000001</v>
      </c>
      <c r="S15" s="524">
        <v>-122.3</v>
      </c>
      <c r="T15" s="526">
        <v>-158.00000000000006</v>
      </c>
      <c r="U15" s="516">
        <v>-550.20000000000005</v>
      </c>
      <c r="V15" s="524">
        <v>-137.9</v>
      </c>
      <c r="W15" s="524">
        <v>-138.19999999999999</v>
      </c>
      <c r="X15" s="524">
        <v>-130.5</v>
      </c>
      <c r="Y15" s="526">
        <v>-163.9</v>
      </c>
      <c r="Z15" s="516">
        <f t="shared" si="14"/>
        <v>-570.5</v>
      </c>
      <c r="AA15" s="524">
        <v>-127.8</v>
      </c>
      <c r="AB15" s="524">
        <v>-133.69999999999999</v>
      </c>
      <c r="AC15" s="513">
        <v>-127.4</v>
      </c>
      <c r="AD15" s="513">
        <v>-164.2</v>
      </c>
      <c r="AE15" s="516">
        <f t="shared" si="29"/>
        <v>-553.09999999999991</v>
      </c>
      <c r="AF15" s="524">
        <v>-143.80000000000001</v>
      </c>
      <c r="AG15" s="527">
        <v>-146</v>
      </c>
      <c r="AH15" s="531">
        <v>-137</v>
      </c>
      <c r="AI15" s="546">
        <v>-184.2</v>
      </c>
      <c r="AJ15" s="516">
        <f t="shared" si="30"/>
        <v>-611</v>
      </c>
      <c r="AK15" s="532"/>
      <c r="AL15" s="512">
        <v>-143.80000000000001</v>
      </c>
      <c r="AM15" s="527">
        <v>-169.3</v>
      </c>
      <c r="AN15" s="514">
        <v>-187.1</v>
      </c>
      <c r="AO15" s="546">
        <v>-238.7</v>
      </c>
      <c r="AP15" s="516">
        <f t="shared" si="31"/>
        <v>-738.90000000000009</v>
      </c>
      <c r="AQ15" s="512">
        <v>-212.6</v>
      </c>
      <c r="AR15" s="601">
        <v>-205.6</v>
      </c>
      <c r="AS15" s="514"/>
      <c r="AT15" s="572"/>
      <c r="AU15" s="516">
        <f t="shared" si="32"/>
        <v>-418.2</v>
      </c>
      <c r="AV15" s="566"/>
      <c r="AW15" s="512">
        <v>-212.6</v>
      </c>
      <c r="AX15" s="601">
        <v>-205.6</v>
      </c>
      <c r="AY15" s="514"/>
      <c r="AZ15" s="572"/>
      <c r="BA15" s="516">
        <f t="shared" si="33"/>
        <v>-418.2</v>
      </c>
      <c r="BE15" s="408" t="s">
        <v>345</v>
      </c>
    </row>
    <row r="16" spans="1:493" ht="30">
      <c r="A16" s="618" t="s">
        <v>335</v>
      </c>
      <c r="B16" s="524">
        <v>-5.9</v>
      </c>
      <c r="C16" s="524">
        <v>-8.4</v>
      </c>
      <c r="D16" s="524">
        <v>-5.3</v>
      </c>
      <c r="E16" s="524">
        <v>-7.8</v>
      </c>
      <c r="F16" s="525">
        <f t="shared" si="34"/>
        <v>-27.400000000000002</v>
      </c>
      <c r="G16" s="512">
        <v>-6.42</v>
      </c>
      <c r="H16" s="524">
        <v>-9.3000000000000007</v>
      </c>
      <c r="I16" s="524">
        <v>-5.3</v>
      </c>
      <c r="J16" s="524">
        <v>-7.2</v>
      </c>
      <c r="K16" s="525">
        <f t="shared" si="35"/>
        <v>-28.22</v>
      </c>
      <c r="L16" s="512">
        <v>-6.6999999999999993</v>
      </c>
      <c r="M16" s="524">
        <v>-18.100000000000001</v>
      </c>
      <c r="N16" s="524">
        <v>-15.3</v>
      </c>
      <c r="O16" s="524">
        <v>-27.5</v>
      </c>
      <c r="P16" s="516">
        <f t="shared" si="36"/>
        <v>-67.599999999999994</v>
      </c>
      <c r="Q16" s="524">
        <v>-18.7</v>
      </c>
      <c r="R16" s="524">
        <v>-27.8</v>
      </c>
      <c r="S16" s="524">
        <v>-8.5</v>
      </c>
      <c r="T16" s="526">
        <v>-7.6000000000000014</v>
      </c>
      <c r="U16" s="516">
        <v>-62.6</v>
      </c>
      <c r="V16" s="524">
        <v>-9.6</v>
      </c>
      <c r="W16" s="524">
        <v>-16.3</v>
      </c>
      <c r="X16" s="524">
        <v>-5.7</v>
      </c>
      <c r="Y16" s="526">
        <v>-15.3</v>
      </c>
      <c r="Z16" s="516">
        <f t="shared" si="14"/>
        <v>-46.9</v>
      </c>
      <c r="AA16" s="524">
        <v>-19.3</v>
      </c>
      <c r="AB16" s="524">
        <v>-16.3</v>
      </c>
      <c r="AC16" s="513">
        <v>-21.3</v>
      </c>
      <c r="AD16" s="513">
        <v>-10.5</v>
      </c>
      <c r="AE16" s="516">
        <f t="shared" si="29"/>
        <v>-67.400000000000006</v>
      </c>
      <c r="AF16" s="524">
        <v>-11.9</v>
      </c>
      <c r="AG16" s="527">
        <v>-18.2</v>
      </c>
      <c r="AH16" s="531">
        <v>-32.9</v>
      </c>
      <c r="AI16" s="546">
        <v>-19</v>
      </c>
      <c r="AJ16" s="516">
        <f t="shared" si="30"/>
        <v>-82</v>
      </c>
      <c r="AK16" s="532"/>
      <c r="AL16" s="512">
        <v>-11.9</v>
      </c>
      <c r="AM16" s="527">
        <v>-17.600000000000001</v>
      </c>
      <c r="AN16" s="514">
        <v>-34.799999999999997</v>
      </c>
      <c r="AO16" s="546">
        <v>-19.600000000000009</v>
      </c>
      <c r="AP16" s="516">
        <f t="shared" si="31"/>
        <v>-83.9</v>
      </c>
      <c r="AQ16" s="512">
        <v>-34.6</v>
      </c>
      <c r="AR16" s="601">
        <v>-16.899999999999999</v>
      </c>
      <c r="AS16" s="514"/>
      <c r="AT16" s="572"/>
      <c r="AU16" s="516">
        <f t="shared" si="32"/>
        <v>-51.5</v>
      </c>
      <c r="AV16" s="566"/>
      <c r="AW16" s="512">
        <v>-34.6</v>
      </c>
      <c r="AX16" s="601">
        <v>-16.899999999999999</v>
      </c>
      <c r="AY16" s="514"/>
      <c r="AZ16" s="572"/>
      <c r="BA16" s="516">
        <f t="shared" si="33"/>
        <v>-51.5</v>
      </c>
    </row>
    <row r="17" spans="1:53" ht="20.100000000000001" customHeight="1" thickBot="1">
      <c r="A17" s="423" t="s">
        <v>62</v>
      </c>
      <c r="B17" s="524">
        <v>-30.1</v>
      </c>
      <c r="C17" s="524">
        <v>-33.200000000000003</v>
      </c>
      <c r="D17" s="524">
        <v>-29.7</v>
      </c>
      <c r="E17" s="524">
        <v>-34.200000000000003</v>
      </c>
      <c r="F17" s="525">
        <f t="shared" si="34"/>
        <v>-127.2</v>
      </c>
      <c r="G17" s="512">
        <v>-29.7</v>
      </c>
      <c r="H17" s="524">
        <v>-29.3</v>
      </c>
      <c r="I17" s="524">
        <v>-28.7</v>
      </c>
      <c r="J17" s="524">
        <v>-27.6</v>
      </c>
      <c r="K17" s="525">
        <f t="shared" si="35"/>
        <v>-115.30000000000001</v>
      </c>
      <c r="L17" s="512">
        <v>-26.000000000000007</v>
      </c>
      <c r="M17" s="524">
        <v>-43.4</v>
      </c>
      <c r="N17" s="524">
        <v>-87.2</v>
      </c>
      <c r="O17" s="524">
        <v>-55.5</v>
      </c>
      <c r="P17" s="516">
        <f t="shared" si="36"/>
        <v>-212.10000000000002</v>
      </c>
      <c r="Q17" s="524">
        <v>-53.8</v>
      </c>
      <c r="R17" s="524">
        <v>-56.1</v>
      </c>
      <c r="S17" s="524">
        <v>-44.6</v>
      </c>
      <c r="T17" s="526">
        <v>-59.099999999999994</v>
      </c>
      <c r="U17" s="516">
        <v>-213.5</v>
      </c>
      <c r="V17" s="524">
        <v>-50.7</v>
      </c>
      <c r="W17" s="524">
        <v>-67.599999999999994</v>
      </c>
      <c r="X17" s="524">
        <v>-50.2</v>
      </c>
      <c r="Y17" s="526">
        <v>-76.5</v>
      </c>
      <c r="Z17" s="516">
        <f t="shared" si="14"/>
        <v>-245</v>
      </c>
      <c r="AA17" s="524">
        <v>-51.6</v>
      </c>
      <c r="AB17" s="524">
        <v>-49.5</v>
      </c>
      <c r="AC17" s="513">
        <v>-52.3</v>
      </c>
      <c r="AD17" s="513">
        <v>-73.5</v>
      </c>
      <c r="AE17" s="516">
        <f t="shared" si="29"/>
        <v>-226.89999999999998</v>
      </c>
      <c r="AF17" s="524">
        <v>-55.3</v>
      </c>
      <c r="AG17" s="527">
        <v>-55.2</v>
      </c>
      <c r="AH17" s="531">
        <v>-53.4</v>
      </c>
      <c r="AI17" s="546">
        <v>-68</v>
      </c>
      <c r="AJ17" s="516">
        <f t="shared" si="30"/>
        <v>-231.9</v>
      </c>
      <c r="AK17" s="532"/>
      <c r="AL17" s="512">
        <v>-55.3</v>
      </c>
      <c r="AM17" s="527">
        <v>-61.8</v>
      </c>
      <c r="AN17" s="514">
        <v>-69.099999999999994</v>
      </c>
      <c r="AO17" s="546">
        <v>-86.800000000000011</v>
      </c>
      <c r="AP17" s="516">
        <f t="shared" si="31"/>
        <v>-273</v>
      </c>
      <c r="AQ17" s="512">
        <v>-70.599999999999994</v>
      </c>
      <c r="AR17" s="601">
        <v>-73.599999999999994</v>
      </c>
      <c r="AS17" s="514"/>
      <c r="AT17" s="572"/>
      <c r="AU17" s="516">
        <f t="shared" si="32"/>
        <v>-144.19999999999999</v>
      </c>
      <c r="AV17" s="566"/>
      <c r="AW17" s="512">
        <v>-57.8</v>
      </c>
      <c r="AX17" s="601">
        <v>-60.4</v>
      </c>
      <c r="AY17" s="514"/>
      <c r="AZ17" s="572"/>
      <c r="BA17" s="516">
        <f t="shared" si="33"/>
        <v>-118.19999999999999</v>
      </c>
    </row>
    <row r="18" spans="1:53" s="433" customFormat="1" ht="20.100000000000001" customHeight="1" thickBot="1">
      <c r="A18" s="428" t="s">
        <v>63</v>
      </c>
      <c r="B18" s="419">
        <v>-1.7</v>
      </c>
      <c r="C18" s="419">
        <v>-1.1000000000000001</v>
      </c>
      <c r="D18" s="419">
        <v>-2</v>
      </c>
      <c r="E18" s="419">
        <v>-12.7</v>
      </c>
      <c r="F18" s="429">
        <f t="shared" si="34"/>
        <v>-17.5</v>
      </c>
      <c r="G18" s="430">
        <v>0.5</v>
      </c>
      <c r="H18" s="419">
        <v>1.5</v>
      </c>
      <c r="I18" s="419">
        <v>36.799999999999997</v>
      </c>
      <c r="J18" s="419">
        <v>-2</v>
      </c>
      <c r="K18" s="429">
        <f t="shared" si="35"/>
        <v>36.799999999999997</v>
      </c>
      <c r="L18" s="430">
        <v>3.6</v>
      </c>
      <c r="M18" s="419">
        <v>3.5</v>
      </c>
      <c r="N18" s="419">
        <v>4.7</v>
      </c>
      <c r="O18" s="419">
        <v>-2.2000000000000002</v>
      </c>
      <c r="P18" s="431">
        <f t="shared" si="36"/>
        <v>9.6000000000000014</v>
      </c>
      <c r="Q18" s="419">
        <v>8.6999999999999993</v>
      </c>
      <c r="R18" s="419">
        <v>13.8</v>
      </c>
      <c r="S18" s="419">
        <v>14.4</v>
      </c>
      <c r="T18" s="419">
        <v>-6.2</v>
      </c>
      <c r="U18" s="431">
        <v>30.7</v>
      </c>
      <c r="V18" s="419">
        <v>6.8</v>
      </c>
      <c r="W18" s="419">
        <v>6.6</v>
      </c>
      <c r="X18" s="419">
        <v>0</v>
      </c>
      <c r="Y18" s="419">
        <v>-4.5999999999999996</v>
      </c>
      <c r="Z18" s="431">
        <f t="shared" si="14"/>
        <v>8.7999999999999989</v>
      </c>
      <c r="AA18" s="419">
        <v>6.8</v>
      </c>
      <c r="AB18" s="419">
        <v>9.9</v>
      </c>
      <c r="AC18" s="432">
        <v>6.7</v>
      </c>
      <c r="AD18" s="416">
        <v>-2.1</v>
      </c>
      <c r="AE18" s="431">
        <f t="shared" si="29"/>
        <v>21.299999999999997</v>
      </c>
      <c r="AF18" s="419">
        <v>6.7</v>
      </c>
      <c r="AG18" s="419">
        <v>-1.9</v>
      </c>
      <c r="AH18" s="465">
        <v>4.5999999999999996</v>
      </c>
      <c r="AI18" s="547">
        <v>0</v>
      </c>
      <c r="AJ18" s="431">
        <f t="shared" si="30"/>
        <v>9.4</v>
      </c>
      <c r="AL18" s="518">
        <v>6.7</v>
      </c>
      <c r="AM18" s="419">
        <v>-0.6</v>
      </c>
      <c r="AN18" s="519">
        <v>7.3</v>
      </c>
      <c r="AO18" s="547">
        <v>6.2999999999999989</v>
      </c>
      <c r="AP18" s="520">
        <f t="shared" si="31"/>
        <v>19.7</v>
      </c>
      <c r="AQ18" s="518">
        <v>16.600000000000001</v>
      </c>
      <c r="AR18" s="602">
        <v>6.7</v>
      </c>
      <c r="AS18" s="519"/>
      <c r="AT18" s="577"/>
      <c r="AU18" s="431">
        <f>SUM(AQ18:AT18)</f>
        <v>23.3</v>
      </c>
      <c r="AV18" s="580"/>
      <c r="AW18" s="518">
        <v>16.600000000000001</v>
      </c>
      <c r="AX18" s="602">
        <v>6.7</v>
      </c>
      <c r="AY18" s="519"/>
      <c r="AZ18" s="577"/>
      <c r="BA18" s="431">
        <f t="shared" si="33"/>
        <v>23.3</v>
      </c>
    </row>
    <row r="19" spans="1:53" s="425" customFormat="1" ht="24.95" customHeight="1" thickBot="1">
      <c r="A19" s="428" t="s">
        <v>64</v>
      </c>
      <c r="B19" s="416">
        <f t="shared" ref="B19:AA19" si="37">B4+B9+B18</f>
        <v>203.00000000000006</v>
      </c>
      <c r="C19" s="416">
        <f t="shared" si="37"/>
        <v>212.99999999999997</v>
      </c>
      <c r="D19" s="416">
        <f t="shared" si="37"/>
        <v>197.60000000000002</v>
      </c>
      <c r="E19" s="416">
        <f t="shared" si="37"/>
        <v>175.50000000000017</v>
      </c>
      <c r="F19" s="429">
        <f t="shared" si="37"/>
        <v>789.09999999999923</v>
      </c>
      <c r="G19" s="417">
        <f t="shared" si="37"/>
        <v>184.67999999999995</v>
      </c>
      <c r="H19" s="416">
        <f t="shared" si="37"/>
        <v>195</v>
      </c>
      <c r="I19" s="416">
        <f t="shared" si="37"/>
        <v>203.39999999999998</v>
      </c>
      <c r="J19" s="416">
        <f t="shared" si="37"/>
        <v>206.79999999999995</v>
      </c>
      <c r="K19" s="429">
        <f t="shared" si="37"/>
        <v>789.88000000000034</v>
      </c>
      <c r="L19" s="417">
        <f t="shared" si="37"/>
        <v>219.39999999999984</v>
      </c>
      <c r="M19" s="416">
        <f t="shared" si="37"/>
        <v>397.59999999999991</v>
      </c>
      <c r="N19" s="416">
        <f t="shared" si="37"/>
        <v>431.79999999999967</v>
      </c>
      <c r="O19" s="416">
        <f t="shared" si="37"/>
        <v>393.50000000000074</v>
      </c>
      <c r="P19" s="431">
        <f t="shared" si="37"/>
        <v>1442.2999999999979</v>
      </c>
      <c r="Q19" s="416">
        <f t="shared" si="37"/>
        <v>428.7</v>
      </c>
      <c r="R19" s="416">
        <f t="shared" si="37"/>
        <v>583.5</v>
      </c>
      <c r="S19" s="416">
        <f t="shared" si="37"/>
        <v>529.1999999999997</v>
      </c>
      <c r="T19" s="416">
        <f t="shared" si="37"/>
        <v>444.40000000000038</v>
      </c>
      <c r="U19" s="431">
        <f t="shared" si="37"/>
        <v>1985.7999999999995</v>
      </c>
      <c r="V19" s="416">
        <f t="shared" si="37"/>
        <v>422.8</v>
      </c>
      <c r="W19" s="416">
        <f t="shared" si="37"/>
        <v>407.50000000000011</v>
      </c>
      <c r="X19" s="416">
        <f t="shared" si="37"/>
        <v>449.10000000000036</v>
      </c>
      <c r="Y19" s="416">
        <f t="shared" si="37"/>
        <v>389.9</v>
      </c>
      <c r="Z19" s="431">
        <f t="shared" si="37"/>
        <v>1669.3</v>
      </c>
      <c r="AA19" s="416">
        <f t="shared" si="37"/>
        <v>457.20000000000033</v>
      </c>
      <c r="AB19" s="416">
        <f>AB4+AB9+AB18</f>
        <v>516.99999999999989</v>
      </c>
      <c r="AC19" s="416">
        <f>AC4+AC9+AC18</f>
        <v>421.90000000000003</v>
      </c>
      <c r="AD19" s="418">
        <f t="shared" ref="AD19:AF19" si="38">AD4+AD9+AD18</f>
        <v>437.9</v>
      </c>
      <c r="AE19" s="431">
        <f t="shared" si="38"/>
        <v>1834.0000000000007</v>
      </c>
      <c r="AF19" s="416">
        <f t="shared" si="38"/>
        <v>464.29999999999967</v>
      </c>
      <c r="AG19" s="416">
        <f>AG4+AG9+AG18</f>
        <v>488.49999999999989</v>
      </c>
      <c r="AH19" s="547">
        <f>AH4+AH9+AH18</f>
        <v>396.00000000000011</v>
      </c>
      <c r="AI19" s="556">
        <f>AI4+AI9+AI18</f>
        <v>416</v>
      </c>
      <c r="AJ19" s="557">
        <f t="shared" ref="AJ19" si="39">AJ4+AJ9+AJ18</f>
        <v>1764.7999999999997</v>
      </c>
      <c r="AK19" s="488"/>
      <c r="AL19" s="508">
        <f t="shared" ref="AL19" si="40">AL4+AL9+AL18</f>
        <v>435.49999999999994</v>
      </c>
      <c r="AM19" s="416">
        <f>AM4+AM9+AM18</f>
        <v>475.5999999999998</v>
      </c>
      <c r="AN19" s="510">
        <f>AN4+AN9+AN18</f>
        <v>396.49999999999983</v>
      </c>
      <c r="AO19" s="510">
        <f>AO4+AO9+AO18</f>
        <v>419.39999999999992</v>
      </c>
      <c r="AP19" s="520">
        <f t="shared" ref="AP19:AR19" si="41">AP4+AP9+AP18</f>
        <v>1727.000000000003</v>
      </c>
      <c r="AQ19" s="508">
        <f t="shared" si="41"/>
        <v>481.9000000000002</v>
      </c>
      <c r="AR19" s="509">
        <f t="shared" si="41"/>
        <v>515.29999999999995</v>
      </c>
      <c r="AS19" s="597"/>
      <c r="AT19" s="597"/>
      <c r="AU19" s="557">
        <f t="shared" ref="AU19" si="42">AU4+AU9+AU18</f>
        <v>997.2000000000005</v>
      </c>
      <c r="AV19" s="578"/>
      <c r="AW19" s="508">
        <f t="shared" ref="AW19:AX19" si="43">AW4+AW9+AW18</f>
        <v>491.19999999999948</v>
      </c>
      <c r="AX19" s="509">
        <f t="shared" si="43"/>
        <v>522.49999999999977</v>
      </c>
      <c r="AY19" s="597"/>
      <c r="AZ19" s="597"/>
      <c r="BA19" s="557">
        <f t="shared" ref="BA19" si="44">BA4+BA9+BA18</f>
        <v>1013.6999999999996</v>
      </c>
    </row>
    <row r="20" spans="1:53" ht="20.100000000000001" customHeight="1">
      <c r="A20" s="434" t="s">
        <v>65</v>
      </c>
      <c r="B20" s="524">
        <v>12.5</v>
      </c>
      <c r="C20" s="524">
        <v>-8.5</v>
      </c>
      <c r="D20" s="524">
        <v>5.3</v>
      </c>
      <c r="E20" s="524">
        <v>5</v>
      </c>
      <c r="F20" s="525">
        <f>SUM(B20:E20)</f>
        <v>14.3</v>
      </c>
      <c r="G20" s="512">
        <v>3.9</v>
      </c>
      <c r="H20" s="524">
        <v>0.7</v>
      </c>
      <c r="I20" s="524">
        <v>7.4</v>
      </c>
      <c r="J20" s="524">
        <v>4.0999999999999996</v>
      </c>
      <c r="K20" s="525">
        <f>SUM(G20:J20)</f>
        <v>16.100000000000001</v>
      </c>
      <c r="L20" s="512">
        <v>1.3</v>
      </c>
      <c r="M20" s="524">
        <v>23.9</v>
      </c>
      <c r="N20" s="524">
        <v>1.5</v>
      </c>
      <c r="O20" s="524">
        <v>-11.4</v>
      </c>
      <c r="P20" s="516">
        <f>SUM(L20:O20)</f>
        <v>15.299999999999999</v>
      </c>
      <c r="Q20" s="524">
        <v>28.9</v>
      </c>
      <c r="R20" s="524">
        <v>-11.9</v>
      </c>
      <c r="S20" s="524">
        <v>-5.2</v>
      </c>
      <c r="T20" s="526">
        <v>-3.2</v>
      </c>
      <c r="U20" s="516">
        <f>SUM(Q20:T20)</f>
        <v>8.6000000000000014</v>
      </c>
      <c r="V20" s="524">
        <v>-35.200000000000003</v>
      </c>
      <c r="W20" s="524">
        <v>-21.4</v>
      </c>
      <c r="X20" s="524">
        <v>13.1</v>
      </c>
      <c r="Y20" s="526">
        <v>-26.3</v>
      </c>
      <c r="Z20" s="516">
        <f t="shared" si="14"/>
        <v>-69.8</v>
      </c>
      <c r="AA20" s="524">
        <v>30.5</v>
      </c>
      <c r="AB20" s="524">
        <v>-14.4</v>
      </c>
      <c r="AC20" s="513">
        <v>-28</v>
      </c>
      <c r="AD20" s="513">
        <v>19.100000000000001</v>
      </c>
      <c r="AE20" s="516">
        <f t="shared" ref="AE20:AE23" si="45">SUM(AA20:AD20)</f>
        <v>7.2000000000000028</v>
      </c>
      <c r="AF20" s="524">
        <v>-3.4</v>
      </c>
      <c r="AG20" s="527">
        <v>-34.4</v>
      </c>
      <c r="AH20" s="513">
        <v>12.7</v>
      </c>
      <c r="AI20" s="513">
        <v>4.7</v>
      </c>
      <c r="AJ20" s="516">
        <f t="shared" ref="AJ20:AJ22" si="46">SUM(AF20:AI20)</f>
        <v>-20.399999999999999</v>
      </c>
      <c r="AK20" s="532"/>
      <c r="AL20" s="512">
        <v>-3.4</v>
      </c>
      <c r="AM20" s="527">
        <v>-45.9</v>
      </c>
      <c r="AN20" s="515">
        <v>11.7</v>
      </c>
      <c r="AO20" s="546">
        <v>4.6000000000000014</v>
      </c>
      <c r="AP20" s="516">
        <f t="shared" ref="AP20:AP22" si="47">SUM(AL20:AO20)</f>
        <v>-32.999999999999993</v>
      </c>
      <c r="AQ20" s="512">
        <v>1.3</v>
      </c>
      <c r="AR20" s="601">
        <v>13.6</v>
      </c>
      <c r="AS20" s="515"/>
      <c r="AT20" s="572"/>
      <c r="AU20" s="516">
        <f t="shared" ref="AU20:AU23" si="48">SUM(AQ20:AT20)</f>
        <v>14.9</v>
      </c>
      <c r="AV20" s="566"/>
      <c r="AW20" s="512">
        <v>-12.2</v>
      </c>
      <c r="AX20" s="601">
        <v>4.8</v>
      </c>
      <c r="AY20" s="515"/>
      <c r="AZ20" s="572"/>
      <c r="BA20" s="516">
        <f t="shared" ref="BA20:BA23" si="49">SUM(AW20:AZ20)</f>
        <v>-7.3999999999999995</v>
      </c>
    </row>
    <row r="21" spans="1:53" ht="20.100000000000001" customHeight="1">
      <c r="A21" s="618" t="s">
        <v>336</v>
      </c>
      <c r="B21" s="524">
        <v>30.1</v>
      </c>
      <c r="C21" s="524">
        <v>-92.4</v>
      </c>
      <c r="D21" s="524">
        <v>-5.2</v>
      </c>
      <c r="E21" s="524">
        <v>-43.1</v>
      </c>
      <c r="F21" s="525">
        <f t="shared" ref="F21" si="50">SUM(B21:E21)</f>
        <v>-110.6</v>
      </c>
      <c r="G21" s="512">
        <v>-80.099999999999994</v>
      </c>
      <c r="H21" s="524">
        <v>-102.4</v>
      </c>
      <c r="I21" s="524">
        <v>-10.7</v>
      </c>
      <c r="J21" s="524">
        <v>-22.8</v>
      </c>
      <c r="K21" s="525">
        <f t="shared" ref="K21" si="51">SUM(G21:J21)</f>
        <v>-216</v>
      </c>
      <c r="L21" s="512">
        <v>-108.8</v>
      </c>
      <c r="M21" s="524">
        <v>-273.39999999999998</v>
      </c>
      <c r="N21" s="524">
        <v>-384.7</v>
      </c>
      <c r="O21" s="524">
        <v>-379.2</v>
      </c>
      <c r="P21" s="516">
        <f t="shared" ref="P21" si="52">SUM(L21:O21)</f>
        <v>-1146.0999999999999</v>
      </c>
      <c r="Q21" s="524">
        <v>-261.3</v>
      </c>
      <c r="R21" s="524">
        <v>-222.1</v>
      </c>
      <c r="S21" s="524">
        <v>88.8</v>
      </c>
      <c r="T21" s="526">
        <v>-270</v>
      </c>
      <c r="U21" s="516">
        <f t="shared" ref="U21" si="53">SUM(Q21:T21)</f>
        <v>-664.59999999999991</v>
      </c>
      <c r="V21" s="524">
        <v>-182.7</v>
      </c>
      <c r="W21" s="524">
        <v>-133.19999999999999</v>
      </c>
      <c r="X21" s="524">
        <v>-127.3</v>
      </c>
      <c r="Y21" s="526">
        <v>-122.9</v>
      </c>
      <c r="Z21" s="516">
        <f t="shared" si="14"/>
        <v>-566.1</v>
      </c>
      <c r="AA21" s="524">
        <v>-185.5</v>
      </c>
      <c r="AB21" s="524">
        <v>-113.3</v>
      </c>
      <c r="AC21" s="513">
        <v>-104.8</v>
      </c>
      <c r="AD21" s="513">
        <v>-105.4</v>
      </c>
      <c r="AE21" s="516">
        <f t="shared" si="45"/>
        <v>-509</v>
      </c>
      <c r="AF21" s="524">
        <v>-72.599999999999994</v>
      </c>
      <c r="AG21" s="527">
        <v>-98.8</v>
      </c>
      <c r="AH21" s="513">
        <v>-100.9</v>
      </c>
      <c r="AI21" s="513">
        <v>-113.3</v>
      </c>
      <c r="AJ21" s="516">
        <f t="shared" si="46"/>
        <v>-385.59999999999997</v>
      </c>
      <c r="AK21" s="532"/>
      <c r="AL21" s="512">
        <v>-72.599999999999994</v>
      </c>
      <c r="AM21" s="527">
        <v>-98.9</v>
      </c>
      <c r="AN21" s="515">
        <v>-101.6</v>
      </c>
      <c r="AO21" s="546">
        <v>-113.59999999999997</v>
      </c>
      <c r="AP21" s="516">
        <f t="shared" si="47"/>
        <v>-386.7</v>
      </c>
      <c r="AQ21" s="512">
        <v>-102.7</v>
      </c>
      <c r="AR21" s="601">
        <v>-170</v>
      </c>
      <c r="AS21" s="515"/>
      <c r="AT21" s="572"/>
      <c r="AU21" s="516">
        <f t="shared" si="48"/>
        <v>-272.7</v>
      </c>
      <c r="AV21" s="566"/>
      <c r="AW21" s="512">
        <v>-102.7</v>
      </c>
      <c r="AX21" s="601">
        <v>-170</v>
      </c>
      <c r="AY21" s="515"/>
      <c r="AZ21" s="572"/>
      <c r="BA21" s="516">
        <f t="shared" si="49"/>
        <v>-272.7</v>
      </c>
    </row>
    <row r="22" spans="1:53" ht="30">
      <c r="A22" s="435" t="s">
        <v>184</v>
      </c>
      <c r="B22" s="524">
        <v>0.7</v>
      </c>
      <c r="C22" s="524">
        <v>0.8</v>
      </c>
      <c r="D22" s="524">
        <v>0.5</v>
      </c>
      <c r="E22" s="524">
        <v>0.8</v>
      </c>
      <c r="F22" s="525">
        <f t="shared" ref="F22" si="54">SUM(B22:E22)</f>
        <v>2.8</v>
      </c>
      <c r="G22" s="512">
        <v>0.8</v>
      </c>
      <c r="H22" s="524">
        <v>0.8</v>
      </c>
      <c r="I22" s="524">
        <v>0.7</v>
      </c>
      <c r="J22" s="524">
        <v>0.6</v>
      </c>
      <c r="K22" s="525">
        <f t="shared" ref="K22" si="55">SUM(G22:J22)</f>
        <v>2.9</v>
      </c>
      <c r="L22" s="512">
        <v>0.7</v>
      </c>
      <c r="M22" s="524">
        <v>0.7</v>
      </c>
      <c r="N22" s="524">
        <v>0.7</v>
      </c>
      <c r="O22" s="524">
        <v>0.6</v>
      </c>
      <c r="P22" s="516">
        <f t="shared" ref="P22" si="56">SUM(L22:O22)</f>
        <v>2.6999999999999997</v>
      </c>
      <c r="Q22" s="524">
        <v>0.5</v>
      </c>
      <c r="R22" s="524">
        <v>0.9</v>
      </c>
      <c r="S22" s="524">
        <v>0.5</v>
      </c>
      <c r="T22" s="526">
        <v>0.70000000000000018</v>
      </c>
      <c r="U22" s="516">
        <f t="shared" ref="U22" si="57">SUM(Q22:T22)</f>
        <v>2.6</v>
      </c>
      <c r="V22" s="524">
        <v>0.8</v>
      </c>
      <c r="W22" s="524">
        <v>-0.8</v>
      </c>
      <c r="X22" s="513">
        <v>0</v>
      </c>
      <c r="Y22" s="513">
        <v>0</v>
      </c>
      <c r="Z22" s="516">
        <f t="shared" ref="Z22" si="58">SUM(V22:Y22)</f>
        <v>0</v>
      </c>
      <c r="AA22" s="513">
        <v>0</v>
      </c>
      <c r="AB22" s="513">
        <v>0</v>
      </c>
      <c r="AC22" s="513">
        <v>0</v>
      </c>
      <c r="AD22" s="513">
        <v>0</v>
      </c>
      <c r="AE22" s="516">
        <v>0</v>
      </c>
      <c r="AF22" s="513">
        <v>0</v>
      </c>
      <c r="AG22" s="513">
        <v>0</v>
      </c>
      <c r="AH22" s="513">
        <v>0</v>
      </c>
      <c r="AI22" s="513">
        <v>0</v>
      </c>
      <c r="AJ22" s="516">
        <f t="shared" si="46"/>
        <v>0</v>
      </c>
      <c r="AK22" s="532"/>
      <c r="AL22" s="521">
        <v>0</v>
      </c>
      <c r="AM22" s="513">
        <v>0</v>
      </c>
      <c r="AN22" s="513">
        <v>0</v>
      </c>
      <c r="AO22" s="513">
        <v>0</v>
      </c>
      <c r="AP22" s="516">
        <f t="shared" si="47"/>
        <v>0</v>
      </c>
      <c r="AQ22" s="521">
        <v>0</v>
      </c>
      <c r="AR22" s="573">
        <v>0</v>
      </c>
      <c r="AS22" s="513"/>
      <c r="AT22" s="573"/>
      <c r="AU22" s="516">
        <f t="shared" si="48"/>
        <v>0</v>
      </c>
      <c r="AV22" s="566"/>
      <c r="AW22" s="521">
        <v>0</v>
      </c>
      <c r="AX22" s="573">
        <v>0</v>
      </c>
      <c r="AY22" s="513"/>
      <c r="AZ22" s="573"/>
      <c r="BA22" s="516">
        <f t="shared" si="49"/>
        <v>0</v>
      </c>
    </row>
    <row r="23" spans="1:53" ht="30.75" thickBot="1">
      <c r="A23" s="436" t="s">
        <v>266</v>
      </c>
      <c r="B23" s="524"/>
      <c r="C23" s="524"/>
      <c r="D23" s="524"/>
      <c r="E23" s="524"/>
      <c r="F23" s="525"/>
      <c r="G23" s="512"/>
      <c r="H23" s="524"/>
      <c r="I23" s="524"/>
      <c r="J23" s="524"/>
      <c r="K23" s="525"/>
      <c r="L23" s="512"/>
      <c r="M23" s="524"/>
      <c r="N23" s="524"/>
      <c r="O23" s="524"/>
      <c r="P23" s="516"/>
      <c r="Q23" s="524"/>
      <c r="R23" s="524"/>
      <c r="S23" s="524"/>
      <c r="T23" s="526"/>
      <c r="U23" s="516"/>
      <c r="V23" s="524"/>
      <c r="W23" s="524"/>
      <c r="X23" s="513"/>
      <c r="Y23" s="513">
        <v>0</v>
      </c>
      <c r="Z23" s="516">
        <f t="shared" si="14"/>
        <v>0</v>
      </c>
      <c r="AA23" s="513"/>
      <c r="AB23" s="513"/>
      <c r="AC23" s="513"/>
      <c r="AD23" s="513">
        <v>2.8</v>
      </c>
      <c r="AE23" s="516">
        <f t="shared" si="45"/>
        <v>2.8</v>
      </c>
      <c r="AF23" s="513">
        <v>5.2</v>
      </c>
      <c r="AG23" s="523">
        <v>-0.1</v>
      </c>
      <c r="AH23" s="513">
        <v>-3.5</v>
      </c>
      <c r="AI23" s="513">
        <v>-2.8</v>
      </c>
      <c r="AJ23" s="516">
        <f t="shared" ref="AJ23" si="59">SUM(AF23:AI23)</f>
        <v>-1.1999999999999993</v>
      </c>
      <c r="AK23" s="532"/>
      <c r="AL23" s="522">
        <v>5.2</v>
      </c>
      <c r="AM23" s="523">
        <v>-0.1</v>
      </c>
      <c r="AN23" s="515">
        <v>-3.5</v>
      </c>
      <c r="AO23" s="202">
        <v>-2.8</v>
      </c>
      <c r="AP23" s="516">
        <f t="shared" ref="AP23" si="60">SUM(AL23:AO23)</f>
        <v>-1.1999999999999993</v>
      </c>
      <c r="AQ23" s="522">
        <v>-1.7</v>
      </c>
      <c r="AR23" s="603">
        <v>-1.9</v>
      </c>
      <c r="AS23" s="515"/>
      <c r="AT23" s="573"/>
      <c r="AU23" s="516">
        <f t="shared" si="48"/>
        <v>-3.5999999999999996</v>
      </c>
      <c r="AV23" s="566"/>
      <c r="AW23" s="522">
        <v>-1.7</v>
      </c>
      <c r="AX23" s="603">
        <v>-1.9</v>
      </c>
      <c r="AY23" s="515"/>
      <c r="AZ23" s="573"/>
      <c r="BA23" s="516">
        <f t="shared" si="49"/>
        <v>-3.5999999999999996</v>
      </c>
    </row>
    <row r="24" spans="1:53" s="425" customFormat="1" ht="24.95" customHeight="1" thickBot="1">
      <c r="A24" s="437" t="s">
        <v>66</v>
      </c>
      <c r="B24" s="509">
        <f t="shared" ref="B24:AD24" si="61">B19+B20+B21+B22+B23</f>
        <v>246.30000000000004</v>
      </c>
      <c r="C24" s="509">
        <f t="shared" si="61"/>
        <v>112.89999999999996</v>
      </c>
      <c r="D24" s="509">
        <f t="shared" si="61"/>
        <v>198.20000000000005</v>
      </c>
      <c r="E24" s="509">
        <f t="shared" si="61"/>
        <v>138.20000000000019</v>
      </c>
      <c r="F24" s="533">
        <f t="shared" si="61"/>
        <v>695.59999999999911</v>
      </c>
      <c r="G24" s="508">
        <f t="shared" si="61"/>
        <v>109.27999999999996</v>
      </c>
      <c r="H24" s="509">
        <f t="shared" si="61"/>
        <v>94.09999999999998</v>
      </c>
      <c r="I24" s="509">
        <f t="shared" si="61"/>
        <v>200.79999999999998</v>
      </c>
      <c r="J24" s="509">
        <f t="shared" si="61"/>
        <v>188.69999999999993</v>
      </c>
      <c r="K24" s="533">
        <f t="shared" si="61"/>
        <v>592.88000000000034</v>
      </c>
      <c r="L24" s="508">
        <f t="shared" si="61"/>
        <v>112.59999999999985</v>
      </c>
      <c r="M24" s="509">
        <f t="shared" si="61"/>
        <v>148.7999999999999</v>
      </c>
      <c r="N24" s="509">
        <f t="shared" si="61"/>
        <v>49.299999999999685</v>
      </c>
      <c r="O24" s="509">
        <f t="shared" si="61"/>
        <v>3.5000000000007732</v>
      </c>
      <c r="P24" s="520">
        <f t="shared" si="61"/>
        <v>314.19999999999794</v>
      </c>
      <c r="Q24" s="509">
        <f t="shared" si="61"/>
        <v>196.79999999999995</v>
      </c>
      <c r="R24" s="509">
        <f t="shared" si="61"/>
        <v>350.4</v>
      </c>
      <c r="S24" s="509">
        <f t="shared" si="61"/>
        <v>613.29999999999961</v>
      </c>
      <c r="T24" s="509">
        <f t="shared" si="61"/>
        <v>171.90000000000038</v>
      </c>
      <c r="U24" s="520">
        <f t="shared" si="61"/>
        <v>1332.3999999999994</v>
      </c>
      <c r="V24" s="509">
        <f t="shared" si="61"/>
        <v>205.70000000000005</v>
      </c>
      <c r="W24" s="509">
        <f t="shared" si="61"/>
        <v>252.10000000000014</v>
      </c>
      <c r="X24" s="509">
        <f t="shared" si="61"/>
        <v>334.90000000000038</v>
      </c>
      <c r="Y24" s="509">
        <f t="shared" si="61"/>
        <v>240.69999999999996</v>
      </c>
      <c r="Z24" s="520">
        <f t="shared" si="61"/>
        <v>1033.4000000000001</v>
      </c>
      <c r="AA24" s="509">
        <f t="shared" si="61"/>
        <v>302.20000000000033</v>
      </c>
      <c r="AB24" s="509">
        <f t="shared" si="61"/>
        <v>389.2999999999999</v>
      </c>
      <c r="AC24" s="509">
        <f t="shared" si="61"/>
        <v>289.10000000000002</v>
      </c>
      <c r="AD24" s="529">
        <f t="shared" si="61"/>
        <v>354.40000000000003</v>
      </c>
      <c r="AE24" s="520">
        <f>AE19+AE20+AE21+AE22+AE23</f>
        <v>1335.0000000000007</v>
      </c>
      <c r="AF24" s="509">
        <f t="shared" ref="AF24" si="62">AF19+AF20+AF21+AF22+AF23</f>
        <v>393.49999999999972</v>
      </c>
      <c r="AG24" s="509">
        <f>AG19+AG20+AG21+AG22+AG23</f>
        <v>355.19999999999987</v>
      </c>
      <c r="AH24" s="530">
        <f>AH19+AH20+AH21+AH22+AH23</f>
        <v>304.30000000000007</v>
      </c>
      <c r="AI24" s="530">
        <f>AI19+AI20+AI21+AI22+AI23</f>
        <v>304.59999999999997</v>
      </c>
      <c r="AJ24" s="520">
        <f>AJ19+AJ20+AJ21+AJ22+AJ23</f>
        <v>1357.5999999999997</v>
      </c>
      <c r="AK24" s="534"/>
      <c r="AL24" s="508">
        <f t="shared" ref="AL24:AO24" si="63">AL19+AL20+AL21+AL22+AL23</f>
        <v>364.7</v>
      </c>
      <c r="AM24" s="509">
        <f>AM19+AM20+AM21+AM22+AM23</f>
        <v>330.69999999999982</v>
      </c>
      <c r="AN24" s="509">
        <f t="shared" si="63"/>
        <v>303.0999999999998</v>
      </c>
      <c r="AO24" s="509">
        <f t="shared" si="63"/>
        <v>307.59999999999997</v>
      </c>
      <c r="AP24" s="520">
        <f>AP19+AP20+AP21+AP22+AP23</f>
        <v>1306.1000000000029</v>
      </c>
      <c r="AQ24" s="508">
        <f t="shared" ref="AQ24" si="64">AQ19+AQ20+AQ21+AQ22+AQ23</f>
        <v>378.80000000000024</v>
      </c>
      <c r="AR24" s="509">
        <f>AR19+AR20+AR21+AR22+AR23</f>
        <v>357</v>
      </c>
      <c r="AS24" s="596"/>
      <c r="AT24" s="596"/>
      <c r="AU24" s="520">
        <f>AU19+AU20+AU21+AU22+AU23</f>
        <v>735.80000000000052</v>
      </c>
      <c r="AV24" s="578"/>
      <c r="AW24" s="508">
        <f t="shared" ref="AW24" si="65">AW19+AW20+AW21+AW22+AW23</f>
        <v>374.59999999999951</v>
      </c>
      <c r="AX24" s="509">
        <f>AX19+AX20+AX21+AX22+AX23</f>
        <v>355.39999999999975</v>
      </c>
      <c r="AY24" s="596"/>
      <c r="AZ24" s="596"/>
      <c r="BA24" s="520">
        <f>BA19+BA20+BA21+BA22+BA23</f>
        <v>729.99999999999966</v>
      </c>
    </row>
    <row r="25" spans="1:53" ht="20.100000000000001" customHeight="1" thickBot="1">
      <c r="A25" s="438" t="s">
        <v>67</v>
      </c>
      <c r="B25" s="524">
        <v>-41.2</v>
      </c>
      <c r="C25" s="524">
        <v>-13.4</v>
      </c>
      <c r="D25" s="524">
        <v>-26.2</v>
      </c>
      <c r="E25" s="524">
        <v>-16.600000000000001</v>
      </c>
      <c r="F25" s="525">
        <f>SUM(B25:E25)</f>
        <v>-97.4</v>
      </c>
      <c r="G25" s="512">
        <v>-14.1</v>
      </c>
      <c r="H25" s="524">
        <v>-13.4</v>
      </c>
      <c r="I25" s="524">
        <v>-24.4</v>
      </c>
      <c r="J25" s="524">
        <v>-15.5</v>
      </c>
      <c r="K25" s="525">
        <f>SUM(G25:J25)</f>
        <v>-67.400000000000006</v>
      </c>
      <c r="L25" s="512">
        <v>-14.400000000000002</v>
      </c>
      <c r="M25" s="524">
        <v>-16.7</v>
      </c>
      <c r="N25" s="524">
        <v>-1.1000000000000001</v>
      </c>
      <c r="O25" s="524">
        <v>10.5</v>
      </c>
      <c r="P25" s="516">
        <f>SUM(L25:O25)</f>
        <v>-21.700000000000003</v>
      </c>
      <c r="Q25" s="524">
        <v>-26</v>
      </c>
      <c r="R25" s="524">
        <v>-45.9</v>
      </c>
      <c r="S25" s="524">
        <v>-110.8</v>
      </c>
      <c r="T25" s="524">
        <v>13.7</v>
      </c>
      <c r="U25" s="516">
        <f>SUM(Q25:T25)</f>
        <v>-169</v>
      </c>
      <c r="V25" s="524">
        <v>-27.2</v>
      </c>
      <c r="W25" s="524">
        <v>-21.2</v>
      </c>
      <c r="X25" s="524">
        <v>-65.099999999999994</v>
      </c>
      <c r="Y25" s="524">
        <v>101.1</v>
      </c>
      <c r="Z25" s="516">
        <f t="shared" si="14"/>
        <v>-12.400000000000006</v>
      </c>
      <c r="AA25" s="524">
        <v>-30.8</v>
      </c>
      <c r="AB25" s="524">
        <v>-107.6</v>
      </c>
      <c r="AC25" s="513">
        <v>-54.2</v>
      </c>
      <c r="AD25" s="524">
        <v>-197.2</v>
      </c>
      <c r="AE25" s="516">
        <f>SUM(AA25:AD25)</f>
        <v>-389.8</v>
      </c>
      <c r="AF25" s="524">
        <v>-78</v>
      </c>
      <c r="AG25" s="524">
        <v>-102.1</v>
      </c>
      <c r="AH25" s="513">
        <v>-77.3</v>
      </c>
      <c r="AI25" s="524">
        <v>-246.7</v>
      </c>
      <c r="AJ25" s="516">
        <f>SUM(AF25:AI25)</f>
        <v>-504.09999999999997</v>
      </c>
      <c r="AK25" s="532"/>
      <c r="AL25" s="512">
        <v>-72.5</v>
      </c>
      <c r="AM25" s="524">
        <v>-99.3</v>
      </c>
      <c r="AN25" s="515">
        <v>-76</v>
      </c>
      <c r="AO25" s="548">
        <v>-242.2</v>
      </c>
      <c r="AP25" s="516">
        <f>SUM(AL25:AO25)</f>
        <v>-490</v>
      </c>
      <c r="AQ25" s="512">
        <v>-78</v>
      </c>
      <c r="AR25" s="579">
        <v>-86.9</v>
      </c>
      <c r="AS25" s="515"/>
      <c r="AT25" s="579"/>
      <c r="AU25" s="516">
        <f>SUM(AQ25:AT25)</f>
        <v>-164.9</v>
      </c>
      <c r="AV25" s="566"/>
      <c r="AW25" s="512">
        <v>-77.3</v>
      </c>
      <c r="AX25" s="579">
        <v>-86.5</v>
      </c>
      <c r="AY25" s="515"/>
      <c r="AZ25" s="579"/>
      <c r="BA25" s="516">
        <f>SUM(AW25:AZ25)</f>
        <v>-163.80000000000001</v>
      </c>
    </row>
    <row r="26" spans="1:53" s="425" customFormat="1" ht="24.95" customHeight="1" thickBot="1">
      <c r="A26" s="439" t="s">
        <v>68</v>
      </c>
      <c r="B26" s="509">
        <f t="shared" ref="B26:M26" si="66">B24+B25</f>
        <v>205.10000000000002</v>
      </c>
      <c r="C26" s="509">
        <f t="shared" si="66"/>
        <v>99.499999999999957</v>
      </c>
      <c r="D26" s="509">
        <f t="shared" si="66"/>
        <v>172.00000000000006</v>
      </c>
      <c r="E26" s="509">
        <f t="shared" si="66"/>
        <v>121.60000000000019</v>
      </c>
      <c r="F26" s="533">
        <f>F24+F25</f>
        <v>598.19999999999914</v>
      </c>
      <c r="G26" s="508">
        <f t="shared" si="66"/>
        <v>95.179999999999964</v>
      </c>
      <c r="H26" s="509">
        <f t="shared" si="66"/>
        <v>80.699999999999974</v>
      </c>
      <c r="I26" s="509">
        <f t="shared" si="66"/>
        <v>176.39999999999998</v>
      </c>
      <c r="J26" s="509">
        <f t="shared" si="66"/>
        <v>173.19999999999993</v>
      </c>
      <c r="K26" s="533">
        <f t="shared" si="66"/>
        <v>525.48000000000036</v>
      </c>
      <c r="L26" s="508">
        <f t="shared" si="66"/>
        <v>98.199999999999847</v>
      </c>
      <c r="M26" s="509">
        <f t="shared" si="66"/>
        <v>132.09999999999991</v>
      </c>
      <c r="N26" s="509">
        <f t="shared" ref="N26" si="67">N24+N25</f>
        <v>48.199999999999683</v>
      </c>
      <c r="O26" s="509">
        <f t="shared" ref="O26" si="68">O24+O25</f>
        <v>14.000000000000773</v>
      </c>
      <c r="P26" s="520">
        <f t="shared" ref="P26:U26" si="69">P24+P25</f>
        <v>292.49999999999795</v>
      </c>
      <c r="Q26" s="509">
        <f t="shared" si="69"/>
        <v>170.79999999999995</v>
      </c>
      <c r="R26" s="509">
        <f t="shared" si="69"/>
        <v>304.5</v>
      </c>
      <c r="S26" s="509">
        <f t="shared" si="69"/>
        <v>502.4999999999996</v>
      </c>
      <c r="T26" s="509">
        <f t="shared" si="69"/>
        <v>185.60000000000036</v>
      </c>
      <c r="U26" s="520">
        <f t="shared" si="69"/>
        <v>1163.3999999999994</v>
      </c>
      <c r="V26" s="509">
        <f t="shared" ref="V26:AE26" si="70">V24+V25</f>
        <v>178.50000000000006</v>
      </c>
      <c r="W26" s="509">
        <f t="shared" si="70"/>
        <v>230.90000000000015</v>
      </c>
      <c r="X26" s="509">
        <f t="shared" si="70"/>
        <v>269.80000000000041</v>
      </c>
      <c r="Y26" s="509">
        <f t="shared" si="70"/>
        <v>341.79999999999995</v>
      </c>
      <c r="Z26" s="520">
        <f t="shared" si="70"/>
        <v>1021.0000000000001</v>
      </c>
      <c r="AA26" s="509">
        <f t="shared" si="70"/>
        <v>271.40000000000032</v>
      </c>
      <c r="AB26" s="509">
        <f t="shared" si="70"/>
        <v>281.69999999999993</v>
      </c>
      <c r="AC26" s="509">
        <f t="shared" si="70"/>
        <v>234.90000000000003</v>
      </c>
      <c r="AD26" s="529">
        <f t="shared" si="70"/>
        <v>157.20000000000005</v>
      </c>
      <c r="AE26" s="520">
        <f t="shared" si="70"/>
        <v>945.20000000000073</v>
      </c>
      <c r="AF26" s="509">
        <f t="shared" ref="AF26:AJ26" si="71">AF24+AF25</f>
        <v>315.49999999999972</v>
      </c>
      <c r="AG26" s="509">
        <f t="shared" si="71"/>
        <v>253.09999999999988</v>
      </c>
      <c r="AH26" s="535">
        <f>AH24+AH25</f>
        <v>227.00000000000006</v>
      </c>
      <c r="AI26" s="535">
        <f>AI24+AI25</f>
        <v>57.899999999999977</v>
      </c>
      <c r="AJ26" s="520">
        <f t="shared" si="71"/>
        <v>853.49999999999977</v>
      </c>
      <c r="AK26" s="534"/>
      <c r="AL26" s="508">
        <f t="shared" ref="AL26:AR26" si="72">AL24+AL25</f>
        <v>292.2</v>
      </c>
      <c r="AM26" s="509">
        <f t="shared" si="72"/>
        <v>231.39999999999981</v>
      </c>
      <c r="AN26" s="510">
        <f t="shared" si="72"/>
        <v>227.0999999999998</v>
      </c>
      <c r="AO26" s="510">
        <f t="shared" si="72"/>
        <v>65.399999999999977</v>
      </c>
      <c r="AP26" s="520">
        <f t="shared" si="72"/>
        <v>816.10000000000286</v>
      </c>
      <c r="AQ26" s="508">
        <f>AQ24+AQ25</f>
        <v>300.80000000000024</v>
      </c>
      <c r="AR26" s="509">
        <f t="shared" si="72"/>
        <v>270.10000000000002</v>
      </c>
      <c r="AS26" s="597"/>
      <c r="AT26" s="597"/>
      <c r="AU26" s="520">
        <f t="shared" ref="AU26" si="73">AU24+AU25</f>
        <v>570.90000000000055</v>
      </c>
      <c r="AV26" s="578"/>
      <c r="AW26" s="508">
        <f>AW24+AW25</f>
        <v>297.2999999999995</v>
      </c>
      <c r="AX26" s="509">
        <f t="shared" ref="AX26" si="74">AX24+AX25</f>
        <v>268.89999999999975</v>
      </c>
      <c r="AY26" s="597"/>
      <c r="AZ26" s="597"/>
      <c r="BA26" s="520">
        <f t="shared" ref="BA26" si="75">BA24+BA25</f>
        <v>566.19999999999959</v>
      </c>
    </row>
    <row r="27" spans="1:53" s="425" customFormat="1" ht="20.100000000000001" customHeight="1">
      <c r="A27" s="440" t="s">
        <v>168</v>
      </c>
      <c r="B27" s="536">
        <f t="shared" ref="B27:R27" si="76">B26</f>
        <v>205.10000000000002</v>
      </c>
      <c r="C27" s="524">
        <f t="shared" si="76"/>
        <v>99.499999999999957</v>
      </c>
      <c r="D27" s="524">
        <f t="shared" si="76"/>
        <v>172.00000000000006</v>
      </c>
      <c r="E27" s="524">
        <f t="shared" si="76"/>
        <v>121.60000000000019</v>
      </c>
      <c r="F27" s="525">
        <f t="shared" si="76"/>
        <v>598.19999999999914</v>
      </c>
      <c r="G27" s="512">
        <f t="shared" si="76"/>
        <v>95.179999999999964</v>
      </c>
      <c r="H27" s="524">
        <f t="shared" si="76"/>
        <v>80.699999999999974</v>
      </c>
      <c r="I27" s="524">
        <f t="shared" si="76"/>
        <v>176.39999999999998</v>
      </c>
      <c r="J27" s="524">
        <f t="shared" si="76"/>
        <v>173.19999999999993</v>
      </c>
      <c r="K27" s="525">
        <f t="shared" si="76"/>
        <v>525.48000000000036</v>
      </c>
      <c r="L27" s="512">
        <f t="shared" si="76"/>
        <v>98.199999999999847</v>
      </c>
      <c r="M27" s="524">
        <f t="shared" si="76"/>
        <v>132.09999999999991</v>
      </c>
      <c r="N27" s="524">
        <f t="shared" si="76"/>
        <v>48.199999999999683</v>
      </c>
      <c r="O27" s="524">
        <f t="shared" si="76"/>
        <v>14.000000000000773</v>
      </c>
      <c r="P27" s="516">
        <f t="shared" si="76"/>
        <v>292.49999999999795</v>
      </c>
      <c r="Q27" s="524">
        <f t="shared" si="76"/>
        <v>170.79999999999995</v>
      </c>
      <c r="R27" s="524">
        <f t="shared" si="76"/>
        <v>304.5</v>
      </c>
      <c r="S27" s="524">
        <f>S26</f>
        <v>502.4999999999996</v>
      </c>
      <c r="T27" s="524">
        <f>T26</f>
        <v>185.60000000000036</v>
      </c>
      <c r="U27" s="516">
        <f>U26</f>
        <v>1163.3999999999994</v>
      </c>
      <c r="V27" s="524">
        <f>175.5</f>
        <v>175.5</v>
      </c>
      <c r="W27" s="524">
        <v>237.7</v>
      </c>
      <c r="X27" s="524">
        <v>278.2</v>
      </c>
      <c r="Y27" s="524">
        <v>349.9</v>
      </c>
      <c r="Z27" s="516">
        <f t="shared" si="14"/>
        <v>1041.3</v>
      </c>
      <c r="AA27" s="524">
        <v>279.39999999999998</v>
      </c>
      <c r="AB27" s="524">
        <v>291.2</v>
      </c>
      <c r="AC27" s="513">
        <v>242.9</v>
      </c>
      <c r="AD27" s="513">
        <v>167.1</v>
      </c>
      <c r="AE27" s="516">
        <f t="shared" ref="AE27:AE28" si="77">SUM(AA27:AD27)</f>
        <v>980.59999999999991</v>
      </c>
      <c r="AF27" s="527"/>
      <c r="AG27" s="524"/>
      <c r="AH27" s="513"/>
      <c r="AI27" s="513"/>
      <c r="AJ27" s="516">
        <f t="shared" ref="AJ27" si="78">SUM(AF27:AI27)</f>
        <v>0</v>
      </c>
      <c r="AK27" s="534"/>
      <c r="AL27" s="521">
        <v>300.8</v>
      </c>
      <c r="AM27" s="524">
        <v>235.8</v>
      </c>
      <c r="AN27" s="515">
        <v>226.1</v>
      </c>
      <c r="AO27" s="546">
        <v>70.900000000000006</v>
      </c>
      <c r="AP27" s="516">
        <f t="shared" ref="AP27:AP28" si="79">SUM(AL27:AO27)</f>
        <v>833.6</v>
      </c>
      <c r="AQ27" s="521"/>
      <c r="AR27" s="513"/>
      <c r="AS27" s="515"/>
      <c r="AT27" s="572"/>
      <c r="AU27" s="516">
        <f t="shared" ref="AU27:AU29" si="80">SUM(AQ27:AT27)</f>
        <v>0</v>
      </c>
      <c r="AV27" s="566"/>
      <c r="AW27" s="521">
        <v>291.89999999999998</v>
      </c>
      <c r="AX27" s="513">
        <v>263.60000000000002</v>
      </c>
      <c r="AY27" s="515"/>
      <c r="AZ27" s="572"/>
      <c r="BA27" s="516">
        <f t="shared" ref="BA27:BA28" si="81">SUM(AW27:AZ27)</f>
        <v>555.5</v>
      </c>
    </row>
    <row r="28" spans="1:53" s="425" customFormat="1" ht="20.100000000000001" customHeight="1">
      <c r="A28" s="441" t="s">
        <v>185</v>
      </c>
      <c r="B28" s="513">
        <v>0</v>
      </c>
      <c r="C28" s="513">
        <v>0</v>
      </c>
      <c r="D28" s="513">
        <v>0</v>
      </c>
      <c r="E28" s="513">
        <v>0</v>
      </c>
      <c r="F28" s="516">
        <v>0</v>
      </c>
      <c r="G28" s="513">
        <v>0</v>
      </c>
      <c r="H28" s="513">
        <v>0</v>
      </c>
      <c r="I28" s="513">
        <v>0</v>
      </c>
      <c r="J28" s="513">
        <v>0</v>
      </c>
      <c r="K28" s="516">
        <v>0</v>
      </c>
      <c r="L28" s="513">
        <v>0</v>
      </c>
      <c r="M28" s="513">
        <v>0</v>
      </c>
      <c r="N28" s="513">
        <v>0</v>
      </c>
      <c r="O28" s="513">
        <v>0</v>
      </c>
      <c r="P28" s="516">
        <v>0</v>
      </c>
      <c r="Q28" s="513">
        <v>0</v>
      </c>
      <c r="R28" s="513">
        <v>0</v>
      </c>
      <c r="S28" s="513">
        <v>0</v>
      </c>
      <c r="T28" s="513">
        <v>0</v>
      </c>
      <c r="U28" s="516">
        <v>0</v>
      </c>
      <c r="V28" s="524">
        <v>3</v>
      </c>
      <c r="W28" s="524">
        <v>-6.8</v>
      </c>
      <c r="X28" s="524">
        <v>-8.4</v>
      </c>
      <c r="Y28" s="524">
        <v>-8.1</v>
      </c>
      <c r="Z28" s="516">
        <f>SUM(V28:Y28)</f>
        <v>-20.299999999999997</v>
      </c>
      <c r="AA28" s="524">
        <v>-8</v>
      </c>
      <c r="AB28" s="524">
        <v>-9.5</v>
      </c>
      <c r="AC28" s="513">
        <v>-8</v>
      </c>
      <c r="AD28" s="513">
        <v>-9.9</v>
      </c>
      <c r="AE28" s="516">
        <f t="shared" si="77"/>
        <v>-35.4</v>
      </c>
      <c r="AF28" s="527"/>
      <c r="AG28" s="524"/>
      <c r="AH28" s="513"/>
      <c r="AI28" s="513"/>
      <c r="AJ28" s="516">
        <f>SUM(AF28:AI28)</f>
        <v>0</v>
      </c>
      <c r="AK28" s="534"/>
      <c r="AL28" s="521">
        <v>-8.6</v>
      </c>
      <c r="AM28" s="524">
        <v>-4.4000000000000004</v>
      </c>
      <c r="AN28" s="515">
        <v>1</v>
      </c>
      <c r="AO28" s="546">
        <v>-5.5</v>
      </c>
      <c r="AP28" s="516">
        <f t="shared" si="79"/>
        <v>-17.5</v>
      </c>
      <c r="AQ28" s="521"/>
      <c r="AR28" s="513"/>
      <c r="AS28" s="515"/>
      <c r="AT28" s="572"/>
      <c r="AU28" s="516">
        <f t="shared" si="80"/>
        <v>0</v>
      </c>
      <c r="AV28" s="566"/>
      <c r="AW28" s="521">
        <v>5.4</v>
      </c>
      <c r="AX28" s="513">
        <v>5.3</v>
      </c>
      <c r="AY28" s="515"/>
      <c r="AZ28" s="572"/>
      <c r="BA28" s="516">
        <f t="shared" si="81"/>
        <v>10.7</v>
      </c>
    </row>
    <row r="29" spans="1:53" s="450" customFormat="1" ht="20.100000000000001" customHeight="1" thickBot="1">
      <c r="A29" s="442" t="s">
        <v>169</v>
      </c>
      <c r="B29" s="443">
        <f t="shared" ref="B29:L29" si="82">ROUND(B26/348.352836,2)</f>
        <v>0.59</v>
      </c>
      <c r="C29" s="443">
        <f t="shared" si="82"/>
        <v>0.28999999999999998</v>
      </c>
      <c r="D29" s="443">
        <f t="shared" si="82"/>
        <v>0.49</v>
      </c>
      <c r="E29" s="443">
        <f t="shared" si="82"/>
        <v>0.35</v>
      </c>
      <c r="F29" s="444">
        <f t="shared" si="82"/>
        <v>1.72</v>
      </c>
      <c r="G29" s="445">
        <f t="shared" si="82"/>
        <v>0.27</v>
      </c>
      <c r="H29" s="443">
        <f t="shared" si="82"/>
        <v>0.23</v>
      </c>
      <c r="I29" s="443">
        <f t="shared" si="82"/>
        <v>0.51</v>
      </c>
      <c r="J29" s="443">
        <f t="shared" si="82"/>
        <v>0.5</v>
      </c>
      <c r="K29" s="444">
        <f t="shared" si="82"/>
        <v>1.51</v>
      </c>
      <c r="L29" s="445">
        <f t="shared" si="82"/>
        <v>0.28000000000000003</v>
      </c>
      <c r="M29" s="443">
        <f>ROUND(M26/524.348714,2)</f>
        <v>0.25</v>
      </c>
      <c r="N29" s="443">
        <f>ROUND(N26/639.546016,2)</f>
        <v>0.08</v>
      </c>
      <c r="O29" s="443">
        <f>ROUND(O26/639.546016,2)</f>
        <v>0.02</v>
      </c>
      <c r="P29" s="446">
        <f>ROUND(P26/539.024535,2)</f>
        <v>0.54</v>
      </c>
      <c r="Q29" s="443">
        <f t="shared" ref="Q29:X29" si="83">ROUND(Q26/639.546016,2)</f>
        <v>0.27</v>
      </c>
      <c r="R29" s="443">
        <f t="shared" si="83"/>
        <v>0.48</v>
      </c>
      <c r="S29" s="443">
        <f t="shared" si="83"/>
        <v>0.79</v>
      </c>
      <c r="T29" s="443">
        <f t="shared" si="83"/>
        <v>0.28999999999999998</v>
      </c>
      <c r="U29" s="446">
        <f t="shared" si="83"/>
        <v>1.82</v>
      </c>
      <c r="V29" s="443">
        <f t="shared" si="83"/>
        <v>0.28000000000000003</v>
      </c>
      <c r="W29" s="443">
        <f>ROUNDUP(W26/639.546016,2)</f>
        <v>0.37</v>
      </c>
      <c r="X29" s="443">
        <f t="shared" si="83"/>
        <v>0.42</v>
      </c>
      <c r="Y29" s="443">
        <f>ROUNDUP(Y26/639.546016,2)</f>
        <v>0.54</v>
      </c>
      <c r="Z29" s="446">
        <f t="shared" ref="Z29:AE29" si="84">ROUND(Z26/639.546016,2)</f>
        <v>1.6</v>
      </c>
      <c r="AA29" s="447">
        <f t="shared" si="84"/>
        <v>0.42</v>
      </c>
      <c r="AB29" s="447">
        <f t="shared" si="84"/>
        <v>0.44</v>
      </c>
      <c r="AC29" s="447">
        <f t="shared" si="84"/>
        <v>0.37</v>
      </c>
      <c r="AD29" s="448">
        <f t="shared" si="84"/>
        <v>0.25</v>
      </c>
      <c r="AE29" s="446">
        <f t="shared" si="84"/>
        <v>1.48</v>
      </c>
      <c r="AF29" s="447">
        <f t="shared" ref="AF29:AJ29" si="85">ROUND(AF26/639.546016,2)</f>
        <v>0.49</v>
      </c>
      <c r="AG29" s="447">
        <f>ROUND(AG26/639.546016,2)</f>
        <v>0.4</v>
      </c>
      <c r="AH29" s="449">
        <f>ROUND(AH26/639.546016,2)</f>
        <v>0.35</v>
      </c>
      <c r="AI29" s="449">
        <v>0.09</v>
      </c>
      <c r="AJ29" s="446">
        <f t="shared" si="85"/>
        <v>1.33</v>
      </c>
      <c r="AK29" s="489"/>
      <c r="AL29" s="555">
        <f t="shared" ref="AL29:AM29" si="86">ROUND(AL26/639.546016,2)</f>
        <v>0.46</v>
      </c>
      <c r="AM29" s="447">
        <f t="shared" si="86"/>
        <v>0.36</v>
      </c>
      <c r="AN29" s="553">
        <v>0.35</v>
      </c>
      <c r="AO29" s="549">
        <v>0.11</v>
      </c>
      <c r="AP29" s="552">
        <f>ROUND(AP26/639.546016,2)</f>
        <v>1.28</v>
      </c>
      <c r="AQ29" s="555"/>
      <c r="AR29" s="554"/>
      <c r="AS29" s="553"/>
      <c r="AT29" s="592"/>
      <c r="AU29" s="446">
        <f t="shared" si="80"/>
        <v>0</v>
      </c>
      <c r="AV29" s="578"/>
      <c r="AW29" s="555">
        <v>0.46</v>
      </c>
      <c r="AX29" s="554">
        <v>0.43</v>
      </c>
      <c r="AY29" s="593"/>
      <c r="AZ29" s="594"/>
      <c r="BA29" s="446">
        <f>ROUND(BA26/639.546016,2)</f>
        <v>0.89</v>
      </c>
    </row>
    <row r="30" spans="1:53" s="425" customFormat="1" ht="20.100000000000001" customHeight="1">
      <c r="A30" s="451" t="s">
        <v>0</v>
      </c>
      <c r="B30" s="537">
        <f t="shared" ref="B30:AA30" si="87">B19-B11</f>
        <v>257.40000000000003</v>
      </c>
      <c r="C30" s="537">
        <f t="shared" si="87"/>
        <v>269.7</v>
      </c>
      <c r="D30" s="537">
        <f t="shared" si="87"/>
        <v>257.8</v>
      </c>
      <c r="E30" s="537">
        <f t="shared" si="87"/>
        <v>247.20000000000016</v>
      </c>
      <c r="F30" s="538">
        <f t="shared" si="87"/>
        <v>1032.0999999999992</v>
      </c>
      <c r="G30" s="539">
        <f t="shared" si="87"/>
        <v>245.37999999999994</v>
      </c>
      <c r="H30" s="537">
        <f t="shared" si="87"/>
        <v>257.3</v>
      </c>
      <c r="I30" s="537">
        <f t="shared" si="87"/>
        <v>268.2</v>
      </c>
      <c r="J30" s="537">
        <f t="shared" si="87"/>
        <v>275.39999999999998</v>
      </c>
      <c r="K30" s="538">
        <f t="shared" si="87"/>
        <v>1046.2800000000002</v>
      </c>
      <c r="L30" s="539">
        <f t="shared" si="87"/>
        <v>281.79999999999984</v>
      </c>
      <c r="M30" s="537">
        <f t="shared" si="87"/>
        <v>708.89999999999986</v>
      </c>
      <c r="N30" s="537">
        <f t="shared" si="87"/>
        <v>910.09999999999968</v>
      </c>
      <c r="O30" s="537">
        <f t="shared" si="87"/>
        <v>837.30000000000075</v>
      </c>
      <c r="P30" s="538">
        <f t="shared" si="87"/>
        <v>2738.0999999999976</v>
      </c>
      <c r="Q30" s="539">
        <f t="shared" si="87"/>
        <v>896.59999999999991</v>
      </c>
      <c r="R30" s="537">
        <f t="shared" si="87"/>
        <v>977</v>
      </c>
      <c r="S30" s="537">
        <f t="shared" si="87"/>
        <v>930.39999999999964</v>
      </c>
      <c r="T30" s="537">
        <f t="shared" si="87"/>
        <v>881.10000000000036</v>
      </c>
      <c r="U30" s="540">
        <f t="shared" si="87"/>
        <v>3685.0999999999995</v>
      </c>
      <c r="V30" s="539">
        <f t="shared" si="87"/>
        <v>846.5</v>
      </c>
      <c r="W30" s="537">
        <f t="shared" si="87"/>
        <v>935.00000000000011</v>
      </c>
      <c r="X30" s="537">
        <f t="shared" si="87"/>
        <v>957.00000000000034</v>
      </c>
      <c r="Y30" s="537">
        <f t="shared" si="87"/>
        <v>902.3</v>
      </c>
      <c r="Z30" s="540">
        <f t="shared" si="87"/>
        <v>3640.8</v>
      </c>
      <c r="AA30" s="541">
        <f t="shared" si="87"/>
        <v>929.50000000000034</v>
      </c>
      <c r="AB30" s="537">
        <f>AB19-AB11</f>
        <v>963.69999999999982</v>
      </c>
      <c r="AC30" s="537">
        <f>AC19-AC11</f>
        <v>851.1</v>
      </c>
      <c r="AD30" s="537">
        <f t="shared" ref="AD30:AF30" si="88">AD19-AD11</f>
        <v>872.7</v>
      </c>
      <c r="AE30" s="542">
        <f t="shared" si="88"/>
        <v>3617.0000000000009</v>
      </c>
      <c r="AF30" s="541">
        <f t="shared" si="88"/>
        <v>918.79999999999973</v>
      </c>
      <c r="AG30" s="537">
        <f>AG19-AG11</f>
        <v>927.59999999999991</v>
      </c>
      <c r="AH30" s="543">
        <f>AH19-AH11</f>
        <v>848.50000000000011</v>
      </c>
      <c r="AI30" s="543">
        <f>AI19-AI11</f>
        <v>846.6</v>
      </c>
      <c r="AJ30" s="542">
        <f t="shared" ref="AJ30" si="89">AJ19-AJ11</f>
        <v>3541.4999999999995</v>
      </c>
      <c r="AK30" s="534"/>
      <c r="AL30" s="541">
        <f t="shared" ref="AL30" si="90">AL19-AL11</f>
        <v>890</v>
      </c>
      <c r="AM30" s="537">
        <f t="shared" ref="AM30:AR30" si="91">AM19-AM11</f>
        <v>946.39999999999986</v>
      </c>
      <c r="AN30" s="544">
        <f t="shared" si="91"/>
        <v>919.99999999999977</v>
      </c>
      <c r="AO30" s="550">
        <f t="shared" si="91"/>
        <v>941.3</v>
      </c>
      <c r="AP30" s="542">
        <f t="shared" si="91"/>
        <v>3697.700000000003</v>
      </c>
      <c r="AQ30" s="541">
        <f t="shared" si="91"/>
        <v>922.00000000000023</v>
      </c>
      <c r="AR30" s="537">
        <f t="shared" si="91"/>
        <v>959.9</v>
      </c>
      <c r="AS30" s="595"/>
      <c r="AT30" s="595"/>
      <c r="AU30" s="542">
        <f>AU19-AU11</f>
        <v>1881.9000000000005</v>
      </c>
      <c r="AV30" s="578"/>
      <c r="AW30" s="541">
        <f>AW19-AW11</f>
        <v>1038.2999999999995</v>
      </c>
      <c r="AX30" s="537">
        <f>AX19-AX11</f>
        <v>1076.0999999999999</v>
      </c>
      <c r="AY30" s="595"/>
      <c r="AZ30" s="595"/>
      <c r="BA30" s="542">
        <f>BA19-BA11</f>
        <v>2114.3999999999996</v>
      </c>
    </row>
    <row r="31" spans="1:53" s="425" customFormat="1" ht="20.100000000000001" customHeight="1" thickBot="1">
      <c r="A31" s="452" t="s">
        <v>170</v>
      </c>
      <c r="B31" s="492">
        <f t="shared" ref="B31:AB31" si="92">B30/B4</f>
        <v>0.38463837417812313</v>
      </c>
      <c r="C31" s="492">
        <f t="shared" si="92"/>
        <v>0.377836929111796</v>
      </c>
      <c r="D31" s="492">
        <f t="shared" si="92"/>
        <v>0.4</v>
      </c>
      <c r="E31" s="492">
        <f t="shared" si="92"/>
        <v>0.32933653077537983</v>
      </c>
      <c r="F31" s="493">
        <f t="shared" si="92"/>
        <v>0.37151290450307745</v>
      </c>
      <c r="G31" s="492">
        <f t="shared" si="92"/>
        <v>0.35200114761153339</v>
      </c>
      <c r="H31" s="492">
        <f t="shared" si="92"/>
        <v>0.34963989672509854</v>
      </c>
      <c r="I31" s="492">
        <f t="shared" si="92"/>
        <v>0.39598405433338257</v>
      </c>
      <c r="J31" s="492">
        <f t="shared" si="92"/>
        <v>0.34403497813866329</v>
      </c>
      <c r="K31" s="493">
        <f t="shared" si="92"/>
        <v>0.35944757454995196</v>
      </c>
      <c r="L31" s="492">
        <f t="shared" si="92"/>
        <v>0.38960320752108379</v>
      </c>
      <c r="M31" s="492">
        <f t="shared" si="92"/>
        <v>0.40603700097370976</v>
      </c>
      <c r="N31" s="492">
        <f t="shared" si="92"/>
        <v>0.37613655149611497</v>
      </c>
      <c r="O31" s="492">
        <f t="shared" si="92"/>
        <v>0.33211693308476481</v>
      </c>
      <c r="P31" s="493">
        <f t="shared" si="92"/>
        <v>0.36951915680373526</v>
      </c>
      <c r="Q31" s="492">
        <f t="shared" si="92"/>
        <v>0.38497209102619145</v>
      </c>
      <c r="R31" s="492">
        <f t="shared" si="92"/>
        <v>0.39567471245747615</v>
      </c>
      <c r="S31" s="492">
        <f t="shared" si="92"/>
        <v>0.3852747525777464</v>
      </c>
      <c r="T31" s="492">
        <f t="shared" si="92"/>
        <v>0.33759914172956829</v>
      </c>
      <c r="U31" s="493">
        <f t="shared" si="92"/>
        <v>0.37515015779293487</v>
      </c>
      <c r="V31" s="492">
        <f t="shared" si="92"/>
        <v>0.35807952622673433</v>
      </c>
      <c r="W31" s="492">
        <f t="shared" si="92"/>
        <v>0.3827418232428671</v>
      </c>
      <c r="X31" s="492">
        <f t="shared" si="92"/>
        <v>0.4007873356227491</v>
      </c>
      <c r="Y31" s="492">
        <f t="shared" si="92"/>
        <v>0.35592284328034396</v>
      </c>
      <c r="Z31" s="493">
        <f t="shared" si="92"/>
        <v>0.37419063084544396</v>
      </c>
      <c r="AA31" s="492">
        <f t="shared" si="92"/>
        <v>0.38914008205643491</v>
      </c>
      <c r="AB31" s="492">
        <f t="shared" si="92"/>
        <v>0.39017773998947319</v>
      </c>
      <c r="AC31" s="492">
        <f t="shared" ref="AC31:AG31" si="93">AC30/AC4</f>
        <v>0.35597473754653058</v>
      </c>
      <c r="AD31" s="492">
        <f t="shared" si="93"/>
        <v>0.33836073200992561</v>
      </c>
      <c r="AE31" s="493">
        <f t="shared" si="93"/>
        <v>0.36800765114054906</v>
      </c>
      <c r="AF31" s="492">
        <f t="shared" si="93"/>
        <v>0.3892065912653026</v>
      </c>
      <c r="AG31" s="492">
        <f t="shared" si="93"/>
        <v>0.37450038354394599</v>
      </c>
      <c r="AH31" s="492">
        <f t="shared" ref="AH31:AJ31" si="94">AH30/AH4</f>
        <v>0.34840272645150699</v>
      </c>
      <c r="AI31" s="492">
        <f t="shared" si="94"/>
        <v>0.3156599552572707</v>
      </c>
      <c r="AJ31" s="493">
        <f t="shared" si="94"/>
        <v>0.35575087895529878</v>
      </c>
      <c r="AK31" s="490"/>
      <c r="AL31" s="494">
        <f t="shared" ref="AL31:AP31" si="95">AL30/AL4</f>
        <v>0.37938531054179631</v>
      </c>
      <c r="AM31" s="582">
        <f t="shared" si="95"/>
        <v>0.36355255070682235</v>
      </c>
      <c r="AN31" s="492">
        <f t="shared" si="95"/>
        <v>0.33638025594149901</v>
      </c>
      <c r="AO31" s="551">
        <f>AO30/AO4</f>
        <v>0.31355762824783479</v>
      </c>
      <c r="AP31" s="493">
        <f t="shared" si="95"/>
        <v>0.3460289535003418</v>
      </c>
      <c r="AQ31" s="581">
        <v>0.33136860264519846</v>
      </c>
      <c r="AR31" s="582">
        <f t="shared" ref="AR31" si="96">AR30/AR4</f>
        <v>0.32952282869893579</v>
      </c>
      <c r="AS31" s="582"/>
      <c r="AT31" s="583"/>
      <c r="AU31" s="493">
        <f t="shared" ref="AU31" si="97">AU30/AU4</f>
        <v>0.33042455314815478</v>
      </c>
      <c r="AV31" s="578"/>
      <c r="AW31" s="581">
        <f t="shared" ref="AW31:AX31" si="98">AW30/AW4</f>
        <v>0.37193724029230529</v>
      </c>
      <c r="AX31" s="582">
        <f t="shared" si="98"/>
        <v>0.36814916182004787</v>
      </c>
      <c r="AY31" s="582"/>
      <c r="AZ31" s="583"/>
      <c r="BA31" s="493">
        <f>BA30/BA4</f>
        <v>0.36999965001924884</v>
      </c>
    </row>
    <row r="32" spans="1:53" s="453" customFormat="1" ht="15" customHeight="1">
      <c r="B32" s="454"/>
      <c r="C32" s="454"/>
      <c r="D32" s="454"/>
      <c r="E32" s="454"/>
      <c r="F32" s="454"/>
      <c r="G32" s="454"/>
      <c r="H32" s="421"/>
      <c r="I32" s="455"/>
      <c r="J32" s="455"/>
      <c r="K32" s="454"/>
      <c r="L32" s="454"/>
      <c r="M32" s="454"/>
      <c r="N32" s="454"/>
      <c r="O32" s="454"/>
      <c r="P32" s="454"/>
      <c r="Q32" s="454"/>
      <c r="R32" s="454"/>
      <c r="S32" s="454"/>
      <c r="T32" s="454"/>
      <c r="U32" s="454"/>
      <c r="V32" s="454"/>
      <c r="W32" s="454"/>
      <c r="X32" s="454"/>
      <c r="Y32" s="454"/>
      <c r="Z32" s="454"/>
      <c r="AA32" s="454"/>
      <c r="AB32" s="454"/>
      <c r="AC32" s="456"/>
      <c r="AD32" s="454"/>
      <c r="AE32" s="454"/>
      <c r="AF32" s="454"/>
      <c r="AG32" s="454"/>
      <c r="AH32" s="456"/>
      <c r="AI32" s="454"/>
      <c r="AJ32" s="454"/>
      <c r="AL32" s="454"/>
      <c r="AM32" s="454"/>
      <c r="AN32" s="456"/>
      <c r="AO32" s="454"/>
      <c r="AP32" s="454"/>
    </row>
    <row r="33" spans="1:43" s="453" customFormat="1" ht="15" customHeight="1">
      <c r="A33" s="648" t="s">
        <v>182</v>
      </c>
      <c r="B33" s="652"/>
      <c r="C33" s="652"/>
      <c r="D33" s="652"/>
      <c r="E33" s="652"/>
      <c r="F33" s="652"/>
      <c r="G33" s="652"/>
      <c r="H33" s="652"/>
      <c r="I33" s="652"/>
      <c r="J33" s="652"/>
      <c r="K33" s="652"/>
      <c r="L33" s="652"/>
      <c r="M33" s="652"/>
      <c r="AC33" s="457"/>
      <c r="AH33" s="457"/>
      <c r="AN33" s="457"/>
      <c r="AQ33" s="491"/>
    </row>
    <row r="34" spans="1:43" s="453" customFormat="1" ht="15" customHeight="1">
      <c r="A34" s="656" t="s">
        <v>230</v>
      </c>
      <c r="B34" s="656"/>
      <c r="C34" s="656"/>
      <c r="D34" s="656"/>
      <c r="E34" s="656"/>
      <c r="F34" s="656"/>
      <c r="G34" s="656"/>
      <c r="H34" s="656"/>
      <c r="I34" s="656"/>
      <c r="J34" s="656"/>
      <c r="K34" s="656"/>
      <c r="L34" s="656"/>
      <c r="M34" s="656"/>
      <c r="AC34" s="457"/>
      <c r="AH34" s="457"/>
      <c r="AN34" s="457"/>
    </row>
    <row r="35" spans="1:43" s="453" customFormat="1" ht="15" customHeight="1">
      <c r="A35" s="458" t="s">
        <v>231</v>
      </c>
      <c r="B35" s="458"/>
      <c r="C35" s="458"/>
      <c r="D35" s="458"/>
      <c r="E35" s="458"/>
      <c r="F35" s="458"/>
      <c r="G35" s="458"/>
      <c r="H35" s="422"/>
      <c r="I35" s="459"/>
      <c r="J35" s="460"/>
      <c r="K35" s="460"/>
      <c r="L35" s="460"/>
      <c r="M35" s="460"/>
      <c r="N35" s="454"/>
      <c r="O35" s="454"/>
      <c r="P35" s="454"/>
      <c r="Q35" s="454"/>
      <c r="R35" s="454"/>
      <c r="S35" s="454"/>
      <c r="T35" s="454"/>
      <c r="U35" s="454"/>
      <c r="V35" s="454"/>
      <c r="W35" s="454"/>
      <c r="X35" s="454"/>
      <c r="Y35" s="454"/>
      <c r="Z35" s="454"/>
      <c r="AA35" s="454"/>
      <c r="AB35" s="454"/>
      <c r="AC35" s="456"/>
      <c r="AD35" s="454"/>
      <c r="AE35" s="454"/>
      <c r="AF35" s="454"/>
      <c r="AG35" s="454"/>
      <c r="AH35" s="456"/>
      <c r="AI35" s="454"/>
      <c r="AJ35" s="454"/>
      <c r="AL35" s="454"/>
      <c r="AM35" s="454"/>
      <c r="AN35" s="456"/>
      <c r="AO35" s="454"/>
      <c r="AP35" s="454"/>
    </row>
    <row r="36" spans="1:43" s="453" customFormat="1" ht="15" customHeight="1">
      <c r="A36" s="648" t="s">
        <v>316</v>
      </c>
      <c r="B36" s="648"/>
      <c r="C36" s="648"/>
      <c r="D36" s="648"/>
      <c r="E36" s="648"/>
      <c r="F36" s="648"/>
      <c r="G36" s="648"/>
      <c r="H36" s="648"/>
      <c r="I36" s="648"/>
      <c r="J36" s="648"/>
      <c r="K36" s="648"/>
      <c r="L36" s="648"/>
      <c r="M36" s="648"/>
      <c r="AC36" s="457"/>
      <c r="AH36" s="457"/>
      <c r="AN36" s="457"/>
    </row>
    <row r="37" spans="1:43" s="453" customFormat="1" ht="15" customHeight="1">
      <c r="A37" s="454"/>
      <c r="B37" s="454"/>
      <c r="C37" s="454"/>
      <c r="D37" s="454"/>
      <c r="E37" s="454"/>
      <c r="F37" s="454"/>
      <c r="G37" s="454"/>
      <c r="H37" s="421"/>
      <c r="I37" s="455"/>
      <c r="J37" s="454"/>
      <c r="K37" s="454"/>
      <c r="L37" s="454"/>
      <c r="M37" s="454"/>
      <c r="N37" s="454"/>
      <c r="O37" s="454"/>
      <c r="P37" s="454"/>
      <c r="Q37" s="454"/>
      <c r="R37" s="454"/>
      <c r="S37" s="454"/>
      <c r="T37" s="454"/>
      <c r="U37" s="454"/>
      <c r="V37" s="454"/>
      <c r="W37" s="454"/>
      <c r="X37" s="454"/>
      <c r="Y37" s="454"/>
      <c r="Z37" s="454"/>
      <c r="AA37" s="454"/>
      <c r="AB37" s="454"/>
      <c r="AC37" s="456"/>
      <c r="AD37" s="454"/>
      <c r="AE37" s="454"/>
      <c r="AF37" s="454"/>
      <c r="AG37" s="454"/>
      <c r="AH37" s="456"/>
      <c r="AI37" s="454"/>
      <c r="AJ37" s="454"/>
      <c r="AL37" s="454"/>
      <c r="AM37" s="454"/>
      <c r="AN37" s="456"/>
      <c r="AO37" s="454"/>
      <c r="AP37" s="454"/>
    </row>
    <row r="38" spans="1:43" s="453" customFormat="1" ht="15" customHeight="1">
      <c r="A38" s="648"/>
      <c r="B38" s="648"/>
      <c r="C38" s="648"/>
      <c r="D38" s="648"/>
      <c r="E38" s="648"/>
      <c r="F38" s="648"/>
      <c r="G38" s="648"/>
      <c r="H38" s="648"/>
      <c r="I38" s="648"/>
      <c r="J38" s="648"/>
      <c r="K38" s="648"/>
      <c r="L38" s="648"/>
      <c r="M38" s="648"/>
      <c r="AC38" s="457"/>
      <c r="AH38" s="457"/>
      <c r="AN38" s="457"/>
    </row>
    <row r="39" spans="1:43" s="453" customFormat="1" ht="15" customHeight="1">
      <c r="B39" s="454"/>
      <c r="C39" s="454"/>
      <c r="D39" s="454"/>
      <c r="E39" s="454"/>
      <c r="F39" s="454"/>
      <c r="G39" s="454"/>
      <c r="H39" s="421"/>
      <c r="I39" s="455"/>
      <c r="J39" s="454"/>
      <c r="K39" s="454"/>
      <c r="L39" s="454"/>
      <c r="M39" s="454"/>
      <c r="N39" s="454"/>
      <c r="O39" s="454"/>
      <c r="P39" s="454"/>
      <c r="Q39" s="454"/>
      <c r="R39" s="454"/>
      <c r="S39" s="454"/>
      <c r="T39" s="454"/>
      <c r="U39" s="454"/>
      <c r="V39" s="454"/>
      <c r="W39" s="454"/>
      <c r="X39" s="454"/>
      <c r="Y39" s="454"/>
      <c r="Z39" s="454"/>
      <c r="AA39" s="454"/>
      <c r="AB39" s="454"/>
      <c r="AC39" s="456"/>
      <c r="AD39" s="454"/>
      <c r="AE39" s="454"/>
      <c r="AF39" s="454"/>
      <c r="AG39" s="454"/>
      <c r="AH39" s="456"/>
      <c r="AI39" s="454"/>
      <c r="AJ39" s="454"/>
      <c r="AL39" s="454"/>
      <c r="AM39" s="454"/>
      <c r="AN39" s="456"/>
      <c r="AO39" s="454"/>
      <c r="AP39" s="454"/>
      <c r="AQ39" s="408"/>
    </row>
    <row r="40" spans="1:43" s="453" customFormat="1" ht="28.5" customHeight="1">
      <c r="B40" s="454"/>
      <c r="C40" s="454"/>
      <c r="D40" s="454"/>
      <c r="E40" s="454"/>
      <c r="F40" s="454"/>
      <c r="G40" s="454"/>
      <c r="H40" s="421"/>
      <c r="I40" s="455"/>
      <c r="J40" s="454"/>
      <c r="K40" s="454"/>
      <c r="L40" s="454"/>
      <c r="M40" s="454"/>
      <c r="N40" s="454"/>
      <c r="O40" s="454"/>
      <c r="P40" s="454"/>
      <c r="Q40" s="454"/>
      <c r="R40" s="454"/>
      <c r="S40" s="454"/>
      <c r="T40" s="454"/>
      <c r="U40" s="454"/>
      <c r="V40" s="454"/>
      <c r="W40" s="454"/>
      <c r="X40" s="454"/>
      <c r="Y40" s="454"/>
      <c r="Z40" s="454"/>
      <c r="AA40" s="454"/>
      <c r="AB40" s="454"/>
      <c r="AC40" s="456"/>
      <c r="AD40" s="454"/>
      <c r="AE40" s="454"/>
      <c r="AF40" s="454"/>
      <c r="AG40" s="454"/>
      <c r="AH40" s="456"/>
      <c r="AI40" s="454"/>
      <c r="AJ40" s="454"/>
      <c r="AL40" s="454"/>
      <c r="AM40" s="454"/>
      <c r="AN40" s="456"/>
      <c r="AO40" s="454"/>
      <c r="AP40" s="454"/>
      <c r="AQ40" s="408"/>
    </row>
    <row r="41" spans="1:43" s="453" customFormat="1" ht="28.5" customHeight="1">
      <c r="B41" s="454"/>
      <c r="C41" s="454"/>
      <c r="D41" s="454"/>
      <c r="E41" s="454"/>
      <c r="F41" s="454"/>
      <c r="G41" s="454"/>
      <c r="H41" s="421"/>
      <c r="I41" s="455"/>
      <c r="J41" s="454"/>
      <c r="K41" s="454"/>
      <c r="L41" s="454"/>
      <c r="M41" s="454"/>
      <c r="N41" s="454"/>
      <c r="O41" s="454"/>
      <c r="P41" s="454"/>
      <c r="Q41" s="454"/>
      <c r="R41" s="454"/>
      <c r="S41" s="454"/>
      <c r="T41" s="454"/>
      <c r="U41" s="454"/>
      <c r="V41" s="454"/>
      <c r="W41" s="454"/>
      <c r="X41" s="454"/>
      <c r="Y41" s="454"/>
      <c r="Z41" s="454"/>
      <c r="AA41" s="454"/>
      <c r="AB41" s="454"/>
      <c r="AC41" s="456"/>
      <c r="AD41" s="454"/>
      <c r="AE41" s="454"/>
      <c r="AF41" s="454"/>
      <c r="AG41" s="454"/>
      <c r="AH41" s="456"/>
      <c r="AI41" s="454"/>
      <c r="AJ41" s="454"/>
      <c r="AL41" s="454"/>
      <c r="AM41" s="454"/>
      <c r="AN41" s="456"/>
      <c r="AO41" s="454"/>
      <c r="AP41" s="454"/>
      <c r="AQ41" s="408"/>
    </row>
    <row r="42" spans="1:43" s="453" customFormat="1" ht="28.5" customHeight="1">
      <c r="B42" s="454"/>
      <c r="C42" s="454"/>
      <c r="D42" s="454"/>
      <c r="E42" s="454"/>
      <c r="F42" s="454"/>
      <c r="G42" s="454"/>
      <c r="H42" s="421"/>
      <c r="I42" s="455"/>
      <c r="J42" s="454"/>
      <c r="K42" s="454"/>
      <c r="L42" s="454"/>
      <c r="M42" s="454"/>
      <c r="N42" s="454"/>
      <c r="O42" s="454"/>
      <c r="P42" s="454"/>
      <c r="Q42" s="454"/>
      <c r="R42" s="454"/>
      <c r="S42" s="454"/>
      <c r="T42" s="454"/>
      <c r="U42" s="454"/>
      <c r="V42" s="454"/>
      <c r="W42" s="454"/>
      <c r="X42" s="454"/>
      <c r="Y42" s="454"/>
      <c r="Z42" s="454"/>
      <c r="AA42" s="454"/>
      <c r="AB42" s="454"/>
      <c r="AC42" s="456"/>
      <c r="AD42" s="454"/>
      <c r="AE42" s="454"/>
      <c r="AF42" s="454"/>
      <c r="AG42" s="454"/>
      <c r="AH42" s="456"/>
      <c r="AI42" s="454"/>
      <c r="AJ42" s="454"/>
      <c r="AL42" s="454"/>
      <c r="AM42" s="454"/>
      <c r="AN42" s="456"/>
      <c r="AO42" s="454"/>
      <c r="AP42" s="454"/>
      <c r="AQ42" s="408"/>
    </row>
    <row r="43" spans="1:43" s="453" customFormat="1" ht="28.5" customHeight="1">
      <c r="B43" s="454"/>
      <c r="C43" s="454"/>
      <c r="D43" s="454"/>
      <c r="E43" s="454"/>
      <c r="F43" s="454"/>
      <c r="G43" s="454"/>
      <c r="H43" s="421"/>
      <c r="I43" s="455"/>
      <c r="J43" s="454"/>
      <c r="K43" s="454"/>
      <c r="L43" s="454"/>
      <c r="M43" s="454"/>
      <c r="N43" s="454"/>
      <c r="O43" s="454"/>
      <c r="P43" s="454"/>
      <c r="Q43" s="454"/>
      <c r="R43" s="454"/>
      <c r="S43" s="454"/>
      <c r="T43" s="454"/>
      <c r="U43" s="454"/>
      <c r="V43" s="454"/>
      <c r="W43" s="454"/>
      <c r="X43" s="454"/>
      <c r="Y43" s="454"/>
      <c r="Z43" s="454"/>
      <c r="AA43" s="454"/>
      <c r="AB43" s="454"/>
      <c r="AC43" s="456"/>
      <c r="AD43" s="454"/>
      <c r="AE43" s="454"/>
      <c r="AF43" s="454"/>
      <c r="AG43" s="454"/>
      <c r="AH43" s="456"/>
      <c r="AI43" s="454"/>
      <c r="AJ43" s="454"/>
      <c r="AL43" s="454"/>
      <c r="AM43" s="454"/>
      <c r="AN43" s="456"/>
      <c r="AO43" s="454"/>
      <c r="AP43" s="454"/>
      <c r="AQ43" s="408"/>
    </row>
    <row r="44" spans="1:43" s="453" customFormat="1" ht="28.5" customHeight="1">
      <c r="B44" s="454"/>
      <c r="C44" s="454"/>
      <c r="D44" s="454"/>
      <c r="E44" s="454"/>
      <c r="F44" s="454"/>
      <c r="G44" s="454"/>
      <c r="H44" s="421"/>
      <c r="I44" s="455"/>
      <c r="J44" s="454"/>
      <c r="K44" s="454"/>
      <c r="L44" s="454"/>
      <c r="M44" s="454"/>
      <c r="N44" s="454"/>
      <c r="O44" s="454"/>
      <c r="P44" s="454"/>
      <c r="Q44" s="454"/>
      <c r="R44" s="454"/>
      <c r="S44" s="454"/>
      <c r="T44" s="454"/>
      <c r="U44" s="454"/>
      <c r="V44" s="454"/>
      <c r="W44" s="454"/>
      <c r="X44" s="454"/>
      <c r="Y44" s="454"/>
      <c r="Z44" s="454"/>
      <c r="AA44" s="454"/>
      <c r="AB44" s="454"/>
      <c r="AC44" s="456"/>
      <c r="AD44" s="454"/>
      <c r="AE44" s="454"/>
      <c r="AF44" s="454"/>
      <c r="AG44" s="454"/>
      <c r="AH44" s="456"/>
      <c r="AI44" s="454"/>
      <c r="AJ44" s="454"/>
      <c r="AL44" s="454"/>
      <c r="AM44" s="454"/>
      <c r="AN44" s="456"/>
      <c r="AO44" s="454"/>
      <c r="AP44" s="454"/>
      <c r="AQ44" s="408"/>
    </row>
    <row r="45" spans="1:43" s="453" customFormat="1" ht="28.5" customHeight="1">
      <c r="B45" s="454"/>
      <c r="C45" s="454"/>
      <c r="D45" s="454"/>
      <c r="E45" s="454"/>
      <c r="F45" s="454"/>
      <c r="G45" s="454"/>
      <c r="H45" s="421"/>
      <c r="I45" s="455"/>
      <c r="J45" s="454"/>
      <c r="K45" s="454"/>
      <c r="L45" s="454"/>
      <c r="M45" s="454"/>
      <c r="N45" s="454"/>
      <c r="O45" s="454"/>
      <c r="P45" s="454"/>
      <c r="Q45" s="454"/>
      <c r="R45" s="454"/>
      <c r="S45" s="454"/>
      <c r="T45" s="454"/>
      <c r="U45" s="454"/>
      <c r="V45" s="454"/>
      <c r="W45" s="454"/>
      <c r="X45" s="454"/>
      <c r="Y45" s="454"/>
      <c r="Z45" s="454"/>
      <c r="AA45" s="454"/>
      <c r="AB45" s="454"/>
      <c r="AC45" s="456"/>
      <c r="AD45" s="454"/>
      <c r="AE45" s="454"/>
      <c r="AF45" s="454"/>
      <c r="AG45" s="454"/>
      <c r="AH45" s="456"/>
      <c r="AI45" s="454"/>
      <c r="AJ45" s="454"/>
      <c r="AL45" s="454"/>
      <c r="AM45" s="454"/>
      <c r="AN45" s="456"/>
      <c r="AO45" s="454"/>
      <c r="AP45" s="454"/>
      <c r="AQ45" s="408"/>
    </row>
    <row r="46" spans="1:43" s="453" customFormat="1" ht="28.5" customHeight="1">
      <c r="B46" s="454"/>
      <c r="C46" s="454"/>
      <c r="D46" s="454"/>
      <c r="E46" s="454"/>
      <c r="F46" s="454"/>
      <c r="G46" s="454"/>
      <c r="H46" s="421"/>
      <c r="I46" s="455"/>
      <c r="J46" s="454"/>
      <c r="K46" s="454"/>
      <c r="L46" s="454"/>
      <c r="M46" s="454"/>
      <c r="N46" s="454"/>
      <c r="O46" s="454"/>
      <c r="P46" s="454"/>
      <c r="Q46" s="454"/>
      <c r="R46" s="454"/>
      <c r="S46" s="454"/>
      <c r="T46" s="454"/>
      <c r="U46" s="454"/>
      <c r="V46" s="454"/>
      <c r="W46" s="454"/>
      <c r="X46" s="454"/>
      <c r="Y46" s="454"/>
      <c r="Z46" s="454"/>
      <c r="AA46" s="454"/>
      <c r="AB46" s="454"/>
      <c r="AC46" s="456"/>
      <c r="AD46" s="454"/>
      <c r="AE46" s="454"/>
      <c r="AF46" s="454"/>
      <c r="AG46" s="454"/>
      <c r="AH46" s="456"/>
      <c r="AI46" s="454"/>
      <c r="AJ46" s="454"/>
      <c r="AL46" s="454"/>
      <c r="AM46" s="454"/>
      <c r="AN46" s="456"/>
      <c r="AO46" s="454"/>
      <c r="AP46" s="454"/>
      <c r="AQ46" s="408"/>
    </row>
    <row r="47" spans="1:43" s="453" customFormat="1" ht="28.5" customHeight="1">
      <c r="B47" s="454"/>
      <c r="C47" s="454"/>
      <c r="D47" s="454"/>
      <c r="E47" s="454"/>
      <c r="F47" s="454"/>
      <c r="G47" s="454"/>
      <c r="H47" s="421"/>
      <c r="I47" s="455"/>
      <c r="J47" s="454"/>
      <c r="K47" s="454"/>
      <c r="L47" s="454"/>
      <c r="M47" s="454"/>
      <c r="N47" s="454"/>
      <c r="O47" s="454"/>
      <c r="P47" s="454"/>
      <c r="Q47" s="454"/>
      <c r="R47" s="454"/>
      <c r="S47" s="454"/>
      <c r="T47" s="454"/>
      <c r="U47" s="454"/>
      <c r="V47" s="454"/>
      <c r="W47" s="454"/>
      <c r="X47" s="454"/>
      <c r="Y47" s="454"/>
      <c r="Z47" s="454"/>
      <c r="AA47" s="454"/>
      <c r="AB47" s="454"/>
      <c r="AC47" s="456"/>
      <c r="AD47" s="454"/>
      <c r="AE47" s="454"/>
      <c r="AF47" s="454"/>
      <c r="AG47" s="454"/>
      <c r="AH47" s="456"/>
      <c r="AI47" s="454"/>
      <c r="AJ47" s="454"/>
      <c r="AL47" s="454"/>
      <c r="AM47" s="454"/>
      <c r="AN47" s="456"/>
      <c r="AO47" s="454"/>
      <c r="AP47" s="454"/>
      <c r="AQ47" s="408"/>
    </row>
    <row r="48" spans="1:43" s="453" customFormat="1" ht="28.5" customHeight="1">
      <c r="B48" s="454"/>
      <c r="C48" s="454"/>
      <c r="D48" s="454"/>
      <c r="E48" s="454"/>
      <c r="F48" s="454"/>
      <c r="G48" s="454"/>
      <c r="H48" s="421"/>
      <c r="I48" s="455"/>
      <c r="J48" s="454"/>
      <c r="K48" s="454"/>
      <c r="L48" s="454"/>
      <c r="M48" s="454"/>
      <c r="N48" s="454"/>
      <c r="O48" s="454"/>
      <c r="P48" s="454"/>
      <c r="Q48" s="454"/>
      <c r="R48" s="454"/>
      <c r="S48" s="454"/>
      <c r="T48" s="454"/>
      <c r="U48" s="454"/>
      <c r="V48" s="454"/>
      <c r="W48" s="454"/>
      <c r="X48" s="454"/>
      <c r="Y48" s="454"/>
      <c r="Z48" s="454"/>
      <c r="AA48" s="454"/>
      <c r="AB48" s="454"/>
      <c r="AC48" s="456"/>
      <c r="AD48" s="454"/>
      <c r="AE48" s="454"/>
      <c r="AF48" s="454"/>
      <c r="AG48" s="454"/>
      <c r="AH48" s="456"/>
      <c r="AI48" s="454"/>
      <c r="AJ48" s="454"/>
      <c r="AL48" s="454"/>
      <c r="AM48" s="454"/>
      <c r="AN48" s="456"/>
      <c r="AO48" s="454"/>
      <c r="AP48" s="454"/>
      <c r="AQ48" s="408"/>
    </row>
    <row r="49" spans="1:9" ht="28.5" customHeight="1">
      <c r="A49" s="461"/>
      <c r="B49" s="458"/>
      <c r="C49" s="458"/>
      <c r="D49" s="458"/>
      <c r="E49" s="458"/>
      <c r="F49" s="458"/>
      <c r="G49" s="458"/>
      <c r="H49" s="422"/>
      <c r="I49" s="459"/>
    </row>
  </sheetData>
  <mergeCells count="14">
    <mergeCell ref="AQ2:AU2"/>
    <mergeCell ref="AW2:BA2"/>
    <mergeCell ref="AF2:AJ2"/>
    <mergeCell ref="AL2:AP2"/>
    <mergeCell ref="A38:M38"/>
    <mergeCell ref="L2:P2"/>
    <mergeCell ref="G2:K2"/>
    <mergeCell ref="B2:F2"/>
    <mergeCell ref="A33:M33"/>
    <mergeCell ref="AA2:AE2"/>
    <mergeCell ref="V2:Z2"/>
    <mergeCell ref="Q2:U2"/>
    <mergeCell ref="A34:M34"/>
    <mergeCell ref="A36:M36"/>
  </mergeCells>
  <pageMargins left="0.70866141732283472" right="0.70866141732283472" top="0.74803149606299213" bottom="0.74803149606299213" header="0.31496062992125984" footer="0.31496062992125984"/>
  <pageSetup paperSize="9" scale="53" orientation="landscape" r:id="rId1"/>
  <ignoredErrors>
    <ignoredError sqref="F19 K19 P19 U19 P29 Z19 Z26 X29:Y29 Z9 P9 K9 F9 W29 AE26 AP9 AE9 AJ9 AJ24 AJ26 AP24 AP26 Z22:Z24 AE24 AU9 AU19 AU24:AU26 BA24:BA26 BA9" formula="1"/>
    <ignoredError sqref="B9:C9 Z5:Z8 Z10:Z14 Z18 Z15 Z16:Z17 Q9:Y9 L9:O9 G9:J9 D9:E9 AA9:AD9 Z28 AL9:AO9 AF9:AI9 AJ22 AQ9:AR9 AW9:AX9" formulaRange="1"/>
    <ignoredError sqref="AG31:AH31 AN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R170"/>
  <sheetViews>
    <sheetView showGridLines="0" topLeftCell="B1" zoomScale="115" zoomScaleNormal="115" zoomScaleSheetLayoutView="100" workbookViewId="0">
      <pane xSplit="1" topLeftCell="H1" activePane="topRight" state="frozen"/>
      <selection activeCell="B1" sqref="B1"/>
      <selection pane="topRight" activeCell="O9" sqref="O9"/>
    </sheetView>
  </sheetViews>
  <sheetFormatPr defaultRowHeight="14.25"/>
  <cols>
    <col min="1" max="1" width="1.625" customWidth="1"/>
    <col min="2" max="2" width="34.875" customWidth="1"/>
    <col min="3" max="3" width="18" customWidth="1"/>
    <col min="4" max="4" width="1.875" customWidth="1"/>
    <col min="5" max="5" width="16.75" bestFit="1" customWidth="1"/>
    <col min="6" max="6" width="1.625" customWidth="1"/>
    <col min="7" max="7" width="9.625" customWidth="1"/>
    <col min="8" max="8" width="18.625" customWidth="1"/>
    <col min="9" max="9" width="1.875" customWidth="1"/>
    <col min="10" max="10" width="16.75" bestFit="1" customWidth="1"/>
    <col min="11" max="11" width="1.875" customWidth="1"/>
    <col min="12" max="12" width="10" customWidth="1"/>
    <col min="13" max="13" width="18.375" customWidth="1"/>
    <col min="14" max="14" width="1.875" customWidth="1"/>
    <col min="15" max="15" width="16.75" bestFit="1" customWidth="1"/>
    <col min="16" max="16" width="1.875" customWidth="1"/>
    <col min="17" max="17" width="9.625" customWidth="1"/>
    <col min="18" max="18" width="17.875" customWidth="1"/>
    <col min="19" max="19" width="1.875" customWidth="1"/>
    <col min="20" max="20" width="16.75" bestFit="1" customWidth="1"/>
    <col min="21" max="21" width="1.875" customWidth="1"/>
    <col min="22" max="22" width="9.625" customWidth="1"/>
    <col min="23" max="24" width="9" style="15"/>
    <col min="25" max="31" width="0" style="15" hidden="1" customWidth="1"/>
    <col min="32" max="278" width="9" style="15"/>
  </cols>
  <sheetData>
    <row r="1" spans="2:278" ht="50.25" customHeight="1" thickBot="1">
      <c r="B1" s="3" t="s">
        <v>24</v>
      </c>
      <c r="C1" s="15"/>
      <c r="D1" s="15"/>
      <c r="E1" s="15"/>
      <c r="F1" s="15"/>
      <c r="G1" s="15"/>
      <c r="H1" s="15"/>
      <c r="I1" s="15"/>
      <c r="J1" s="15"/>
      <c r="K1" s="15"/>
      <c r="L1" s="15"/>
      <c r="M1" s="15"/>
      <c r="N1" s="15"/>
      <c r="O1" s="15"/>
      <c r="P1" s="15"/>
      <c r="Q1" s="15"/>
      <c r="R1" s="15"/>
      <c r="S1" s="15"/>
      <c r="T1" s="15"/>
      <c r="U1" s="15"/>
      <c r="V1" s="15"/>
    </row>
    <row r="2" spans="2:278" s="18" customFormat="1" ht="30" customHeight="1" thickBot="1">
      <c r="B2" s="657" t="s">
        <v>49</v>
      </c>
      <c r="C2" s="661" t="s">
        <v>69</v>
      </c>
      <c r="D2" s="662"/>
      <c r="E2" s="662"/>
      <c r="F2" s="662"/>
      <c r="G2" s="663"/>
      <c r="H2" s="661" t="s">
        <v>70</v>
      </c>
      <c r="I2" s="662"/>
      <c r="J2" s="662"/>
      <c r="K2" s="662"/>
      <c r="L2" s="663"/>
      <c r="M2" s="661" t="s">
        <v>71</v>
      </c>
      <c r="N2" s="662"/>
      <c r="O2" s="662"/>
      <c r="P2" s="662"/>
      <c r="Q2" s="663"/>
      <c r="R2" s="661" t="s">
        <v>72</v>
      </c>
      <c r="S2" s="662"/>
      <c r="T2" s="662"/>
      <c r="U2" s="662"/>
      <c r="V2" s="663"/>
      <c r="W2" s="16"/>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2:278" s="18" customFormat="1" ht="48" customHeight="1" thickBot="1">
      <c r="B3" s="658"/>
      <c r="C3" s="664" t="s">
        <v>323</v>
      </c>
      <c r="D3" s="665"/>
      <c r="E3" s="665"/>
      <c r="F3" s="665"/>
      <c r="G3" s="666"/>
      <c r="H3" s="664" t="s">
        <v>323</v>
      </c>
      <c r="I3" s="665"/>
      <c r="J3" s="665"/>
      <c r="K3" s="665"/>
      <c r="L3" s="666"/>
      <c r="M3" s="664" t="s">
        <v>323</v>
      </c>
      <c r="N3" s="665"/>
      <c r="O3" s="665"/>
      <c r="P3" s="665"/>
      <c r="Q3" s="666"/>
      <c r="R3" s="664" t="s">
        <v>323</v>
      </c>
      <c r="S3" s="665"/>
      <c r="T3" s="665"/>
      <c r="U3" s="665"/>
      <c r="V3" s="666"/>
      <c r="W3" s="16"/>
      <c r="X3" s="19"/>
      <c r="Y3" s="467" t="s">
        <v>298</v>
      </c>
      <c r="Z3" s="660" t="s">
        <v>284</v>
      </c>
      <c r="AA3" s="660"/>
      <c r="AB3" s="660" t="s">
        <v>285</v>
      </c>
      <c r="AC3" s="660"/>
      <c r="AD3" s="660" t="s">
        <v>286</v>
      </c>
      <c r="AE3" s="660" t="s">
        <v>287</v>
      </c>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2:278" s="25" customFormat="1" ht="30.75" thickBot="1">
      <c r="B4" s="659"/>
      <c r="C4" s="372" t="s">
        <v>324</v>
      </c>
      <c r="D4" s="20"/>
      <c r="E4" s="151" t="s">
        <v>325</v>
      </c>
      <c r="F4" s="21"/>
      <c r="G4" s="22" t="s">
        <v>73</v>
      </c>
      <c r="H4" s="372" t="s">
        <v>324</v>
      </c>
      <c r="I4" s="20"/>
      <c r="J4" s="151" t="s">
        <v>325</v>
      </c>
      <c r="K4" s="21"/>
      <c r="L4" s="22" t="s">
        <v>73</v>
      </c>
      <c r="M4" s="372" t="s">
        <v>324</v>
      </c>
      <c r="N4" s="20"/>
      <c r="O4" s="151" t="s">
        <v>325</v>
      </c>
      <c r="P4" s="21"/>
      <c r="Q4" s="22" t="s">
        <v>73</v>
      </c>
      <c r="R4" s="372" t="s">
        <v>324</v>
      </c>
      <c r="S4" s="20"/>
      <c r="T4" s="151" t="s">
        <v>325</v>
      </c>
      <c r="U4" s="21"/>
      <c r="V4" s="22" t="s">
        <v>73</v>
      </c>
      <c r="W4" s="23"/>
      <c r="X4" s="23"/>
      <c r="Y4" s="467" t="s">
        <v>283</v>
      </c>
      <c r="Z4" s="660"/>
      <c r="AA4" s="660"/>
      <c r="AB4" s="660"/>
      <c r="AC4" s="660"/>
      <c r="AD4" s="660"/>
      <c r="AE4" s="660"/>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row>
    <row r="5" spans="2:278" s="18" customFormat="1" ht="20.100000000000001" customHeight="1">
      <c r="B5" s="28" t="s">
        <v>74</v>
      </c>
      <c r="C5" s="619">
        <v>4840.8999999999996</v>
      </c>
      <c r="D5" s="604"/>
      <c r="E5" s="631">
        <v>4269.2</v>
      </c>
      <c r="F5" s="233"/>
      <c r="G5" s="234">
        <f>C5-E5</f>
        <v>571.69999999999982</v>
      </c>
      <c r="H5" s="619">
        <v>873.7</v>
      </c>
      <c r="I5" s="608"/>
      <c r="J5" s="631">
        <v>679.9</v>
      </c>
      <c r="K5" s="233"/>
      <c r="L5" s="234">
        <f>H5-J5</f>
        <v>193.80000000000007</v>
      </c>
      <c r="M5" s="624">
        <v>0</v>
      </c>
      <c r="N5" s="564"/>
      <c r="O5" s="559">
        <v>0</v>
      </c>
      <c r="P5" s="236"/>
      <c r="Q5" s="237">
        <f t="shared" ref="Q5:Q11" si="0">M5-O5</f>
        <v>0</v>
      </c>
      <c r="R5" s="238">
        <f t="shared" ref="R5:R11" si="1">C5+H5+M5</f>
        <v>5714.5999999999995</v>
      </c>
      <c r="S5" s="238"/>
      <c r="T5" s="239">
        <f t="shared" ref="T5:T11" si="2">E5+J5+O5</f>
        <v>4949.0999999999995</v>
      </c>
      <c r="U5" s="239"/>
      <c r="V5" s="240">
        <f>R5-T5</f>
        <v>765.5</v>
      </c>
      <c r="W5" s="339"/>
      <c r="X5" s="27"/>
      <c r="Y5" s="468" t="s">
        <v>288</v>
      </c>
      <c r="Z5" s="475">
        <v>6379.5</v>
      </c>
      <c r="AA5" s="469"/>
      <c r="AB5" s="475">
        <v>869.9</v>
      </c>
      <c r="AC5" s="469"/>
      <c r="AD5" s="479" t="s">
        <v>271</v>
      </c>
      <c r="AE5" s="475" t="s">
        <v>299</v>
      </c>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2:278" s="18" customFormat="1" ht="20.25" customHeight="1">
      <c r="B6" s="28" t="s">
        <v>75</v>
      </c>
      <c r="C6" s="620">
        <v>26.1</v>
      </c>
      <c r="D6" s="605"/>
      <c r="E6" s="632">
        <v>27.7</v>
      </c>
      <c r="F6" s="232"/>
      <c r="G6" s="568">
        <f t="shared" ref="G6:G14" si="3">C6-E6</f>
        <v>-1.5999999999999979</v>
      </c>
      <c r="H6" s="620">
        <v>101.1</v>
      </c>
      <c r="I6" s="609"/>
      <c r="J6" s="632">
        <v>82.4</v>
      </c>
      <c r="K6" s="232"/>
      <c r="L6" s="241">
        <f t="shared" ref="L6:L11" si="4">H6-J6</f>
        <v>18.699999999999989</v>
      </c>
      <c r="M6" s="620">
        <v>-127.2</v>
      </c>
      <c r="N6" s="605"/>
      <c r="O6" s="632">
        <v>-110.1</v>
      </c>
      <c r="P6" s="232"/>
      <c r="Q6" s="237">
        <f t="shared" si="0"/>
        <v>-17.100000000000009</v>
      </c>
      <c r="R6" s="627">
        <f t="shared" si="1"/>
        <v>0</v>
      </c>
      <c r="S6" s="245"/>
      <c r="T6" s="236">
        <f t="shared" si="2"/>
        <v>0</v>
      </c>
      <c r="U6" s="236"/>
      <c r="V6" s="237">
        <f t="shared" ref="V6:V11" si="5">R6-T6</f>
        <v>0</v>
      </c>
      <c r="W6" s="16"/>
      <c r="X6" s="26"/>
      <c r="Y6" s="468" t="s">
        <v>289</v>
      </c>
      <c r="Z6" s="475">
        <v>30.5</v>
      </c>
      <c r="AA6" s="469"/>
      <c r="AB6" s="475">
        <v>130.30000000000001</v>
      </c>
      <c r="AC6" s="469"/>
      <c r="AD6" s="479">
        <v>-160.80000000000001</v>
      </c>
      <c r="AE6" s="479" t="s">
        <v>271</v>
      </c>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2:278" s="18" customFormat="1" ht="20.25" customHeight="1">
      <c r="B7" s="29" t="s">
        <v>76</v>
      </c>
      <c r="C7" s="621">
        <f>C5+C6</f>
        <v>4867</v>
      </c>
      <c r="D7" s="587"/>
      <c r="E7" s="585">
        <f>E5+E6</f>
        <v>4296.8999999999996</v>
      </c>
      <c r="F7" s="585"/>
      <c r="G7" s="243">
        <f>C7-E7</f>
        <v>570.10000000000036</v>
      </c>
      <c r="H7" s="621">
        <f>H5+H6</f>
        <v>974.80000000000007</v>
      </c>
      <c r="I7" s="587"/>
      <c r="J7" s="585">
        <f>J5+J6</f>
        <v>762.3</v>
      </c>
      <c r="K7" s="242"/>
      <c r="L7" s="243">
        <f t="shared" si="4"/>
        <v>212.50000000000011</v>
      </c>
      <c r="M7" s="621">
        <f>M5+M6</f>
        <v>-127.2</v>
      </c>
      <c r="N7" s="587"/>
      <c r="O7" s="585">
        <f>O5+O6</f>
        <v>-110.1</v>
      </c>
      <c r="P7" s="242"/>
      <c r="Q7" s="243">
        <f t="shared" si="0"/>
        <v>-17.100000000000009</v>
      </c>
      <c r="R7" s="621">
        <f>R5+R6</f>
        <v>5714.5999999999995</v>
      </c>
      <c r="S7" s="587"/>
      <c r="T7" s="585">
        <f>T5+T6</f>
        <v>4949.0999999999995</v>
      </c>
      <c r="U7" s="246"/>
      <c r="V7" s="244">
        <f t="shared" si="5"/>
        <v>765.5</v>
      </c>
      <c r="W7" s="16"/>
      <c r="X7" s="30"/>
      <c r="Y7" s="470" t="s">
        <v>290</v>
      </c>
      <c r="Z7" s="480">
        <v>6410</v>
      </c>
      <c r="AA7" s="469"/>
      <c r="AB7" s="480">
        <v>1000.2</v>
      </c>
      <c r="AC7" s="469"/>
      <c r="AD7" s="481">
        <v>-160.80000000000001</v>
      </c>
      <c r="AE7" s="480" t="s">
        <v>299</v>
      </c>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2:278" s="18" customFormat="1" ht="20.25" customHeight="1">
      <c r="B8" s="29" t="s">
        <v>186</v>
      </c>
      <c r="C8" s="245">
        <v>1807.1</v>
      </c>
      <c r="D8" s="587"/>
      <c r="E8" s="246">
        <v>1550.2</v>
      </c>
      <c r="F8" s="585"/>
      <c r="G8" s="243">
        <f t="shared" si="3"/>
        <v>256.89999999999986</v>
      </c>
      <c r="H8" s="245">
        <v>307.3</v>
      </c>
      <c r="I8" s="590"/>
      <c r="J8" s="246">
        <v>286.2</v>
      </c>
      <c r="K8" s="242"/>
      <c r="L8" s="243">
        <f t="shared" si="4"/>
        <v>21.100000000000023</v>
      </c>
      <c r="M8" s="245">
        <v>0</v>
      </c>
      <c r="N8" s="245"/>
      <c r="O8" s="246">
        <v>0</v>
      </c>
      <c r="P8" s="242"/>
      <c r="Q8" s="244">
        <f t="shared" si="0"/>
        <v>0</v>
      </c>
      <c r="R8" s="629">
        <f t="shared" si="1"/>
        <v>2114.4</v>
      </c>
      <c r="S8" s="478"/>
      <c r="T8" s="246">
        <f t="shared" si="2"/>
        <v>1836.4</v>
      </c>
      <c r="U8" s="246"/>
      <c r="V8" s="244">
        <f t="shared" si="5"/>
        <v>278</v>
      </c>
      <c r="W8" s="615"/>
      <c r="X8" s="30"/>
      <c r="Y8" s="470" t="s">
        <v>291</v>
      </c>
      <c r="Z8" s="480">
        <v>2389.3000000000002</v>
      </c>
      <c r="AA8" s="469"/>
      <c r="AB8" s="480">
        <v>355</v>
      </c>
      <c r="AC8" s="469"/>
      <c r="AD8" s="481" t="s">
        <v>271</v>
      </c>
      <c r="AE8" s="480" t="s">
        <v>300</v>
      </c>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2:278" s="18" customFormat="1" ht="32.25" customHeight="1">
      <c r="B9" s="28" t="s">
        <v>58</v>
      </c>
      <c r="C9" s="620">
        <v>1070.3</v>
      </c>
      <c r="D9" s="587"/>
      <c r="E9" s="632">
        <v>904.8</v>
      </c>
      <c r="F9" s="232"/>
      <c r="G9" s="568">
        <f t="shared" si="3"/>
        <v>165.5</v>
      </c>
      <c r="H9" s="620">
        <v>30.4</v>
      </c>
      <c r="I9" s="609"/>
      <c r="J9" s="632">
        <v>20.5</v>
      </c>
      <c r="K9" s="232"/>
      <c r="L9" s="241">
        <f t="shared" si="4"/>
        <v>9.8999999999999986</v>
      </c>
      <c r="M9" s="625">
        <v>0</v>
      </c>
      <c r="N9" s="564"/>
      <c r="O9" s="560">
        <v>0</v>
      </c>
      <c r="P9" s="232"/>
      <c r="Q9" s="237">
        <f t="shared" si="0"/>
        <v>0</v>
      </c>
      <c r="R9" s="235">
        <f t="shared" si="1"/>
        <v>1100.7</v>
      </c>
      <c r="S9" s="235"/>
      <c r="T9" s="236">
        <f t="shared" si="2"/>
        <v>925.3</v>
      </c>
      <c r="U9" s="236"/>
      <c r="V9" s="237">
        <f t="shared" si="5"/>
        <v>175.40000000000009</v>
      </c>
      <c r="W9" s="16"/>
      <c r="X9" s="30"/>
      <c r="Y9" s="468" t="s">
        <v>292</v>
      </c>
      <c r="Z9" s="475">
        <v>1319.5</v>
      </c>
      <c r="AA9" s="469"/>
      <c r="AB9" s="475">
        <v>28.7</v>
      </c>
      <c r="AC9" s="469"/>
      <c r="AD9" s="479" t="s">
        <v>271</v>
      </c>
      <c r="AE9" s="475" t="s">
        <v>301</v>
      </c>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row>
    <row r="10" spans="2:278" s="18" customFormat="1" ht="20.25" customHeight="1">
      <c r="B10" s="29" t="s">
        <v>77</v>
      </c>
      <c r="C10" s="621">
        <f>C8-C9</f>
        <v>736.8</v>
      </c>
      <c r="D10" s="587"/>
      <c r="E10" s="585">
        <f>E8-E9</f>
        <v>645.40000000000009</v>
      </c>
      <c r="F10" s="585"/>
      <c r="G10" s="243">
        <f t="shared" si="3"/>
        <v>91.399999999999864</v>
      </c>
      <c r="H10" s="621">
        <f>H8-H9</f>
        <v>276.90000000000003</v>
      </c>
      <c r="I10" s="587"/>
      <c r="J10" s="585">
        <f>J8-J9</f>
        <v>265.7</v>
      </c>
      <c r="K10" s="242"/>
      <c r="L10" s="243">
        <f t="shared" si="4"/>
        <v>11.200000000000045</v>
      </c>
      <c r="M10" s="621">
        <v>0</v>
      </c>
      <c r="N10" s="245"/>
      <c r="O10" s="246">
        <v>0</v>
      </c>
      <c r="P10" s="242"/>
      <c r="Q10" s="244">
        <f t="shared" si="0"/>
        <v>0</v>
      </c>
      <c r="R10" s="245">
        <f t="shared" si="1"/>
        <v>1013.7</v>
      </c>
      <c r="S10" s="245"/>
      <c r="T10" s="246">
        <f t="shared" si="2"/>
        <v>911.10000000000014</v>
      </c>
      <c r="U10" s="246"/>
      <c r="V10" s="244">
        <f t="shared" si="5"/>
        <v>102.59999999999991</v>
      </c>
      <c r="W10" s="16"/>
      <c r="X10" s="30"/>
      <c r="Y10" s="470" t="s">
        <v>293</v>
      </c>
      <c r="Z10" s="480">
        <v>1069.8</v>
      </c>
      <c r="AA10" s="469"/>
      <c r="AB10" s="480">
        <v>326.3</v>
      </c>
      <c r="AC10" s="469"/>
      <c r="AD10" s="481" t="s">
        <v>271</v>
      </c>
      <c r="AE10" s="480" t="s">
        <v>302</v>
      </c>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row>
    <row r="11" spans="2:278" s="18" customFormat="1" ht="48" customHeight="1" thickBot="1">
      <c r="B11" s="331" t="s">
        <v>78</v>
      </c>
      <c r="C11" s="622">
        <v>666.2</v>
      </c>
      <c r="D11" s="591">
        <v>1</v>
      </c>
      <c r="E11" s="633">
        <v>373.9</v>
      </c>
      <c r="F11" s="598">
        <v>1</v>
      </c>
      <c r="G11" s="248">
        <f t="shared" si="3"/>
        <v>292.30000000000007</v>
      </c>
      <c r="H11" s="622">
        <v>19.399999999999999</v>
      </c>
      <c r="I11" s="610"/>
      <c r="J11" s="633">
        <v>20</v>
      </c>
      <c r="K11" s="247"/>
      <c r="L11" s="248">
        <f t="shared" si="4"/>
        <v>-0.60000000000000142</v>
      </c>
      <c r="M11" s="558">
        <v>0</v>
      </c>
      <c r="N11" s="558"/>
      <c r="O11" s="561">
        <v>0</v>
      </c>
      <c r="P11" s="251"/>
      <c r="Q11" s="252">
        <f t="shared" si="0"/>
        <v>0</v>
      </c>
      <c r="R11" s="249">
        <f t="shared" si="1"/>
        <v>685.6</v>
      </c>
      <c r="S11" s="249"/>
      <c r="T11" s="250">
        <f t="shared" si="2"/>
        <v>393.9</v>
      </c>
      <c r="U11" s="250"/>
      <c r="V11" s="253">
        <f t="shared" si="5"/>
        <v>291.70000000000005</v>
      </c>
      <c r="W11" s="16"/>
      <c r="X11" s="30"/>
      <c r="Y11" s="471" t="s">
        <v>294</v>
      </c>
      <c r="Z11" s="472">
        <v>635.70000000000005</v>
      </c>
      <c r="AA11" s="473" t="s">
        <v>295</v>
      </c>
      <c r="AB11" s="472">
        <v>19.2</v>
      </c>
      <c r="AC11" s="472"/>
      <c r="AD11" s="482" t="s">
        <v>271</v>
      </c>
      <c r="AE11" s="472">
        <v>654.9</v>
      </c>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row>
    <row r="12" spans="2:278" s="18" customFormat="1" ht="20.25" customHeight="1">
      <c r="B12" s="630" t="s">
        <v>337</v>
      </c>
      <c r="C12" s="563"/>
      <c r="D12" s="380"/>
      <c r="E12" s="586"/>
      <c r="F12" s="586"/>
      <c r="G12" s="256"/>
      <c r="H12" s="563">
        <v>0</v>
      </c>
      <c r="I12" s="380"/>
      <c r="J12" s="586">
        <v>0</v>
      </c>
      <c r="K12" s="255"/>
      <c r="L12" s="256"/>
      <c r="M12" s="563">
        <v>0</v>
      </c>
      <c r="N12" s="254"/>
      <c r="O12" s="586">
        <v>0</v>
      </c>
      <c r="P12" s="255"/>
      <c r="Q12" s="240"/>
      <c r="R12" s="254"/>
      <c r="S12" s="254"/>
      <c r="T12" s="586"/>
      <c r="U12" s="255"/>
      <c r="V12" s="256"/>
      <c r="W12" s="616"/>
      <c r="X12" s="27"/>
      <c r="Y12" s="468" t="s">
        <v>303</v>
      </c>
      <c r="Z12" s="469"/>
      <c r="AA12" s="469"/>
      <c r="AB12" s="469"/>
      <c r="AC12" s="469"/>
      <c r="AD12" s="474"/>
      <c r="AE12" s="474"/>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row>
    <row r="13" spans="2:278" s="18" customFormat="1" ht="20.25" customHeight="1">
      <c r="B13" s="28" t="s">
        <v>79</v>
      </c>
      <c r="C13" s="620">
        <v>25984.400000000001</v>
      </c>
      <c r="D13" s="606"/>
      <c r="E13" s="632">
        <v>24937.5</v>
      </c>
      <c r="F13" s="588"/>
      <c r="G13" s="568">
        <f t="shared" si="3"/>
        <v>1046.9000000000015</v>
      </c>
      <c r="H13" s="620">
        <v>5624.8</v>
      </c>
      <c r="I13" s="332">
        <v>2</v>
      </c>
      <c r="J13" s="632">
        <v>5024.5</v>
      </c>
      <c r="K13" s="262">
        <v>3</v>
      </c>
      <c r="L13" s="241">
        <f t="shared" ref="L13" si="6">H13-J13</f>
        <v>600.30000000000018</v>
      </c>
      <c r="M13" s="620">
        <v>-250</v>
      </c>
      <c r="N13" s="257"/>
      <c r="O13" s="632">
        <v>-210.4</v>
      </c>
      <c r="P13" s="258"/>
      <c r="Q13" s="237">
        <f>M13-O13</f>
        <v>-39.599999999999994</v>
      </c>
      <c r="R13" s="628">
        <f>C13+H13+M13</f>
        <v>31359.200000000001</v>
      </c>
      <c r="S13" s="235"/>
      <c r="T13" s="232">
        <f>J13+O13+E13</f>
        <v>29751.599999999999</v>
      </c>
      <c r="U13" s="232"/>
      <c r="V13" s="241">
        <f>R13-T13</f>
        <v>1607.6000000000022</v>
      </c>
      <c r="W13" s="16"/>
      <c r="X13" s="27"/>
      <c r="Y13" s="468" t="s">
        <v>296</v>
      </c>
      <c r="Z13" s="480">
        <v>22507</v>
      </c>
      <c r="AA13" s="469"/>
      <c r="AB13" s="480">
        <v>4434.2</v>
      </c>
      <c r="AC13" s="475" t="s">
        <v>297</v>
      </c>
      <c r="AD13" s="481">
        <v>-48.6</v>
      </c>
      <c r="AE13" s="480" t="s">
        <v>304</v>
      </c>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row>
    <row r="14" spans="2:278" s="18" customFormat="1" ht="31.5" customHeight="1" thickBot="1">
      <c r="B14" s="150" t="s">
        <v>80</v>
      </c>
      <c r="C14" s="623">
        <v>45.8</v>
      </c>
      <c r="D14" s="607"/>
      <c r="E14" s="634">
        <v>4.3</v>
      </c>
      <c r="F14" s="589"/>
      <c r="G14" s="569">
        <f t="shared" si="3"/>
        <v>41.5</v>
      </c>
      <c r="H14" s="623">
        <v>27.6</v>
      </c>
      <c r="I14" s="334"/>
      <c r="J14" s="634">
        <v>36.1</v>
      </c>
      <c r="K14" s="300"/>
      <c r="L14" s="260">
        <f>H14-J14</f>
        <v>-8.5</v>
      </c>
      <c r="M14" s="626">
        <v>0</v>
      </c>
      <c r="N14" s="565"/>
      <c r="O14" s="562">
        <v>0</v>
      </c>
      <c r="P14" s="259"/>
      <c r="Q14" s="261">
        <f>M14-O14</f>
        <v>0</v>
      </c>
      <c r="R14" s="333">
        <f>C14+H14+M14</f>
        <v>73.400000000000006</v>
      </c>
      <c r="S14" s="333"/>
      <c r="T14" s="335">
        <f>J14+O14+E14</f>
        <v>40.4</v>
      </c>
      <c r="U14" s="335"/>
      <c r="V14" s="261">
        <f>R14-T14</f>
        <v>33.000000000000007</v>
      </c>
      <c r="W14" s="16"/>
      <c r="X14" s="27"/>
      <c r="Y14" s="476" t="s">
        <v>305</v>
      </c>
      <c r="Z14" s="477" t="s">
        <v>271</v>
      </c>
      <c r="AA14" s="477"/>
      <c r="AB14" s="477">
        <v>5.8</v>
      </c>
      <c r="AC14" s="477"/>
      <c r="AD14" s="483" t="s">
        <v>271</v>
      </c>
      <c r="AE14" s="483">
        <v>5.8</v>
      </c>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row>
    <row r="15" spans="2:278" s="15" customFormat="1" ht="15">
      <c r="B15" s="584" t="s">
        <v>308</v>
      </c>
      <c r="G15" s="33"/>
      <c r="H15" s="31"/>
      <c r="I15" s="31"/>
      <c r="J15" s="33"/>
      <c r="K15" s="33"/>
      <c r="L15" s="33"/>
      <c r="M15" s="31"/>
      <c r="N15" s="31"/>
      <c r="O15" s="31"/>
      <c r="P15" s="31"/>
      <c r="Q15" s="31"/>
      <c r="R15" s="31"/>
      <c r="S15" s="31"/>
      <c r="T15" s="31"/>
      <c r="U15" s="31"/>
      <c r="V15" s="31"/>
      <c r="W15" s="31"/>
    </row>
    <row r="16" spans="2:278" s="15" customFormat="1" ht="15">
      <c r="B16" s="567" t="s">
        <v>309</v>
      </c>
      <c r="G16" s="32"/>
      <c r="H16" s="31"/>
      <c r="I16" s="31"/>
      <c r="J16" s="32"/>
      <c r="K16" s="32"/>
      <c r="L16" s="32"/>
      <c r="M16" s="31"/>
      <c r="N16" s="31"/>
      <c r="O16" s="31"/>
      <c r="P16" s="31"/>
      <c r="Q16" s="31"/>
      <c r="R16" s="31"/>
      <c r="S16" s="31"/>
      <c r="T16" s="31"/>
      <c r="U16" s="31"/>
      <c r="V16" s="31"/>
      <c r="W16" s="31"/>
    </row>
    <row r="17" spans="2:23" s="15" customFormat="1" ht="15">
      <c r="B17" s="584" t="s">
        <v>310</v>
      </c>
      <c r="C17" s="31"/>
      <c r="D17" s="31"/>
      <c r="E17" s="31"/>
      <c r="F17" s="31"/>
      <c r="G17" s="31"/>
      <c r="H17" s="31"/>
      <c r="I17" s="31"/>
      <c r="J17" s="31"/>
      <c r="K17" s="31"/>
      <c r="L17" s="31"/>
      <c r="M17" s="31"/>
      <c r="N17" s="31"/>
      <c r="O17" s="31"/>
      <c r="P17" s="31"/>
      <c r="Q17" s="31"/>
      <c r="R17" s="31"/>
      <c r="S17" s="31"/>
      <c r="T17" s="31"/>
      <c r="U17" s="31"/>
      <c r="V17" s="31"/>
      <c r="W17" s="31"/>
    </row>
    <row r="18" spans="2:23" s="15" customFormat="1" ht="15">
      <c r="W18" s="31"/>
    </row>
    <row r="19" spans="2:23" s="15" customFormat="1"/>
    <row r="20" spans="2:23" s="15" customFormat="1"/>
    <row r="21" spans="2:23" s="15" customFormat="1"/>
    <row r="22" spans="2:23" s="15" customFormat="1"/>
    <row r="23" spans="2:23" s="15" customFormat="1"/>
    <row r="24" spans="2:23" s="15" customFormat="1"/>
    <row r="25" spans="2:23" s="15" customFormat="1"/>
    <row r="26" spans="2:23" s="15" customFormat="1"/>
    <row r="27" spans="2:23" s="15" customFormat="1"/>
    <row r="28" spans="2:23" s="15" customFormat="1"/>
    <row r="29" spans="2:23" s="15" customFormat="1"/>
    <row r="30" spans="2:23" s="15" customFormat="1"/>
    <row r="31" spans="2:23" s="15" customFormat="1"/>
    <row r="32" spans="2:23" s="15" customFormat="1"/>
    <row r="33" s="15" customFormat="1"/>
    <row r="34" s="15" customFormat="1"/>
    <row r="35" s="15" customFormat="1"/>
    <row r="36" s="15" customFormat="1"/>
    <row r="37" s="15" customFormat="1"/>
    <row r="38" s="15" customFormat="1"/>
    <row r="39" s="15" customFormat="1"/>
    <row r="40" s="15" customFormat="1"/>
    <row r="41" s="15" customFormat="1"/>
    <row r="42" s="15" customFormat="1"/>
    <row r="43" s="15" customFormat="1"/>
    <row r="44" s="15" customFormat="1"/>
    <row r="45" s="15" customFormat="1"/>
    <row r="46" s="15" customFormat="1"/>
    <row r="47" s="15" customFormat="1"/>
    <row r="48" s="15" customFormat="1"/>
    <row r="49" s="15" customFormat="1"/>
    <row r="50" s="15" customFormat="1"/>
    <row r="51" s="15" customFormat="1"/>
    <row r="52" s="15" customFormat="1"/>
    <row r="53" s="15" customFormat="1"/>
    <row r="54" s="15" customFormat="1"/>
    <row r="55" s="15" customFormat="1"/>
    <row r="56" s="15" customFormat="1"/>
    <row r="57" s="15" customFormat="1"/>
    <row r="58" s="15" customFormat="1"/>
    <row r="59" s="15" customFormat="1"/>
    <row r="60" s="15" customFormat="1"/>
    <row r="61" s="15" customFormat="1"/>
    <row r="62" s="15" customFormat="1"/>
    <row r="63" s="15" customFormat="1"/>
    <row r="64" s="15" customFormat="1"/>
    <row r="65" s="15" customFormat="1"/>
    <row r="66" s="15" customFormat="1"/>
    <row r="67" s="15" customFormat="1"/>
    <row r="68" s="15" customFormat="1"/>
    <row r="69" s="15" customFormat="1"/>
    <row r="70" s="15" customFormat="1"/>
    <row r="71" s="15" customFormat="1"/>
    <row r="72" s="15" customFormat="1"/>
    <row r="73" s="15" customFormat="1"/>
    <row r="74" s="15" customFormat="1"/>
    <row r="75" s="15" customFormat="1"/>
    <row r="76" s="15" customFormat="1"/>
    <row r="77" s="15" customFormat="1"/>
    <row r="78" s="15" customFormat="1"/>
    <row r="79" s="15" customFormat="1"/>
    <row r="80" s="15" customFormat="1"/>
    <row r="81" s="15" customFormat="1"/>
    <row r="82" s="15" customFormat="1"/>
    <row r="83" s="15" customFormat="1"/>
    <row r="84" s="15" customFormat="1"/>
    <row r="85" s="15" customFormat="1"/>
    <row r="86" s="15" customFormat="1"/>
    <row r="87" s="15" customFormat="1"/>
    <row r="88" s="15" customFormat="1"/>
    <row r="89" s="15" customFormat="1"/>
    <row r="90" s="15" customFormat="1"/>
    <row r="91" s="15" customFormat="1"/>
    <row r="92" s="15" customFormat="1"/>
    <row r="93" s="15" customFormat="1"/>
    <row r="94" s="15" customFormat="1"/>
    <row r="95" s="15" customFormat="1"/>
    <row r="96" s="15" customFormat="1"/>
    <row r="97" s="15" customFormat="1"/>
    <row r="98" s="15" customFormat="1"/>
    <row r="99" s="15" customFormat="1"/>
    <row r="100" s="15" customFormat="1"/>
    <row r="101" s="15" customFormat="1"/>
    <row r="102" s="15" customFormat="1"/>
    <row r="103" s="15" customFormat="1"/>
    <row r="104" s="15" customFormat="1"/>
    <row r="105" s="15" customFormat="1"/>
    <row r="106" s="15" customFormat="1"/>
    <row r="107" s="15" customFormat="1"/>
    <row r="108" s="15" customFormat="1"/>
    <row r="109" s="15" customFormat="1"/>
    <row r="110" s="15" customFormat="1"/>
    <row r="111" s="15" customFormat="1"/>
    <row r="112" s="15" customFormat="1"/>
    <row r="113" s="15" customFormat="1"/>
    <row r="114" s="15" customFormat="1"/>
    <row r="115" s="15" customFormat="1"/>
    <row r="116" s="15" customFormat="1"/>
    <row r="117" s="15" customFormat="1"/>
    <row r="118" s="15" customFormat="1"/>
    <row r="119" s="15" customFormat="1"/>
    <row r="120" s="15" customFormat="1"/>
    <row r="121" s="15" customFormat="1"/>
    <row r="122" s="15" customFormat="1"/>
    <row r="123" s="15" customFormat="1"/>
    <row r="124" s="15" customFormat="1"/>
    <row r="125" s="15" customFormat="1"/>
    <row r="126" s="15" customFormat="1"/>
    <row r="127" s="15" customFormat="1"/>
    <row r="128" s="15" customFormat="1"/>
    <row r="129" s="15" customFormat="1"/>
    <row r="130" s="15" customFormat="1"/>
    <row r="131" s="15" customFormat="1"/>
    <row r="132" s="15" customFormat="1"/>
    <row r="133" s="15" customFormat="1"/>
    <row r="134" s="15" customFormat="1"/>
    <row r="135" s="15" customFormat="1"/>
    <row r="136" s="15" customFormat="1"/>
    <row r="137" s="15" customFormat="1"/>
    <row r="138" s="15" customFormat="1"/>
    <row r="139" s="15" customFormat="1"/>
    <row r="140" s="15" customFormat="1"/>
    <row r="141" s="15" customFormat="1"/>
    <row r="142" s="15" customFormat="1"/>
    <row r="143" s="15" customFormat="1"/>
    <row r="144" s="15" customFormat="1"/>
    <row r="145" s="15" customFormat="1"/>
    <row r="146" s="15" customFormat="1"/>
    <row r="147" s="15" customFormat="1"/>
    <row r="148" s="15" customFormat="1"/>
    <row r="149" s="15" customFormat="1"/>
    <row r="150" s="15" customFormat="1"/>
    <row r="151" s="15" customFormat="1"/>
    <row r="152" s="15" customFormat="1"/>
    <row r="153" s="15" customFormat="1"/>
    <row r="154" s="15" customFormat="1"/>
    <row r="155" s="15" customFormat="1"/>
    <row r="156" s="15" customFormat="1"/>
    <row r="157" s="15" customFormat="1"/>
    <row r="158" s="15" customFormat="1"/>
    <row r="159" s="15" customFormat="1"/>
    <row r="160" s="15" customFormat="1"/>
    <row r="161" s="15" customFormat="1"/>
    <row r="162" s="15" customFormat="1"/>
    <row r="163" s="15" customFormat="1"/>
    <row r="164" s="15" customFormat="1"/>
    <row r="165" s="15" customFormat="1"/>
    <row r="166" s="15" customFormat="1"/>
    <row r="167" s="15" customFormat="1"/>
    <row r="168" s="15" customFormat="1"/>
    <row r="169" s="15" customFormat="1"/>
    <row r="170" s="15" customFormat="1"/>
  </sheetData>
  <mergeCells count="15">
    <mergeCell ref="B2:B4"/>
    <mergeCell ref="AD3:AD4"/>
    <mergeCell ref="AE3:AE4"/>
    <mergeCell ref="Z3:Z4"/>
    <mergeCell ref="AA3:AA4"/>
    <mergeCell ref="AB3:AB4"/>
    <mergeCell ref="AC3:AC4"/>
    <mergeCell ref="C2:G2"/>
    <mergeCell ref="H2:L2"/>
    <mergeCell ref="M2:Q2"/>
    <mergeCell ref="R2:V2"/>
    <mergeCell ref="C3:G3"/>
    <mergeCell ref="H3:L3"/>
    <mergeCell ref="M3:Q3"/>
    <mergeCell ref="R3:V3"/>
  </mergeCells>
  <pageMargins left="0.7" right="0.7" top="0.75" bottom="0.75" header="0.3" footer="0.3"/>
  <pageSetup paperSize="9" scale="46" orientation="portrait" horizontalDpi="4294967294" r:id="rId1"/>
  <ignoredErrors>
    <ignoredError sqref="R7 T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Q76"/>
  <sheetViews>
    <sheetView showGridLines="0" zoomScaleNormal="100" zoomScaleSheetLayoutView="85" workbookViewId="0">
      <pane xSplit="1" ySplit="3" topLeftCell="Z4" activePane="bottomRight" state="frozen"/>
      <selection pane="topRight" activeCell="B1" sqref="B1"/>
      <selection pane="bottomLeft" activeCell="A4" sqref="A4"/>
      <selection pane="bottomRight" activeCell="AH62" sqref="AH62"/>
    </sheetView>
  </sheetViews>
  <sheetFormatPr defaultColWidth="9" defaultRowHeight="12.75"/>
  <cols>
    <col min="1" max="1" width="53" style="170" customWidth="1"/>
    <col min="2" max="2" width="11.5" style="160" bestFit="1" customWidth="1"/>
    <col min="3" max="3" width="12.375" style="160" bestFit="1" customWidth="1"/>
    <col min="4" max="4" width="13.625" style="160" customWidth="1"/>
    <col min="5" max="5" width="12.125" style="160" bestFit="1" customWidth="1"/>
    <col min="6" max="8" width="13.625" style="160" customWidth="1"/>
    <col min="9" max="9" width="12.125" style="160" customWidth="1"/>
    <col min="10" max="10" width="13.625" style="160" customWidth="1"/>
    <col min="11" max="12" width="13.625" style="171" customWidth="1"/>
    <col min="13" max="13" width="12.125" style="160" customWidth="1"/>
    <col min="14" max="15" width="13.625" style="160" customWidth="1"/>
    <col min="16" max="16" width="13.625" style="171" customWidth="1"/>
    <col min="17" max="21" width="13.625" style="160" customWidth="1"/>
    <col min="22" max="29" width="13.625" style="7" customWidth="1"/>
    <col min="30" max="33" width="13.625" style="159" customWidth="1"/>
    <col min="34" max="16384" width="9" style="160"/>
  </cols>
  <sheetData>
    <row r="1" spans="1:485" s="155" customFormat="1" ht="50.25" customHeight="1" thickBot="1">
      <c r="A1" s="5" t="s">
        <v>24</v>
      </c>
      <c r="B1" s="5"/>
      <c r="C1" s="154"/>
      <c r="D1" s="154"/>
      <c r="E1" s="154"/>
      <c r="F1" s="154"/>
      <c r="G1" s="154"/>
      <c r="H1" s="154"/>
      <c r="I1" s="154"/>
      <c r="J1" s="154"/>
      <c r="K1" s="154"/>
      <c r="L1" s="154"/>
      <c r="M1" s="154"/>
      <c r="N1" s="154"/>
      <c r="O1" s="154"/>
      <c r="P1" s="154"/>
      <c r="Q1" s="154"/>
      <c r="R1" s="154"/>
      <c r="S1" s="154"/>
      <c r="T1" s="154"/>
      <c r="U1" s="154"/>
      <c r="V1" s="305"/>
      <c r="W1" s="305"/>
      <c r="X1" s="305"/>
      <c r="Y1" s="305"/>
      <c r="Z1" s="305"/>
      <c r="AA1" s="305"/>
      <c r="AB1" s="305"/>
      <c r="AC1" s="305"/>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row>
    <row r="2" spans="1:485" s="155" customFormat="1" ht="24.95" customHeight="1">
      <c r="A2" s="8" t="s">
        <v>85</v>
      </c>
      <c r="B2" s="668">
        <v>2012</v>
      </c>
      <c r="C2" s="668"/>
      <c r="D2" s="668"/>
      <c r="E2" s="668"/>
      <c r="F2" s="668">
        <v>2013</v>
      </c>
      <c r="G2" s="668"/>
      <c r="H2" s="668"/>
      <c r="I2" s="668"/>
      <c r="J2" s="667">
        <v>2014</v>
      </c>
      <c r="K2" s="668"/>
      <c r="L2" s="668"/>
      <c r="M2" s="669"/>
      <c r="N2" s="671">
        <v>2015</v>
      </c>
      <c r="O2" s="671"/>
      <c r="P2" s="671"/>
      <c r="Q2" s="672"/>
      <c r="R2" s="667">
        <v>2016</v>
      </c>
      <c r="S2" s="668"/>
      <c r="T2" s="668"/>
      <c r="U2" s="669"/>
      <c r="V2" s="667" t="s">
        <v>246</v>
      </c>
      <c r="W2" s="668"/>
      <c r="X2" s="668"/>
      <c r="Y2" s="669"/>
      <c r="Z2" s="667" t="s">
        <v>267</v>
      </c>
      <c r="AA2" s="668"/>
      <c r="AB2" s="668"/>
      <c r="AC2" s="669"/>
      <c r="AD2" s="667" t="s">
        <v>315</v>
      </c>
      <c r="AE2" s="668">
        <v>0</v>
      </c>
      <c r="AF2" s="668">
        <v>0</v>
      </c>
      <c r="AG2" s="669">
        <v>0</v>
      </c>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154"/>
      <c r="DK2" s="154"/>
      <c r="DL2" s="154"/>
      <c r="DM2" s="154"/>
      <c r="DN2" s="154"/>
      <c r="DO2" s="154"/>
      <c r="DP2" s="154"/>
      <c r="DQ2" s="154"/>
      <c r="DR2" s="154"/>
      <c r="DS2" s="154"/>
      <c r="DT2" s="154"/>
      <c r="DU2" s="154"/>
      <c r="DV2" s="154"/>
      <c r="DW2" s="154"/>
      <c r="DX2" s="154"/>
      <c r="DY2" s="154"/>
      <c r="DZ2" s="154"/>
      <c r="EA2" s="154"/>
      <c r="EB2" s="154"/>
      <c r="EC2" s="154"/>
      <c r="ED2" s="154"/>
      <c r="EE2" s="154"/>
      <c r="EF2" s="154"/>
      <c r="EG2" s="154"/>
      <c r="EH2" s="154"/>
      <c r="EI2" s="154"/>
      <c r="EJ2" s="154"/>
      <c r="EK2" s="154"/>
      <c r="EL2" s="154"/>
      <c r="EM2" s="154"/>
      <c r="EN2" s="154"/>
      <c r="EO2" s="154"/>
      <c r="EP2" s="154"/>
      <c r="EQ2" s="154"/>
      <c r="ER2" s="154"/>
      <c r="ES2" s="154"/>
      <c r="ET2" s="154"/>
      <c r="EU2" s="154"/>
      <c r="EV2" s="154"/>
      <c r="EW2" s="154"/>
      <c r="EX2" s="154"/>
      <c r="EY2" s="154"/>
      <c r="EZ2" s="154"/>
      <c r="FA2" s="154"/>
      <c r="FB2" s="154"/>
      <c r="FC2" s="154"/>
      <c r="FD2" s="154"/>
      <c r="FE2" s="154"/>
      <c r="FF2" s="154"/>
      <c r="FG2" s="154"/>
      <c r="FH2" s="154"/>
      <c r="FI2" s="154"/>
      <c r="FJ2" s="154"/>
      <c r="FK2" s="154"/>
      <c r="FL2" s="154"/>
      <c r="FM2" s="154"/>
      <c r="FN2" s="154"/>
      <c r="FO2" s="154"/>
      <c r="FP2" s="154"/>
      <c r="FQ2" s="154"/>
      <c r="FR2" s="154"/>
      <c r="FS2" s="154"/>
      <c r="FT2" s="154"/>
      <c r="FU2" s="154"/>
      <c r="FV2" s="154"/>
      <c r="FW2" s="154"/>
      <c r="FX2" s="154"/>
      <c r="FY2" s="154"/>
      <c r="FZ2" s="154"/>
      <c r="GA2" s="154"/>
      <c r="GB2" s="154"/>
      <c r="GC2" s="154"/>
      <c r="GD2" s="154"/>
      <c r="GE2" s="154"/>
      <c r="GF2" s="154"/>
      <c r="GG2" s="154"/>
      <c r="GH2" s="154"/>
      <c r="GI2" s="154"/>
      <c r="GJ2" s="154"/>
      <c r="GK2" s="154"/>
      <c r="GL2" s="154"/>
      <c r="GM2" s="154"/>
      <c r="GN2" s="154"/>
      <c r="GO2" s="154"/>
      <c r="GP2" s="154"/>
      <c r="GQ2" s="154"/>
      <c r="GR2" s="154"/>
      <c r="GS2" s="154"/>
      <c r="GT2" s="154"/>
      <c r="GU2" s="154"/>
      <c r="GV2" s="154"/>
      <c r="GW2" s="154"/>
      <c r="GX2" s="154"/>
      <c r="GY2" s="154"/>
      <c r="GZ2" s="154"/>
      <c r="HA2" s="154"/>
      <c r="HB2" s="154"/>
      <c r="HC2" s="154"/>
      <c r="HD2" s="154"/>
      <c r="HE2" s="154"/>
      <c r="HF2" s="154"/>
      <c r="HG2" s="154"/>
      <c r="HH2" s="154"/>
      <c r="HI2" s="154"/>
      <c r="HJ2" s="154"/>
      <c r="HK2" s="154"/>
      <c r="HL2" s="154"/>
      <c r="HM2" s="154"/>
      <c r="HN2" s="154"/>
      <c r="HO2" s="154"/>
      <c r="HP2" s="154"/>
      <c r="HQ2" s="154"/>
      <c r="HR2" s="154"/>
      <c r="HS2" s="154"/>
      <c r="HT2" s="154"/>
      <c r="HU2" s="154"/>
      <c r="HV2" s="154"/>
      <c r="HW2" s="154"/>
      <c r="HX2" s="154"/>
      <c r="HY2" s="154"/>
      <c r="HZ2" s="154"/>
      <c r="IA2" s="154"/>
      <c r="IB2" s="154"/>
      <c r="IC2" s="154"/>
      <c r="ID2" s="154"/>
      <c r="IE2" s="154"/>
      <c r="IF2" s="154"/>
      <c r="IG2" s="154"/>
      <c r="IH2" s="154"/>
      <c r="II2" s="154"/>
      <c r="IJ2" s="154"/>
      <c r="IK2" s="154"/>
      <c r="IL2" s="154"/>
      <c r="IM2" s="154"/>
      <c r="IN2" s="154"/>
      <c r="IO2" s="154"/>
      <c r="IP2" s="154"/>
      <c r="IQ2" s="154"/>
      <c r="IR2" s="154"/>
      <c r="IS2" s="154"/>
      <c r="IT2" s="154"/>
      <c r="IU2" s="154"/>
      <c r="IV2" s="154"/>
      <c r="IW2" s="154"/>
      <c r="IX2" s="154"/>
      <c r="IY2" s="154"/>
      <c r="IZ2" s="154"/>
      <c r="JA2" s="154"/>
      <c r="JB2" s="154"/>
      <c r="JC2" s="154"/>
      <c r="JD2" s="154"/>
      <c r="JE2" s="154"/>
      <c r="JF2" s="154"/>
      <c r="JG2" s="154"/>
      <c r="JH2" s="154"/>
      <c r="JI2" s="154"/>
      <c r="JJ2" s="154"/>
      <c r="JK2" s="154"/>
      <c r="JL2" s="154"/>
      <c r="JM2" s="154"/>
      <c r="JN2" s="154"/>
      <c r="JO2" s="154"/>
      <c r="JP2" s="154"/>
      <c r="JQ2" s="154"/>
      <c r="JR2" s="154"/>
      <c r="JS2" s="154"/>
      <c r="JT2" s="154"/>
      <c r="JU2" s="154"/>
      <c r="JV2" s="154"/>
      <c r="JW2" s="154"/>
      <c r="JX2" s="154"/>
      <c r="JY2" s="154"/>
      <c r="JZ2" s="154"/>
      <c r="KA2" s="154"/>
      <c r="KB2" s="154"/>
      <c r="KC2" s="154"/>
      <c r="KD2" s="154"/>
      <c r="KE2" s="154"/>
      <c r="KF2" s="154"/>
      <c r="KG2" s="154"/>
      <c r="KH2" s="154"/>
      <c r="KI2" s="154"/>
      <c r="KJ2" s="154"/>
      <c r="KK2" s="154"/>
      <c r="KL2" s="154"/>
      <c r="KM2" s="154"/>
      <c r="KN2" s="154"/>
      <c r="KO2" s="154"/>
      <c r="KP2" s="154"/>
      <c r="KQ2" s="154"/>
      <c r="KR2" s="154"/>
      <c r="KS2" s="154"/>
      <c r="KT2" s="154"/>
      <c r="KU2" s="154"/>
      <c r="KV2" s="154"/>
      <c r="KW2" s="154"/>
      <c r="KX2" s="154"/>
      <c r="KY2" s="154"/>
      <c r="KZ2" s="154"/>
      <c r="LA2" s="154"/>
      <c r="LB2" s="154"/>
      <c r="LC2" s="154"/>
      <c r="LD2" s="154"/>
      <c r="LE2" s="154"/>
      <c r="LF2" s="154"/>
      <c r="LG2" s="154"/>
      <c r="LH2" s="154"/>
      <c r="LI2" s="154"/>
      <c r="LJ2" s="154"/>
      <c r="LK2" s="154"/>
      <c r="LL2" s="154"/>
      <c r="LM2" s="154"/>
      <c r="LN2" s="154"/>
      <c r="LO2" s="154"/>
      <c r="LP2" s="154"/>
      <c r="LQ2" s="154"/>
      <c r="LR2" s="154"/>
      <c r="LS2" s="154"/>
      <c r="LT2" s="154"/>
      <c r="LU2" s="154"/>
      <c r="LV2" s="154"/>
      <c r="LW2" s="154"/>
      <c r="LX2" s="154"/>
      <c r="LY2" s="154"/>
      <c r="LZ2" s="154"/>
      <c r="MA2" s="154"/>
      <c r="MB2" s="154"/>
      <c r="MC2" s="154"/>
      <c r="MD2" s="154"/>
      <c r="ME2" s="154"/>
      <c r="MF2" s="154"/>
      <c r="MG2" s="154"/>
      <c r="MH2" s="154"/>
      <c r="MI2" s="154"/>
      <c r="MJ2" s="154"/>
      <c r="MK2" s="154"/>
      <c r="ML2" s="154"/>
      <c r="MM2" s="154"/>
      <c r="MN2" s="154"/>
      <c r="MO2" s="154"/>
      <c r="MP2" s="154"/>
      <c r="MQ2" s="154"/>
      <c r="MR2" s="154"/>
      <c r="MS2" s="154"/>
      <c r="MT2" s="154"/>
      <c r="MU2" s="154"/>
      <c r="MV2" s="154"/>
      <c r="MW2" s="154"/>
      <c r="MX2" s="154"/>
      <c r="MY2" s="154"/>
      <c r="MZ2" s="154"/>
      <c r="NA2" s="154"/>
      <c r="NB2" s="154"/>
      <c r="NC2" s="154"/>
      <c r="ND2" s="154"/>
      <c r="NE2" s="154"/>
      <c r="NF2" s="154"/>
      <c r="NG2" s="154"/>
      <c r="NH2" s="154"/>
      <c r="NI2" s="154"/>
      <c r="NJ2" s="154"/>
      <c r="NK2" s="154"/>
      <c r="NL2" s="154"/>
      <c r="NM2" s="154"/>
      <c r="NN2" s="154"/>
      <c r="NO2" s="154"/>
      <c r="NP2" s="154"/>
      <c r="NQ2" s="154"/>
      <c r="NR2" s="154"/>
      <c r="NS2" s="154"/>
      <c r="NT2" s="154"/>
      <c r="NU2" s="154"/>
      <c r="NV2" s="154"/>
      <c r="NW2" s="154"/>
      <c r="NX2" s="154"/>
      <c r="NY2" s="154"/>
      <c r="NZ2" s="154"/>
      <c r="OA2" s="154"/>
      <c r="OB2" s="154"/>
      <c r="OC2" s="154"/>
      <c r="OD2" s="154"/>
      <c r="OE2" s="154"/>
      <c r="OF2" s="154"/>
      <c r="OG2" s="154"/>
      <c r="OH2" s="154"/>
      <c r="OI2" s="154"/>
      <c r="OJ2" s="154"/>
      <c r="OK2" s="154"/>
      <c r="OL2" s="154"/>
      <c r="OM2" s="154"/>
      <c r="ON2" s="154"/>
      <c r="OO2" s="154"/>
      <c r="OP2" s="154"/>
      <c r="OQ2" s="154"/>
      <c r="OR2" s="154"/>
      <c r="OS2" s="154"/>
      <c r="OT2" s="154"/>
      <c r="OU2" s="154"/>
      <c r="OV2" s="154"/>
      <c r="OW2" s="154"/>
      <c r="OX2" s="154"/>
      <c r="OY2" s="154"/>
      <c r="OZ2" s="154"/>
      <c r="PA2" s="154"/>
      <c r="PB2" s="154"/>
      <c r="PC2" s="154"/>
      <c r="PD2" s="154"/>
      <c r="PE2" s="154"/>
      <c r="PF2" s="154"/>
      <c r="PG2" s="154"/>
      <c r="PH2" s="154"/>
      <c r="PI2" s="154"/>
      <c r="PJ2" s="154"/>
      <c r="PK2" s="154"/>
      <c r="PL2" s="154"/>
      <c r="PM2" s="154"/>
      <c r="PN2" s="154"/>
      <c r="PO2" s="154"/>
      <c r="PP2" s="154"/>
      <c r="PQ2" s="154"/>
      <c r="PR2" s="154"/>
      <c r="PS2" s="154"/>
      <c r="PT2" s="154"/>
      <c r="PU2" s="154"/>
      <c r="PV2" s="154"/>
      <c r="PW2" s="154"/>
      <c r="PX2" s="154"/>
      <c r="PY2" s="154"/>
      <c r="PZ2" s="154"/>
      <c r="QA2" s="154"/>
      <c r="QB2" s="154"/>
      <c r="QC2" s="154"/>
      <c r="QD2" s="154"/>
      <c r="QE2" s="154"/>
      <c r="QF2" s="154"/>
      <c r="QG2" s="154"/>
      <c r="QH2" s="154"/>
      <c r="QI2" s="154"/>
      <c r="QJ2" s="154"/>
      <c r="QK2" s="154"/>
      <c r="QL2" s="154"/>
      <c r="QM2" s="154"/>
      <c r="QN2" s="154"/>
      <c r="QO2" s="154"/>
      <c r="QP2" s="154"/>
      <c r="QQ2" s="154"/>
      <c r="QR2" s="154"/>
      <c r="QS2" s="154"/>
      <c r="QT2" s="154"/>
      <c r="QU2" s="154"/>
      <c r="QV2" s="154"/>
      <c r="QW2" s="154"/>
      <c r="QX2" s="154"/>
      <c r="QY2" s="154"/>
      <c r="QZ2" s="154"/>
      <c r="RA2" s="154"/>
      <c r="RB2" s="154"/>
      <c r="RC2" s="154"/>
      <c r="RD2" s="154"/>
      <c r="RE2" s="154"/>
      <c r="RF2" s="154"/>
      <c r="RG2" s="154"/>
      <c r="RH2" s="154"/>
      <c r="RI2" s="154"/>
      <c r="RJ2" s="154"/>
      <c r="RK2" s="154"/>
      <c r="RL2" s="154"/>
      <c r="RM2" s="154"/>
      <c r="RN2" s="154"/>
      <c r="RO2" s="154"/>
      <c r="RP2" s="154"/>
      <c r="RQ2" s="154"/>
    </row>
    <row r="3" spans="1:485" ht="26.25" thickBot="1">
      <c r="A3" s="9" t="s">
        <v>49</v>
      </c>
      <c r="B3" s="156" t="s">
        <v>81</v>
      </c>
      <c r="C3" s="156" t="s">
        <v>82</v>
      </c>
      <c r="D3" s="156" t="s">
        <v>83</v>
      </c>
      <c r="E3" s="157" t="s">
        <v>84</v>
      </c>
      <c r="F3" s="156" t="s">
        <v>81</v>
      </c>
      <c r="G3" s="156" t="s">
        <v>82</v>
      </c>
      <c r="H3" s="156" t="s">
        <v>83</v>
      </c>
      <c r="I3" s="157" t="s">
        <v>84</v>
      </c>
      <c r="J3" s="156" t="s">
        <v>81</v>
      </c>
      <c r="K3" s="156" t="s">
        <v>82</v>
      </c>
      <c r="L3" s="156" t="s">
        <v>83</v>
      </c>
      <c r="M3" s="158" t="s">
        <v>195</v>
      </c>
      <c r="N3" s="156" t="s">
        <v>81</v>
      </c>
      <c r="O3" s="156" t="s">
        <v>82</v>
      </c>
      <c r="P3" s="156" t="s">
        <v>200</v>
      </c>
      <c r="Q3" s="157" t="s">
        <v>84</v>
      </c>
      <c r="R3" s="156" t="s">
        <v>81</v>
      </c>
      <c r="S3" s="156" t="s">
        <v>82</v>
      </c>
      <c r="T3" s="156" t="s">
        <v>200</v>
      </c>
      <c r="U3" s="157" t="s">
        <v>84</v>
      </c>
      <c r="V3" s="156" t="s">
        <v>81</v>
      </c>
      <c r="W3" s="156" t="s">
        <v>82</v>
      </c>
      <c r="X3" s="156" t="s">
        <v>200</v>
      </c>
      <c r="Y3" s="158" t="s">
        <v>84</v>
      </c>
      <c r="Z3" s="373" t="s">
        <v>81</v>
      </c>
      <c r="AA3" s="156" t="s">
        <v>82</v>
      </c>
      <c r="AB3" s="156" t="s">
        <v>200</v>
      </c>
      <c r="AC3" s="157" t="s">
        <v>84</v>
      </c>
      <c r="AD3" s="373" t="s">
        <v>81</v>
      </c>
      <c r="AE3" s="373" t="s">
        <v>82</v>
      </c>
      <c r="AF3" s="156" t="s">
        <v>200</v>
      </c>
      <c r="AG3" s="157" t="s">
        <v>84</v>
      </c>
    </row>
    <row r="4" spans="1:485" s="359" customFormat="1" ht="33.75" customHeight="1" thickBot="1">
      <c r="A4" s="360" t="s">
        <v>86</v>
      </c>
      <c r="B4" s="361"/>
      <c r="C4" s="361"/>
      <c r="D4" s="361"/>
      <c r="E4" s="361"/>
      <c r="F4" s="361"/>
      <c r="G4" s="361"/>
      <c r="H4" s="361"/>
      <c r="I4" s="361"/>
      <c r="J4" s="361"/>
      <c r="K4" s="362"/>
      <c r="L4" s="362"/>
      <c r="M4" s="361"/>
      <c r="N4" s="361"/>
      <c r="O4" s="361"/>
      <c r="P4" s="362"/>
      <c r="Q4" s="361"/>
      <c r="R4" s="361"/>
      <c r="S4" s="361"/>
      <c r="T4" s="361"/>
      <c r="U4" s="361"/>
      <c r="V4" s="358"/>
      <c r="W4" s="358"/>
      <c r="X4" s="358"/>
      <c r="Y4" s="363"/>
      <c r="Z4" s="358"/>
      <c r="AA4" s="358"/>
      <c r="AB4" s="358"/>
      <c r="AC4" s="363"/>
      <c r="AD4" s="358"/>
      <c r="AE4" s="358"/>
      <c r="AF4" s="358"/>
      <c r="AG4" s="363"/>
    </row>
    <row r="5" spans="1:485" s="159" customFormat="1" ht="20.100000000000001" customHeight="1">
      <c r="A5" s="152" t="s">
        <v>87</v>
      </c>
      <c r="B5" s="186">
        <f>415.308</f>
        <v>415.30799999999999</v>
      </c>
      <c r="C5" s="186">
        <f>419.479</f>
        <v>419.47899999999998</v>
      </c>
      <c r="D5" s="202">
        <f>(425068)*0.001</f>
        <v>425.06799999999998</v>
      </c>
      <c r="E5" s="267">
        <f>(420060)*0.001</f>
        <v>420.06</v>
      </c>
      <c r="F5" s="202">
        <f>(419894)*0.001</f>
        <v>419.89400000000001</v>
      </c>
      <c r="G5" s="202">
        <f>(418521)*0.001</f>
        <v>418.52100000000002</v>
      </c>
      <c r="H5" s="202">
        <f>(409736)*0.001</f>
        <v>409.73599999999999</v>
      </c>
      <c r="I5" s="268">
        <f>(407579)*0.001</f>
        <v>407.57900000000001</v>
      </c>
      <c r="J5" s="269">
        <f>(395393)*0.001</f>
        <v>395.39300000000003</v>
      </c>
      <c r="K5" s="186">
        <v>384.8</v>
      </c>
      <c r="L5" s="186">
        <v>417</v>
      </c>
      <c r="M5" s="187">
        <v>421.1</v>
      </c>
      <c r="N5" s="186">
        <v>416.6</v>
      </c>
      <c r="O5" s="186">
        <v>401.1</v>
      </c>
      <c r="P5" s="186">
        <v>377</v>
      </c>
      <c r="Q5" s="187">
        <v>371</v>
      </c>
      <c r="R5" s="186">
        <v>356.7</v>
      </c>
      <c r="S5" s="186">
        <v>353.3</v>
      </c>
      <c r="T5" s="186">
        <v>350.4</v>
      </c>
      <c r="U5" s="187">
        <v>350.9</v>
      </c>
      <c r="V5" s="306">
        <v>342.2</v>
      </c>
      <c r="W5" s="306">
        <v>332.9</v>
      </c>
      <c r="X5" s="306">
        <v>324</v>
      </c>
      <c r="Y5" s="307">
        <v>325.3</v>
      </c>
      <c r="Z5" s="306">
        <v>312.5</v>
      </c>
      <c r="AA5" s="306">
        <v>294.10000000000002</v>
      </c>
      <c r="AB5" s="306">
        <v>275.8</v>
      </c>
      <c r="AC5" s="307">
        <v>264.5</v>
      </c>
      <c r="AD5" s="306">
        <v>258.2</v>
      </c>
      <c r="AE5" s="306">
        <v>249.4</v>
      </c>
      <c r="AF5" s="306"/>
      <c r="AG5" s="307"/>
    </row>
    <row r="6" spans="1:485" s="159" customFormat="1" ht="20.100000000000001" customHeight="1">
      <c r="A6" s="152" t="s">
        <v>88</v>
      </c>
      <c r="B6" s="186">
        <f>258.7</f>
        <v>258.7</v>
      </c>
      <c r="C6" s="186">
        <f>258.506</f>
        <v>258.50599999999997</v>
      </c>
      <c r="D6" s="202">
        <f>(257043)*0.001</f>
        <v>257.04300000000001</v>
      </c>
      <c r="E6" s="267">
        <f>(276407)*0.001</f>
        <v>276.40699999999998</v>
      </c>
      <c r="F6" s="202">
        <f>(266252)*0.001</f>
        <v>266.25200000000001</v>
      </c>
      <c r="G6" s="202">
        <f>(265011)*0.001</f>
        <v>265.01100000000002</v>
      </c>
      <c r="H6" s="202">
        <f>(252063)*0.001</f>
        <v>252.06300000000002</v>
      </c>
      <c r="I6" s="268">
        <f>(251152)*0.001</f>
        <v>251.15200000000002</v>
      </c>
      <c r="J6" s="269">
        <f>(248178)*0.001</f>
        <v>248.178</v>
      </c>
      <c r="K6" s="186">
        <v>3010.6</v>
      </c>
      <c r="L6" s="186">
        <v>2933.8</v>
      </c>
      <c r="M6" s="187">
        <v>2714.9</v>
      </c>
      <c r="N6" s="186">
        <v>2855.8</v>
      </c>
      <c r="O6" s="186">
        <v>2541.1999999999998</v>
      </c>
      <c r="P6" s="186">
        <v>2535.1999999999998</v>
      </c>
      <c r="Q6" s="187">
        <v>2548.6</v>
      </c>
      <c r="R6" s="186">
        <v>3002.2</v>
      </c>
      <c r="S6" s="186">
        <v>2931</v>
      </c>
      <c r="T6" s="186">
        <v>2882.8</v>
      </c>
      <c r="U6" s="187">
        <v>2964.3</v>
      </c>
      <c r="V6" s="306">
        <v>2885.9</v>
      </c>
      <c r="W6" s="306">
        <v>2904.7</v>
      </c>
      <c r="X6" s="306">
        <v>2866.4</v>
      </c>
      <c r="Y6" s="307">
        <v>2867.1</v>
      </c>
      <c r="Z6" s="306">
        <v>2797</v>
      </c>
      <c r="AA6" s="306">
        <v>4419.8999999999996</v>
      </c>
      <c r="AB6" s="306">
        <v>4438</v>
      </c>
      <c r="AC6" s="307">
        <v>4792.2</v>
      </c>
      <c r="AD6" s="306">
        <v>4720.3</v>
      </c>
      <c r="AE6" s="306">
        <v>4782.7</v>
      </c>
      <c r="AF6" s="306"/>
      <c r="AG6" s="307"/>
    </row>
    <row r="7" spans="1:485" s="159" customFormat="1" ht="20.100000000000001" customHeight="1">
      <c r="A7" s="152" t="s">
        <v>89</v>
      </c>
      <c r="B7" s="186">
        <f>2422.989</f>
        <v>2422.989</v>
      </c>
      <c r="C7" s="186">
        <f>2575.456</f>
        <v>2575.4560000000001</v>
      </c>
      <c r="D7" s="186">
        <f>(2575456)*0.001</f>
        <v>2575.4560000000001</v>
      </c>
      <c r="E7" s="203">
        <f>(2568033)*0.001</f>
        <v>2568.0329999999999</v>
      </c>
      <c r="F7" s="186">
        <f>(2568033)*0.001</f>
        <v>2568.0329999999999</v>
      </c>
      <c r="G7" s="186">
        <f>(2568033)*0.001</f>
        <v>2568.0329999999999</v>
      </c>
      <c r="H7" s="186">
        <f>(2637594)*0.001</f>
        <v>2637.5940000000001</v>
      </c>
      <c r="I7" s="203">
        <f>(2602804)*0.001</f>
        <v>2602.8040000000001</v>
      </c>
      <c r="J7" s="186">
        <f>(2602804)*0.001</f>
        <v>2602.8040000000001</v>
      </c>
      <c r="K7" s="186">
        <v>11735.5</v>
      </c>
      <c r="L7" s="186">
        <v>11735.5</v>
      </c>
      <c r="M7" s="187">
        <v>10585.3</v>
      </c>
      <c r="N7" s="186">
        <v>10831.2</v>
      </c>
      <c r="O7" s="186">
        <v>10606.4</v>
      </c>
      <c r="P7" s="186">
        <v>10606.4</v>
      </c>
      <c r="Q7" s="187">
        <v>10606.4</v>
      </c>
      <c r="R7" s="186">
        <v>11675.3</v>
      </c>
      <c r="S7" s="186">
        <v>10975.2</v>
      </c>
      <c r="T7" s="186">
        <v>10975.3</v>
      </c>
      <c r="U7" s="187">
        <v>10975.4</v>
      </c>
      <c r="V7" s="306">
        <v>10975.4</v>
      </c>
      <c r="W7" s="306">
        <v>10975.4</v>
      </c>
      <c r="X7" s="306">
        <v>10975.4</v>
      </c>
      <c r="Y7" s="307">
        <v>11041.7</v>
      </c>
      <c r="Z7" s="306">
        <v>11060.5</v>
      </c>
      <c r="AA7" s="306">
        <v>11530</v>
      </c>
      <c r="AB7" s="306">
        <v>11519.3</v>
      </c>
      <c r="AC7" s="307">
        <v>11309.4</v>
      </c>
      <c r="AD7" s="306">
        <v>11309.4</v>
      </c>
      <c r="AE7" s="306">
        <v>11316.4</v>
      </c>
      <c r="AF7" s="306"/>
      <c r="AG7" s="307"/>
    </row>
    <row r="8" spans="1:485" s="159" customFormat="1" ht="20.100000000000001" customHeight="1">
      <c r="A8" s="162" t="s">
        <v>187</v>
      </c>
      <c r="B8" s="188">
        <f>0</f>
        <v>0</v>
      </c>
      <c r="C8" s="188">
        <v>0</v>
      </c>
      <c r="D8" s="188">
        <f>0</f>
        <v>0</v>
      </c>
      <c r="E8" s="187">
        <v>0</v>
      </c>
      <c r="F8" s="188">
        <f>0</f>
        <v>0</v>
      </c>
      <c r="G8" s="188">
        <f>0</f>
        <v>0</v>
      </c>
      <c r="H8" s="188">
        <f>0</f>
        <v>0</v>
      </c>
      <c r="I8" s="270">
        <f>0</f>
        <v>0</v>
      </c>
      <c r="J8" s="271">
        <v>0</v>
      </c>
      <c r="K8" s="186">
        <v>4482</v>
      </c>
      <c r="L8" s="186">
        <v>4331.8999999999996</v>
      </c>
      <c r="M8" s="187">
        <v>4255.8</v>
      </c>
      <c r="N8" s="188">
        <v>4002.2</v>
      </c>
      <c r="O8" s="188">
        <v>3944.6</v>
      </c>
      <c r="P8" s="186">
        <v>3791.6</v>
      </c>
      <c r="Q8" s="187">
        <v>3638.5</v>
      </c>
      <c r="R8" s="188">
        <v>3488.7</v>
      </c>
      <c r="S8" s="188">
        <v>3337.3</v>
      </c>
      <c r="T8" s="188">
        <v>3184.2</v>
      </c>
      <c r="U8" s="187">
        <v>3031.2</v>
      </c>
      <c r="V8" s="308">
        <v>2883.1</v>
      </c>
      <c r="W8" s="308">
        <v>2762.8</v>
      </c>
      <c r="X8" s="308">
        <v>2660.5</v>
      </c>
      <c r="Y8" s="307">
        <v>2557.3000000000002</v>
      </c>
      <c r="Z8" s="306">
        <v>2458.6</v>
      </c>
      <c r="AA8" s="308">
        <v>2358.6999999999998</v>
      </c>
      <c r="AB8" s="306">
        <v>2257.6999999999998</v>
      </c>
      <c r="AC8" s="307">
        <v>2212.1999999999998</v>
      </c>
      <c r="AD8" s="306">
        <v>2111.6</v>
      </c>
      <c r="AE8" s="308">
        <v>2009.9</v>
      </c>
      <c r="AF8" s="306"/>
      <c r="AG8" s="307"/>
    </row>
    <row r="9" spans="1:485" s="159" customFormat="1" ht="20.100000000000001" customHeight="1">
      <c r="A9" s="152" t="s">
        <v>90</v>
      </c>
      <c r="B9" s="186">
        <f>840</f>
        <v>840</v>
      </c>
      <c r="C9" s="202">
        <f>(840000)*0.001</f>
        <v>840</v>
      </c>
      <c r="D9" s="202">
        <f>(840000)*0.001</f>
        <v>840</v>
      </c>
      <c r="E9" s="267">
        <f>(847800)*0.001</f>
        <v>847.80000000000007</v>
      </c>
      <c r="F9" s="202">
        <f>(847800)*0.001</f>
        <v>847.80000000000007</v>
      </c>
      <c r="G9" s="202">
        <f>(847800)*0.001</f>
        <v>847.80000000000007</v>
      </c>
      <c r="H9" s="202">
        <f>(847800)*0.001</f>
        <v>847.80000000000007</v>
      </c>
      <c r="I9" s="268">
        <f>(890800)*0.001</f>
        <v>890.80000000000007</v>
      </c>
      <c r="J9" s="269">
        <f>(890800)*0.001</f>
        <v>890.80000000000007</v>
      </c>
      <c r="K9" s="186">
        <v>890.8</v>
      </c>
      <c r="L9" s="186">
        <v>890.8</v>
      </c>
      <c r="M9" s="187">
        <v>2085.9</v>
      </c>
      <c r="N9" s="186">
        <v>1783.7</v>
      </c>
      <c r="O9" s="186">
        <v>2092.6999999999998</v>
      </c>
      <c r="P9" s="186">
        <v>2086.6</v>
      </c>
      <c r="Q9" s="187">
        <v>2080.6</v>
      </c>
      <c r="R9" s="186">
        <v>2074.6</v>
      </c>
      <c r="S9" s="186">
        <v>2068.6</v>
      </c>
      <c r="T9" s="186">
        <v>2062.5</v>
      </c>
      <c r="U9" s="187">
        <v>2056.5</v>
      </c>
      <c r="V9" s="306">
        <v>2050.5</v>
      </c>
      <c r="W9" s="306">
        <v>2044.4</v>
      </c>
      <c r="X9" s="306">
        <v>2038.4</v>
      </c>
      <c r="Y9" s="307">
        <v>2037.1</v>
      </c>
      <c r="Z9" s="306">
        <v>2031</v>
      </c>
      <c r="AA9" s="306">
        <v>2024.8</v>
      </c>
      <c r="AB9" s="306">
        <v>2019</v>
      </c>
      <c r="AC9" s="307">
        <v>2096.1</v>
      </c>
      <c r="AD9" s="306">
        <v>2087.9</v>
      </c>
      <c r="AE9" s="306">
        <v>2079.6999999999998</v>
      </c>
      <c r="AF9" s="306"/>
      <c r="AG9" s="307"/>
    </row>
    <row r="10" spans="1:485" s="159" customFormat="1" ht="20.100000000000001" customHeight="1">
      <c r="A10" s="152" t="s">
        <v>91</v>
      </c>
      <c r="B10" s="186">
        <f>69.466</f>
        <v>69.465999999999994</v>
      </c>
      <c r="C10" s="202">
        <f>(69627)*0.001</f>
        <v>69.626999999999995</v>
      </c>
      <c r="D10" s="202">
        <f>(68459)*0.001</f>
        <v>68.459000000000003</v>
      </c>
      <c r="E10" s="267">
        <f>(81380)*0.001</f>
        <v>81.38</v>
      </c>
      <c r="F10" s="202">
        <f>(82841)*0.001</f>
        <v>82.841000000000008</v>
      </c>
      <c r="G10" s="202">
        <f>(83804)*0.001</f>
        <v>83.804000000000002</v>
      </c>
      <c r="H10" s="202">
        <f>(115337)*0.001</f>
        <v>115.337</v>
      </c>
      <c r="I10" s="268">
        <f>(137401)*0.001</f>
        <v>137.40100000000001</v>
      </c>
      <c r="J10" s="269">
        <f>(136697)*0.001</f>
        <v>136.697</v>
      </c>
      <c r="K10" s="186">
        <v>2360.6</v>
      </c>
      <c r="L10" s="186">
        <v>2624.2</v>
      </c>
      <c r="M10" s="187">
        <v>2591.4</v>
      </c>
      <c r="N10" s="186">
        <v>2527.5</v>
      </c>
      <c r="O10" s="186">
        <v>2525.8000000000002</v>
      </c>
      <c r="P10" s="186">
        <v>2464.1999999999998</v>
      </c>
      <c r="Q10" s="187">
        <v>2422.1999999999998</v>
      </c>
      <c r="R10" s="186">
        <v>2988.7</v>
      </c>
      <c r="S10" s="186">
        <v>3903</v>
      </c>
      <c r="T10" s="186">
        <v>3769.5</v>
      </c>
      <c r="U10" s="187">
        <v>3656.2</v>
      </c>
      <c r="V10" s="306">
        <v>3540.5</v>
      </c>
      <c r="W10" s="306">
        <v>3471.1</v>
      </c>
      <c r="X10" s="306">
        <v>3343.6</v>
      </c>
      <c r="Y10" s="307">
        <v>3261.5</v>
      </c>
      <c r="Z10" s="306">
        <v>3146.4</v>
      </c>
      <c r="AA10" s="306">
        <v>3097.5</v>
      </c>
      <c r="AB10" s="306">
        <v>3015.6</v>
      </c>
      <c r="AC10" s="307">
        <v>3005.5</v>
      </c>
      <c r="AD10" s="306">
        <v>2967.8</v>
      </c>
      <c r="AE10" s="306">
        <v>2943.7</v>
      </c>
      <c r="AF10" s="306"/>
      <c r="AG10" s="307"/>
    </row>
    <row r="11" spans="1:485" s="159" customFormat="1" ht="20.100000000000001" customHeight="1">
      <c r="A11" s="635" t="s">
        <v>334</v>
      </c>
      <c r="B11" s="186"/>
      <c r="C11" s="573"/>
      <c r="D11" s="573"/>
      <c r="E11" s="267"/>
      <c r="F11" s="573"/>
      <c r="G11" s="573"/>
      <c r="H11" s="573"/>
      <c r="I11" s="268"/>
      <c r="J11" s="269"/>
      <c r="K11" s="186"/>
      <c r="L11" s="186"/>
      <c r="M11" s="187"/>
      <c r="N11" s="186"/>
      <c r="O11" s="186"/>
      <c r="P11" s="186"/>
      <c r="Q11" s="187"/>
      <c r="R11" s="186"/>
      <c r="S11" s="186"/>
      <c r="T11" s="186"/>
      <c r="U11" s="187"/>
      <c r="V11" s="306"/>
      <c r="W11" s="306"/>
      <c r="X11" s="306"/>
      <c r="Y11" s="307"/>
      <c r="Z11" s="306"/>
      <c r="AA11" s="306"/>
      <c r="AB11" s="306"/>
      <c r="AC11" s="307"/>
      <c r="AD11" s="306">
        <v>1482</v>
      </c>
      <c r="AE11" s="306">
        <v>1408.2</v>
      </c>
      <c r="AF11" s="306"/>
      <c r="AG11" s="307"/>
    </row>
    <row r="12" spans="1:485" s="159" customFormat="1" ht="20.100000000000001" customHeight="1">
      <c r="A12" s="152" t="s">
        <v>92</v>
      </c>
      <c r="B12" s="186">
        <f>91.415</f>
        <v>91.415000000000006</v>
      </c>
      <c r="C12" s="202">
        <f>(95405)*0.001</f>
        <v>95.405000000000001</v>
      </c>
      <c r="D12" s="202">
        <f>(95323)*0.001</f>
        <v>95.323000000000008</v>
      </c>
      <c r="E12" s="267">
        <f>(97988)*0.001</f>
        <v>97.988</v>
      </c>
      <c r="F12" s="202">
        <f>(104074)*0.001</f>
        <v>104.074</v>
      </c>
      <c r="G12" s="202">
        <f>(115904)*0.001</f>
        <v>115.904</v>
      </c>
      <c r="H12" s="202">
        <f>(82162)*0.001</f>
        <v>82.162000000000006</v>
      </c>
      <c r="I12" s="268">
        <f>(71571)*0.001</f>
        <v>71.570999999999998</v>
      </c>
      <c r="J12" s="269">
        <f>(107548)*0.001</f>
        <v>107.548</v>
      </c>
      <c r="K12" s="186">
        <v>128.1</v>
      </c>
      <c r="L12" s="186">
        <v>148.80000000000001</v>
      </c>
      <c r="M12" s="187">
        <v>135.80000000000001</v>
      </c>
      <c r="N12" s="186">
        <v>158.69999999999999</v>
      </c>
      <c r="O12" s="186">
        <v>174.6</v>
      </c>
      <c r="P12" s="186">
        <v>109</v>
      </c>
      <c r="Q12" s="187">
        <v>145</v>
      </c>
      <c r="R12" s="186">
        <v>129.80000000000001</v>
      </c>
      <c r="S12" s="186">
        <v>156.19999999999999</v>
      </c>
      <c r="T12" s="186">
        <v>125.6</v>
      </c>
      <c r="U12" s="187">
        <v>151.80000000000001</v>
      </c>
      <c r="V12" s="306">
        <v>150</v>
      </c>
      <c r="W12" s="306">
        <v>167.3</v>
      </c>
      <c r="X12" s="306">
        <v>180.5</v>
      </c>
      <c r="Y12" s="307">
        <v>170.1</v>
      </c>
      <c r="Z12" s="306">
        <v>170.1</v>
      </c>
      <c r="AA12" s="306">
        <v>211.1</v>
      </c>
      <c r="AB12" s="306">
        <v>584.29999999999995</v>
      </c>
      <c r="AC12" s="307">
        <v>503.8</v>
      </c>
      <c r="AD12" s="306">
        <v>474</v>
      </c>
      <c r="AE12" s="306">
        <v>517.5</v>
      </c>
      <c r="AF12" s="306"/>
      <c r="AG12" s="307"/>
    </row>
    <row r="13" spans="1:485" s="159" customFormat="1" ht="20.100000000000001" customHeight="1">
      <c r="A13" s="152" t="s">
        <v>93</v>
      </c>
      <c r="B13" s="186">
        <f>8.419</f>
        <v>8.4190000000000005</v>
      </c>
      <c r="C13" s="202">
        <f>(8398)*0.001</f>
        <v>8.3979999999999997</v>
      </c>
      <c r="D13" s="202">
        <f>(8378)*0.001</f>
        <v>8.3780000000000001</v>
      </c>
      <c r="E13" s="267">
        <f>(8357)*0.001</f>
        <v>8.3569999999999993</v>
      </c>
      <c r="F13" s="202">
        <f>(8336)*0.001</f>
        <v>8.3360000000000003</v>
      </c>
      <c r="G13" s="202">
        <f>(7788)*0.001</f>
        <v>7.7880000000000003</v>
      </c>
      <c r="H13" s="202">
        <f>(7427)*0.001</f>
        <v>7.4270000000000005</v>
      </c>
      <c r="I13" s="268">
        <f>(5330)*0.001</f>
        <v>5.33</v>
      </c>
      <c r="J13" s="269">
        <f>(5315)*0.001</f>
        <v>5.3150000000000004</v>
      </c>
      <c r="K13" s="186">
        <v>5.3</v>
      </c>
      <c r="L13" s="186">
        <v>5.3</v>
      </c>
      <c r="M13" s="187">
        <v>5.3</v>
      </c>
      <c r="N13" s="186">
        <v>5.2</v>
      </c>
      <c r="O13" s="186">
        <v>5.2</v>
      </c>
      <c r="P13" s="186">
        <v>5.2</v>
      </c>
      <c r="Q13" s="187">
        <v>5.2</v>
      </c>
      <c r="R13" s="186">
        <v>5.2</v>
      </c>
      <c r="S13" s="186">
        <v>5.2</v>
      </c>
      <c r="T13" s="186">
        <v>5.2</v>
      </c>
      <c r="U13" s="187">
        <v>5.0999999999999996</v>
      </c>
      <c r="V13" s="306">
        <v>5.0999999999999996</v>
      </c>
      <c r="W13" s="306">
        <v>5.0999999999999996</v>
      </c>
      <c r="X13" s="306">
        <v>5.0999999999999996</v>
      </c>
      <c r="Y13" s="307">
        <v>5.0999999999999996</v>
      </c>
      <c r="Z13" s="306">
        <v>5.0999999999999996</v>
      </c>
      <c r="AA13" s="306">
        <v>30</v>
      </c>
      <c r="AB13" s="306">
        <v>29.9</v>
      </c>
      <c r="AC13" s="307">
        <v>29.9</v>
      </c>
      <c r="AD13" s="306">
        <v>29.7</v>
      </c>
      <c r="AE13" s="306">
        <v>29.6</v>
      </c>
      <c r="AF13" s="306"/>
      <c r="AG13" s="307"/>
    </row>
    <row r="14" spans="1:485" s="159" customFormat="1" ht="20.100000000000001" customHeight="1">
      <c r="A14" s="152" t="s">
        <v>188</v>
      </c>
      <c r="B14" s="188">
        <v>0</v>
      </c>
      <c r="C14" s="202">
        <f>(33259)*0.001</f>
        <v>33.259</v>
      </c>
      <c r="D14" s="202">
        <f>(33252)*0.001</f>
        <v>33.252000000000002</v>
      </c>
      <c r="E14" s="267">
        <f>(35125)*0.001</f>
        <v>35.125</v>
      </c>
      <c r="F14" s="202">
        <f>(34399)*0.001</f>
        <v>34.399000000000001</v>
      </c>
      <c r="G14" s="202">
        <f>(32935)*0.001</f>
        <v>32.935000000000002</v>
      </c>
      <c r="H14" s="202">
        <f>(29318)*0.001</f>
        <v>29.318000000000001</v>
      </c>
      <c r="I14" s="268">
        <f>(29551)*0.001</f>
        <v>29.551000000000002</v>
      </c>
      <c r="J14" s="269">
        <f>(26502)*0.001</f>
        <v>26.501999999999999</v>
      </c>
      <c r="K14" s="186">
        <v>46.2</v>
      </c>
      <c r="L14" s="186">
        <v>67</v>
      </c>
      <c r="M14" s="187">
        <v>81</v>
      </c>
      <c r="N14" s="186">
        <v>84.1</v>
      </c>
      <c r="O14" s="186">
        <v>82.3</v>
      </c>
      <c r="P14" s="186">
        <v>81.2</v>
      </c>
      <c r="Q14" s="187">
        <v>83.3</v>
      </c>
      <c r="R14" s="186">
        <v>81.099999999999994</v>
      </c>
      <c r="S14" s="186">
        <v>79.7</v>
      </c>
      <c r="T14" s="186">
        <v>80.400000000000006</v>
      </c>
      <c r="U14" s="187">
        <v>82.8</v>
      </c>
      <c r="V14" s="306">
        <v>83.8</v>
      </c>
      <c r="W14" s="306">
        <v>82.9</v>
      </c>
      <c r="X14" s="306">
        <v>85.8</v>
      </c>
      <c r="Y14" s="307">
        <v>91.4</v>
      </c>
      <c r="Z14" s="306">
        <v>90.4</v>
      </c>
      <c r="AA14" s="306">
        <v>93</v>
      </c>
      <c r="AB14" s="306">
        <v>94.8</v>
      </c>
      <c r="AC14" s="307">
        <v>99.7</v>
      </c>
      <c r="AD14" s="306">
        <v>97.9</v>
      </c>
      <c r="AE14" s="306">
        <v>93.9</v>
      </c>
      <c r="AF14" s="306"/>
      <c r="AG14" s="307"/>
    </row>
    <row r="15" spans="1:485" s="159" customFormat="1" ht="20.100000000000001" customHeight="1">
      <c r="A15" s="152" t="s">
        <v>171</v>
      </c>
      <c r="B15" s="188">
        <v>0</v>
      </c>
      <c r="C15" s="188">
        <v>0</v>
      </c>
      <c r="D15" s="188">
        <v>0</v>
      </c>
      <c r="E15" s="267">
        <v>0</v>
      </c>
      <c r="F15" s="202">
        <v>0</v>
      </c>
      <c r="G15" s="202">
        <v>0</v>
      </c>
      <c r="H15" s="202">
        <v>0</v>
      </c>
      <c r="I15" s="268">
        <v>0</v>
      </c>
      <c r="J15" s="269">
        <v>0</v>
      </c>
      <c r="K15" s="186">
        <v>0</v>
      </c>
      <c r="L15" s="186">
        <v>0</v>
      </c>
      <c r="M15" s="187">
        <v>0</v>
      </c>
      <c r="N15" s="186">
        <v>0</v>
      </c>
      <c r="O15" s="186">
        <v>0</v>
      </c>
      <c r="P15" s="186">
        <v>0</v>
      </c>
      <c r="Q15" s="187">
        <v>0</v>
      </c>
      <c r="R15" s="186">
        <v>180.5</v>
      </c>
      <c r="S15" s="186">
        <v>0</v>
      </c>
      <c r="T15" s="186">
        <v>0</v>
      </c>
      <c r="U15" s="187">
        <v>0</v>
      </c>
      <c r="V15" s="306">
        <v>0</v>
      </c>
      <c r="W15" s="306">
        <v>0</v>
      </c>
      <c r="X15" s="306">
        <v>0</v>
      </c>
      <c r="Y15" s="307">
        <v>0</v>
      </c>
      <c r="Z15" s="306">
        <v>0</v>
      </c>
      <c r="AA15" s="306">
        <v>0</v>
      </c>
      <c r="AB15" s="306">
        <v>0</v>
      </c>
      <c r="AC15" s="307">
        <v>0</v>
      </c>
      <c r="AD15" s="306">
        <v>0</v>
      </c>
      <c r="AE15" s="306">
        <v>0</v>
      </c>
      <c r="AF15" s="306"/>
      <c r="AG15" s="307"/>
    </row>
    <row r="16" spans="1:485" s="159" customFormat="1" ht="20.100000000000001" customHeight="1">
      <c r="A16" s="152" t="s">
        <v>242</v>
      </c>
      <c r="B16" s="186">
        <f>92.159</f>
        <v>92.159000000000006</v>
      </c>
      <c r="C16" s="202">
        <f>(84770)*0.001</f>
        <v>84.77</v>
      </c>
      <c r="D16" s="202">
        <f>(116704)*0.001</f>
        <v>116.70400000000001</v>
      </c>
      <c r="E16" s="267">
        <f>(109642)*0.001</f>
        <v>109.642</v>
      </c>
      <c r="F16" s="202">
        <f>(62960)*0.001</f>
        <v>62.96</v>
      </c>
      <c r="G16" s="202">
        <f>(61422)*0.001</f>
        <v>61.422000000000004</v>
      </c>
      <c r="H16" s="202">
        <f>(27107)*0.001</f>
        <v>27.106999999999999</v>
      </c>
      <c r="I16" s="268">
        <f>(20803)*0.001</f>
        <v>20.803000000000001</v>
      </c>
      <c r="J16" s="269">
        <f>(6430)*0.001</f>
        <v>6.43</v>
      </c>
      <c r="K16" s="186">
        <v>107.4</v>
      </c>
      <c r="L16" s="186">
        <v>141.4</v>
      </c>
      <c r="M16" s="187">
        <v>198.5</v>
      </c>
      <c r="N16" s="186">
        <v>238</v>
      </c>
      <c r="O16" s="186">
        <v>232.8</v>
      </c>
      <c r="P16" s="186">
        <v>232.7</v>
      </c>
      <c r="Q16" s="187">
        <v>272.8</v>
      </c>
      <c r="R16" s="186">
        <v>295.39999999999998</v>
      </c>
      <c r="S16" s="186">
        <v>331.8</v>
      </c>
      <c r="T16" s="186">
        <v>373.3</v>
      </c>
      <c r="U16" s="187">
        <v>452</v>
      </c>
      <c r="V16" s="306">
        <v>476.3</v>
      </c>
      <c r="W16" s="306">
        <v>508.1</v>
      </c>
      <c r="X16" s="306">
        <v>544.20000000000005</v>
      </c>
      <c r="Y16" s="307">
        <v>1270.7</v>
      </c>
      <c r="Z16" s="306">
        <v>1280.5999999999999</v>
      </c>
      <c r="AA16" s="306">
        <v>649.29999999999995</v>
      </c>
      <c r="AB16" s="306">
        <v>647.9</v>
      </c>
      <c r="AC16" s="307">
        <v>701.1</v>
      </c>
      <c r="AD16" s="306">
        <v>714.5</v>
      </c>
      <c r="AE16" s="306">
        <v>781.6</v>
      </c>
      <c r="AF16" s="306"/>
      <c r="AG16" s="307"/>
    </row>
    <row r="17" spans="1:33" s="159" customFormat="1" ht="20.100000000000001" customHeight="1">
      <c r="A17" s="342" t="s">
        <v>243</v>
      </c>
      <c r="B17" s="336"/>
      <c r="C17" s="336"/>
      <c r="D17" s="336"/>
      <c r="E17" s="337"/>
      <c r="F17" s="336"/>
      <c r="G17" s="336"/>
      <c r="H17" s="336"/>
      <c r="I17" s="337"/>
      <c r="J17" s="336"/>
      <c r="K17" s="336"/>
      <c r="L17" s="336"/>
      <c r="M17" s="337"/>
      <c r="N17" s="336"/>
      <c r="O17" s="336"/>
      <c r="P17" s="336"/>
      <c r="Q17" s="337"/>
      <c r="R17" s="336"/>
      <c r="S17" s="336"/>
      <c r="T17" s="336"/>
      <c r="U17" s="337">
        <v>0</v>
      </c>
      <c r="V17" s="336"/>
      <c r="W17" s="336"/>
      <c r="X17" s="336"/>
      <c r="Y17" s="310">
        <v>665.2</v>
      </c>
      <c r="Z17" s="309">
        <v>681.2</v>
      </c>
      <c r="AA17" s="309">
        <v>40.4</v>
      </c>
      <c r="AB17" s="309">
        <v>36.9</v>
      </c>
      <c r="AC17" s="310">
        <v>43</v>
      </c>
      <c r="AD17" s="309">
        <v>41.3</v>
      </c>
      <c r="AE17" s="309">
        <v>67.5</v>
      </c>
      <c r="AF17" s="309"/>
      <c r="AG17" s="310"/>
    </row>
    <row r="18" spans="1:33" s="163" customFormat="1" ht="20.100000000000001" customHeight="1">
      <c r="A18" s="153" t="s">
        <v>244</v>
      </c>
      <c r="B18" s="189">
        <v>0</v>
      </c>
      <c r="C18" s="189">
        <v>0</v>
      </c>
      <c r="D18" s="189">
        <v>0</v>
      </c>
      <c r="E18" s="190">
        <v>0</v>
      </c>
      <c r="F18" s="189">
        <v>0</v>
      </c>
      <c r="G18" s="189">
        <v>0</v>
      </c>
      <c r="H18" s="189">
        <v>0</v>
      </c>
      <c r="I18" s="272">
        <v>0</v>
      </c>
      <c r="J18" s="273">
        <v>0</v>
      </c>
      <c r="K18" s="189">
        <v>0</v>
      </c>
      <c r="L18" s="189">
        <v>0</v>
      </c>
      <c r="M18" s="190">
        <v>1.2</v>
      </c>
      <c r="N18" s="189">
        <v>0</v>
      </c>
      <c r="O18" s="189">
        <v>0</v>
      </c>
      <c r="P18" s="189">
        <v>0</v>
      </c>
      <c r="Q18" s="190">
        <v>6.9</v>
      </c>
      <c r="R18" s="189">
        <v>0.6</v>
      </c>
      <c r="S18" s="189">
        <v>0</v>
      </c>
      <c r="T18" s="189">
        <v>3.5</v>
      </c>
      <c r="U18" s="190">
        <v>9.5</v>
      </c>
      <c r="V18" s="309">
        <v>7.8</v>
      </c>
      <c r="W18" s="309">
        <v>4.9000000000000004</v>
      </c>
      <c r="X18" s="309">
        <v>2.5</v>
      </c>
      <c r="Y18" s="310">
        <v>1.9</v>
      </c>
      <c r="Z18" s="309">
        <v>0.1</v>
      </c>
      <c r="AA18" s="309">
        <v>1.4</v>
      </c>
      <c r="AB18" s="309">
        <v>2.7</v>
      </c>
      <c r="AC18" s="310">
        <v>0</v>
      </c>
      <c r="AD18" s="309">
        <v>0</v>
      </c>
      <c r="AE18" s="309">
        <v>0</v>
      </c>
      <c r="AF18" s="309"/>
      <c r="AG18" s="310"/>
    </row>
    <row r="19" spans="1:33" s="159" customFormat="1" ht="20.100000000000001" customHeight="1" thickBot="1">
      <c r="A19" s="152" t="s">
        <v>95</v>
      </c>
      <c r="B19" s="191">
        <f>30.5</f>
        <v>30.5</v>
      </c>
      <c r="C19" s="202">
        <f>(40245)*0.001</f>
        <v>40.244999999999997</v>
      </c>
      <c r="D19" s="202">
        <f>(37018)*0.001</f>
        <v>37.018000000000001</v>
      </c>
      <c r="E19" s="267">
        <f>(31356)*0.001</f>
        <v>31.356000000000002</v>
      </c>
      <c r="F19" s="202">
        <f>(30260)*0.001</f>
        <v>30.26</v>
      </c>
      <c r="G19" s="202">
        <f>(27326)*0.001</f>
        <v>27.326000000000001</v>
      </c>
      <c r="H19" s="202">
        <f>(27552)*0.001</f>
        <v>27.552</v>
      </c>
      <c r="I19" s="268">
        <f>(38854)*0.001</f>
        <v>38.853999999999999</v>
      </c>
      <c r="J19" s="269">
        <f>(34685)*0.001</f>
        <v>34.685000000000002</v>
      </c>
      <c r="K19" s="191">
        <v>240.5</v>
      </c>
      <c r="L19" s="191">
        <v>285.7</v>
      </c>
      <c r="M19" s="192">
        <v>281.10000000000002</v>
      </c>
      <c r="N19" s="191">
        <v>229</v>
      </c>
      <c r="O19" s="191">
        <v>260.89999999999998</v>
      </c>
      <c r="P19" s="191">
        <v>107.2</v>
      </c>
      <c r="Q19" s="192">
        <v>87.6</v>
      </c>
      <c r="R19" s="191">
        <v>211.3</v>
      </c>
      <c r="S19" s="191">
        <v>236.5</v>
      </c>
      <c r="T19" s="191">
        <v>238.4</v>
      </c>
      <c r="U19" s="192">
        <v>232.7</v>
      </c>
      <c r="V19" s="306">
        <v>249.3</v>
      </c>
      <c r="W19" s="311">
        <v>199.9</v>
      </c>
      <c r="X19" s="311">
        <v>192.1</v>
      </c>
      <c r="Y19" s="307">
        <v>197.2</v>
      </c>
      <c r="Z19" s="306">
        <v>178.4</v>
      </c>
      <c r="AA19" s="311">
        <v>216</v>
      </c>
      <c r="AB19" s="306">
        <v>213</v>
      </c>
      <c r="AC19" s="307">
        <v>259.7</v>
      </c>
      <c r="AD19" s="306">
        <v>258.2</v>
      </c>
      <c r="AE19" s="311">
        <v>260.5</v>
      </c>
      <c r="AF19" s="306"/>
      <c r="AG19" s="307"/>
    </row>
    <row r="20" spans="1:33" s="164" customFormat="1" ht="24.95" customHeight="1" thickBot="1">
      <c r="A20" s="14" t="s">
        <v>96</v>
      </c>
      <c r="B20" s="312">
        <f t="shared" ref="B20:C20" si="0">SUM(B5:B16,B19)</f>
        <v>4228.9560000000001</v>
      </c>
      <c r="C20" s="312">
        <f t="shared" si="0"/>
        <v>4425.1450000000004</v>
      </c>
      <c r="D20" s="312">
        <f t="shared" ref="D20:E20" si="1">SUM(D5:D16,D19)</f>
        <v>4456.701</v>
      </c>
      <c r="E20" s="313">
        <f t="shared" si="1"/>
        <v>4476.1480000000001</v>
      </c>
      <c r="F20" s="312">
        <f t="shared" ref="F20:G20" si="2">SUM(F5:F16,F19)</f>
        <v>4424.8490000000011</v>
      </c>
      <c r="G20" s="312">
        <f t="shared" si="2"/>
        <v>4428.5439999999999</v>
      </c>
      <c r="H20" s="312">
        <f t="shared" ref="H20:I20" si="3">SUM(H5:H16,H19)</f>
        <v>4436.0960000000005</v>
      </c>
      <c r="I20" s="313">
        <f t="shared" si="3"/>
        <v>4455.8450000000003</v>
      </c>
      <c r="J20" s="312">
        <f t="shared" ref="J20:K20" si="4">SUM(J5:J16,J19)</f>
        <v>4454.3520000000008</v>
      </c>
      <c r="K20" s="312">
        <f t="shared" si="4"/>
        <v>23391.8</v>
      </c>
      <c r="L20" s="312">
        <f t="shared" ref="L20:M20" si="5">SUM(L5:L16,L19)</f>
        <v>23581.399999999998</v>
      </c>
      <c r="M20" s="313">
        <f t="shared" si="5"/>
        <v>23356.1</v>
      </c>
      <c r="N20" s="312">
        <f t="shared" ref="N20:O20" si="6">SUM(N5:N16,N19)</f>
        <v>23132</v>
      </c>
      <c r="O20" s="312">
        <f t="shared" si="6"/>
        <v>22867.599999999999</v>
      </c>
      <c r="P20" s="312">
        <f t="shared" ref="P20:Q20" si="7">SUM(P5:P16,P19)</f>
        <v>22396.3</v>
      </c>
      <c r="Q20" s="313">
        <f t="shared" si="7"/>
        <v>22261.199999999997</v>
      </c>
      <c r="R20" s="312">
        <f t="shared" ref="R20:S20" si="8">SUM(R5:R16,R19)</f>
        <v>24489.499999999996</v>
      </c>
      <c r="S20" s="312">
        <f t="shared" si="8"/>
        <v>24377.8</v>
      </c>
      <c r="T20" s="312">
        <f t="shared" ref="T20:U20" si="9">SUM(T5:T16,T19)</f>
        <v>24047.600000000002</v>
      </c>
      <c r="U20" s="313">
        <f t="shared" si="9"/>
        <v>23958.899999999998</v>
      </c>
      <c r="V20" s="312">
        <f t="shared" ref="V20" si="10">SUM(V5:V16,V19)</f>
        <v>23642.099999999995</v>
      </c>
      <c r="W20" s="312">
        <f>SUM(W5:W16,W19)</f>
        <v>23454.6</v>
      </c>
      <c r="X20" s="312">
        <f t="shared" ref="X20" si="11">SUM(X5:X16,X19)</f>
        <v>23215.999999999996</v>
      </c>
      <c r="Y20" s="313">
        <f>SUM(Y5:Y16,Y19)</f>
        <v>23824.5</v>
      </c>
      <c r="Z20" s="312">
        <f t="shared" ref="Z20:AF20" si="12">SUM(Z5:Z16,Z19)</f>
        <v>23530.6</v>
      </c>
      <c r="AA20" s="312">
        <f t="shared" si="12"/>
        <v>24924.399999999998</v>
      </c>
      <c r="AB20" s="312">
        <f t="shared" si="12"/>
        <v>25095.3</v>
      </c>
      <c r="AC20" s="313">
        <f>SUM(AC5:AC16,AC19)</f>
        <v>25274.1</v>
      </c>
      <c r="AD20" s="312">
        <f t="shared" si="12"/>
        <v>26511.500000000004</v>
      </c>
      <c r="AE20" s="312">
        <f>SUM(AE5:AE16,AE19)</f>
        <v>26473.100000000002</v>
      </c>
      <c r="AF20" s="312">
        <f t="shared" si="12"/>
        <v>0</v>
      </c>
      <c r="AG20" s="313">
        <f>SUM(AG5:AG16,AG19)</f>
        <v>0</v>
      </c>
    </row>
    <row r="21" spans="1:33" s="164" customFormat="1" ht="20.100000000000001" customHeight="1">
      <c r="A21" s="152" t="s">
        <v>97</v>
      </c>
      <c r="B21" s="195">
        <f>176.114</f>
        <v>176.114</v>
      </c>
      <c r="C21" s="202">
        <f>(167251)*0.001</f>
        <v>167.251</v>
      </c>
      <c r="D21" s="202">
        <f>(171461)*0.001</f>
        <v>171.46100000000001</v>
      </c>
      <c r="E21" s="267">
        <f>(141652)*0.001</f>
        <v>141.65200000000002</v>
      </c>
      <c r="F21" s="202">
        <f>(155399)*0.001</f>
        <v>155.399</v>
      </c>
      <c r="G21" s="202">
        <f>(170743)*0.001</f>
        <v>170.74299999999999</v>
      </c>
      <c r="H21" s="202">
        <f>(208533)*0.001</f>
        <v>208.53300000000002</v>
      </c>
      <c r="I21" s="268">
        <f>(181341)*0.001</f>
        <v>181.34100000000001</v>
      </c>
      <c r="J21" s="269">
        <f>(228936)*0.001</f>
        <v>228.93600000000001</v>
      </c>
      <c r="K21" s="195">
        <v>199.1</v>
      </c>
      <c r="L21" s="195">
        <v>172.6</v>
      </c>
      <c r="M21" s="196">
        <v>152.1</v>
      </c>
      <c r="N21" s="195">
        <v>163.1</v>
      </c>
      <c r="O21" s="195">
        <v>170.4</v>
      </c>
      <c r="P21" s="195">
        <v>255.6</v>
      </c>
      <c r="Q21" s="196">
        <v>192.2</v>
      </c>
      <c r="R21" s="195">
        <v>234.7</v>
      </c>
      <c r="S21" s="195">
        <v>163.5</v>
      </c>
      <c r="T21" s="195">
        <v>219.1</v>
      </c>
      <c r="U21" s="196">
        <v>192</v>
      </c>
      <c r="V21" s="314">
        <v>179.8</v>
      </c>
      <c r="W21" s="314">
        <v>214.3</v>
      </c>
      <c r="X21" s="314">
        <v>243.6</v>
      </c>
      <c r="Y21" s="307">
        <v>251.7</v>
      </c>
      <c r="Z21" s="314">
        <v>256.60000000000002</v>
      </c>
      <c r="AA21" s="314">
        <v>353.2</v>
      </c>
      <c r="AB21" s="314">
        <v>544.5</v>
      </c>
      <c r="AC21" s="307">
        <v>543.20000000000005</v>
      </c>
      <c r="AD21" s="314">
        <v>539.79999999999995</v>
      </c>
      <c r="AE21" s="314">
        <v>538.9</v>
      </c>
      <c r="AF21" s="314"/>
      <c r="AG21" s="307"/>
    </row>
    <row r="22" spans="1:33" s="164" customFormat="1" ht="20.100000000000001" customHeight="1">
      <c r="A22" s="152" t="s">
        <v>233</v>
      </c>
      <c r="B22" s="186"/>
      <c r="C22" s="202"/>
      <c r="D22" s="202"/>
      <c r="E22" s="267"/>
      <c r="F22" s="202"/>
      <c r="G22" s="202"/>
      <c r="H22" s="202"/>
      <c r="I22" s="268"/>
      <c r="J22" s="269"/>
      <c r="K22" s="186"/>
      <c r="L22" s="186"/>
      <c r="M22" s="187"/>
      <c r="N22" s="186"/>
      <c r="O22" s="186"/>
      <c r="P22" s="186"/>
      <c r="Q22" s="187"/>
      <c r="R22" s="186"/>
      <c r="S22" s="186"/>
      <c r="T22" s="186"/>
      <c r="U22" s="187"/>
      <c r="V22" s="306"/>
      <c r="W22" s="306"/>
      <c r="X22" s="306"/>
      <c r="Y22" s="307"/>
      <c r="Z22" s="306">
        <v>680.8</v>
      </c>
      <c r="AA22" s="306">
        <v>681.5</v>
      </c>
      <c r="AB22" s="306">
        <v>655.20000000000005</v>
      </c>
      <c r="AC22" s="307">
        <v>648.4</v>
      </c>
      <c r="AD22" s="306">
        <v>657.6</v>
      </c>
      <c r="AE22" s="306">
        <v>651.70000000000005</v>
      </c>
      <c r="AF22" s="306"/>
      <c r="AG22" s="307"/>
    </row>
    <row r="23" spans="1:33" s="159" customFormat="1" ht="20.100000000000001" customHeight="1">
      <c r="A23" s="152" t="s">
        <v>98</v>
      </c>
      <c r="B23" s="186">
        <f>185.376</f>
        <v>185.376</v>
      </c>
      <c r="C23" s="202">
        <f>(185528)*0.001</f>
        <v>185.52799999999999</v>
      </c>
      <c r="D23" s="202">
        <f>(177054)*0.001</f>
        <v>177.054</v>
      </c>
      <c r="E23" s="267">
        <f>(161974)*0.001</f>
        <v>161.97399999999999</v>
      </c>
      <c r="F23" s="202">
        <f>(150701)*0.001</f>
        <v>150.70099999999999</v>
      </c>
      <c r="G23" s="202">
        <f>(157445)*0.001</f>
        <v>157.44499999999999</v>
      </c>
      <c r="H23" s="202">
        <f>(155698)*0.001</f>
        <v>155.69800000000001</v>
      </c>
      <c r="I23" s="268">
        <f>(146771)*0.001</f>
        <v>146.77100000000002</v>
      </c>
      <c r="J23" s="269">
        <f>(163072)*0.001</f>
        <v>163.072</v>
      </c>
      <c r="K23" s="186">
        <v>343.8</v>
      </c>
      <c r="L23" s="186">
        <v>316.60000000000002</v>
      </c>
      <c r="M23" s="187">
        <v>301.39999999999998</v>
      </c>
      <c r="N23" s="186">
        <v>252.9</v>
      </c>
      <c r="O23" s="186">
        <v>261.7</v>
      </c>
      <c r="P23" s="186">
        <v>264.10000000000002</v>
      </c>
      <c r="Q23" s="187">
        <v>281</v>
      </c>
      <c r="R23" s="186">
        <v>260.2</v>
      </c>
      <c r="S23" s="186">
        <v>270</v>
      </c>
      <c r="T23" s="186">
        <v>281</v>
      </c>
      <c r="U23" s="187">
        <v>278.7</v>
      </c>
      <c r="V23" s="306">
        <v>237.2</v>
      </c>
      <c r="W23" s="306">
        <v>279</v>
      </c>
      <c r="X23" s="306">
        <v>295.60000000000002</v>
      </c>
      <c r="Y23" s="307">
        <v>283.7</v>
      </c>
      <c r="Z23" s="308">
        <v>305.3</v>
      </c>
      <c r="AA23" s="306">
        <v>362.1</v>
      </c>
      <c r="AB23" s="306">
        <v>387.6</v>
      </c>
      <c r="AC23" s="307">
        <v>394</v>
      </c>
      <c r="AD23" s="308">
        <v>333.7</v>
      </c>
      <c r="AE23" s="306">
        <v>344.5</v>
      </c>
      <c r="AF23" s="306"/>
      <c r="AG23" s="307"/>
    </row>
    <row r="24" spans="1:33" s="159" customFormat="1" ht="20.100000000000001" customHeight="1">
      <c r="A24" s="152" t="s">
        <v>99</v>
      </c>
      <c r="B24" s="186">
        <f>1.102</f>
        <v>1.1020000000000001</v>
      </c>
      <c r="C24" s="188">
        <f>0</f>
        <v>0</v>
      </c>
      <c r="D24" s="188">
        <f>0</f>
        <v>0</v>
      </c>
      <c r="E24" s="187">
        <f>0</f>
        <v>0</v>
      </c>
      <c r="F24" s="188">
        <f>0</f>
        <v>0</v>
      </c>
      <c r="G24" s="188">
        <f>0</f>
        <v>0</v>
      </c>
      <c r="H24" s="188">
        <f>0</f>
        <v>0</v>
      </c>
      <c r="I24" s="270">
        <v>0</v>
      </c>
      <c r="J24" s="271">
        <v>0</v>
      </c>
      <c r="K24" s="197">
        <v>0</v>
      </c>
      <c r="L24" s="197">
        <v>0</v>
      </c>
      <c r="M24" s="187">
        <f>0*($A$75)</f>
        <v>0</v>
      </c>
      <c r="N24" s="188">
        <f>0*($A$75)</f>
        <v>0</v>
      </c>
      <c r="O24" s="188">
        <v>0</v>
      </c>
      <c r="P24" s="197">
        <v>0</v>
      </c>
      <c r="Q24" s="187">
        <v>0</v>
      </c>
      <c r="R24" s="188">
        <v>0</v>
      </c>
      <c r="S24" s="188">
        <v>0</v>
      </c>
      <c r="T24" s="188">
        <v>0</v>
      </c>
      <c r="U24" s="187">
        <v>0</v>
      </c>
      <c r="V24" s="308">
        <v>0</v>
      </c>
      <c r="W24" s="308">
        <v>0</v>
      </c>
      <c r="X24" s="308">
        <v>0</v>
      </c>
      <c r="Y24" s="307">
        <v>0</v>
      </c>
      <c r="Z24" s="306">
        <v>0</v>
      </c>
      <c r="AA24" s="308">
        <v>0</v>
      </c>
      <c r="AB24" s="308">
        <v>0</v>
      </c>
      <c r="AC24" s="307">
        <v>0</v>
      </c>
      <c r="AD24" s="306">
        <v>0</v>
      </c>
      <c r="AE24" s="308">
        <v>0</v>
      </c>
      <c r="AF24" s="308"/>
      <c r="AG24" s="307"/>
    </row>
    <row r="25" spans="1:33" s="159" customFormat="1" ht="20.100000000000001" customHeight="1">
      <c r="A25" s="152" t="s">
        <v>189</v>
      </c>
      <c r="B25" s="186">
        <f>342.386</f>
        <v>342.38600000000002</v>
      </c>
      <c r="C25" s="202">
        <f>(382365)*0.001</f>
        <v>382.36500000000001</v>
      </c>
      <c r="D25" s="202">
        <f>(376949)*0.001</f>
        <v>376.94900000000001</v>
      </c>
      <c r="E25" s="267">
        <f>(375659)*0.001</f>
        <v>375.65899999999999</v>
      </c>
      <c r="F25" s="202">
        <f>(403593)*0.001</f>
        <v>403.59300000000002</v>
      </c>
      <c r="G25" s="202">
        <f>(410902)*0.001</f>
        <v>410.90199999999999</v>
      </c>
      <c r="H25" s="202">
        <f>(401503)*0.001</f>
        <v>401.50299999999999</v>
      </c>
      <c r="I25" s="268">
        <f>(374424)*0.001</f>
        <v>374.42400000000004</v>
      </c>
      <c r="J25" s="269">
        <f>(398589)*0.001</f>
        <v>398.589</v>
      </c>
      <c r="K25" s="186">
        <v>1374.4</v>
      </c>
      <c r="L25" s="186">
        <v>1369.9</v>
      </c>
      <c r="M25" s="187">
        <v>1453.4</v>
      </c>
      <c r="N25" s="186">
        <v>1599.5</v>
      </c>
      <c r="O25" s="186">
        <v>1988.6</v>
      </c>
      <c r="P25" s="186">
        <v>1699.4</v>
      </c>
      <c r="Q25" s="187">
        <v>1619.1</v>
      </c>
      <c r="R25" s="186">
        <v>1503.9</v>
      </c>
      <c r="S25" s="186">
        <v>1541.1</v>
      </c>
      <c r="T25" s="186">
        <v>1571.8</v>
      </c>
      <c r="U25" s="187">
        <v>1688</v>
      </c>
      <c r="V25" s="306">
        <v>1608.5</v>
      </c>
      <c r="W25" s="306">
        <v>1727</v>
      </c>
      <c r="X25" s="306">
        <v>1758.5</v>
      </c>
      <c r="Y25" s="307">
        <v>1983.2</v>
      </c>
      <c r="Z25" s="306">
        <v>1990.7</v>
      </c>
      <c r="AA25" s="306">
        <v>2161.3000000000002</v>
      </c>
      <c r="AB25" s="306">
        <v>2197.3000000000002</v>
      </c>
      <c r="AC25" s="307">
        <v>2370.4</v>
      </c>
      <c r="AD25" s="306">
        <v>2334.6999999999998</v>
      </c>
      <c r="AE25" s="306">
        <v>2284.4</v>
      </c>
      <c r="AF25" s="306"/>
      <c r="AG25" s="307"/>
    </row>
    <row r="26" spans="1:33" s="159" customFormat="1" ht="20.100000000000001" customHeight="1">
      <c r="A26" s="152" t="s">
        <v>100</v>
      </c>
      <c r="B26" s="186">
        <f>9.894</f>
        <v>9.8940000000000001</v>
      </c>
      <c r="C26" s="202">
        <f>(263)*0.001</f>
        <v>0.26300000000000001</v>
      </c>
      <c r="D26" s="202">
        <f>(321)*0.001</f>
        <v>0.32100000000000001</v>
      </c>
      <c r="E26" s="267">
        <f>(6494)*0.001</f>
        <v>6.4939999999999998</v>
      </c>
      <c r="F26" s="202">
        <f>(1372)*0.001</f>
        <v>1.3720000000000001</v>
      </c>
      <c r="G26" s="202">
        <f>(1952)*0.001</f>
        <v>1.952</v>
      </c>
      <c r="H26" s="202">
        <f>(1195)*0.001</f>
        <v>1.1950000000000001</v>
      </c>
      <c r="I26" s="268">
        <f>(183)*0.001</f>
        <v>0.183</v>
      </c>
      <c r="J26" s="269">
        <f>(365)*0.001</f>
        <v>0.36499999999999999</v>
      </c>
      <c r="K26" s="186">
        <v>28</v>
      </c>
      <c r="L26" s="186">
        <v>26</v>
      </c>
      <c r="M26" s="187">
        <v>26</v>
      </c>
      <c r="N26" s="186">
        <v>28.9</v>
      </c>
      <c r="O26" s="186">
        <v>1.5</v>
      </c>
      <c r="P26" s="186">
        <v>0.7</v>
      </c>
      <c r="Q26" s="187">
        <v>0.7</v>
      </c>
      <c r="R26" s="186">
        <v>1.9</v>
      </c>
      <c r="S26" s="186">
        <v>1.4</v>
      </c>
      <c r="T26" s="186">
        <v>0.9</v>
      </c>
      <c r="U26" s="187">
        <v>29.1</v>
      </c>
      <c r="V26" s="306">
        <v>30.3</v>
      </c>
      <c r="W26" s="306">
        <v>17</v>
      </c>
      <c r="X26" s="306">
        <v>25.3</v>
      </c>
      <c r="Y26" s="307">
        <v>1.3</v>
      </c>
      <c r="Z26" s="306">
        <v>55.8</v>
      </c>
      <c r="AA26" s="306">
        <v>68.7</v>
      </c>
      <c r="AB26" s="306">
        <v>65.400000000000006</v>
      </c>
      <c r="AC26" s="307">
        <v>34.6</v>
      </c>
      <c r="AD26" s="306">
        <v>36.799999999999997</v>
      </c>
      <c r="AE26" s="306">
        <v>5.6</v>
      </c>
      <c r="AF26" s="306"/>
      <c r="AG26" s="307"/>
    </row>
    <row r="27" spans="1:33" s="159" customFormat="1" ht="20.100000000000001" customHeight="1">
      <c r="A27" s="152" t="s">
        <v>190</v>
      </c>
      <c r="B27" s="188">
        <v>0</v>
      </c>
      <c r="C27" s="202">
        <f>(53916)*0.001</f>
        <v>53.916000000000004</v>
      </c>
      <c r="D27" s="202">
        <f>(54038)*0.001</f>
        <v>54.038000000000004</v>
      </c>
      <c r="E27" s="267">
        <f>(57096)*0.001</f>
        <v>57.096000000000004</v>
      </c>
      <c r="F27" s="202">
        <f>(60035)*0.001</f>
        <v>60.035000000000004</v>
      </c>
      <c r="G27" s="202">
        <f>(63564)*0.001</f>
        <v>63.564</v>
      </c>
      <c r="H27" s="202">
        <f>(65852)*0.001</f>
        <v>65.852000000000004</v>
      </c>
      <c r="I27" s="268">
        <f>(70055)*0.001</f>
        <v>70.055000000000007</v>
      </c>
      <c r="J27" s="269">
        <f>(70958)*0.001</f>
        <v>70.957999999999998</v>
      </c>
      <c r="K27" s="186">
        <v>91.2</v>
      </c>
      <c r="L27" s="186">
        <v>117.3</v>
      </c>
      <c r="M27" s="187">
        <v>141.69999999999999</v>
      </c>
      <c r="N27" s="186">
        <v>165.3</v>
      </c>
      <c r="O27" s="186">
        <v>186.1</v>
      </c>
      <c r="P27" s="186">
        <v>200.4</v>
      </c>
      <c r="Q27" s="187">
        <v>212.7</v>
      </c>
      <c r="R27" s="186">
        <v>213.3</v>
      </c>
      <c r="S27" s="186">
        <v>209.1</v>
      </c>
      <c r="T27" s="186">
        <v>207.6</v>
      </c>
      <c r="U27" s="187">
        <v>207.2</v>
      </c>
      <c r="V27" s="306">
        <v>205.7</v>
      </c>
      <c r="W27" s="306">
        <v>202.3</v>
      </c>
      <c r="X27" s="306">
        <v>203.5</v>
      </c>
      <c r="Y27" s="307">
        <v>207.9</v>
      </c>
      <c r="Z27" s="306">
        <v>206.9</v>
      </c>
      <c r="AA27" s="306">
        <v>230.1</v>
      </c>
      <c r="AB27" s="306">
        <v>230.1</v>
      </c>
      <c r="AC27" s="307">
        <v>218.5</v>
      </c>
      <c r="AD27" s="306">
        <v>221.6</v>
      </c>
      <c r="AE27" s="306">
        <v>221.7</v>
      </c>
      <c r="AF27" s="306"/>
      <c r="AG27" s="307"/>
    </row>
    <row r="28" spans="1:33" s="159" customFormat="1" ht="20.100000000000001" customHeight="1">
      <c r="A28" s="152" t="s">
        <v>191</v>
      </c>
      <c r="B28" s="186">
        <f>136.299</f>
        <v>136.29900000000001</v>
      </c>
      <c r="C28" s="202">
        <f>(73814)*0.001</f>
        <v>73.814000000000007</v>
      </c>
      <c r="D28" s="202">
        <f>(53239)*0.001</f>
        <v>53.239000000000004</v>
      </c>
      <c r="E28" s="267">
        <f>(71968)*0.001</f>
        <v>71.968000000000004</v>
      </c>
      <c r="F28" s="202">
        <f>(109187)*0.001</f>
        <v>109.187</v>
      </c>
      <c r="G28" s="202">
        <f>(93754)*0.001</f>
        <v>93.754000000000005</v>
      </c>
      <c r="H28" s="202">
        <f>(113708)*0.001</f>
        <v>113.708</v>
      </c>
      <c r="I28" s="268">
        <f>(105360)*0.001</f>
        <v>105.36</v>
      </c>
      <c r="J28" s="269">
        <f>(106732)*0.001</f>
        <v>106.732</v>
      </c>
      <c r="K28" s="186">
        <v>221.9</v>
      </c>
      <c r="L28" s="186">
        <v>224.2</v>
      </c>
      <c r="M28" s="187">
        <v>160.1</v>
      </c>
      <c r="N28" s="186">
        <v>212.9</v>
      </c>
      <c r="O28" s="186">
        <v>226.2</v>
      </c>
      <c r="P28" s="186">
        <v>255</v>
      </c>
      <c r="Q28" s="187">
        <v>399.5</v>
      </c>
      <c r="R28" s="186">
        <v>69.599999999999994</v>
      </c>
      <c r="S28" s="186">
        <v>62.8</v>
      </c>
      <c r="T28" s="186">
        <v>54.9</v>
      </c>
      <c r="U28" s="187">
        <v>38.700000000000003</v>
      </c>
      <c r="V28" s="306">
        <v>72.3</v>
      </c>
      <c r="W28" s="306">
        <v>60.7</v>
      </c>
      <c r="X28" s="306">
        <v>61.7</v>
      </c>
      <c r="Y28" s="307">
        <v>31.7</v>
      </c>
      <c r="Z28" s="306">
        <v>70.2</v>
      </c>
      <c r="AA28" s="306">
        <v>82.5</v>
      </c>
      <c r="AB28" s="306">
        <v>56.8</v>
      </c>
      <c r="AC28" s="307">
        <v>34.9</v>
      </c>
      <c r="AD28" s="306">
        <v>71.099999999999994</v>
      </c>
      <c r="AE28" s="306">
        <v>55.5</v>
      </c>
      <c r="AF28" s="306"/>
      <c r="AG28" s="307"/>
    </row>
    <row r="29" spans="1:33" s="163" customFormat="1" ht="20.100000000000001" customHeight="1">
      <c r="A29" s="153" t="s">
        <v>94</v>
      </c>
      <c r="B29" s="188">
        <v>0</v>
      </c>
      <c r="C29" s="188">
        <f>0</f>
        <v>0</v>
      </c>
      <c r="D29" s="188">
        <v>0</v>
      </c>
      <c r="E29" s="275">
        <f>0</f>
        <v>0</v>
      </c>
      <c r="F29" s="188">
        <f>0</f>
        <v>0</v>
      </c>
      <c r="G29" s="188">
        <v>0</v>
      </c>
      <c r="H29" s="188">
        <f>0</f>
        <v>0</v>
      </c>
      <c r="I29" s="276">
        <v>0</v>
      </c>
      <c r="J29" s="271">
        <v>0</v>
      </c>
      <c r="K29" s="188">
        <f>0*($A$75)</f>
        <v>0</v>
      </c>
      <c r="L29" s="188">
        <f>0*($A$75)</f>
        <v>0</v>
      </c>
      <c r="M29" s="190">
        <v>22.2</v>
      </c>
      <c r="N29" s="189">
        <v>26.3</v>
      </c>
      <c r="O29" s="189">
        <v>27.3</v>
      </c>
      <c r="P29" s="189">
        <v>3.8</v>
      </c>
      <c r="Q29" s="190">
        <v>10.5</v>
      </c>
      <c r="R29" s="189">
        <v>0.2</v>
      </c>
      <c r="S29" s="189">
        <v>3.6</v>
      </c>
      <c r="T29" s="189">
        <v>4.8</v>
      </c>
      <c r="U29" s="190">
        <v>6.7</v>
      </c>
      <c r="V29" s="309">
        <v>4.9000000000000004</v>
      </c>
      <c r="W29" s="309">
        <v>5.3</v>
      </c>
      <c r="X29" s="309">
        <v>6.4</v>
      </c>
      <c r="Y29" s="310">
        <v>5.0999999999999996</v>
      </c>
      <c r="Z29" s="309">
        <v>2.7</v>
      </c>
      <c r="AA29" s="309">
        <v>1.6</v>
      </c>
      <c r="AB29" s="309">
        <v>0.4</v>
      </c>
      <c r="AC29" s="310">
        <v>0</v>
      </c>
      <c r="AD29" s="309">
        <v>0</v>
      </c>
      <c r="AE29" s="309">
        <v>0</v>
      </c>
      <c r="AF29" s="309"/>
      <c r="AG29" s="310"/>
    </row>
    <row r="30" spans="1:33" s="159" customFormat="1" ht="20.100000000000001" customHeight="1">
      <c r="A30" s="152" t="s">
        <v>101</v>
      </c>
      <c r="B30" s="188">
        <v>0</v>
      </c>
      <c r="C30" s="188">
        <f>0</f>
        <v>0</v>
      </c>
      <c r="D30" s="188">
        <v>0</v>
      </c>
      <c r="E30" s="187">
        <v>0</v>
      </c>
      <c r="F30" s="188">
        <f>0</f>
        <v>0</v>
      </c>
      <c r="G30" s="188">
        <v>0</v>
      </c>
      <c r="H30" s="188">
        <f>0</f>
        <v>0</v>
      </c>
      <c r="I30" s="270">
        <v>0</v>
      </c>
      <c r="J30" s="271">
        <v>0</v>
      </c>
      <c r="K30" s="197">
        <v>270</v>
      </c>
      <c r="L30" s="197">
        <v>30</v>
      </c>
      <c r="M30" s="187">
        <f>0*($A$75)</f>
        <v>0</v>
      </c>
      <c r="N30" s="186">
        <v>42.7</v>
      </c>
      <c r="O30" s="186">
        <v>43.1</v>
      </c>
      <c r="P30" s="186">
        <v>0</v>
      </c>
      <c r="Q30" s="187">
        <v>0</v>
      </c>
      <c r="R30" s="186">
        <v>12.4</v>
      </c>
      <c r="S30" s="186">
        <v>0</v>
      </c>
      <c r="T30" s="186">
        <v>0</v>
      </c>
      <c r="U30" s="187">
        <v>0</v>
      </c>
      <c r="V30" s="306">
        <v>0</v>
      </c>
      <c r="W30" s="306">
        <v>0</v>
      </c>
      <c r="X30" s="306">
        <v>0</v>
      </c>
      <c r="Y30" s="307">
        <v>0</v>
      </c>
      <c r="Z30" s="306">
        <v>0</v>
      </c>
      <c r="AA30" s="306">
        <v>0</v>
      </c>
      <c r="AB30" s="306">
        <v>0</v>
      </c>
      <c r="AC30" s="307">
        <v>0</v>
      </c>
      <c r="AD30" s="306">
        <v>0</v>
      </c>
      <c r="AE30" s="306">
        <v>0</v>
      </c>
      <c r="AF30" s="306"/>
      <c r="AG30" s="307"/>
    </row>
    <row r="31" spans="1:33" s="159" customFormat="1" ht="20.100000000000001" customHeight="1">
      <c r="A31" s="152" t="s">
        <v>102</v>
      </c>
      <c r="B31" s="186">
        <f>422.627</f>
        <v>422.62700000000001</v>
      </c>
      <c r="C31" s="202">
        <f>(309519)*0.001</f>
        <v>309.51900000000001</v>
      </c>
      <c r="D31" s="202">
        <f>(225111)*0.001</f>
        <v>225.11100000000002</v>
      </c>
      <c r="E31" s="267">
        <f>(270354)*0.001</f>
        <v>270.35399999999998</v>
      </c>
      <c r="F31" s="202">
        <f>(324338)*0.001</f>
        <v>324.33800000000002</v>
      </c>
      <c r="G31" s="202">
        <f>(265803)*0.001</f>
        <v>265.803</v>
      </c>
      <c r="H31" s="202">
        <f>(215396)*0.001</f>
        <v>215.39600000000002</v>
      </c>
      <c r="I31" s="268">
        <f>(342251)*0.001</f>
        <v>342.25100000000003</v>
      </c>
      <c r="J31" s="269">
        <f>(428190)*0.001</f>
        <v>428.19</v>
      </c>
      <c r="K31" s="186">
        <v>1894.3</v>
      </c>
      <c r="L31" s="186">
        <v>1631</v>
      </c>
      <c r="M31" s="187">
        <v>1735.3</v>
      </c>
      <c r="N31" s="186">
        <v>1478.9</v>
      </c>
      <c r="O31" s="186">
        <v>1383.8</v>
      </c>
      <c r="P31" s="186">
        <v>1059.5999999999999</v>
      </c>
      <c r="Q31" s="187">
        <v>1512</v>
      </c>
      <c r="R31" s="186">
        <v>1538.6</v>
      </c>
      <c r="S31" s="186">
        <v>944.5</v>
      </c>
      <c r="T31" s="186">
        <v>1099.4000000000001</v>
      </c>
      <c r="U31" s="187">
        <v>1326</v>
      </c>
      <c r="V31" s="306">
        <v>1567.7</v>
      </c>
      <c r="W31" s="306">
        <v>1354.6</v>
      </c>
      <c r="X31" s="306">
        <v>1080.2</v>
      </c>
      <c r="Y31" s="307">
        <v>1161.5</v>
      </c>
      <c r="Z31" s="306">
        <v>785.9</v>
      </c>
      <c r="AA31" s="306">
        <v>876.1</v>
      </c>
      <c r="AB31" s="306">
        <v>1151.5</v>
      </c>
      <c r="AC31" s="307">
        <v>1167</v>
      </c>
      <c r="AD31" s="306">
        <v>745.7</v>
      </c>
      <c r="AE31" s="306">
        <v>774.9</v>
      </c>
      <c r="AF31" s="306"/>
      <c r="AG31" s="307"/>
    </row>
    <row r="32" spans="1:33" s="159" customFormat="1" ht="20.100000000000001" customHeight="1" thickBot="1">
      <c r="A32" s="152" t="s">
        <v>103</v>
      </c>
      <c r="B32" s="188">
        <v>0</v>
      </c>
      <c r="C32" s="188">
        <f>0</f>
        <v>0</v>
      </c>
      <c r="D32" s="188">
        <f>0</f>
        <v>0</v>
      </c>
      <c r="E32" s="187">
        <v>0</v>
      </c>
      <c r="F32" s="188">
        <f>0</f>
        <v>0</v>
      </c>
      <c r="G32" s="188">
        <v>0</v>
      </c>
      <c r="H32" s="188">
        <f>0</f>
        <v>0</v>
      </c>
      <c r="I32" s="270">
        <v>0</v>
      </c>
      <c r="J32" s="271">
        <v>0</v>
      </c>
      <c r="K32" s="197">
        <v>12.6</v>
      </c>
      <c r="L32" s="197">
        <v>12.2</v>
      </c>
      <c r="M32" s="187">
        <v>12.6</v>
      </c>
      <c r="N32" s="186">
        <v>12.7</v>
      </c>
      <c r="O32" s="186">
        <v>12.8</v>
      </c>
      <c r="P32" s="197">
        <v>12.4</v>
      </c>
      <c r="Q32" s="187">
        <v>11.7</v>
      </c>
      <c r="R32" s="186">
        <v>31.4</v>
      </c>
      <c r="S32" s="186">
        <v>10.9</v>
      </c>
      <c r="T32" s="186">
        <v>10.8</v>
      </c>
      <c r="U32" s="187">
        <v>10.7</v>
      </c>
      <c r="V32" s="306">
        <v>9.6</v>
      </c>
      <c r="W32" s="306">
        <v>8</v>
      </c>
      <c r="X32" s="306">
        <v>8.1999999999999993</v>
      </c>
      <c r="Y32" s="307">
        <v>10.5</v>
      </c>
      <c r="Z32" s="306">
        <v>11.6</v>
      </c>
      <c r="AA32" s="306">
        <v>11.7</v>
      </c>
      <c r="AB32" s="306">
        <v>11.6</v>
      </c>
      <c r="AC32" s="307">
        <v>11.7</v>
      </c>
      <c r="AD32" s="306">
        <v>11.3</v>
      </c>
      <c r="AE32" s="306">
        <v>8.9</v>
      </c>
      <c r="AF32" s="306"/>
      <c r="AG32" s="307"/>
    </row>
    <row r="33" spans="1:33" s="164" customFormat="1" ht="24.95" customHeight="1" thickBot="1">
      <c r="A33" s="14" t="s">
        <v>104</v>
      </c>
      <c r="B33" s="193">
        <f t="shared" ref="B33:L33" si="13">SUM(B21:B32)</f>
        <v>1273.798</v>
      </c>
      <c r="C33" s="193">
        <f t="shared" si="13"/>
        <v>1172.6559999999999</v>
      </c>
      <c r="D33" s="193">
        <f t="shared" si="13"/>
        <v>1058.173</v>
      </c>
      <c r="E33" s="194">
        <f t="shared" si="13"/>
        <v>1085.1969999999999</v>
      </c>
      <c r="F33" s="193">
        <f t="shared" si="13"/>
        <v>1204.625</v>
      </c>
      <c r="G33" s="193">
        <f t="shared" si="13"/>
        <v>1164.163</v>
      </c>
      <c r="H33" s="193">
        <f t="shared" si="13"/>
        <v>1161.885</v>
      </c>
      <c r="I33" s="193">
        <f t="shared" si="13"/>
        <v>1220.3850000000002</v>
      </c>
      <c r="J33" s="274">
        <f t="shared" si="13"/>
        <v>1396.8419999999999</v>
      </c>
      <c r="K33" s="193">
        <f t="shared" si="13"/>
        <v>4435.3</v>
      </c>
      <c r="L33" s="193">
        <f t="shared" si="13"/>
        <v>3899.7999999999997</v>
      </c>
      <c r="M33" s="194">
        <f t="shared" ref="M33:R33" si="14">SUM(M21:M32)-M29</f>
        <v>3982.6</v>
      </c>
      <c r="N33" s="193">
        <f t="shared" si="14"/>
        <v>3956.9</v>
      </c>
      <c r="O33" s="193">
        <f t="shared" si="14"/>
        <v>4274.2</v>
      </c>
      <c r="P33" s="193">
        <f t="shared" si="14"/>
        <v>3747.2000000000003</v>
      </c>
      <c r="Q33" s="194">
        <f t="shared" si="14"/>
        <v>4228.8999999999987</v>
      </c>
      <c r="R33" s="193">
        <f t="shared" si="14"/>
        <v>3866.0000000000005</v>
      </c>
      <c r="S33" s="193">
        <f t="shared" ref="S33" si="15">SUM(S21:S32)-S29</f>
        <v>3203.3</v>
      </c>
      <c r="T33" s="193">
        <f t="shared" ref="T33" si="16">SUM(T21:T32)-T29</f>
        <v>3445.5000000000005</v>
      </c>
      <c r="U33" s="194">
        <f t="shared" ref="U33" si="17">SUM(U21:U32)-U29</f>
        <v>3770.3999999999992</v>
      </c>
      <c r="V33" s="312">
        <f t="shared" ref="V33:W33" si="18">SUM(V21:V32)-V29</f>
        <v>3911.1000000000004</v>
      </c>
      <c r="W33" s="312">
        <f t="shared" si="18"/>
        <v>3862.9</v>
      </c>
      <c r="X33" s="312">
        <f t="shared" ref="X33:AG33" si="19">SUM(X21:X32)-X29</f>
        <v>3676.6</v>
      </c>
      <c r="Y33" s="313">
        <f t="shared" si="19"/>
        <v>3931.5</v>
      </c>
      <c r="Z33" s="312">
        <f t="shared" si="19"/>
        <v>4363.8</v>
      </c>
      <c r="AA33" s="312">
        <f t="shared" si="19"/>
        <v>4827.2</v>
      </c>
      <c r="AB33" s="312">
        <f t="shared" si="19"/>
        <v>5300.0000000000009</v>
      </c>
      <c r="AC33" s="313">
        <f t="shared" ref="AC33" si="20">SUM(AC21:AC32)-AC29</f>
        <v>5422.7</v>
      </c>
      <c r="AD33" s="312">
        <f t="shared" si="19"/>
        <v>4952.3000000000011</v>
      </c>
      <c r="AE33" s="312">
        <f t="shared" si="19"/>
        <v>4886.0999999999985</v>
      </c>
      <c r="AF33" s="312">
        <f t="shared" si="19"/>
        <v>0</v>
      </c>
      <c r="AG33" s="313">
        <f t="shared" si="19"/>
        <v>0</v>
      </c>
    </row>
    <row r="34" spans="1:33" s="159" customFormat="1" ht="24.95" customHeight="1" thickBot="1">
      <c r="A34" s="165" t="s">
        <v>105</v>
      </c>
      <c r="B34" s="198">
        <f t="shared" ref="B34:P34" si="21">B20+B33</f>
        <v>5502.7539999999999</v>
      </c>
      <c r="C34" s="198">
        <f t="shared" si="21"/>
        <v>5597.8010000000004</v>
      </c>
      <c r="D34" s="198">
        <f t="shared" si="21"/>
        <v>5514.8739999999998</v>
      </c>
      <c r="E34" s="199">
        <f t="shared" si="21"/>
        <v>5561.3450000000003</v>
      </c>
      <c r="F34" s="198">
        <f t="shared" si="21"/>
        <v>5629.4740000000011</v>
      </c>
      <c r="G34" s="198">
        <f t="shared" si="21"/>
        <v>5592.7070000000003</v>
      </c>
      <c r="H34" s="198">
        <f t="shared" si="21"/>
        <v>5597.9810000000007</v>
      </c>
      <c r="I34" s="277">
        <f t="shared" si="21"/>
        <v>5676.2300000000005</v>
      </c>
      <c r="J34" s="278">
        <f t="shared" si="21"/>
        <v>5851.1940000000004</v>
      </c>
      <c r="K34" s="198">
        <f t="shared" si="21"/>
        <v>27827.1</v>
      </c>
      <c r="L34" s="198">
        <f t="shared" si="21"/>
        <v>27481.199999999997</v>
      </c>
      <c r="M34" s="199">
        <f t="shared" si="21"/>
        <v>27338.699999999997</v>
      </c>
      <c r="N34" s="198">
        <f t="shared" si="21"/>
        <v>27088.9</v>
      </c>
      <c r="O34" s="198">
        <f t="shared" si="21"/>
        <v>27141.8</v>
      </c>
      <c r="P34" s="198">
        <f t="shared" si="21"/>
        <v>26143.5</v>
      </c>
      <c r="Q34" s="200">
        <f t="shared" ref="Q34:R34" si="22">Q20+Q33</f>
        <v>26490.099999999995</v>
      </c>
      <c r="R34" s="198">
        <f t="shared" si="22"/>
        <v>28355.499999999996</v>
      </c>
      <c r="S34" s="198">
        <f t="shared" ref="S34" si="23">S20+S33</f>
        <v>27581.1</v>
      </c>
      <c r="T34" s="198">
        <f t="shared" ref="T34:V34" si="24">T20+T33</f>
        <v>27493.100000000002</v>
      </c>
      <c r="U34" s="200">
        <f t="shared" si="24"/>
        <v>27729.299999999996</v>
      </c>
      <c r="V34" s="315">
        <f t="shared" si="24"/>
        <v>27553.199999999997</v>
      </c>
      <c r="W34" s="315">
        <f t="shared" ref="W34:X34" si="25">W20+W33</f>
        <v>27317.5</v>
      </c>
      <c r="X34" s="315">
        <f t="shared" si="25"/>
        <v>26892.599999999995</v>
      </c>
      <c r="Y34" s="316">
        <f t="shared" ref="Y34:AG34" si="26">Y20+Y33</f>
        <v>27756</v>
      </c>
      <c r="Z34" s="315">
        <f t="shared" si="26"/>
        <v>27894.399999999998</v>
      </c>
      <c r="AA34" s="315">
        <f t="shared" si="26"/>
        <v>29751.599999999999</v>
      </c>
      <c r="AB34" s="315">
        <f t="shared" si="26"/>
        <v>30395.3</v>
      </c>
      <c r="AC34" s="316">
        <f t="shared" ref="AC34" si="27">AC20+AC33</f>
        <v>30696.799999999999</v>
      </c>
      <c r="AD34" s="315">
        <f t="shared" si="26"/>
        <v>31463.800000000003</v>
      </c>
      <c r="AE34" s="315">
        <f t="shared" si="26"/>
        <v>31359.200000000001</v>
      </c>
      <c r="AF34" s="315">
        <f t="shared" si="26"/>
        <v>0</v>
      </c>
      <c r="AG34" s="316">
        <f t="shared" si="26"/>
        <v>0</v>
      </c>
    </row>
    <row r="35" spans="1:33" s="359" customFormat="1" ht="33.75" customHeight="1" thickBot="1">
      <c r="A35" s="353" t="s">
        <v>106</v>
      </c>
      <c r="B35" s="354"/>
      <c r="C35" s="354"/>
      <c r="D35" s="354"/>
      <c r="E35" s="354"/>
      <c r="F35" s="354"/>
      <c r="G35" s="354"/>
      <c r="H35" s="354"/>
      <c r="I35" s="354"/>
      <c r="J35" s="354"/>
      <c r="K35" s="355"/>
      <c r="L35" s="355"/>
      <c r="M35" s="356"/>
      <c r="N35" s="356"/>
      <c r="O35" s="356"/>
      <c r="P35" s="355"/>
      <c r="Q35" s="356"/>
      <c r="R35" s="356"/>
      <c r="S35" s="356"/>
      <c r="T35" s="356"/>
      <c r="U35" s="356"/>
      <c r="V35" s="357"/>
      <c r="W35" s="357"/>
      <c r="X35" s="357"/>
      <c r="Y35" s="363"/>
      <c r="Z35" s="357"/>
      <c r="AA35" s="357"/>
      <c r="AB35" s="357"/>
      <c r="AC35" s="363"/>
      <c r="AD35" s="357"/>
      <c r="AE35" s="357"/>
      <c r="AF35" s="357"/>
      <c r="AG35" s="363"/>
    </row>
    <row r="36" spans="1:33" s="159" customFormat="1" ht="20.100000000000001" customHeight="1">
      <c r="A36" s="152" t="s">
        <v>107</v>
      </c>
      <c r="B36" s="279">
        <f>13.934</f>
        <v>13.933999999999999</v>
      </c>
      <c r="C36" s="279">
        <f t="shared" ref="C36:J36" si="28">(13934)*0.001</f>
        <v>13.934000000000001</v>
      </c>
      <c r="D36" s="279">
        <f t="shared" si="28"/>
        <v>13.934000000000001</v>
      </c>
      <c r="E36" s="280">
        <f t="shared" si="28"/>
        <v>13.934000000000001</v>
      </c>
      <c r="F36" s="279">
        <f t="shared" si="28"/>
        <v>13.934000000000001</v>
      </c>
      <c r="G36" s="279">
        <f t="shared" si="28"/>
        <v>13.934000000000001</v>
      </c>
      <c r="H36" s="279">
        <f t="shared" si="28"/>
        <v>13.934000000000001</v>
      </c>
      <c r="I36" s="281">
        <f t="shared" si="28"/>
        <v>13.934000000000001</v>
      </c>
      <c r="J36" s="282">
        <f t="shared" si="28"/>
        <v>13.934000000000001</v>
      </c>
      <c r="K36" s="195">
        <v>25.6</v>
      </c>
      <c r="L36" s="195">
        <v>25.6</v>
      </c>
      <c r="M36" s="196">
        <v>25.6</v>
      </c>
      <c r="N36" s="195">
        <v>25.6</v>
      </c>
      <c r="O36" s="195">
        <v>25.6</v>
      </c>
      <c r="P36" s="195">
        <v>25.6</v>
      </c>
      <c r="Q36" s="196">
        <v>25.6</v>
      </c>
      <c r="R36" s="195">
        <v>25.6</v>
      </c>
      <c r="S36" s="195">
        <v>25.6</v>
      </c>
      <c r="T36" s="195">
        <v>25.6</v>
      </c>
      <c r="U36" s="196">
        <v>25.6</v>
      </c>
      <c r="V36" s="314">
        <v>25.6</v>
      </c>
      <c r="W36" s="314">
        <v>25.6</v>
      </c>
      <c r="X36" s="314">
        <v>25.6</v>
      </c>
      <c r="Y36" s="317">
        <v>25.6</v>
      </c>
      <c r="Z36" s="314">
        <v>25.6</v>
      </c>
      <c r="AA36" s="314">
        <v>25.6</v>
      </c>
      <c r="AB36" s="306">
        <v>25.6</v>
      </c>
      <c r="AC36" s="317">
        <v>25.6</v>
      </c>
      <c r="AD36" s="314">
        <v>25.6</v>
      </c>
      <c r="AE36" s="314">
        <v>25.6</v>
      </c>
      <c r="AF36" s="306"/>
      <c r="AG36" s="317"/>
    </row>
    <row r="37" spans="1:33" s="159" customFormat="1" ht="20.100000000000001" customHeight="1">
      <c r="A37" s="152" t="s">
        <v>108</v>
      </c>
      <c r="B37" s="202">
        <f>432.265</f>
        <v>432.26499999999999</v>
      </c>
      <c r="C37" s="197">
        <v>0</v>
      </c>
      <c r="D37" s="197">
        <v>0</v>
      </c>
      <c r="E37" s="201">
        <v>0</v>
      </c>
      <c r="F37" s="197">
        <v>0</v>
      </c>
      <c r="G37" s="197">
        <v>0</v>
      </c>
      <c r="H37" s="197">
        <v>0</v>
      </c>
      <c r="I37" s="283">
        <v>0</v>
      </c>
      <c r="J37" s="284">
        <v>0</v>
      </c>
      <c r="K37" s="197">
        <v>0</v>
      </c>
      <c r="L37" s="197">
        <v>0</v>
      </c>
      <c r="M37" s="201">
        <v>0</v>
      </c>
      <c r="N37" s="197">
        <v>0</v>
      </c>
      <c r="O37" s="197">
        <v>0</v>
      </c>
      <c r="P37" s="197">
        <v>0</v>
      </c>
      <c r="Q37" s="187">
        <v>0</v>
      </c>
      <c r="R37" s="197">
        <v>0</v>
      </c>
      <c r="S37" s="197">
        <v>0</v>
      </c>
      <c r="T37" s="197">
        <v>0</v>
      </c>
      <c r="U37" s="187">
        <v>0</v>
      </c>
      <c r="V37" s="318">
        <v>0</v>
      </c>
      <c r="W37" s="318">
        <v>0</v>
      </c>
      <c r="X37" s="318">
        <v>0</v>
      </c>
      <c r="Y37" s="307">
        <v>0</v>
      </c>
      <c r="Z37" s="318">
        <v>0</v>
      </c>
      <c r="AA37" s="318">
        <v>0</v>
      </c>
      <c r="AB37" s="318">
        <v>0</v>
      </c>
      <c r="AC37" s="307">
        <v>0</v>
      </c>
      <c r="AD37" s="318">
        <v>0</v>
      </c>
      <c r="AE37" s="318">
        <v>0</v>
      </c>
      <c r="AF37" s="318"/>
      <c r="AG37" s="307"/>
    </row>
    <row r="38" spans="1:33" s="159" customFormat="1" ht="20.100000000000001" customHeight="1">
      <c r="A38" s="152" t="s">
        <v>109</v>
      </c>
      <c r="B38" s="202">
        <f>1305.277</f>
        <v>1305.277</v>
      </c>
      <c r="C38" s="197">
        <v>0</v>
      </c>
      <c r="D38" s="197">
        <v>0</v>
      </c>
      <c r="E38" s="201">
        <v>0</v>
      </c>
      <c r="F38" s="197">
        <v>0</v>
      </c>
      <c r="G38" s="197">
        <v>0</v>
      </c>
      <c r="H38" s="197">
        <v>0</v>
      </c>
      <c r="I38" s="283">
        <v>0</v>
      </c>
      <c r="J38" s="284">
        <v>0</v>
      </c>
      <c r="K38" s="197">
        <v>0</v>
      </c>
      <c r="L38" s="197">
        <v>0</v>
      </c>
      <c r="M38" s="201">
        <v>0</v>
      </c>
      <c r="N38" s="197">
        <v>0</v>
      </c>
      <c r="O38" s="197">
        <v>0</v>
      </c>
      <c r="P38" s="197">
        <v>0</v>
      </c>
      <c r="Q38" s="187">
        <v>0</v>
      </c>
      <c r="R38" s="197">
        <v>0</v>
      </c>
      <c r="S38" s="197">
        <v>0</v>
      </c>
      <c r="T38" s="197">
        <v>0</v>
      </c>
      <c r="U38" s="187">
        <v>0</v>
      </c>
      <c r="V38" s="318">
        <v>0</v>
      </c>
      <c r="W38" s="318">
        <v>0</v>
      </c>
      <c r="X38" s="318">
        <v>0</v>
      </c>
      <c r="Y38" s="307">
        <v>0</v>
      </c>
      <c r="Z38" s="318">
        <v>0</v>
      </c>
      <c r="AA38" s="318">
        <v>0</v>
      </c>
      <c r="AB38" s="318">
        <v>0</v>
      </c>
      <c r="AC38" s="307">
        <v>0</v>
      </c>
      <c r="AD38" s="318">
        <v>0</v>
      </c>
      <c r="AE38" s="318">
        <v>0</v>
      </c>
      <c r="AF38" s="318"/>
      <c r="AG38" s="307"/>
    </row>
    <row r="39" spans="1:33" s="159" customFormat="1" ht="20.100000000000001" customHeight="1">
      <c r="A39" s="152" t="s">
        <v>192</v>
      </c>
      <c r="B39" s="197">
        <v>0</v>
      </c>
      <c r="C39" s="202">
        <f t="shared" ref="C39:J39" si="29">(1295103)*0.001</f>
        <v>1295.1030000000001</v>
      </c>
      <c r="D39" s="202">
        <f t="shared" si="29"/>
        <v>1295.1030000000001</v>
      </c>
      <c r="E39" s="203">
        <f t="shared" si="29"/>
        <v>1295.1030000000001</v>
      </c>
      <c r="F39" s="202">
        <f t="shared" si="29"/>
        <v>1295.1030000000001</v>
      </c>
      <c r="G39" s="202">
        <f t="shared" si="29"/>
        <v>1295.1030000000001</v>
      </c>
      <c r="H39" s="202">
        <f t="shared" si="29"/>
        <v>1295.1030000000001</v>
      </c>
      <c r="I39" s="203">
        <f t="shared" si="29"/>
        <v>1295.1030000000001</v>
      </c>
      <c r="J39" s="202">
        <f t="shared" si="29"/>
        <v>1295.1030000000001</v>
      </c>
      <c r="K39" s="202">
        <v>7237.5</v>
      </c>
      <c r="L39" s="202">
        <v>7237.5</v>
      </c>
      <c r="M39" s="187">
        <v>7174</v>
      </c>
      <c r="N39" s="186">
        <v>7237.4</v>
      </c>
      <c r="O39" s="186">
        <v>7174</v>
      </c>
      <c r="P39" s="186">
        <v>7174</v>
      </c>
      <c r="Q39" s="187">
        <v>7174</v>
      </c>
      <c r="R39" s="186">
        <v>7174</v>
      </c>
      <c r="S39" s="186">
        <v>7174</v>
      </c>
      <c r="T39" s="186">
        <v>7174</v>
      </c>
      <c r="U39" s="187">
        <v>7174</v>
      </c>
      <c r="V39" s="306">
        <v>7174</v>
      </c>
      <c r="W39" s="306">
        <v>7174</v>
      </c>
      <c r="X39" s="306">
        <v>7174</v>
      </c>
      <c r="Y39" s="307">
        <v>7174</v>
      </c>
      <c r="Z39" s="306">
        <v>7174</v>
      </c>
      <c r="AA39" s="306">
        <v>7174</v>
      </c>
      <c r="AB39" s="306">
        <v>7174</v>
      </c>
      <c r="AC39" s="307">
        <v>7174</v>
      </c>
      <c r="AD39" s="306">
        <v>7174</v>
      </c>
      <c r="AE39" s="306">
        <v>7174</v>
      </c>
      <c r="AF39" s="306"/>
      <c r="AG39" s="307"/>
    </row>
    <row r="40" spans="1:33" s="159" customFormat="1" ht="20.100000000000001" customHeight="1">
      <c r="A40" s="152" t="s">
        <v>110</v>
      </c>
      <c r="B40" s="202">
        <f>-3.17</f>
        <v>-3.17</v>
      </c>
      <c r="C40" s="197">
        <v>0</v>
      </c>
      <c r="D40" s="197">
        <v>0</v>
      </c>
      <c r="E40" s="201">
        <v>0</v>
      </c>
      <c r="F40" s="197">
        <v>0</v>
      </c>
      <c r="G40" s="197">
        <v>0</v>
      </c>
      <c r="H40" s="197">
        <v>0</v>
      </c>
      <c r="I40" s="283">
        <v>0</v>
      </c>
      <c r="J40" s="284">
        <v>0</v>
      </c>
      <c r="K40" s="197">
        <v>0</v>
      </c>
      <c r="L40" s="197">
        <v>0</v>
      </c>
      <c r="M40" s="201">
        <v>0</v>
      </c>
      <c r="N40" s="197">
        <v>0</v>
      </c>
      <c r="O40" s="197">
        <v>0</v>
      </c>
      <c r="P40" s="197">
        <v>0</v>
      </c>
      <c r="Q40" s="187">
        <v>0</v>
      </c>
      <c r="R40" s="197">
        <v>0</v>
      </c>
      <c r="S40" s="197">
        <v>0</v>
      </c>
      <c r="T40" s="197">
        <v>0</v>
      </c>
      <c r="U40" s="187">
        <v>0</v>
      </c>
      <c r="V40" s="318">
        <v>0</v>
      </c>
      <c r="W40" s="318">
        <v>0</v>
      </c>
      <c r="X40" s="318">
        <v>0</v>
      </c>
      <c r="Y40" s="307">
        <v>0</v>
      </c>
      <c r="Z40" s="318">
        <v>0</v>
      </c>
      <c r="AA40" s="318">
        <v>0</v>
      </c>
      <c r="AB40" s="318">
        <v>0</v>
      </c>
      <c r="AC40" s="307">
        <v>0</v>
      </c>
      <c r="AD40" s="318">
        <v>0</v>
      </c>
      <c r="AE40" s="318">
        <v>0</v>
      </c>
      <c r="AF40" s="318"/>
      <c r="AG40" s="307"/>
    </row>
    <row r="41" spans="1:33" s="159" customFormat="1" ht="20.100000000000001" customHeight="1">
      <c r="A41" s="152" t="s">
        <v>111</v>
      </c>
      <c r="B41" s="202">
        <f>2.396</f>
        <v>2.3959999999999999</v>
      </c>
      <c r="C41" s="197">
        <v>0</v>
      </c>
      <c r="D41" s="197">
        <v>0</v>
      </c>
      <c r="E41" s="201">
        <v>0</v>
      </c>
      <c r="F41" s="197">
        <v>0</v>
      </c>
      <c r="G41" s="197">
        <v>0</v>
      </c>
      <c r="H41" s="197">
        <v>0</v>
      </c>
      <c r="I41" s="283">
        <v>0</v>
      </c>
      <c r="J41" s="284">
        <v>0</v>
      </c>
      <c r="K41" s="197">
        <v>0</v>
      </c>
      <c r="L41" s="197">
        <v>0</v>
      </c>
      <c r="M41" s="201">
        <v>0</v>
      </c>
      <c r="N41" s="197">
        <v>0</v>
      </c>
      <c r="O41" s="197">
        <v>0</v>
      </c>
      <c r="P41" s="197">
        <v>0</v>
      </c>
      <c r="Q41" s="187">
        <v>0</v>
      </c>
      <c r="R41" s="197">
        <v>0</v>
      </c>
      <c r="S41" s="197">
        <v>0</v>
      </c>
      <c r="T41" s="197">
        <v>0</v>
      </c>
      <c r="U41" s="187">
        <v>0</v>
      </c>
      <c r="V41" s="318">
        <v>0</v>
      </c>
      <c r="W41" s="318">
        <v>0</v>
      </c>
      <c r="X41" s="318">
        <v>0</v>
      </c>
      <c r="Y41" s="307">
        <v>0</v>
      </c>
      <c r="Z41" s="318">
        <v>0</v>
      </c>
      <c r="AA41" s="318">
        <v>0</v>
      </c>
      <c r="AB41" s="318">
        <v>0</v>
      </c>
      <c r="AC41" s="307">
        <v>0</v>
      </c>
      <c r="AD41" s="318">
        <v>0</v>
      </c>
      <c r="AE41" s="318">
        <v>0</v>
      </c>
      <c r="AF41" s="318"/>
      <c r="AG41" s="307"/>
    </row>
    <row r="42" spans="1:33" s="159" customFormat="1" ht="20.100000000000001" customHeight="1">
      <c r="A42" s="152" t="s">
        <v>109</v>
      </c>
      <c r="B42" s="197">
        <v>0</v>
      </c>
      <c r="C42" s="202">
        <f>(1225)*0.001</f>
        <v>1.2250000000000001</v>
      </c>
      <c r="D42" s="202">
        <f>(-8191)*0.001</f>
        <v>-8.1910000000000007</v>
      </c>
      <c r="E42" s="267">
        <f>(-16327)*0.001</f>
        <v>-16.327000000000002</v>
      </c>
      <c r="F42" s="202">
        <f>(-17667)*0.001</f>
        <v>-17.667000000000002</v>
      </c>
      <c r="G42" s="202">
        <f>(-13285)*0.001</f>
        <v>-13.285</v>
      </c>
      <c r="H42" s="202">
        <f>(-11455)*0.001</f>
        <v>-11.455</v>
      </c>
      <c r="I42" s="268">
        <f>(-8964)*0.001</f>
        <v>-8.9640000000000004</v>
      </c>
      <c r="J42" s="284">
        <v>0</v>
      </c>
      <c r="K42" s="197">
        <v>0</v>
      </c>
      <c r="L42" s="202">
        <v>-9.1999999999999993</v>
      </c>
      <c r="M42" s="187">
        <v>-12.2</v>
      </c>
      <c r="N42" s="202">
        <v>-12.7</v>
      </c>
      <c r="O42" s="202">
        <v>-7.9</v>
      </c>
      <c r="P42" s="202">
        <v>-8.1999999999999993</v>
      </c>
      <c r="Q42" s="203">
        <v>-3.7</v>
      </c>
      <c r="R42" s="202">
        <v>-1.7</v>
      </c>
      <c r="S42" s="202">
        <v>0.1</v>
      </c>
      <c r="T42" s="202">
        <v>2.2000000000000002</v>
      </c>
      <c r="U42" s="203">
        <v>4.5</v>
      </c>
      <c r="V42" s="319">
        <v>3.8</v>
      </c>
      <c r="W42" s="319">
        <v>3.6</v>
      </c>
      <c r="X42" s="319">
        <v>3.5</v>
      </c>
      <c r="Y42" s="307">
        <v>3.2</v>
      </c>
      <c r="Z42" s="319">
        <v>2.8</v>
      </c>
      <c r="AA42" s="319">
        <v>-204.3</v>
      </c>
      <c r="AB42" s="306">
        <v>-204.1</v>
      </c>
      <c r="AC42" s="307">
        <v>-162.5</v>
      </c>
      <c r="AD42" s="319">
        <v>-162.4</v>
      </c>
      <c r="AE42" s="319">
        <v>3.3</v>
      </c>
      <c r="AF42" s="306"/>
      <c r="AG42" s="307"/>
    </row>
    <row r="43" spans="1:33" s="159" customFormat="1" ht="20.100000000000001" customHeight="1" thickBot="1">
      <c r="A43" s="152" t="s">
        <v>112</v>
      </c>
      <c r="B43" s="202">
        <f>340.065</f>
        <v>340.065</v>
      </c>
      <c r="C43" s="202">
        <f>(882007)*0.001</f>
        <v>882.00700000000006</v>
      </c>
      <c r="D43" s="202">
        <f>(1054069)*0.001</f>
        <v>1054.069</v>
      </c>
      <c r="E43" s="203">
        <f>(1175693)*0.001</f>
        <v>1175.693</v>
      </c>
      <c r="F43" s="202">
        <f>(1270798)*0.001</f>
        <v>1270.798</v>
      </c>
      <c r="G43" s="202">
        <f>(1351543)*0.001</f>
        <v>1351.5430000000001</v>
      </c>
      <c r="H43" s="202">
        <f>(1527994)*0.001</f>
        <v>1527.9940000000001</v>
      </c>
      <c r="I43" s="203">
        <f>(1701138)*0.001</f>
        <v>1701.1380000000001</v>
      </c>
      <c r="J43" s="202">
        <f>(1799310)*0.001</f>
        <v>1799.31</v>
      </c>
      <c r="K43" s="202">
        <v>1828.6</v>
      </c>
      <c r="L43" s="202">
        <v>1876.8</v>
      </c>
      <c r="M43" s="187">
        <v>1890.8</v>
      </c>
      <c r="N43" s="202">
        <v>2061.6</v>
      </c>
      <c r="O43" s="202">
        <v>2366.1</v>
      </c>
      <c r="P43" s="202">
        <v>2868.6</v>
      </c>
      <c r="Q43" s="203">
        <v>3054.2</v>
      </c>
      <c r="R43" s="202">
        <v>3229.7</v>
      </c>
      <c r="S43" s="202">
        <v>3467.4</v>
      </c>
      <c r="T43" s="202">
        <v>3745.6</v>
      </c>
      <c r="U43" s="203">
        <v>4095.5</v>
      </c>
      <c r="V43" s="319">
        <v>4374.8999999999996</v>
      </c>
      <c r="W43" s="319">
        <v>4461.3999999999996</v>
      </c>
      <c r="X43" s="319">
        <v>4704.3</v>
      </c>
      <c r="Y43" s="307">
        <v>4871.3999999999996</v>
      </c>
      <c r="Z43" s="319">
        <v>5668.6</v>
      </c>
      <c r="AA43" s="319">
        <v>5904.4</v>
      </c>
      <c r="AB43" s="306">
        <v>6130.5</v>
      </c>
      <c r="AC43" s="307">
        <v>6189.9</v>
      </c>
      <c r="AD43" s="319">
        <v>6481.8</v>
      </c>
      <c r="AE43" s="319">
        <v>6065.1</v>
      </c>
      <c r="AF43" s="306"/>
      <c r="AG43" s="307"/>
    </row>
    <row r="44" spans="1:33" s="164" customFormat="1" ht="24.95" customHeight="1" thickBot="1">
      <c r="A44" s="14" t="s">
        <v>113</v>
      </c>
      <c r="B44" s="193">
        <f t="shared" ref="B44:C44" si="30">SUM(B36:B43)</f>
        <v>2090.7669999999998</v>
      </c>
      <c r="C44" s="193">
        <f t="shared" si="30"/>
        <v>2192.2690000000002</v>
      </c>
      <c r="D44" s="193">
        <f t="shared" ref="D44:H44" si="31">SUM(D36:D43)</f>
        <v>2354.915</v>
      </c>
      <c r="E44" s="194">
        <f t="shared" si="31"/>
        <v>2468.4030000000002</v>
      </c>
      <c r="F44" s="193">
        <f t="shared" si="31"/>
        <v>2562.1680000000001</v>
      </c>
      <c r="G44" s="193">
        <f t="shared" si="31"/>
        <v>2647.2950000000001</v>
      </c>
      <c r="H44" s="193">
        <f t="shared" si="31"/>
        <v>2825.576</v>
      </c>
      <c r="I44" s="193">
        <f t="shared" ref="I44:J44" si="32">SUM(I36:I43)</f>
        <v>3001.2110000000002</v>
      </c>
      <c r="J44" s="274">
        <f t="shared" si="32"/>
        <v>3108.3469999999998</v>
      </c>
      <c r="K44" s="193">
        <f t="shared" ref="K44:Q44" si="33">SUM(K36:K43)</f>
        <v>9091.7000000000007</v>
      </c>
      <c r="L44" s="193">
        <f t="shared" si="33"/>
        <v>9130.7000000000007</v>
      </c>
      <c r="M44" s="194">
        <f t="shared" si="33"/>
        <v>9078.2000000000007</v>
      </c>
      <c r="N44" s="193">
        <f t="shared" si="33"/>
        <v>9311.9</v>
      </c>
      <c r="O44" s="193">
        <f t="shared" si="33"/>
        <v>9557.8000000000011</v>
      </c>
      <c r="P44" s="193">
        <f t="shared" si="33"/>
        <v>10060</v>
      </c>
      <c r="Q44" s="194">
        <f t="shared" si="33"/>
        <v>10250.1</v>
      </c>
      <c r="R44" s="193">
        <f t="shared" ref="R44:Y44" si="34">SUM(R36:R43)</f>
        <v>10427.6</v>
      </c>
      <c r="S44" s="193">
        <f t="shared" si="34"/>
        <v>10667.1</v>
      </c>
      <c r="T44" s="193">
        <f t="shared" si="34"/>
        <v>10947.4</v>
      </c>
      <c r="U44" s="194">
        <f t="shared" si="34"/>
        <v>11299.6</v>
      </c>
      <c r="V44" s="312">
        <f t="shared" si="34"/>
        <v>11578.3</v>
      </c>
      <c r="W44" s="312">
        <f t="shared" si="34"/>
        <v>11664.6</v>
      </c>
      <c r="X44" s="312">
        <f t="shared" si="34"/>
        <v>11907.400000000001</v>
      </c>
      <c r="Y44" s="290">
        <f t="shared" si="34"/>
        <v>12074.2</v>
      </c>
      <c r="Z44" s="312">
        <f t="shared" ref="Z44:AG44" si="35">SUM(Z36:Z43)</f>
        <v>12871</v>
      </c>
      <c r="AA44" s="312">
        <f t="shared" si="35"/>
        <v>12899.7</v>
      </c>
      <c r="AB44" s="312">
        <f t="shared" si="35"/>
        <v>13126</v>
      </c>
      <c r="AC44" s="290">
        <f t="shared" si="35"/>
        <v>13227</v>
      </c>
      <c r="AD44" s="312">
        <f t="shared" si="35"/>
        <v>13519</v>
      </c>
      <c r="AE44" s="312">
        <f t="shared" si="35"/>
        <v>13268</v>
      </c>
      <c r="AF44" s="312">
        <f t="shared" si="35"/>
        <v>0</v>
      </c>
      <c r="AG44" s="290">
        <f t="shared" si="35"/>
        <v>0</v>
      </c>
    </row>
    <row r="45" spans="1:33" s="164" customFormat="1" ht="20.100000000000001" customHeight="1" thickBot="1">
      <c r="A45" s="166" t="s">
        <v>114</v>
      </c>
      <c r="B45" s="197">
        <v>0</v>
      </c>
      <c r="C45" s="197">
        <v>0</v>
      </c>
      <c r="D45" s="197">
        <v>0</v>
      </c>
      <c r="E45" s="201">
        <v>0</v>
      </c>
      <c r="F45" s="197">
        <v>0</v>
      </c>
      <c r="G45" s="197">
        <v>0</v>
      </c>
      <c r="H45" s="207">
        <f>2/1000</f>
        <v>2E-3</v>
      </c>
      <c r="I45" s="208">
        <f>2/1000</f>
        <v>2E-3</v>
      </c>
      <c r="J45" s="209">
        <f>2/1000</f>
        <v>2E-3</v>
      </c>
      <c r="K45" s="204">
        <v>0</v>
      </c>
      <c r="L45" s="204">
        <v>0</v>
      </c>
      <c r="M45" s="201">
        <v>0</v>
      </c>
      <c r="N45" s="204">
        <v>0</v>
      </c>
      <c r="O45" s="204">
        <v>0</v>
      </c>
      <c r="P45" s="204">
        <v>0</v>
      </c>
      <c r="Q45" s="203">
        <v>0</v>
      </c>
      <c r="R45" s="204">
        <v>-22.4</v>
      </c>
      <c r="S45" s="204">
        <v>94.5</v>
      </c>
      <c r="T45" s="204">
        <v>86.1</v>
      </c>
      <c r="U45" s="203">
        <v>78</v>
      </c>
      <c r="V45" s="320">
        <v>70</v>
      </c>
      <c r="W45" s="320">
        <v>60.5</v>
      </c>
      <c r="X45" s="320">
        <v>52.5</v>
      </c>
      <c r="Y45" s="338">
        <v>42.6</v>
      </c>
      <c r="Z45" s="320">
        <v>34</v>
      </c>
      <c r="AA45" s="320">
        <v>554.29999999999995</v>
      </c>
      <c r="AB45" s="320">
        <v>555.29999999999995</v>
      </c>
      <c r="AC45" s="338">
        <v>648.20000000000005</v>
      </c>
      <c r="AD45" s="320">
        <v>653.6</v>
      </c>
      <c r="AE45" s="320">
        <v>650.5</v>
      </c>
      <c r="AF45" s="320"/>
      <c r="AG45" s="338"/>
    </row>
    <row r="46" spans="1:33" s="164" customFormat="1" ht="24.95" customHeight="1" thickBot="1">
      <c r="A46" s="14" t="s">
        <v>115</v>
      </c>
      <c r="B46" s="193">
        <f t="shared" ref="B46" si="36">B44+B45</f>
        <v>2090.7669999999998</v>
      </c>
      <c r="C46" s="193">
        <f t="shared" ref="C46" si="37">C44+C45</f>
        <v>2192.2690000000002</v>
      </c>
      <c r="D46" s="193">
        <f t="shared" ref="D46" si="38">D44+D45</f>
        <v>2354.915</v>
      </c>
      <c r="E46" s="194">
        <f t="shared" ref="E46:G46" si="39">E44</f>
        <v>2468.4030000000002</v>
      </c>
      <c r="F46" s="193">
        <f t="shared" si="39"/>
        <v>2562.1680000000001</v>
      </c>
      <c r="G46" s="193">
        <f t="shared" si="39"/>
        <v>2647.2950000000001</v>
      </c>
      <c r="H46" s="193">
        <f>SUM(H44:H45)</f>
        <v>2825.578</v>
      </c>
      <c r="I46" s="193">
        <f t="shared" ref="I46:O46" si="40">I44+I45</f>
        <v>3001.2130000000002</v>
      </c>
      <c r="J46" s="274">
        <f t="shared" si="40"/>
        <v>3108.3489999999997</v>
      </c>
      <c r="K46" s="193">
        <f t="shared" si="40"/>
        <v>9091.7000000000007</v>
      </c>
      <c r="L46" s="193">
        <f t="shared" si="40"/>
        <v>9130.7000000000007</v>
      </c>
      <c r="M46" s="194">
        <f t="shared" si="40"/>
        <v>9078.2000000000007</v>
      </c>
      <c r="N46" s="193">
        <f t="shared" si="40"/>
        <v>9311.9</v>
      </c>
      <c r="O46" s="193">
        <f t="shared" si="40"/>
        <v>9557.8000000000011</v>
      </c>
      <c r="P46" s="193">
        <f t="shared" ref="P46:R46" si="41">P44+P45</f>
        <v>10060</v>
      </c>
      <c r="Q46" s="194">
        <f t="shared" si="41"/>
        <v>10250.1</v>
      </c>
      <c r="R46" s="193">
        <f t="shared" si="41"/>
        <v>10405.200000000001</v>
      </c>
      <c r="S46" s="193">
        <f t="shared" ref="S46:Y46" si="42">S44+S45</f>
        <v>10761.6</v>
      </c>
      <c r="T46" s="193">
        <f t="shared" si="42"/>
        <v>11033.5</v>
      </c>
      <c r="U46" s="194">
        <f t="shared" si="42"/>
        <v>11377.6</v>
      </c>
      <c r="V46" s="312">
        <f t="shared" si="42"/>
        <v>11648.3</v>
      </c>
      <c r="W46" s="312">
        <f t="shared" si="42"/>
        <v>11725.1</v>
      </c>
      <c r="X46" s="312">
        <f t="shared" si="42"/>
        <v>11959.900000000001</v>
      </c>
      <c r="Y46" s="290">
        <f t="shared" si="42"/>
        <v>12116.800000000001</v>
      </c>
      <c r="Z46" s="312">
        <f t="shared" ref="Z46:AG46" si="43">Z44+Z45</f>
        <v>12905</v>
      </c>
      <c r="AA46" s="312">
        <f t="shared" si="43"/>
        <v>13454</v>
      </c>
      <c r="AB46" s="312">
        <f t="shared" si="43"/>
        <v>13681.3</v>
      </c>
      <c r="AC46" s="290">
        <f t="shared" si="43"/>
        <v>13875.2</v>
      </c>
      <c r="AD46" s="312">
        <f t="shared" si="43"/>
        <v>14172.6</v>
      </c>
      <c r="AE46" s="312">
        <f t="shared" si="43"/>
        <v>13918.5</v>
      </c>
      <c r="AF46" s="312">
        <f t="shared" si="43"/>
        <v>0</v>
      </c>
      <c r="AG46" s="290">
        <f t="shared" si="43"/>
        <v>0</v>
      </c>
    </row>
    <row r="47" spans="1:33" s="159" customFormat="1" ht="20.100000000000001" customHeight="1">
      <c r="A47" s="152" t="s">
        <v>116</v>
      </c>
      <c r="B47" s="202">
        <f>932.068</f>
        <v>932.06799999999998</v>
      </c>
      <c r="C47" s="202">
        <f>(889155)*0.001</f>
        <v>889.15499999999997</v>
      </c>
      <c r="D47" s="202">
        <f>(680371)*0.001</f>
        <v>680.37099999999998</v>
      </c>
      <c r="E47" s="267">
        <f>(592003)*0.001</f>
        <v>592.00300000000004</v>
      </c>
      <c r="F47" s="202">
        <f>(572819)*0.001</f>
        <v>572.81899999999996</v>
      </c>
      <c r="G47" s="202">
        <f>(422858)*0.001</f>
        <v>422.858</v>
      </c>
      <c r="H47" s="202">
        <f>(329798)*0.001</f>
        <v>329.798</v>
      </c>
      <c r="I47" s="268">
        <f>(239889)*0.001</f>
        <v>239.88900000000001</v>
      </c>
      <c r="J47" s="269">
        <f>(236277)*0.001</f>
        <v>236.27700000000002</v>
      </c>
      <c r="K47" s="186">
        <v>8446.1</v>
      </c>
      <c r="L47" s="186">
        <v>7976.3</v>
      </c>
      <c r="M47" s="187">
        <v>7683.5</v>
      </c>
      <c r="N47" s="202">
        <v>7357.9</v>
      </c>
      <c r="O47" s="202">
        <v>7034.6</v>
      </c>
      <c r="P47" s="186">
        <v>5644.9</v>
      </c>
      <c r="Q47" s="203">
        <v>5379.8</v>
      </c>
      <c r="R47" s="202">
        <v>9982.1</v>
      </c>
      <c r="S47" s="202">
        <v>9752</v>
      </c>
      <c r="T47" s="202">
        <v>9530.2999999999993</v>
      </c>
      <c r="U47" s="203">
        <v>9302.7000000000007</v>
      </c>
      <c r="V47" s="319">
        <v>9056</v>
      </c>
      <c r="W47" s="319">
        <v>8808.6</v>
      </c>
      <c r="X47" s="319">
        <v>8561.9</v>
      </c>
      <c r="Y47" s="203">
        <v>9291.4</v>
      </c>
      <c r="Z47" s="319">
        <v>9474.7000000000007</v>
      </c>
      <c r="AA47" s="319">
        <v>9139.4</v>
      </c>
      <c r="AB47" s="306">
        <v>9043.7999999999993</v>
      </c>
      <c r="AC47" s="203">
        <v>8605.2999999999993</v>
      </c>
      <c r="AD47" s="319">
        <v>8339.7999999999993</v>
      </c>
      <c r="AE47" s="319">
        <v>8100.2</v>
      </c>
      <c r="AF47" s="306"/>
      <c r="AG47" s="203"/>
    </row>
    <row r="48" spans="1:33" s="159" customFormat="1" ht="20.100000000000001" customHeight="1">
      <c r="A48" s="152" t="s">
        <v>117</v>
      </c>
      <c r="B48" s="202">
        <f>1360.637</f>
        <v>1360.6369999999999</v>
      </c>
      <c r="C48" s="202">
        <f>(1369593)*0.001</f>
        <v>1369.5930000000001</v>
      </c>
      <c r="D48" s="202">
        <f>(1347224)*0.001</f>
        <v>1347.2239999999999</v>
      </c>
      <c r="E48" s="203">
        <f>(1316479)*0.001</f>
        <v>1316.479</v>
      </c>
      <c r="F48" s="202">
        <f>(1370119)*0.001</f>
        <v>1370.1190000000001</v>
      </c>
      <c r="G48" s="202">
        <f>(1395972)*0.001</f>
        <v>1395.972</v>
      </c>
      <c r="H48" s="202">
        <f>(1385314)*0.001</f>
        <v>1385.3140000000001</v>
      </c>
      <c r="I48" s="203">
        <f>(1340010)*0.001</f>
        <v>1340.01</v>
      </c>
      <c r="J48" s="202">
        <f>(1396071)*0.001</f>
        <v>1396.0710000000001</v>
      </c>
      <c r="K48" s="186">
        <v>4286.8999999999996</v>
      </c>
      <c r="L48" s="186">
        <v>4302.1000000000004</v>
      </c>
      <c r="M48" s="187">
        <v>4550.2</v>
      </c>
      <c r="N48" s="202">
        <v>4470</v>
      </c>
      <c r="O48" s="202">
        <v>4582.5</v>
      </c>
      <c r="P48" s="186">
        <v>964.4</v>
      </c>
      <c r="Q48" s="203">
        <v>975.3</v>
      </c>
      <c r="R48" s="202">
        <v>2252.6</v>
      </c>
      <c r="S48" s="202">
        <v>1795.1</v>
      </c>
      <c r="T48" s="202">
        <v>1805.1</v>
      </c>
      <c r="U48" s="203">
        <v>1835.7</v>
      </c>
      <c r="V48" s="319">
        <v>964.9</v>
      </c>
      <c r="W48" s="319">
        <v>975.3</v>
      </c>
      <c r="X48" s="319">
        <v>965.2</v>
      </c>
      <c r="Y48" s="203">
        <v>975.7</v>
      </c>
      <c r="Z48" s="319">
        <v>965.2</v>
      </c>
      <c r="AA48" s="319">
        <v>975.5</v>
      </c>
      <c r="AB48" s="306">
        <v>965.6</v>
      </c>
      <c r="AC48" s="203">
        <v>976</v>
      </c>
      <c r="AD48" s="319">
        <v>965.5</v>
      </c>
      <c r="AE48" s="319">
        <v>968.9</v>
      </c>
      <c r="AF48" s="306"/>
      <c r="AG48" s="203"/>
    </row>
    <row r="49" spans="1:33" s="159" customFormat="1" ht="20.100000000000001" customHeight="1">
      <c r="A49" s="635" t="s">
        <v>338</v>
      </c>
      <c r="B49" s="202">
        <f>0.81</f>
        <v>0.81</v>
      </c>
      <c r="C49" s="202">
        <f>(741)*0.001</f>
        <v>0.74099999999999999</v>
      </c>
      <c r="D49" s="202">
        <f>(638)*0.001</f>
        <v>0.63800000000000001</v>
      </c>
      <c r="E49" s="267">
        <f>(551)*0.001</f>
        <v>0.55100000000000005</v>
      </c>
      <c r="F49" s="202">
        <f>(474)*0.001</f>
        <v>0.47400000000000003</v>
      </c>
      <c r="G49" s="202">
        <f>(424)*0.001</f>
        <v>0.42399999999999999</v>
      </c>
      <c r="H49" s="202">
        <f>(306)*0.001</f>
        <v>0.30599999999999999</v>
      </c>
      <c r="I49" s="268">
        <f>(227)*0.001</f>
        <v>0.22700000000000001</v>
      </c>
      <c r="J49" s="269">
        <f>(166)*0.001</f>
        <v>0.16600000000000001</v>
      </c>
      <c r="K49" s="186">
        <v>4.5</v>
      </c>
      <c r="L49" s="186">
        <v>7.9</v>
      </c>
      <c r="M49" s="187">
        <v>11.7</v>
      </c>
      <c r="N49" s="186">
        <v>13.4</v>
      </c>
      <c r="O49" s="186">
        <v>15.7</v>
      </c>
      <c r="P49" s="186">
        <v>21.3</v>
      </c>
      <c r="Q49" s="203">
        <v>20.9</v>
      </c>
      <c r="R49" s="186">
        <v>21.2</v>
      </c>
      <c r="S49" s="186">
        <v>23.3</v>
      </c>
      <c r="T49" s="186">
        <v>22.1</v>
      </c>
      <c r="U49" s="203">
        <v>20.9</v>
      </c>
      <c r="V49" s="306">
        <v>22.6</v>
      </c>
      <c r="W49" s="306">
        <v>21.4</v>
      </c>
      <c r="X49" s="306">
        <v>19.399999999999999</v>
      </c>
      <c r="Y49" s="203">
        <v>18.600000000000001</v>
      </c>
      <c r="Z49" s="306">
        <v>17.3</v>
      </c>
      <c r="AA49" s="306">
        <v>14.6</v>
      </c>
      <c r="AB49" s="306">
        <v>15</v>
      </c>
      <c r="AC49" s="203">
        <v>15.8</v>
      </c>
      <c r="AD49" s="306">
        <v>1070</v>
      </c>
      <c r="AE49" s="306">
        <v>997.6</v>
      </c>
      <c r="AF49" s="306"/>
      <c r="AG49" s="203"/>
    </row>
    <row r="50" spans="1:33" s="159" customFormat="1" ht="20.100000000000001" customHeight="1">
      <c r="A50" s="152" t="s">
        <v>194</v>
      </c>
      <c r="B50" s="188">
        <f>0*($A$75)</f>
        <v>0</v>
      </c>
      <c r="C50" s="188">
        <f>0</f>
        <v>0</v>
      </c>
      <c r="D50" s="188">
        <f>0</f>
        <v>0</v>
      </c>
      <c r="E50" s="275">
        <v>0</v>
      </c>
      <c r="F50" s="188">
        <v>0</v>
      </c>
      <c r="G50" s="188">
        <f>0</f>
        <v>0</v>
      </c>
      <c r="H50" s="188">
        <v>0</v>
      </c>
      <c r="I50" s="276">
        <v>0</v>
      </c>
      <c r="J50" s="271">
        <v>0</v>
      </c>
      <c r="K50" s="186">
        <v>835.8</v>
      </c>
      <c r="L50" s="186">
        <v>730.2</v>
      </c>
      <c r="M50" s="187">
        <v>750.3</v>
      </c>
      <c r="N50" s="186">
        <v>724.4</v>
      </c>
      <c r="O50" s="186">
        <v>747.9</v>
      </c>
      <c r="P50" s="186">
        <v>645.1</v>
      </c>
      <c r="Q50" s="203">
        <v>652.79999999999995</v>
      </c>
      <c r="R50" s="186">
        <v>658</v>
      </c>
      <c r="S50" s="186">
        <v>686.7</v>
      </c>
      <c r="T50" s="186">
        <v>555.79999999999995</v>
      </c>
      <c r="U50" s="203">
        <v>574</v>
      </c>
      <c r="V50" s="306">
        <v>551</v>
      </c>
      <c r="W50" s="306">
        <v>555.4</v>
      </c>
      <c r="X50" s="306">
        <v>452.4</v>
      </c>
      <c r="Y50" s="203">
        <v>440.8</v>
      </c>
      <c r="Z50" s="306">
        <v>447.6</v>
      </c>
      <c r="AA50" s="306">
        <v>466.9</v>
      </c>
      <c r="AB50" s="306">
        <v>343.6</v>
      </c>
      <c r="AC50" s="203">
        <v>348.2</v>
      </c>
      <c r="AD50" s="306">
        <v>350.5</v>
      </c>
      <c r="AE50" s="306">
        <v>348.8</v>
      </c>
      <c r="AF50" s="306"/>
      <c r="AG50" s="203"/>
    </row>
    <row r="51" spans="1:33" s="159" customFormat="1" ht="20.100000000000001" customHeight="1">
      <c r="A51" s="152" t="s">
        <v>118</v>
      </c>
      <c r="B51" s="202">
        <f>87.307</f>
        <v>87.307000000000002</v>
      </c>
      <c r="C51" s="202">
        <f>(88480)*0.001</f>
        <v>88.48</v>
      </c>
      <c r="D51" s="202">
        <f>(97271)*0.001</f>
        <v>97.271000000000001</v>
      </c>
      <c r="E51" s="267">
        <f>(94258)*0.001</f>
        <v>94.257999999999996</v>
      </c>
      <c r="F51" s="202">
        <f>(93487)*0.001</f>
        <v>93.487000000000009</v>
      </c>
      <c r="G51" s="202">
        <f>(93150)*0.001</f>
        <v>93.15</v>
      </c>
      <c r="H51" s="202">
        <f>(98799)*0.001</f>
        <v>98.799000000000007</v>
      </c>
      <c r="I51" s="268">
        <f>(108066)*0.001</f>
        <v>108.066</v>
      </c>
      <c r="J51" s="269">
        <f>(95950)*0.001</f>
        <v>95.95</v>
      </c>
      <c r="K51" s="186">
        <v>1010.7</v>
      </c>
      <c r="L51" s="186">
        <v>1038.8</v>
      </c>
      <c r="M51" s="187">
        <v>908.7</v>
      </c>
      <c r="N51" s="186">
        <v>888.6</v>
      </c>
      <c r="O51" s="186">
        <v>821.1</v>
      </c>
      <c r="P51" s="186">
        <v>770.4</v>
      </c>
      <c r="Q51" s="203">
        <v>615.79999999999995</v>
      </c>
      <c r="R51" s="186">
        <v>694.4</v>
      </c>
      <c r="S51" s="186">
        <v>889.1</v>
      </c>
      <c r="T51" s="186">
        <v>923.2</v>
      </c>
      <c r="U51" s="203">
        <v>786.9</v>
      </c>
      <c r="V51" s="306">
        <v>812.3</v>
      </c>
      <c r="W51" s="306">
        <v>775.7</v>
      </c>
      <c r="X51" s="306">
        <v>771.8</v>
      </c>
      <c r="Y51" s="203">
        <v>879.8</v>
      </c>
      <c r="Z51" s="306">
        <v>1034.8</v>
      </c>
      <c r="AA51" s="306">
        <v>1027.8</v>
      </c>
      <c r="AB51" s="306">
        <v>1006.2</v>
      </c>
      <c r="AC51" s="203">
        <v>1160.0999999999999</v>
      </c>
      <c r="AD51" s="306">
        <v>1132</v>
      </c>
      <c r="AE51" s="306">
        <v>1129.8</v>
      </c>
      <c r="AF51" s="306"/>
      <c r="AG51" s="203"/>
    </row>
    <row r="52" spans="1:33" s="159" customFormat="1" ht="20.100000000000001" customHeight="1">
      <c r="A52" s="152" t="s">
        <v>193</v>
      </c>
      <c r="B52" s="197">
        <v>0</v>
      </c>
      <c r="C52" s="202">
        <f>(6285)*0.001</f>
        <v>6.2850000000000001</v>
      </c>
      <c r="D52" s="202">
        <f>(5716)*0.001</f>
        <v>5.7160000000000002</v>
      </c>
      <c r="E52" s="267">
        <f>(5181)*0.001</f>
        <v>5.181</v>
      </c>
      <c r="F52" s="202">
        <f>(4978)*0.001</f>
        <v>4.9779999999999998</v>
      </c>
      <c r="G52" s="202">
        <f>(4754)*0.001</f>
        <v>4.7540000000000004</v>
      </c>
      <c r="H52" s="202">
        <f>(4303)*0.001</f>
        <v>4.3029999999999999</v>
      </c>
      <c r="I52" s="268">
        <f>(4079)*0.001</f>
        <v>4.0789999999999997</v>
      </c>
      <c r="J52" s="269">
        <f>(3008)*0.001</f>
        <v>3.008</v>
      </c>
      <c r="K52" s="186">
        <v>2.8</v>
      </c>
      <c r="L52" s="186">
        <v>3.9</v>
      </c>
      <c r="M52" s="187">
        <v>4.7</v>
      </c>
      <c r="N52" s="186">
        <v>5.5</v>
      </c>
      <c r="O52" s="186">
        <v>5</v>
      </c>
      <c r="P52" s="186">
        <v>4.5</v>
      </c>
      <c r="Q52" s="203">
        <v>4.7</v>
      </c>
      <c r="R52" s="186">
        <v>22.1</v>
      </c>
      <c r="S52" s="186">
        <v>21</v>
      </c>
      <c r="T52" s="186">
        <v>20.100000000000001</v>
      </c>
      <c r="U52" s="203">
        <v>20.100000000000001</v>
      </c>
      <c r="V52" s="306">
        <v>4</v>
      </c>
      <c r="W52" s="306">
        <v>3.8</v>
      </c>
      <c r="X52" s="306">
        <v>3.4</v>
      </c>
      <c r="Y52" s="203">
        <v>3.2</v>
      </c>
      <c r="Z52" s="306">
        <v>0</v>
      </c>
      <c r="AA52" s="306">
        <v>0</v>
      </c>
      <c r="AB52" s="306">
        <v>0</v>
      </c>
      <c r="AC52" s="203">
        <v>0</v>
      </c>
      <c r="AD52" s="306">
        <v>0</v>
      </c>
      <c r="AE52" s="306">
        <v>0</v>
      </c>
      <c r="AF52" s="306"/>
      <c r="AG52" s="203"/>
    </row>
    <row r="53" spans="1:33" s="159" customFormat="1" ht="20.100000000000001" customHeight="1">
      <c r="A53" s="152" t="s">
        <v>119</v>
      </c>
      <c r="B53" s="202">
        <f>13.779</f>
        <v>13.779</v>
      </c>
      <c r="C53" s="202">
        <f>(17835)*0.001</f>
        <v>17.835000000000001</v>
      </c>
      <c r="D53" s="202">
        <f>(19037)*0.001</f>
        <v>19.036999999999999</v>
      </c>
      <c r="E53" s="267">
        <f>(17690)*0.001</f>
        <v>17.690000000000001</v>
      </c>
      <c r="F53" s="202">
        <f>(17684)*0.001</f>
        <v>17.684000000000001</v>
      </c>
      <c r="G53" s="202">
        <f>(10154)*0.001</f>
        <v>10.154</v>
      </c>
      <c r="H53" s="202">
        <f>(8594)*0.001</f>
        <v>8.5939999999999994</v>
      </c>
      <c r="I53" s="268">
        <f>(7915)*0.001</f>
        <v>7.915</v>
      </c>
      <c r="J53" s="269">
        <f>(7828)*0.001</f>
        <v>7.8280000000000003</v>
      </c>
      <c r="K53" s="186">
        <v>158.19999999999999</v>
      </c>
      <c r="L53" s="186">
        <v>164.6</v>
      </c>
      <c r="M53" s="187">
        <v>184.2</v>
      </c>
      <c r="N53" s="186">
        <v>167.4</v>
      </c>
      <c r="O53" s="186">
        <v>132.4</v>
      </c>
      <c r="P53" s="186">
        <v>133.1</v>
      </c>
      <c r="Q53" s="203">
        <v>124.2</v>
      </c>
      <c r="R53" s="186">
        <v>157.30000000000001</v>
      </c>
      <c r="S53" s="186">
        <v>148.9</v>
      </c>
      <c r="T53" s="186">
        <v>148.19999999999999</v>
      </c>
      <c r="U53" s="203">
        <v>130.19999999999999</v>
      </c>
      <c r="V53" s="306">
        <v>128.1</v>
      </c>
      <c r="W53" s="306">
        <v>122</v>
      </c>
      <c r="X53" s="306">
        <v>122.2</v>
      </c>
      <c r="Y53" s="203">
        <v>114.2</v>
      </c>
      <c r="Z53" s="306">
        <v>122.4</v>
      </c>
      <c r="AA53" s="306">
        <v>436.6</v>
      </c>
      <c r="AB53" s="306">
        <v>728.3</v>
      </c>
      <c r="AC53" s="203">
        <v>697.6</v>
      </c>
      <c r="AD53" s="306">
        <v>620.1</v>
      </c>
      <c r="AE53" s="306">
        <v>494</v>
      </c>
      <c r="AF53" s="306"/>
      <c r="AG53" s="203"/>
    </row>
    <row r="54" spans="1:33" s="163" customFormat="1" ht="20.100000000000001" customHeight="1" thickBot="1">
      <c r="A54" s="153" t="s">
        <v>120</v>
      </c>
      <c r="B54" s="188">
        <f>0*($A$75)</f>
        <v>0</v>
      </c>
      <c r="C54" s="188">
        <f>0</f>
        <v>0</v>
      </c>
      <c r="D54" s="188">
        <f>0</f>
        <v>0</v>
      </c>
      <c r="E54" s="275">
        <v>0</v>
      </c>
      <c r="F54" s="188">
        <v>0</v>
      </c>
      <c r="G54" s="188">
        <f>0</f>
        <v>0</v>
      </c>
      <c r="H54" s="188">
        <v>0</v>
      </c>
      <c r="I54" s="190">
        <v>0.1</v>
      </c>
      <c r="J54" s="271">
        <v>0</v>
      </c>
      <c r="K54" s="188">
        <f>0*($A$75)</f>
        <v>0</v>
      </c>
      <c r="L54" s="188">
        <f>0*($A$75)</f>
        <v>0</v>
      </c>
      <c r="M54" s="190">
        <v>40.1</v>
      </c>
      <c r="N54" s="189">
        <v>22.6</v>
      </c>
      <c r="O54" s="189">
        <v>2</v>
      </c>
      <c r="P54" s="189">
        <v>1.9</v>
      </c>
      <c r="Q54" s="203">
        <v>0</v>
      </c>
      <c r="R54" s="189">
        <v>1.1000000000000001</v>
      </c>
      <c r="S54" s="189">
        <v>0.9</v>
      </c>
      <c r="T54" s="189">
        <v>0</v>
      </c>
      <c r="U54" s="203">
        <v>0</v>
      </c>
      <c r="V54" s="309">
        <v>1.5</v>
      </c>
      <c r="W54" s="309">
        <v>1.7</v>
      </c>
      <c r="X54" s="309">
        <v>1.3</v>
      </c>
      <c r="Y54" s="203">
        <v>0</v>
      </c>
      <c r="Z54" s="309">
        <v>2.2000000000000002</v>
      </c>
      <c r="AA54" s="309">
        <v>0.5</v>
      </c>
      <c r="AB54" s="309">
        <v>205</v>
      </c>
      <c r="AC54" s="203">
        <v>165.2</v>
      </c>
      <c r="AD54" s="309">
        <v>167.2</v>
      </c>
      <c r="AE54" s="309">
        <v>5.4</v>
      </c>
      <c r="AF54" s="309"/>
      <c r="AG54" s="203"/>
    </row>
    <row r="55" spans="1:33" s="164" customFormat="1" ht="24.95" customHeight="1" thickBot="1">
      <c r="A55" s="14" t="s">
        <v>121</v>
      </c>
      <c r="B55" s="193">
        <f t="shared" ref="B55" si="44">SUM(B47:B53)</f>
        <v>2394.6009999999997</v>
      </c>
      <c r="C55" s="193">
        <f t="shared" ref="C55" si="45">SUM(C47:C53)</f>
        <v>2372.0889999999999</v>
      </c>
      <c r="D55" s="193">
        <f t="shared" ref="D55" si="46">SUM(D47:D53)</f>
        <v>2150.2569999999996</v>
      </c>
      <c r="E55" s="194">
        <f t="shared" ref="E55:H55" si="47">SUM(E47:E53)</f>
        <v>2026.162</v>
      </c>
      <c r="F55" s="193">
        <f t="shared" si="47"/>
        <v>2059.5610000000001</v>
      </c>
      <c r="G55" s="193">
        <f t="shared" si="47"/>
        <v>1927.3119999999999</v>
      </c>
      <c r="H55" s="193">
        <f t="shared" si="47"/>
        <v>1827.1140000000003</v>
      </c>
      <c r="I55" s="193">
        <f t="shared" ref="I55:J55" si="48">SUM(I47:I53)</f>
        <v>1700.1859999999999</v>
      </c>
      <c r="J55" s="274">
        <f t="shared" si="48"/>
        <v>1739.3000000000002</v>
      </c>
      <c r="K55" s="193">
        <f t="shared" ref="K55:L55" si="49">SUM(K47:K53)</f>
        <v>14745</v>
      </c>
      <c r="L55" s="193">
        <f t="shared" si="49"/>
        <v>14223.800000000001</v>
      </c>
      <c r="M55" s="194">
        <f t="shared" ref="M55:R55" si="50">SUM(M47:M54)-M54</f>
        <v>14093.300000000003</v>
      </c>
      <c r="N55" s="193">
        <f t="shared" si="50"/>
        <v>13627.199999999999</v>
      </c>
      <c r="O55" s="193">
        <f t="shared" si="50"/>
        <v>13339.2</v>
      </c>
      <c r="P55" s="193">
        <f t="shared" si="50"/>
        <v>8183.7</v>
      </c>
      <c r="Q55" s="194">
        <f t="shared" si="50"/>
        <v>7773.5</v>
      </c>
      <c r="R55" s="193">
        <f t="shared" si="50"/>
        <v>13787.7</v>
      </c>
      <c r="S55" s="193">
        <f t="shared" ref="S55:T55" si="51">SUM(S47:S54)-S54</f>
        <v>13316.1</v>
      </c>
      <c r="T55" s="193">
        <f t="shared" si="51"/>
        <v>13004.800000000001</v>
      </c>
      <c r="U55" s="194">
        <f t="shared" ref="U55" si="52">SUM(U47:U54)-U54</f>
        <v>12670.500000000002</v>
      </c>
      <c r="V55" s="312">
        <f t="shared" ref="V55:Y55" si="53">SUM(V47:V54)-V54</f>
        <v>11538.9</v>
      </c>
      <c r="W55" s="312">
        <f t="shared" si="53"/>
        <v>11262.199999999999</v>
      </c>
      <c r="X55" s="312">
        <f t="shared" si="53"/>
        <v>10896.3</v>
      </c>
      <c r="Y55" s="290">
        <f t="shared" si="53"/>
        <v>11723.7</v>
      </c>
      <c r="Z55" s="312">
        <f t="shared" ref="Z55:AG55" si="54">SUM(Z47:Z54)-Z54</f>
        <v>12062</v>
      </c>
      <c r="AA55" s="312">
        <f t="shared" si="54"/>
        <v>12060.8</v>
      </c>
      <c r="AB55" s="312">
        <f t="shared" si="54"/>
        <v>12102.5</v>
      </c>
      <c r="AC55" s="290">
        <f t="shared" si="54"/>
        <v>11803</v>
      </c>
      <c r="AD55" s="312">
        <f t="shared" si="54"/>
        <v>12477.9</v>
      </c>
      <c r="AE55" s="312">
        <f t="shared" si="54"/>
        <v>12039.3</v>
      </c>
      <c r="AF55" s="312">
        <f t="shared" si="54"/>
        <v>0</v>
      </c>
      <c r="AG55" s="290">
        <f t="shared" si="54"/>
        <v>0</v>
      </c>
    </row>
    <row r="56" spans="1:33" s="159" customFormat="1" ht="20.100000000000001" customHeight="1">
      <c r="A56" s="152" t="s">
        <v>116</v>
      </c>
      <c r="B56" s="202">
        <f>250.363</f>
        <v>250.363</v>
      </c>
      <c r="C56" s="202">
        <f>(265796)*0.001</f>
        <v>265.79599999999999</v>
      </c>
      <c r="D56" s="202">
        <f>(238676)*0.001</f>
        <v>238.67600000000002</v>
      </c>
      <c r="E56" s="267">
        <f>(275608)*0.001</f>
        <v>275.608</v>
      </c>
      <c r="F56" s="202">
        <f>(250329)*0.001</f>
        <v>250.32900000000001</v>
      </c>
      <c r="G56" s="202">
        <f>(263389)*0.001</f>
        <v>263.38900000000001</v>
      </c>
      <c r="H56" s="202">
        <f>(214673)*0.001</f>
        <v>214.673</v>
      </c>
      <c r="I56" s="268">
        <f>(245994)*0.001</f>
        <v>245.994</v>
      </c>
      <c r="J56" s="269">
        <f>(240921)*0.001</f>
        <v>240.92099999999999</v>
      </c>
      <c r="K56" s="186">
        <v>1094.3</v>
      </c>
      <c r="L56" s="186">
        <v>1365.1</v>
      </c>
      <c r="M56" s="187">
        <v>1322.6</v>
      </c>
      <c r="N56" s="202">
        <v>1543.9</v>
      </c>
      <c r="O56" s="202">
        <v>1169.9000000000001</v>
      </c>
      <c r="P56" s="186">
        <v>963.7</v>
      </c>
      <c r="Q56" s="203">
        <v>1230.9000000000001</v>
      </c>
      <c r="R56" s="202">
        <v>1593</v>
      </c>
      <c r="S56" s="202">
        <v>1251.3</v>
      </c>
      <c r="T56" s="202">
        <v>1269.4000000000001</v>
      </c>
      <c r="U56" s="203">
        <v>1270</v>
      </c>
      <c r="V56" s="319">
        <v>1286.8</v>
      </c>
      <c r="W56" s="319">
        <v>1805.9</v>
      </c>
      <c r="X56" s="319">
        <v>1824.8</v>
      </c>
      <c r="Y56" s="203">
        <v>1341.9</v>
      </c>
      <c r="Z56" s="319">
        <v>552.9</v>
      </c>
      <c r="AA56" s="319">
        <v>1074.7</v>
      </c>
      <c r="AB56" s="306">
        <v>1368.9</v>
      </c>
      <c r="AC56" s="203">
        <v>1611.3</v>
      </c>
      <c r="AD56" s="319">
        <v>1298.2</v>
      </c>
      <c r="AE56" s="319">
        <v>1279</v>
      </c>
      <c r="AF56" s="306"/>
      <c r="AG56" s="203"/>
    </row>
    <row r="57" spans="1:33" s="159" customFormat="1" ht="20.100000000000001" customHeight="1">
      <c r="A57" s="152" t="s">
        <v>117</v>
      </c>
      <c r="B57" s="202">
        <f>100.836</f>
        <v>100.836</v>
      </c>
      <c r="C57" s="202">
        <f>(101342)*0.001</f>
        <v>101.342</v>
      </c>
      <c r="D57" s="202">
        <f>(99687)*0.001</f>
        <v>99.686999999999998</v>
      </c>
      <c r="E57" s="267">
        <f>(97256)*0.001</f>
        <v>97.256</v>
      </c>
      <c r="F57" s="202">
        <f>(101219)*0.001</f>
        <v>101.21900000000001</v>
      </c>
      <c r="G57" s="202">
        <f>(102957)*0.001</f>
        <v>102.95700000000001</v>
      </c>
      <c r="H57" s="202">
        <f>(102171)*0.001</f>
        <v>102.17100000000001</v>
      </c>
      <c r="I57" s="268">
        <f>(98659)*0.001</f>
        <v>98.659000000000006</v>
      </c>
      <c r="J57" s="269">
        <f>(101071)*0.001</f>
        <v>101.071</v>
      </c>
      <c r="K57" s="186">
        <v>431.9</v>
      </c>
      <c r="L57" s="186">
        <v>439.1</v>
      </c>
      <c r="M57" s="187">
        <v>464.4</v>
      </c>
      <c r="N57" s="186">
        <v>462.5</v>
      </c>
      <c r="O57" s="186">
        <v>479.4</v>
      </c>
      <c r="P57" s="186">
        <v>4607.5</v>
      </c>
      <c r="Q57" s="203">
        <v>4776.7</v>
      </c>
      <c r="R57" s="186">
        <v>41.5</v>
      </c>
      <c r="S57" s="186">
        <v>42.3</v>
      </c>
      <c r="T57" s="186">
        <v>41.9</v>
      </c>
      <c r="U57" s="203">
        <v>42.4</v>
      </c>
      <c r="V57" s="306">
        <v>981.4</v>
      </c>
      <c r="W57" s="306">
        <v>42.5</v>
      </c>
      <c r="X57" s="306">
        <v>42.1</v>
      </c>
      <c r="Y57" s="203">
        <v>42.5</v>
      </c>
      <c r="Z57" s="306">
        <v>41.9</v>
      </c>
      <c r="AA57" s="306">
        <v>42.4</v>
      </c>
      <c r="AB57" s="306">
        <v>41.8</v>
      </c>
      <c r="AC57" s="203">
        <v>42.3</v>
      </c>
      <c r="AD57" s="306">
        <v>41.9</v>
      </c>
      <c r="AE57" s="306">
        <v>34.799999999999997</v>
      </c>
      <c r="AF57" s="306"/>
      <c r="AG57" s="203"/>
    </row>
    <row r="58" spans="1:33" s="159" customFormat="1" ht="20.100000000000001" customHeight="1">
      <c r="A58" s="635" t="s">
        <v>338</v>
      </c>
      <c r="B58" s="202">
        <f>0.237</f>
        <v>0.23699999999999999</v>
      </c>
      <c r="C58" s="202">
        <f>(243)*0.001</f>
        <v>0.24299999999999999</v>
      </c>
      <c r="D58" s="202">
        <f>(234)*0.001</f>
        <v>0.23400000000000001</v>
      </c>
      <c r="E58" s="267">
        <f>(233)*0.001</f>
        <v>0.23300000000000001</v>
      </c>
      <c r="F58" s="202">
        <f>(238)*0.001</f>
        <v>0.23800000000000002</v>
      </c>
      <c r="G58" s="202">
        <f>(247)*0.001</f>
        <v>0.247</v>
      </c>
      <c r="H58" s="202">
        <f>(240)*0.001</f>
        <v>0.24</v>
      </c>
      <c r="I58" s="268">
        <f>(236)*0.001</f>
        <v>0.23600000000000002</v>
      </c>
      <c r="J58" s="269">
        <f>(237)*0.001</f>
        <v>0.23700000000000002</v>
      </c>
      <c r="K58" s="186">
        <v>5.3</v>
      </c>
      <c r="L58" s="186">
        <v>5.8</v>
      </c>
      <c r="M58" s="187">
        <v>6.8</v>
      </c>
      <c r="N58" s="186">
        <v>2.7</v>
      </c>
      <c r="O58" s="186">
        <v>3.7</v>
      </c>
      <c r="P58" s="186">
        <v>4.3</v>
      </c>
      <c r="Q58" s="203">
        <v>4.3</v>
      </c>
      <c r="R58" s="186">
        <v>4.5</v>
      </c>
      <c r="S58" s="186">
        <v>4.9000000000000004</v>
      </c>
      <c r="T58" s="186">
        <v>4.9000000000000004</v>
      </c>
      <c r="U58" s="203">
        <v>5</v>
      </c>
      <c r="V58" s="306">
        <v>5.2</v>
      </c>
      <c r="W58" s="306">
        <v>7.6</v>
      </c>
      <c r="X58" s="306">
        <v>7</v>
      </c>
      <c r="Y58" s="203">
        <v>9.6999999999999993</v>
      </c>
      <c r="Z58" s="306">
        <v>10.4</v>
      </c>
      <c r="AA58" s="306">
        <v>9.6999999999999993</v>
      </c>
      <c r="AB58" s="306">
        <v>10.7</v>
      </c>
      <c r="AC58" s="203">
        <v>8.1999999999999993</v>
      </c>
      <c r="AD58" s="306">
        <v>411.5</v>
      </c>
      <c r="AE58" s="306">
        <v>411.1</v>
      </c>
      <c r="AF58" s="306"/>
      <c r="AG58" s="203"/>
    </row>
    <row r="59" spans="1:33" s="159" customFormat="1" ht="20.100000000000001" customHeight="1">
      <c r="A59" s="152" t="s">
        <v>194</v>
      </c>
      <c r="B59" s="186">
        <v>0</v>
      </c>
      <c r="C59" s="186">
        <v>0</v>
      </c>
      <c r="D59" s="186">
        <v>0</v>
      </c>
      <c r="E59" s="187">
        <v>0</v>
      </c>
      <c r="F59" s="186">
        <v>0</v>
      </c>
      <c r="G59" s="186">
        <v>0</v>
      </c>
      <c r="H59" s="186">
        <v>0</v>
      </c>
      <c r="I59" s="270">
        <v>0</v>
      </c>
      <c r="J59" s="285">
        <v>0</v>
      </c>
      <c r="K59" s="186">
        <v>115.8</v>
      </c>
      <c r="L59" s="186">
        <v>113.9</v>
      </c>
      <c r="M59" s="187">
        <v>117.1</v>
      </c>
      <c r="N59" s="186">
        <v>113</v>
      </c>
      <c r="O59" s="186">
        <v>116.7</v>
      </c>
      <c r="P59" s="186">
        <v>115.6</v>
      </c>
      <c r="Q59" s="203">
        <v>117</v>
      </c>
      <c r="R59" s="186">
        <v>118</v>
      </c>
      <c r="S59" s="186">
        <v>123.1</v>
      </c>
      <c r="T59" s="186">
        <v>117.7</v>
      </c>
      <c r="U59" s="203">
        <v>121.5</v>
      </c>
      <c r="V59" s="306">
        <v>116.6</v>
      </c>
      <c r="W59" s="306">
        <v>117.6</v>
      </c>
      <c r="X59" s="306">
        <v>117.6</v>
      </c>
      <c r="Y59" s="203">
        <v>114.5</v>
      </c>
      <c r="Z59" s="306">
        <v>116.3</v>
      </c>
      <c r="AA59" s="306">
        <v>121.3</v>
      </c>
      <c r="AB59" s="306">
        <v>116.6</v>
      </c>
      <c r="AC59" s="203">
        <v>118.1</v>
      </c>
      <c r="AD59" s="306">
        <v>118.9</v>
      </c>
      <c r="AE59" s="306">
        <v>118.3</v>
      </c>
      <c r="AF59" s="306"/>
      <c r="AG59" s="203"/>
    </row>
    <row r="60" spans="1:33" s="159" customFormat="1" ht="20.100000000000001" customHeight="1">
      <c r="A60" s="152" t="s">
        <v>234</v>
      </c>
      <c r="B60" s="186"/>
      <c r="C60" s="186"/>
      <c r="D60" s="186"/>
      <c r="E60" s="187"/>
      <c r="F60" s="186"/>
      <c r="G60" s="186"/>
      <c r="H60" s="186"/>
      <c r="I60" s="270"/>
      <c r="J60" s="285"/>
      <c r="K60" s="186"/>
      <c r="L60" s="186"/>
      <c r="M60" s="187"/>
      <c r="N60" s="186"/>
      <c r="O60" s="186"/>
      <c r="P60" s="186"/>
      <c r="Q60" s="203"/>
      <c r="R60" s="186"/>
      <c r="S60" s="186"/>
      <c r="T60" s="186"/>
      <c r="U60" s="203"/>
      <c r="V60" s="306"/>
      <c r="W60" s="306"/>
      <c r="X60" s="306"/>
      <c r="Y60" s="203"/>
      <c r="Z60" s="319">
        <v>359</v>
      </c>
      <c r="AA60" s="306">
        <v>649.1</v>
      </c>
      <c r="AB60" s="306">
        <v>643.5</v>
      </c>
      <c r="AC60" s="203">
        <v>705.2</v>
      </c>
      <c r="AD60" s="319">
        <v>722.6</v>
      </c>
      <c r="AE60" s="306">
        <v>712.2</v>
      </c>
      <c r="AF60" s="306"/>
      <c r="AG60" s="203"/>
    </row>
    <row r="61" spans="1:33" s="159" customFormat="1" ht="20.100000000000001" customHeight="1">
      <c r="A61" s="152" t="s">
        <v>122</v>
      </c>
      <c r="B61" s="202">
        <f>435.427</f>
        <v>435.42700000000002</v>
      </c>
      <c r="C61" s="202">
        <f>(436188)*0.001</f>
        <v>436.18799999999999</v>
      </c>
      <c r="D61" s="202">
        <f>(441676)*0.001</f>
        <v>441.67599999999999</v>
      </c>
      <c r="E61" s="267">
        <f>(472094)*0.001</f>
        <v>472.09399999999999</v>
      </c>
      <c r="F61" s="202">
        <f>(432897)*0.001</f>
        <v>432.89699999999999</v>
      </c>
      <c r="G61" s="202">
        <f>(428004)*0.001</f>
        <v>428.00400000000002</v>
      </c>
      <c r="H61" s="202">
        <f>(390829)*0.001</f>
        <v>390.82900000000001</v>
      </c>
      <c r="I61" s="268">
        <f>(413210)*0.001</f>
        <v>413.21000000000004</v>
      </c>
      <c r="J61" s="269">
        <f>(418100)*0.001</f>
        <v>418.1</v>
      </c>
      <c r="K61" s="186">
        <v>1618.8</v>
      </c>
      <c r="L61" s="186">
        <v>1505.3</v>
      </c>
      <c r="M61" s="187">
        <v>1523</v>
      </c>
      <c r="N61" s="202">
        <v>1333.5</v>
      </c>
      <c r="O61" s="202">
        <v>1670.4</v>
      </c>
      <c r="P61" s="186">
        <v>1431.5</v>
      </c>
      <c r="Q61" s="203">
        <v>1485.4</v>
      </c>
      <c r="R61" s="202">
        <v>1711.4</v>
      </c>
      <c r="S61" s="202">
        <v>1365.9</v>
      </c>
      <c r="T61" s="202">
        <v>1338.1</v>
      </c>
      <c r="U61" s="203">
        <v>1569.5</v>
      </c>
      <c r="V61" s="319">
        <v>1337.9</v>
      </c>
      <c r="W61" s="319">
        <v>1694.4</v>
      </c>
      <c r="X61" s="319">
        <v>1397.9</v>
      </c>
      <c r="Y61" s="203">
        <v>1727.3</v>
      </c>
      <c r="Z61" s="306">
        <v>1430.8</v>
      </c>
      <c r="AA61" s="319">
        <v>2254.9</v>
      </c>
      <c r="AB61" s="306">
        <v>2302.6999999999998</v>
      </c>
      <c r="AC61" s="203">
        <v>2382.4</v>
      </c>
      <c r="AD61" s="306">
        <v>2029.1</v>
      </c>
      <c r="AE61" s="319">
        <v>2691.7</v>
      </c>
      <c r="AF61" s="306"/>
      <c r="AG61" s="203"/>
    </row>
    <row r="62" spans="1:33" s="159" customFormat="1" ht="20.100000000000001" customHeight="1">
      <c r="A62" s="153" t="s">
        <v>120</v>
      </c>
      <c r="B62" s="186">
        <v>0</v>
      </c>
      <c r="C62" s="186">
        <v>0</v>
      </c>
      <c r="D62" s="186">
        <v>0</v>
      </c>
      <c r="E62" s="187">
        <v>0</v>
      </c>
      <c r="F62" s="186">
        <v>0</v>
      </c>
      <c r="G62" s="186">
        <v>0</v>
      </c>
      <c r="H62" s="186">
        <v>0</v>
      </c>
      <c r="I62" s="190">
        <v>12</v>
      </c>
      <c r="J62" s="285">
        <v>0</v>
      </c>
      <c r="K62" s="186">
        <v>0</v>
      </c>
      <c r="L62" s="186">
        <v>0</v>
      </c>
      <c r="M62" s="190">
        <v>87</v>
      </c>
      <c r="N62" s="189">
        <v>99.7</v>
      </c>
      <c r="O62" s="189">
        <v>79</v>
      </c>
      <c r="P62" s="189">
        <v>57.1</v>
      </c>
      <c r="Q62" s="304">
        <v>72.900000000000006</v>
      </c>
      <c r="R62" s="189">
        <v>25.8</v>
      </c>
      <c r="S62" s="189">
        <v>3.5</v>
      </c>
      <c r="T62" s="189">
        <v>1.8</v>
      </c>
      <c r="U62" s="203">
        <v>0</v>
      </c>
      <c r="V62" s="309">
        <v>1.5</v>
      </c>
      <c r="W62" s="309">
        <v>0.6</v>
      </c>
      <c r="X62" s="309">
        <v>0.5</v>
      </c>
      <c r="Y62" s="304">
        <v>3.6</v>
      </c>
      <c r="Z62" s="309">
        <v>2.8</v>
      </c>
      <c r="AA62" s="309">
        <v>4.2</v>
      </c>
      <c r="AB62" s="309">
        <v>5.5</v>
      </c>
      <c r="AC62" s="304">
        <v>8.8000000000000007</v>
      </c>
      <c r="AD62" s="309">
        <v>9.1</v>
      </c>
      <c r="AE62" s="309">
        <v>9</v>
      </c>
      <c r="AF62" s="309"/>
      <c r="AG62" s="304"/>
    </row>
    <row r="63" spans="1:33" s="159" customFormat="1" ht="20.100000000000001" customHeight="1">
      <c r="A63" s="152" t="s">
        <v>123</v>
      </c>
      <c r="B63" s="202">
        <f>29.589</f>
        <v>29.588999999999999</v>
      </c>
      <c r="C63" s="202">
        <f>(7799)*0.001</f>
        <v>7.7990000000000004</v>
      </c>
      <c r="D63" s="202">
        <f>(6782)*0.001</f>
        <v>6.782</v>
      </c>
      <c r="E63" s="267">
        <f>(7092)*0.001</f>
        <v>7.0920000000000005</v>
      </c>
      <c r="F63" s="202">
        <f>(1990)*0.001</f>
        <v>1.99</v>
      </c>
      <c r="G63" s="202">
        <f>(6510)*0.001</f>
        <v>6.51</v>
      </c>
      <c r="H63" s="202">
        <f>(14152)*0.001</f>
        <v>14.152000000000001</v>
      </c>
      <c r="I63" s="268">
        <f>(4520)*0.001</f>
        <v>4.5200000000000005</v>
      </c>
      <c r="J63" s="269">
        <f>(12203)*0.001</f>
        <v>12.202999999999999</v>
      </c>
      <c r="K63" s="186">
        <v>43.7</v>
      </c>
      <c r="L63" s="186">
        <v>22.1</v>
      </c>
      <c r="M63" s="187">
        <v>48.028993427171699</v>
      </c>
      <c r="N63" s="186">
        <v>22.5</v>
      </c>
      <c r="O63" s="186">
        <v>132.69999999999999</v>
      </c>
      <c r="P63" s="186">
        <v>96.3</v>
      </c>
      <c r="Q63" s="203">
        <v>176.1</v>
      </c>
      <c r="R63" s="186">
        <v>29.2</v>
      </c>
      <c r="S63" s="186">
        <v>39.1</v>
      </c>
      <c r="T63" s="186">
        <v>21.967722325707697</v>
      </c>
      <c r="U63" s="203">
        <v>24.9</v>
      </c>
      <c r="V63" s="306">
        <v>4.3</v>
      </c>
      <c r="W63" s="306">
        <v>24.9</v>
      </c>
      <c r="X63" s="306">
        <v>17.5</v>
      </c>
      <c r="Y63" s="203">
        <v>61.3</v>
      </c>
      <c r="Z63" s="306">
        <v>60.1</v>
      </c>
      <c r="AA63" s="306">
        <v>44.9</v>
      </c>
      <c r="AB63" s="306">
        <v>62.3</v>
      </c>
      <c r="AC63" s="203">
        <v>151.1</v>
      </c>
      <c r="AD63" s="306">
        <v>191.1</v>
      </c>
      <c r="AE63" s="306">
        <v>154.30000000000001</v>
      </c>
      <c r="AF63" s="306"/>
      <c r="AG63" s="203"/>
    </row>
    <row r="64" spans="1:33" s="159" customFormat="1" ht="20.100000000000001" customHeight="1">
      <c r="A64" s="152" t="s">
        <v>124</v>
      </c>
      <c r="B64" s="202">
        <f>12.532</f>
        <v>12.532</v>
      </c>
      <c r="C64" s="202">
        <f>(12125)*0.001</f>
        <v>12.125</v>
      </c>
      <c r="D64" s="202">
        <f>(12084)*0.001</f>
        <v>12.084</v>
      </c>
      <c r="E64" s="267">
        <f>(13259)*0.001</f>
        <v>13.259</v>
      </c>
      <c r="F64" s="202">
        <f>(13182)*0.001</f>
        <v>13.182</v>
      </c>
      <c r="G64" s="202">
        <f>(12551)*0.001</f>
        <v>12.551</v>
      </c>
      <c r="H64" s="202">
        <f>(12536)*0.001</f>
        <v>12.536</v>
      </c>
      <c r="I64" s="268">
        <f>(2727)*0.001</f>
        <v>2.7269999999999999</v>
      </c>
      <c r="J64" s="269">
        <f>(2843)*0.001</f>
        <v>2.843</v>
      </c>
      <c r="K64" s="186">
        <v>2.6</v>
      </c>
      <c r="L64" s="186">
        <v>2.7</v>
      </c>
      <c r="M64" s="187">
        <v>1.4</v>
      </c>
      <c r="N64" s="186">
        <v>1.4</v>
      </c>
      <c r="O64" s="205" t="s">
        <v>1</v>
      </c>
      <c r="P64" s="205" t="s">
        <v>1</v>
      </c>
      <c r="Q64" s="206" t="s">
        <v>1</v>
      </c>
      <c r="R64" s="205" t="s">
        <v>1</v>
      </c>
      <c r="S64" s="205" t="s">
        <v>1</v>
      </c>
      <c r="T64" s="205" t="s">
        <v>1</v>
      </c>
      <c r="U64" s="206" t="s">
        <v>1</v>
      </c>
      <c r="V64" s="321" t="s">
        <v>1</v>
      </c>
      <c r="W64" s="321" t="s">
        <v>1</v>
      </c>
      <c r="X64" s="321" t="s">
        <v>1</v>
      </c>
      <c r="Y64" s="206" t="s">
        <v>1</v>
      </c>
      <c r="Z64" s="321" t="s">
        <v>1</v>
      </c>
      <c r="AA64" s="321" t="s">
        <v>1</v>
      </c>
      <c r="AB64" s="321" t="s">
        <v>1</v>
      </c>
      <c r="AC64" s="206" t="s">
        <v>1</v>
      </c>
      <c r="AD64" s="321" t="s">
        <v>1</v>
      </c>
      <c r="AE64" s="321" t="s">
        <v>1</v>
      </c>
      <c r="AF64" s="321"/>
      <c r="AG64" s="206"/>
    </row>
    <row r="65" spans="1:33" s="159" customFormat="1" ht="20.100000000000001" customHeight="1" thickBot="1">
      <c r="A65" s="152" t="s">
        <v>193</v>
      </c>
      <c r="B65" s="202">
        <f>188.402</f>
        <v>188.40199999999999</v>
      </c>
      <c r="C65" s="202">
        <f>(209950)*0.001</f>
        <v>209.95000000000002</v>
      </c>
      <c r="D65" s="202">
        <f>(210563)*0.001</f>
        <v>210.56300000000002</v>
      </c>
      <c r="E65" s="267">
        <f>(201238)*0.001</f>
        <v>201.238</v>
      </c>
      <c r="F65" s="202">
        <f>(207890)*0.001</f>
        <v>207.89000000000001</v>
      </c>
      <c r="G65" s="202">
        <f>(204442)*0.001</f>
        <v>204.44200000000001</v>
      </c>
      <c r="H65" s="202">
        <f>(210688)*0.001</f>
        <v>210.68800000000002</v>
      </c>
      <c r="I65" s="268">
        <f>(209485)*0.001</f>
        <v>209.48500000000001</v>
      </c>
      <c r="J65" s="269">
        <f>(228170)*0.001</f>
        <v>228.17000000000002</v>
      </c>
      <c r="K65" s="186">
        <v>678</v>
      </c>
      <c r="L65" s="186">
        <v>672.7</v>
      </c>
      <c r="M65" s="187">
        <v>683.9</v>
      </c>
      <c r="N65" s="186">
        <v>670.3</v>
      </c>
      <c r="O65" s="186">
        <v>672</v>
      </c>
      <c r="P65" s="186">
        <v>680.9</v>
      </c>
      <c r="Q65" s="203">
        <v>676.1</v>
      </c>
      <c r="R65" s="186">
        <v>665</v>
      </c>
      <c r="S65" s="186">
        <v>676.8</v>
      </c>
      <c r="T65" s="186">
        <v>660.84343092999995</v>
      </c>
      <c r="U65" s="203">
        <v>647.9</v>
      </c>
      <c r="V65" s="306">
        <v>633.79999999999995</v>
      </c>
      <c r="W65" s="306">
        <v>637.29999999999995</v>
      </c>
      <c r="X65" s="306">
        <v>629.5</v>
      </c>
      <c r="Y65" s="203">
        <v>618.29999999999995</v>
      </c>
      <c r="Z65" s="306">
        <v>356</v>
      </c>
      <c r="AA65" s="306">
        <v>39.799999999999997</v>
      </c>
      <c r="AB65" s="306">
        <v>65</v>
      </c>
      <c r="AC65" s="203">
        <v>0</v>
      </c>
      <c r="AD65" s="306">
        <v>0</v>
      </c>
      <c r="AE65" s="306">
        <v>0</v>
      </c>
      <c r="AF65" s="306"/>
      <c r="AG65" s="203"/>
    </row>
    <row r="66" spans="1:33" s="164" customFormat="1" ht="24.95" customHeight="1" thickBot="1">
      <c r="A66" s="14" t="s">
        <v>125</v>
      </c>
      <c r="B66" s="193">
        <f t="shared" ref="B66:H66" si="55">SUM(B56:B65)</f>
        <v>1017.386</v>
      </c>
      <c r="C66" s="193">
        <f t="shared" si="55"/>
        <v>1033.443</v>
      </c>
      <c r="D66" s="193">
        <f t="shared" si="55"/>
        <v>1009.7019999999999</v>
      </c>
      <c r="E66" s="194">
        <f t="shared" si="55"/>
        <v>1066.78</v>
      </c>
      <c r="F66" s="193">
        <f t="shared" si="55"/>
        <v>1007.745</v>
      </c>
      <c r="G66" s="193">
        <f t="shared" si="55"/>
        <v>1018.1</v>
      </c>
      <c r="H66" s="193">
        <f t="shared" si="55"/>
        <v>945.28899999999999</v>
      </c>
      <c r="I66" s="193">
        <f>SUM(I56:I65)-I62</f>
        <v>974.83100000000002</v>
      </c>
      <c r="J66" s="274">
        <f>SUM(J56:J65)</f>
        <v>1003.5449999999998</v>
      </c>
      <c r="K66" s="193">
        <f>SUM(K56:K65)</f>
        <v>3990.3999999999992</v>
      </c>
      <c r="L66" s="193">
        <f>SUM(L56:L65)</f>
        <v>4126.7</v>
      </c>
      <c r="M66" s="194">
        <f t="shared" ref="M66:R66" si="56">SUM(M56:M65)-M62</f>
        <v>4167.2289934271712</v>
      </c>
      <c r="N66" s="193">
        <f t="shared" si="56"/>
        <v>4149.8</v>
      </c>
      <c r="O66" s="193">
        <f t="shared" si="56"/>
        <v>4244.8</v>
      </c>
      <c r="P66" s="193">
        <f t="shared" si="56"/>
        <v>7899.8</v>
      </c>
      <c r="Q66" s="194">
        <f t="shared" si="56"/>
        <v>8466.5000000000018</v>
      </c>
      <c r="R66" s="193">
        <f t="shared" si="56"/>
        <v>4162.5999999999995</v>
      </c>
      <c r="S66" s="193">
        <f>SUM(S56:S65)-S62</f>
        <v>3503.3999999999996</v>
      </c>
      <c r="T66" s="193">
        <f>SUM(T56:T65)-T62</f>
        <v>3454.8111532557077</v>
      </c>
      <c r="U66" s="194">
        <f t="shared" ref="U66" si="57">SUM(U56:U65)-U62</f>
        <v>3681.2000000000003</v>
      </c>
      <c r="V66" s="312">
        <f t="shared" ref="V66:W66" si="58">SUM(V56:V65)-V62</f>
        <v>4366</v>
      </c>
      <c r="W66" s="312">
        <f t="shared" si="58"/>
        <v>4330.2</v>
      </c>
      <c r="X66" s="312">
        <f t="shared" ref="X66" si="59">SUM(X56:X65)-X62</f>
        <v>4036.3999999999996</v>
      </c>
      <c r="Y66" s="290">
        <f t="shared" ref="Y66" si="60">SUM(Y56:Y65)-Y62</f>
        <v>3915.5000000000005</v>
      </c>
      <c r="Z66" s="312">
        <f t="shared" ref="Z66:AB66" si="61">SUM(Z56:Z65)-Z62</f>
        <v>2927.4</v>
      </c>
      <c r="AA66" s="312">
        <f t="shared" si="61"/>
        <v>4236.8</v>
      </c>
      <c r="AB66" s="312">
        <f t="shared" si="61"/>
        <v>4611.5</v>
      </c>
      <c r="AC66" s="290">
        <f t="shared" ref="AC66:AF66" si="62">SUM(AC56:AC65)-AC62</f>
        <v>5018.6000000000004</v>
      </c>
      <c r="AD66" s="312">
        <f t="shared" si="62"/>
        <v>4813.3000000000011</v>
      </c>
      <c r="AE66" s="312">
        <f t="shared" si="62"/>
        <v>5401.4000000000005</v>
      </c>
      <c r="AF66" s="312">
        <f t="shared" si="62"/>
        <v>0</v>
      </c>
      <c r="AG66" s="290">
        <f t="shared" ref="AG66" si="63">SUM(AG56:AG65)-AG62</f>
        <v>0</v>
      </c>
    </row>
    <row r="67" spans="1:33" s="164" customFormat="1" ht="24.95" customHeight="1" thickBot="1">
      <c r="A67" s="14" t="s">
        <v>126</v>
      </c>
      <c r="B67" s="193">
        <f>B55+B66</f>
        <v>3411.9869999999996</v>
      </c>
      <c r="C67" s="193">
        <f>C55+C66</f>
        <v>3405.5320000000002</v>
      </c>
      <c r="D67" s="193">
        <f>D55+D66</f>
        <v>3159.9589999999994</v>
      </c>
      <c r="E67" s="194">
        <f t="shared" ref="E67:T67" si="64">E66+E55</f>
        <v>3092.942</v>
      </c>
      <c r="F67" s="193">
        <f t="shared" si="64"/>
        <v>3067.306</v>
      </c>
      <c r="G67" s="193">
        <f t="shared" si="64"/>
        <v>2945.4119999999998</v>
      </c>
      <c r="H67" s="193">
        <f t="shared" si="64"/>
        <v>2772.4030000000002</v>
      </c>
      <c r="I67" s="193">
        <f t="shared" si="64"/>
        <v>2675.0169999999998</v>
      </c>
      <c r="J67" s="274">
        <f t="shared" si="64"/>
        <v>2742.8450000000003</v>
      </c>
      <c r="K67" s="193">
        <f t="shared" si="64"/>
        <v>18735.399999999998</v>
      </c>
      <c r="L67" s="193">
        <f t="shared" si="64"/>
        <v>18350.5</v>
      </c>
      <c r="M67" s="194">
        <f t="shared" si="64"/>
        <v>18260.528993427175</v>
      </c>
      <c r="N67" s="193">
        <f t="shared" si="64"/>
        <v>17777</v>
      </c>
      <c r="O67" s="193">
        <f t="shared" si="64"/>
        <v>17584</v>
      </c>
      <c r="P67" s="193">
        <f t="shared" si="64"/>
        <v>16083.5</v>
      </c>
      <c r="Q67" s="194">
        <f t="shared" si="64"/>
        <v>16240.000000000002</v>
      </c>
      <c r="R67" s="193">
        <f t="shared" si="64"/>
        <v>17950.3</v>
      </c>
      <c r="S67" s="193">
        <f t="shared" si="64"/>
        <v>16819.5</v>
      </c>
      <c r="T67" s="193">
        <f t="shared" si="64"/>
        <v>16459.611153255708</v>
      </c>
      <c r="U67" s="194">
        <f t="shared" ref="U67:V67" si="65">U66+U55</f>
        <v>16351.700000000003</v>
      </c>
      <c r="V67" s="312">
        <f t="shared" si="65"/>
        <v>15904.9</v>
      </c>
      <c r="W67" s="312">
        <f t="shared" ref="W67:X67" si="66">W66+W55</f>
        <v>15592.399999999998</v>
      </c>
      <c r="X67" s="312">
        <f t="shared" si="66"/>
        <v>14932.699999999999</v>
      </c>
      <c r="Y67" s="290">
        <f t="shared" ref="Y67:AB67" si="67">Y66+Y55</f>
        <v>15639.2</v>
      </c>
      <c r="Z67" s="312">
        <f t="shared" si="67"/>
        <v>14989.4</v>
      </c>
      <c r="AA67" s="312">
        <f t="shared" si="67"/>
        <v>16297.599999999999</v>
      </c>
      <c r="AB67" s="312">
        <f t="shared" si="67"/>
        <v>16714</v>
      </c>
      <c r="AC67" s="290">
        <f t="shared" ref="AC67:AF67" si="68">AC66+AC55</f>
        <v>16821.599999999999</v>
      </c>
      <c r="AD67" s="312">
        <f t="shared" si="68"/>
        <v>17291.2</v>
      </c>
      <c r="AE67" s="312">
        <f t="shared" si="68"/>
        <v>17440.7</v>
      </c>
      <c r="AF67" s="312">
        <f t="shared" si="68"/>
        <v>0</v>
      </c>
      <c r="AG67" s="290">
        <f t="shared" ref="AG67" si="69">AG66+AG55</f>
        <v>0</v>
      </c>
    </row>
    <row r="68" spans="1:33" s="164" customFormat="1" ht="24.95" customHeight="1" thickBot="1">
      <c r="A68" s="165" t="s">
        <v>106</v>
      </c>
      <c r="B68" s="198">
        <f t="shared" ref="B68:T68" si="70">B67+B46</f>
        <v>5502.753999999999</v>
      </c>
      <c r="C68" s="198">
        <f t="shared" si="70"/>
        <v>5597.8010000000004</v>
      </c>
      <c r="D68" s="198">
        <f t="shared" si="70"/>
        <v>5514.8739999999998</v>
      </c>
      <c r="E68" s="199">
        <f t="shared" si="70"/>
        <v>5561.3450000000003</v>
      </c>
      <c r="F68" s="198">
        <f t="shared" si="70"/>
        <v>5629.4740000000002</v>
      </c>
      <c r="G68" s="198">
        <f t="shared" si="70"/>
        <v>5592.7070000000003</v>
      </c>
      <c r="H68" s="198">
        <f t="shared" si="70"/>
        <v>5597.9809999999998</v>
      </c>
      <c r="I68" s="277">
        <f t="shared" si="70"/>
        <v>5676.23</v>
      </c>
      <c r="J68" s="278">
        <f t="shared" si="70"/>
        <v>5851.1939999999995</v>
      </c>
      <c r="K68" s="198">
        <f t="shared" si="70"/>
        <v>27827.1</v>
      </c>
      <c r="L68" s="198">
        <f t="shared" si="70"/>
        <v>27481.200000000001</v>
      </c>
      <c r="M68" s="199">
        <f t="shared" si="70"/>
        <v>27338.728993427176</v>
      </c>
      <c r="N68" s="198">
        <f t="shared" si="70"/>
        <v>27088.9</v>
      </c>
      <c r="O68" s="198">
        <f t="shared" si="70"/>
        <v>27141.800000000003</v>
      </c>
      <c r="P68" s="198">
        <f t="shared" si="70"/>
        <v>26143.5</v>
      </c>
      <c r="Q68" s="200">
        <f t="shared" si="70"/>
        <v>26490.100000000002</v>
      </c>
      <c r="R68" s="198">
        <f t="shared" si="70"/>
        <v>28355.5</v>
      </c>
      <c r="S68" s="198">
        <f t="shared" si="70"/>
        <v>27581.1</v>
      </c>
      <c r="T68" s="198">
        <f t="shared" si="70"/>
        <v>27493.111153255708</v>
      </c>
      <c r="U68" s="200">
        <f t="shared" ref="U68:V68" si="71">U67+U46</f>
        <v>27729.300000000003</v>
      </c>
      <c r="V68" s="315">
        <f t="shared" si="71"/>
        <v>27553.199999999997</v>
      </c>
      <c r="W68" s="315">
        <f t="shared" ref="W68:X68" si="72">W67+W46</f>
        <v>27317.5</v>
      </c>
      <c r="X68" s="315">
        <f t="shared" si="72"/>
        <v>26892.6</v>
      </c>
      <c r="Y68" s="200">
        <f t="shared" ref="Y68:AB68" si="73">Y67+Y46</f>
        <v>27756</v>
      </c>
      <c r="Z68" s="315">
        <f>Z67+Z46</f>
        <v>27894.400000000001</v>
      </c>
      <c r="AA68" s="315">
        <f t="shared" si="73"/>
        <v>29751.599999999999</v>
      </c>
      <c r="AB68" s="315">
        <f t="shared" si="73"/>
        <v>30395.3</v>
      </c>
      <c r="AC68" s="200">
        <f t="shared" ref="AC68" si="74">AC67+AC46</f>
        <v>30696.799999999999</v>
      </c>
      <c r="AD68" s="315">
        <f>AD67+AD46</f>
        <v>31463.800000000003</v>
      </c>
      <c r="AE68" s="315">
        <f t="shared" ref="AE68:AG68" si="75">AE67+AE46</f>
        <v>31359.200000000001</v>
      </c>
      <c r="AF68" s="315">
        <f t="shared" si="75"/>
        <v>0</v>
      </c>
      <c r="AG68" s="200">
        <f t="shared" si="75"/>
        <v>0</v>
      </c>
    </row>
    <row r="69" spans="1:33" s="159" customFormat="1">
      <c r="A69" s="167"/>
      <c r="K69" s="168"/>
      <c r="L69" s="168"/>
      <c r="P69" s="168"/>
      <c r="V69" s="13"/>
      <c r="W69" s="13"/>
      <c r="X69" s="13"/>
      <c r="Y69" s="13"/>
      <c r="Z69" s="13"/>
      <c r="AA69" s="13"/>
      <c r="AB69" s="13"/>
      <c r="AC69" s="13"/>
    </row>
    <row r="70" spans="1:33" s="159" customFormat="1">
      <c r="A70" s="167"/>
      <c r="K70" s="168"/>
      <c r="L70" s="168"/>
      <c r="P70" s="168"/>
      <c r="V70" s="13"/>
      <c r="W70" s="13"/>
      <c r="X70" s="13"/>
      <c r="Y70" s="13"/>
      <c r="Z70" s="13"/>
      <c r="AA70" s="13"/>
      <c r="AB70" s="13"/>
      <c r="AC70" s="13"/>
    </row>
    <row r="71" spans="1:33" s="159" customFormat="1" ht="20.100000000000001" customHeight="1">
      <c r="A71" s="670" t="s">
        <v>196</v>
      </c>
      <c r="B71" s="670"/>
      <c r="C71" s="670"/>
      <c r="D71" s="670"/>
      <c r="E71" s="670"/>
      <c r="F71" s="670"/>
      <c r="G71" s="670"/>
      <c r="H71" s="670"/>
      <c r="I71" s="670"/>
      <c r="J71" s="670"/>
      <c r="K71" s="670"/>
      <c r="L71" s="670"/>
      <c r="M71" s="670"/>
      <c r="N71" s="670"/>
      <c r="O71" s="670"/>
      <c r="P71" s="670"/>
      <c r="Q71" s="670"/>
      <c r="V71" s="13"/>
      <c r="W71" s="13"/>
      <c r="X71" s="13"/>
      <c r="Y71" s="13"/>
      <c r="Z71" s="13"/>
      <c r="AA71" s="13"/>
      <c r="AB71" s="13"/>
      <c r="AC71" s="13"/>
    </row>
    <row r="72" spans="1:33" s="159" customFormat="1" ht="20.100000000000001" customHeight="1">
      <c r="A72" s="670" t="s">
        <v>197</v>
      </c>
      <c r="B72" s="670"/>
      <c r="C72" s="670"/>
      <c r="D72" s="670"/>
      <c r="E72" s="670"/>
      <c r="F72" s="670"/>
      <c r="G72" s="670"/>
      <c r="H72" s="670"/>
      <c r="I72" s="670"/>
      <c r="J72" s="670"/>
      <c r="K72" s="670"/>
      <c r="L72" s="670"/>
      <c r="M72" s="670"/>
      <c r="N72" s="670"/>
      <c r="O72" s="670"/>
      <c r="P72" s="670"/>
      <c r="Q72" s="670"/>
      <c r="V72" s="13"/>
      <c r="W72" s="13"/>
      <c r="X72" s="13"/>
      <c r="Y72" s="13"/>
      <c r="Z72" s="13"/>
      <c r="AA72" s="13"/>
      <c r="AB72" s="13"/>
      <c r="AC72" s="13"/>
    </row>
    <row r="73" spans="1:33" s="159" customFormat="1">
      <c r="A73" s="169"/>
      <c r="K73" s="168"/>
      <c r="L73" s="168"/>
      <c r="P73" s="168"/>
      <c r="V73" s="13"/>
      <c r="W73" s="13"/>
      <c r="X73" s="13"/>
      <c r="Y73" s="13"/>
      <c r="Z73" s="13"/>
      <c r="AA73" s="13"/>
      <c r="AB73" s="13"/>
      <c r="AC73" s="13"/>
    </row>
    <row r="74" spans="1:33" s="159" customFormat="1">
      <c r="A74" s="161"/>
      <c r="K74" s="168"/>
      <c r="L74" s="168"/>
      <c r="P74" s="168"/>
      <c r="V74" s="13"/>
      <c r="W74" s="13"/>
      <c r="X74" s="13"/>
      <c r="Y74" s="13"/>
      <c r="Z74" s="13"/>
      <c r="AA74" s="13"/>
      <c r="AB74" s="13"/>
      <c r="AC74" s="13"/>
    </row>
    <row r="75" spans="1:33" s="159" customFormat="1">
      <c r="A75" s="169"/>
      <c r="K75" s="168"/>
      <c r="L75" s="168"/>
      <c r="P75" s="168"/>
      <c r="V75" s="13"/>
      <c r="W75" s="13"/>
      <c r="X75" s="13"/>
      <c r="Y75" s="13"/>
      <c r="Z75" s="13"/>
      <c r="AA75" s="13"/>
      <c r="AB75" s="13"/>
      <c r="AC75" s="13"/>
    </row>
    <row r="76" spans="1:33" s="159" customFormat="1">
      <c r="A76" s="169"/>
      <c r="K76" s="168"/>
      <c r="L76" s="168"/>
      <c r="P76" s="168"/>
      <c r="V76" s="13"/>
      <c r="W76" s="13"/>
      <c r="X76" s="13"/>
      <c r="Y76" s="13"/>
      <c r="Z76" s="13"/>
      <c r="AA76" s="13"/>
      <c r="AB76" s="13"/>
      <c r="AC76" s="13"/>
    </row>
  </sheetData>
  <mergeCells count="10">
    <mergeCell ref="A72:Q72"/>
    <mergeCell ref="B2:E2"/>
    <mergeCell ref="F2:I2"/>
    <mergeCell ref="J2:M2"/>
    <mergeCell ref="N2:Q2"/>
    <mergeCell ref="AD2:AG2"/>
    <mergeCell ref="Z2:AC2"/>
    <mergeCell ref="V2:Y2"/>
    <mergeCell ref="R2:U2"/>
    <mergeCell ref="A71:Q71"/>
  </mergeCells>
  <phoneticPr fontId="22" type="noConversion"/>
  <pageMargins left="0.70866141732283472" right="0.70866141732283472" top="0.74803149606299213" bottom="0.74803149606299213" header="0.31496062992125984" footer="0.31496062992125984"/>
  <pageSetup paperSize="9" scale="31" orientation="landscape" r:id="rId1"/>
  <ignoredErrors>
    <ignoredError sqref="I66 C31 F31 H3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P145"/>
  <sheetViews>
    <sheetView showGridLines="0" zoomScaleNormal="100" zoomScaleSheetLayoutView="110" workbookViewId="0">
      <pane xSplit="1" ySplit="3" topLeftCell="AD4" activePane="bottomRight" state="frozen"/>
      <selection pane="topRight" activeCell="B1" sqref="B1"/>
      <selection pane="bottomLeft" activeCell="A4" sqref="A4"/>
      <selection pane="bottomRight" activeCell="AE62" sqref="AE62"/>
    </sheetView>
  </sheetViews>
  <sheetFormatPr defaultColWidth="9" defaultRowHeight="12.75"/>
  <cols>
    <col min="1" max="1" width="60.75" style="6" customWidth="1"/>
    <col min="2" max="2" width="13.125" style="6" customWidth="1"/>
    <col min="3" max="4" width="13" style="6" bestFit="1" customWidth="1"/>
    <col min="5" max="5" width="14.125" style="6" customWidth="1"/>
    <col min="6" max="6" width="13" style="6" bestFit="1" customWidth="1"/>
    <col min="7" max="8" width="12.875" style="6" customWidth="1"/>
    <col min="9" max="9" width="14.125" style="6" customWidth="1"/>
    <col min="10" max="11" width="13" style="6" bestFit="1" customWidth="1"/>
    <col min="12" max="12" width="12.875" style="6" customWidth="1"/>
    <col min="13" max="13" width="14.125" style="6" customWidth="1"/>
    <col min="14" max="16" width="13" style="6" bestFit="1" customWidth="1"/>
    <col min="17" max="17" width="14.125" style="6" customWidth="1"/>
    <col min="18" max="20" width="13" style="6" bestFit="1" customWidth="1"/>
    <col min="21" max="21" width="14.125" style="6" customWidth="1"/>
    <col min="22" max="24" width="13" style="6" bestFit="1" customWidth="1"/>
    <col min="25" max="25" width="14.125" style="6" customWidth="1"/>
    <col min="26" max="28" width="13" style="6" bestFit="1" customWidth="1"/>
    <col min="29" max="29" width="14.125" style="6" customWidth="1"/>
    <col min="30" max="33" width="13.125" style="11" customWidth="1"/>
    <col min="34" max="34" width="9" style="11"/>
    <col min="35" max="38" width="13.125" style="11" customWidth="1"/>
    <col min="39" max="16384" width="9" style="6"/>
  </cols>
  <sheetData>
    <row r="1" spans="1:458" s="25" customFormat="1" ht="50.25" customHeight="1" thickBo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row>
    <row r="2" spans="1:458" s="25" customFormat="1" ht="24.95" customHeight="1">
      <c r="A2" s="38" t="s">
        <v>127</v>
      </c>
      <c r="B2" s="667">
        <v>2012</v>
      </c>
      <c r="C2" s="668"/>
      <c r="D2" s="668"/>
      <c r="E2" s="669"/>
      <c r="F2" s="667">
        <v>2013</v>
      </c>
      <c r="G2" s="668"/>
      <c r="H2" s="668"/>
      <c r="I2" s="669"/>
      <c r="J2" s="668">
        <v>2014</v>
      </c>
      <c r="K2" s="668"/>
      <c r="L2" s="668"/>
      <c r="M2" s="668"/>
      <c r="N2" s="676">
        <v>2015</v>
      </c>
      <c r="O2" s="671"/>
      <c r="P2" s="671"/>
      <c r="Q2" s="672"/>
      <c r="R2" s="675">
        <v>2016</v>
      </c>
      <c r="S2" s="673"/>
      <c r="T2" s="673"/>
      <c r="U2" s="674"/>
      <c r="V2" s="675" t="s">
        <v>246</v>
      </c>
      <c r="W2" s="673"/>
      <c r="X2" s="673"/>
      <c r="Y2" s="674"/>
      <c r="Z2" s="667" t="s">
        <v>268</v>
      </c>
      <c r="AA2" s="673"/>
      <c r="AB2" s="673"/>
      <c r="AC2" s="674"/>
      <c r="AD2" s="667" t="s">
        <v>314</v>
      </c>
      <c r="AE2" s="673"/>
      <c r="AF2" s="673"/>
      <c r="AG2" s="674"/>
      <c r="AH2" s="24"/>
      <c r="AI2" s="667" t="s">
        <v>320</v>
      </c>
      <c r="AJ2" s="673"/>
      <c r="AK2" s="673"/>
      <c r="AL2" s="67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row>
    <row r="3" spans="1:458" ht="39" customHeight="1" thickBot="1">
      <c r="A3" s="39" t="s">
        <v>49</v>
      </c>
      <c r="B3" s="36" t="s">
        <v>164</v>
      </c>
      <c r="C3" s="35" t="s">
        <v>165</v>
      </c>
      <c r="D3" s="35" t="s">
        <v>166</v>
      </c>
      <c r="E3" s="37" t="s">
        <v>167</v>
      </c>
      <c r="F3" s="36" t="s">
        <v>164</v>
      </c>
      <c r="G3" s="35" t="s">
        <v>165</v>
      </c>
      <c r="H3" s="35" t="s">
        <v>166</v>
      </c>
      <c r="I3" s="37" t="s">
        <v>167</v>
      </c>
      <c r="J3" s="35" t="s">
        <v>164</v>
      </c>
      <c r="K3" s="35" t="s">
        <v>165</v>
      </c>
      <c r="L3" s="35" t="s">
        <v>166</v>
      </c>
      <c r="M3" s="44" t="s">
        <v>167</v>
      </c>
      <c r="N3" s="36" t="s">
        <v>164</v>
      </c>
      <c r="O3" s="35" t="s">
        <v>165</v>
      </c>
      <c r="P3" s="35" t="s">
        <v>166</v>
      </c>
      <c r="Q3" s="180" t="s">
        <v>167</v>
      </c>
      <c r="R3" s="36" t="s">
        <v>164</v>
      </c>
      <c r="S3" s="35" t="s">
        <v>165</v>
      </c>
      <c r="T3" s="35" t="s">
        <v>166</v>
      </c>
      <c r="U3" s="180" t="s">
        <v>167</v>
      </c>
      <c r="V3" s="36" t="s">
        <v>164</v>
      </c>
      <c r="W3" s="35" t="s">
        <v>165</v>
      </c>
      <c r="X3" s="35" t="s">
        <v>166</v>
      </c>
      <c r="Y3" s="180" t="s">
        <v>167</v>
      </c>
      <c r="Z3" s="36" t="s">
        <v>164</v>
      </c>
      <c r="AA3" s="35" t="s">
        <v>165</v>
      </c>
      <c r="AB3" s="35" t="s">
        <v>166</v>
      </c>
      <c r="AC3" s="180" t="s">
        <v>167</v>
      </c>
      <c r="AD3" s="36" t="s">
        <v>164</v>
      </c>
      <c r="AE3" s="35" t="s">
        <v>165</v>
      </c>
      <c r="AF3" s="35" t="s">
        <v>166</v>
      </c>
      <c r="AG3" s="180" t="s">
        <v>167</v>
      </c>
      <c r="AI3" s="36" t="s">
        <v>164</v>
      </c>
      <c r="AJ3" s="35" t="s">
        <v>165</v>
      </c>
      <c r="AK3" s="35" t="s">
        <v>166</v>
      </c>
      <c r="AL3" s="180" t="s">
        <v>167</v>
      </c>
    </row>
    <row r="4" spans="1:458" s="11" customFormat="1" ht="24.95" customHeight="1" thickBot="1">
      <c r="A4" s="40" t="s">
        <v>128</v>
      </c>
      <c r="B4" s="212">
        <v>205.10900000000001</v>
      </c>
      <c r="C4" s="210">
        <v>304.61200000000002</v>
      </c>
      <c r="D4" s="210">
        <v>476.67400000000004</v>
      </c>
      <c r="E4" s="286">
        <v>598.298</v>
      </c>
      <c r="F4" s="212">
        <v>95.105000000000004</v>
      </c>
      <c r="G4" s="210">
        <v>175.85</v>
      </c>
      <c r="H4" s="210">
        <v>352.30099999999999</v>
      </c>
      <c r="I4" s="286">
        <v>525.44500000000005</v>
      </c>
      <c r="J4" s="210">
        <v>98.171999999999997</v>
      </c>
      <c r="K4" s="210">
        <f>'Consolidated income statement'!M26+'Consolidated income statement'!L26</f>
        <v>230.29999999999976</v>
      </c>
      <c r="L4" s="210">
        <v>278.5</v>
      </c>
      <c r="M4" s="211">
        <f>'Consolidated income statement'!P26</f>
        <v>292.49999999999795</v>
      </c>
      <c r="N4" s="212">
        <v>170.8</v>
      </c>
      <c r="O4" s="210">
        <v>475.29999999999984</v>
      </c>
      <c r="P4" s="210">
        <f>SUM('Consolidated income statement'!Q26:S26)</f>
        <v>977.7999999999995</v>
      </c>
      <c r="Q4" s="213">
        <f>'Consolidated income statement'!U26</f>
        <v>1163.3999999999994</v>
      </c>
      <c r="R4" s="212">
        <f>'Consolidated income statement'!V26</f>
        <v>178.50000000000006</v>
      </c>
      <c r="S4" s="210">
        <f>'Consolidated income statement'!W26+'Consolidated income statement'!V26</f>
        <v>409.4000000000002</v>
      </c>
      <c r="T4" s="210">
        <f>'Consolidated income statement'!V26+'Consolidated income statement'!X26+'Consolidated income statement'!W26</f>
        <v>679.20000000000061</v>
      </c>
      <c r="U4" s="213">
        <f>'Consolidated income statement'!Y26+T4</f>
        <v>1021.0000000000006</v>
      </c>
      <c r="V4" s="212">
        <f>'Consolidated income statement'!AA26</f>
        <v>271.40000000000032</v>
      </c>
      <c r="W4" s="210">
        <f>'Consolidated income statement'!AA26+'Consolidated income statement'!AB26</f>
        <v>553.10000000000025</v>
      </c>
      <c r="X4" s="210">
        <f>SUM('Consolidated income statement'!AA26:AC26)</f>
        <v>788.00000000000023</v>
      </c>
      <c r="Y4" s="213">
        <v>945.2</v>
      </c>
      <c r="Z4" s="210">
        <v>292.2</v>
      </c>
      <c r="AA4" s="210">
        <v>523.6</v>
      </c>
      <c r="AB4" s="210">
        <v>750.7</v>
      </c>
      <c r="AC4" s="213">
        <v>816.1</v>
      </c>
      <c r="AD4" s="210">
        <v>300.8</v>
      </c>
      <c r="AE4" s="210">
        <v>570.9</v>
      </c>
      <c r="AF4" s="210"/>
      <c r="AG4" s="213"/>
      <c r="AI4" s="212">
        <v>297.3</v>
      </c>
      <c r="AJ4" s="210">
        <v>566.20000000000005</v>
      </c>
      <c r="AK4" s="210"/>
      <c r="AL4" s="213"/>
    </row>
    <row r="5" spans="1:458" s="11" customFormat="1" ht="24.95" customHeight="1" thickBot="1">
      <c r="A5" s="40" t="s">
        <v>129</v>
      </c>
      <c r="B5" s="287">
        <f t="shared" ref="B5:Y5" si="0">SUM(B6:B27)</f>
        <v>28.31799999999998</v>
      </c>
      <c r="C5" s="288">
        <f t="shared" si="0"/>
        <v>110.99899999999997</v>
      </c>
      <c r="D5" s="288">
        <f t="shared" si="0"/>
        <v>152.09600000000003</v>
      </c>
      <c r="E5" s="286">
        <f t="shared" si="0"/>
        <v>244.9200000000001</v>
      </c>
      <c r="F5" s="212">
        <f t="shared" si="0"/>
        <v>70.556999999999988</v>
      </c>
      <c r="G5" s="210">
        <f t="shared" si="0"/>
        <v>176.07799999999997</v>
      </c>
      <c r="H5" s="210">
        <f t="shared" si="0"/>
        <v>195.94299999999996</v>
      </c>
      <c r="I5" s="286">
        <f t="shared" si="0"/>
        <v>334.28999999999991</v>
      </c>
      <c r="J5" s="210">
        <f t="shared" si="0"/>
        <v>86.532000000000011</v>
      </c>
      <c r="K5" s="210">
        <f t="shared" si="0"/>
        <v>505.40000000000015</v>
      </c>
      <c r="L5" s="210">
        <f t="shared" si="0"/>
        <v>1145.4000000000003</v>
      </c>
      <c r="M5" s="211">
        <f t="shared" si="0"/>
        <v>1825.2999999999997</v>
      </c>
      <c r="N5" s="212">
        <f t="shared" si="0"/>
        <v>282.2000000000001</v>
      </c>
      <c r="O5" s="210">
        <f t="shared" si="0"/>
        <v>852.69999999999982</v>
      </c>
      <c r="P5" s="210">
        <f t="shared" si="0"/>
        <v>1195.6999999999994</v>
      </c>
      <c r="Q5" s="213">
        <f t="shared" si="0"/>
        <v>1821.6999999999998</v>
      </c>
      <c r="R5" s="212">
        <f t="shared" si="0"/>
        <v>405.9</v>
      </c>
      <c r="S5" s="210">
        <f t="shared" si="0"/>
        <v>1140</v>
      </c>
      <c r="T5" s="210">
        <f t="shared" si="0"/>
        <v>1678.3000000000002</v>
      </c>
      <c r="U5" s="213">
        <f t="shared" si="0"/>
        <v>2130.5</v>
      </c>
      <c r="V5" s="212">
        <f t="shared" si="0"/>
        <v>509.29999999999995</v>
      </c>
      <c r="W5" s="210">
        <f t="shared" si="0"/>
        <v>1062.8</v>
      </c>
      <c r="X5" s="210">
        <f t="shared" si="0"/>
        <v>1457.6999999999998</v>
      </c>
      <c r="Y5" s="213">
        <f t="shared" si="0"/>
        <v>2181.1000000000004</v>
      </c>
      <c r="Z5" s="212">
        <f t="shared" ref="Z5:AC5" si="1">SUM(Z6:Z27)</f>
        <v>340.90000000000009</v>
      </c>
      <c r="AA5" s="210">
        <f t="shared" si="1"/>
        <v>873.30000000000007</v>
      </c>
      <c r="AB5" s="210">
        <f t="shared" si="1"/>
        <v>1470.1000000000001</v>
      </c>
      <c r="AC5" s="213">
        <f t="shared" si="1"/>
        <v>2416</v>
      </c>
      <c r="AD5" s="212">
        <f>SUM(AD6:AD27)</f>
        <v>402.4</v>
      </c>
      <c r="AE5" s="210">
        <f t="shared" ref="AE5" si="2">SUM(AE6:AE27)</f>
        <v>983.40000000000032</v>
      </c>
      <c r="AF5" s="210">
        <f t="shared" ref="AF5:AG5" si="3">SUM(AF6:AF27)</f>
        <v>0</v>
      </c>
      <c r="AG5" s="213">
        <f t="shared" si="3"/>
        <v>0</v>
      </c>
      <c r="AI5" s="212">
        <f>SUM(AI6:AI27)</f>
        <v>464.9</v>
      </c>
      <c r="AJ5" s="210">
        <f t="shared" ref="AJ5" si="4">SUM(AJ6:AJ27)</f>
        <v>1143.1000000000001</v>
      </c>
      <c r="AK5" s="210">
        <f t="shared" ref="AK5:AL5" si="5">SUM(AK6:AK27)</f>
        <v>0</v>
      </c>
      <c r="AL5" s="213">
        <f t="shared" si="5"/>
        <v>0</v>
      </c>
    </row>
    <row r="6" spans="1:458" s="11" customFormat="1" ht="20.100000000000001" customHeight="1">
      <c r="A6" s="41" t="s">
        <v>58</v>
      </c>
      <c r="B6" s="216">
        <v>54.433</v>
      </c>
      <c r="C6" s="217">
        <v>111.117</v>
      </c>
      <c r="D6" s="217">
        <v>171.35499999999999</v>
      </c>
      <c r="E6" s="289">
        <v>243.066</v>
      </c>
      <c r="F6" s="216">
        <v>60.698</v>
      </c>
      <c r="G6" s="217">
        <v>122.961</v>
      </c>
      <c r="H6" s="217">
        <v>187.82599999999999</v>
      </c>
      <c r="I6" s="289">
        <v>256.416</v>
      </c>
      <c r="J6" s="214">
        <v>62.434000000000005</v>
      </c>
      <c r="K6" s="214">
        <v>373.8</v>
      </c>
      <c r="L6" s="214">
        <v>852.1</v>
      </c>
      <c r="M6" s="215">
        <v>1295.9000000000001</v>
      </c>
      <c r="N6" s="216">
        <v>467.9</v>
      </c>
      <c r="O6" s="217">
        <v>861.4</v>
      </c>
      <c r="P6" s="217">
        <v>1262.5999999999999</v>
      </c>
      <c r="Q6" s="218">
        <v>1699.3</v>
      </c>
      <c r="R6" s="216">
        <v>423.7</v>
      </c>
      <c r="S6" s="217">
        <v>951.2</v>
      </c>
      <c r="T6" s="217">
        <v>1459.1</v>
      </c>
      <c r="U6" s="218">
        <v>1971.5</v>
      </c>
      <c r="V6" s="216">
        <v>472.3</v>
      </c>
      <c r="W6" s="217">
        <v>919</v>
      </c>
      <c r="X6" s="217">
        <v>1348.2</v>
      </c>
      <c r="Y6" s="218">
        <v>1783</v>
      </c>
      <c r="Z6" s="217">
        <v>454.5</v>
      </c>
      <c r="AA6" s="217">
        <v>925.3</v>
      </c>
      <c r="AB6" s="217">
        <v>1448.8</v>
      </c>
      <c r="AC6" s="218">
        <v>1970.7</v>
      </c>
      <c r="AD6" s="216">
        <v>440.1</v>
      </c>
      <c r="AE6" s="217">
        <v>884.7</v>
      </c>
      <c r="AF6" s="217"/>
      <c r="AG6" s="218"/>
      <c r="AI6" s="216">
        <v>547.1</v>
      </c>
      <c r="AJ6" s="217">
        <v>1100.7</v>
      </c>
      <c r="AK6" s="217"/>
      <c r="AL6" s="218"/>
    </row>
    <row r="7" spans="1:458" s="11" customFormat="1" ht="20.100000000000001" customHeight="1">
      <c r="A7" s="41" t="s">
        <v>130</v>
      </c>
      <c r="B7" s="216">
        <v>-29.711000000000002</v>
      </c>
      <c r="C7" s="217">
        <v>-88.683000000000007</v>
      </c>
      <c r="D7" s="217">
        <v>-140.589</v>
      </c>
      <c r="E7" s="289">
        <v>-177.86799999999999</v>
      </c>
      <c r="F7" s="216">
        <v>-44.32</v>
      </c>
      <c r="G7" s="217">
        <v>-122.45100000000001</v>
      </c>
      <c r="H7" s="217">
        <v>-189.477</v>
      </c>
      <c r="I7" s="289">
        <v>-222.45600000000002</v>
      </c>
      <c r="J7" s="214">
        <v>-109.42100000000001</v>
      </c>
      <c r="K7" s="214">
        <v>-148.9</v>
      </c>
      <c r="L7" s="214">
        <v>-224.7</v>
      </c>
      <c r="M7" s="215">
        <v>-306.8</v>
      </c>
      <c r="N7" s="216">
        <v>-41.5</v>
      </c>
      <c r="O7" s="217">
        <v>-115.2</v>
      </c>
      <c r="P7" s="217">
        <v>-195.4</v>
      </c>
      <c r="Q7" s="218">
        <v>-238.1</v>
      </c>
      <c r="R7" s="216">
        <v>-58.1</v>
      </c>
      <c r="S7" s="217">
        <v>-119</v>
      </c>
      <c r="T7" s="217">
        <v>-189.6</v>
      </c>
      <c r="U7" s="218">
        <v>-246.5</v>
      </c>
      <c r="V7" s="216">
        <v>-33.299999999999997</v>
      </c>
      <c r="W7" s="217">
        <v>-94.2</v>
      </c>
      <c r="X7" s="217">
        <v>-246.2</v>
      </c>
      <c r="Y7" s="218">
        <v>-305.10000000000002</v>
      </c>
      <c r="Z7" s="217">
        <v>-62.4</v>
      </c>
      <c r="AA7" s="217">
        <v>-124.7</v>
      </c>
      <c r="AB7" s="217">
        <v>-411.2</v>
      </c>
      <c r="AC7" s="218">
        <v>-363.5</v>
      </c>
      <c r="AD7" s="216">
        <v>-156.30000000000001</v>
      </c>
      <c r="AE7" s="217">
        <v>-343.1</v>
      </c>
      <c r="AF7" s="217"/>
      <c r="AG7" s="218"/>
      <c r="AI7" s="216">
        <v>-156.30000000000001</v>
      </c>
      <c r="AJ7" s="217">
        <v>-343.1</v>
      </c>
      <c r="AK7" s="217"/>
      <c r="AL7" s="218"/>
    </row>
    <row r="8" spans="1:458" s="11" customFormat="1" ht="20.100000000000001" customHeight="1">
      <c r="A8" s="41" t="s">
        <v>131</v>
      </c>
      <c r="B8" s="216">
        <v>46.908999999999999</v>
      </c>
      <c r="C8" s="217">
        <v>99.832000000000008</v>
      </c>
      <c r="D8" s="217">
        <v>145.40600000000001</v>
      </c>
      <c r="E8" s="289">
        <v>194.52100000000002</v>
      </c>
      <c r="F8" s="216">
        <v>46.048999999999999</v>
      </c>
      <c r="G8" s="217">
        <v>102.423</v>
      </c>
      <c r="H8" s="217">
        <v>162.63200000000001</v>
      </c>
      <c r="I8" s="289">
        <v>220.37100000000001</v>
      </c>
      <c r="J8" s="214">
        <v>40.084000000000003</v>
      </c>
      <c r="K8" s="214">
        <v>85.1</v>
      </c>
      <c r="L8" s="214">
        <v>162.19999999999999</v>
      </c>
      <c r="M8" s="215">
        <v>224.4</v>
      </c>
      <c r="N8" s="216">
        <v>43.7</v>
      </c>
      <c r="O8" s="217">
        <v>90.5</v>
      </c>
      <c r="P8" s="217">
        <v>149.9</v>
      </c>
      <c r="Q8" s="218">
        <v>212.6</v>
      </c>
      <c r="R8" s="216">
        <v>49.1</v>
      </c>
      <c r="S8" s="217">
        <v>125.3</v>
      </c>
      <c r="T8" s="217">
        <v>173.5</v>
      </c>
      <c r="U8" s="218">
        <v>230.7</v>
      </c>
      <c r="V8" s="216">
        <v>48.5</v>
      </c>
      <c r="W8" s="217">
        <v>102.7</v>
      </c>
      <c r="X8" s="217">
        <v>166.1</v>
      </c>
      <c r="Y8" s="218">
        <v>228.6</v>
      </c>
      <c r="Z8" s="217">
        <v>45.7</v>
      </c>
      <c r="AA8" s="217">
        <v>103.8</v>
      </c>
      <c r="AB8" s="217">
        <v>100.5</v>
      </c>
      <c r="AC8" s="218">
        <v>337</v>
      </c>
      <c r="AD8" s="216">
        <v>123.3</v>
      </c>
      <c r="AE8" s="217">
        <v>262.39999999999998</v>
      </c>
      <c r="AF8" s="217"/>
      <c r="AG8" s="218"/>
      <c r="AI8" s="216">
        <v>123.3</v>
      </c>
      <c r="AJ8" s="217">
        <v>262.39999999999998</v>
      </c>
      <c r="AK8" s="217"/>
      <c r="AL8" s="218"/>
    </row>
    <row r="9" spans="1:458" s="11" customFormat="1" ht="20.100000000000001" customHeight="1">
      <c r="A9" s="41" t="s">
        <v>132</v>
      </c>
      <c r="B9" s="216">
        <v>-1.0999999999999999E-2</v>
      </c>
      <c r="C9" s="217">
        <v>-0.25700000000000001</v>
      </c>
      <c r="D9" s="217">
        <v>-0.48299999999999998</v>
      </c>
      <c r="E9" s="289">
        <v>-0.111</v>
      </c>
      <c r="F9" s="216">
        <v>5.8000000000000003E-2</v>
      </c>
      <c r="G9" s="217">
        <v>7.2999999999999995E-2</v>
      </c>
      <c r="H9" s="217">
        <v>-38.896000000000001</v>
      </c>
      <c r="I9" s="289">
        <v>-35.765000000000001</v>
      </c>
      <c r="J9" s="214">
        <v>-5.2999999999999999E-2</v>
      </c>
      <c r="K9" s="214">
        <v>-0.7</v>
      </c>
      <c r="L9" s="214">
        <v>-2.4</v>
      </c>
      <c r="M9" s="215">
        <v>-2.9</v>
      </c>
      <c r="N9" s="216">
        <v>-0.4</v>
      </c>
      <c r="O9" s="217">
        <v>-4.8</v>
      </c>
      <c r="P9" s="217">
        <v>-5.7</v>
      </c>
      <c r="Q9" s="218">
        <v>-6.9</v>
      </c>
      <c r="R9" s="298" t="s">
        <v>1</v>
      </c>
      <c r="S9" s="299" t="s">
        <v>1</v>
      </c>
      <c r="T9" s="299" t="s">
        <v>1</v>
      </c>
      <c r="U9" s="303" t="s">
        <v>1</v>
      </c>
      <c r="V9" s="298" t="s">
        <v>1</v>
      </c>
      <c r="W9" s="299" t="s">
        <v>1</v>
      </c>
      <c r="X9" s="299" t="s">
        <v>1</v>
      </c>
      <c r="Y9" s="303" t="s">
        <v>1</v>
      </c>
      <c r="Z9" s="299" t="s">
        <v>1</v>
      </c>
      <c r="AA9" s="299" t="s">
        <v>1</v>
      </c>
      <c r="AB9" s="299" t="s">
        <v>1</v>
      </c>
      <c r="AC9" s="303" t="s">
        <v>1</v>
      </c>
      <c r="AD9" s="298" t="s">
        <v>1</v>
      </c>
      <c r="AE9" s="299" t="s">
        <v>1</v>
      </c>
      <c r="AF9" s="299"/>
      <c r="AG9" s="303"/>
      <c r="AI9" s="298" t="s">
        <v>1</v>
      </c>
      <c r="AJ9" s="299" t="s">
        <v>1</v>
      </c>
      <c r="AK9" s="299"/>
      <c r="AL9" s="303"/>
    </row>
    <row r="10" spans="1:458" s="11" customFormat="1" ht="20.100000000000001" customHeight="1">
      <c r="A10" s="41" t="s">
        <v>133</v>
      </c>
      <c r="B10" s="216">
        <v>2.3109999999999999</v>
      </c>
      <c r="C10" s="217">
        <v>4.6020000000000003</v>
      </c>
      <c r="D10" s="217">
        <v>6.1379999999999999</v>
      </c>
      <c r="E10" s="289">
        <v>9.2439999999999998</v>
      </c>
      <c r="F10" s="216">
        <v>3.504</v>
      </c>
      <c r="G10" s="217">
        <v>5.843</v>
      </c>
      <c r="H10" s="217">
        <v>6.3049999999999997</v>
      </c>
      <c r="I10" s="289">
        <v>6.407</v>
      </c>
      <c r="J10" s="214">
        <v>4.1000000000000002E-2</v>
      </c>
      <c r="K10" s="214">
        <v>0.1</v>
      </c>
      <c r="L10" s="214">
        <v>30.4</v>
      </c>
      <c r="M10" s="215">
        <v>30.5</v>
      </c>
      <c r="N10" s="216">
        <v>0.1</v>
      </c>
      <c r="O10" s="217">
        <v>0.5</v>
      </c>
      <c r="P10" s="217">
        <v>0.5</v>
      </c>
      <c r="Q10" s="218">
        <v>1.4</v>
      </c>
      <c r="R10" s="298" t="s">
        <v>1</v>
      </c>
      <c r="S10" s="299" t="s">
        <v>1</v>
      </c>
      <c r="T10" s="299" t="s">
        <v>1</v>
      </c>
      <c r="U10" s="303" t="s">
        <v>1</v>
      </c>
      <c r="V10" s="298" t="s">
        <v>1</v>
      </c>
      <c r="W10" s="299" t="s">
        <v>1</v>
      </c>
      <c r="X10" s="299" t="s">
        <v>1</v>
      </c>
      <c r="Y10" s="303" t="s">
        <v>1</v>
      </c>
      <c r="Z10" s="299" t="s">
        <v>1</v>
      </c>
      <c r="AA10" s="299" t="s">
        <v>1</v>
      </c>
      <c r="AB10" s="299" t="s">
        <v>1</v>
      </c>
      <c r="AC10" s="303" t="s">
        <v>1</v>
      </c>
      <c r="AD10" s="298" t="s">
        <v>1</v>
      </c>
      <c r="AE10" s="299" t="s">
        <v>1</v>
      </c>
      <c r="AF10" s="299"/>
      <c r="AG10" s="303"/>
      <c r="AI10" s="298" t="s">
        <v>1</v>
      </c>
      <c r="AJ10" s="299" t="s">
        <v>1</v>
      </c>
      <c r="AK10" s="299"/>
      <c r="AL10" s="303"/>
    </row>
    <row r="11" spans="1:458" s="11" customFormat="1" ht="20.100000000000001" customHeight="1">
      <c r="A11" s="41" t="s">
        <v>134</v>
      </c>
      <c r="B11" s="216">
        <v>52.017000000000003</v>
      </c>
      <c r="C11" s="217">
        <v>105.822</v>
      </c>
      <c r="D11" s="217">
        <v>156.893</v>
      </c>
      <c r="E11" s="289">
        <v>205.185</v>
      </c>
      <c r="F11" s="216">
        <v>46.368000000000002</v>
      </c>
      <c r="G11" s="217">
        <v>93.388999999999996</v>
      </c>
      <c r="H11" s="217">
        <v>140.42699999999999</v>
      </c>
      <c r="I11" s="289">
        <v>183.81100000000001</v>
      </c>
      <c r="J11" s="214">
        <v>90.381</v>
      </c>
      <c r="K11" s="214">
        <v>248.5</v>
      </c>
      <c r="L11" s="214">
        <v>421.4</v>
      </c>
      <c r="M11" s="215">
        <v>603.70000000000005</v>
      </c>
      <c r="N11" s="216">
        <v>177.4</v>
      </c>
      <c r="O11" s="217">
        <v>348.5</v>
      </c>
      <c r="P11" s="217">
        <v>581.29999999999995</v>
      </c>
      <c r="Q11" s="218">
        <v>763.6</v>
      </c>
      <c r="R11" s="216">
        <v>144.69999999999999</v>
      </c>
      <c r="S11" s="217">
        <v>285.89999999999998</v>
      </c>
      <c r="T11" s="217">
        <v>417.4</v>
      </c>
      <c r="U11" s="218">
        <v>541.9</v>
      </c>
      <c r="V11" s="216">
        <v>114.5</v>
      </c>
      <c r="W11" s="217">
        <v>228.7</v>
      </c>
      <c r="X11" s="217">
        <v>331.1</v>
      </c>
      <c r="Y11" s="218">
        <v>432.3</v>
      </c>
      <c r="Z11" s="217">
        <v>68.5</v>
      </c>
      <c r="AA11" s="217">
        <v>166.7</v>
      </c>
      <c r="AB11" s="217">
        <v>269</v>
      </c>
      <c r="AC11" s="218">
        <v>401.6</v>
      </c>
      <c r="AD11" s="216">
        <v>94.5</v>
      </c>
      <c r="AE11" s="217">
        <v>189.2</v>
      </c>
      <c r="AF11" s="217"/>
      <c r="AG11" s="218"/>
      <c r="AI11" s="216">
        <v>107.2</v>
      </c>
      <c r="AJ11" s="217">
        <v>214.3</v>
      </c>
      <c r="AK11" s="217"/>
      <c r="AL11" s="218"/>
    </row>
    <row r="12" spans="1:458" s="11" customFormat="1" ht="20.100000000000001" customHeight="1">
      <c r="A12" s="41" t="s">
        <v>135</v>
      </c>
      <c r="B12" s="216">
        <v>-7.2490000000000006</v>
      </c>
      <c r="C12" s="217">
        <v>-7.3810000000000002</v>
      </c>
      <c r="D12" s="217">
        <v>1.093</v>
      </c>
      <c r="E12" s="289">
        <v>16.173000000000002</v>
      </c>
      <c r="F12" s="216">
        <v>11.273</v>
      </c>
      <c r="G12" s="217">
        <v>4.4740000000000002</v>
      </c>
      <c r="H12" s="217">
        <v>5.9119999999999999</v>
      </c>
      <c r="I12" s="289">
        <v>14.839</v>
      </c>
      <c r="J12" s="214">
        <v>-16.302</v>
      </c>
      <c r="K12" s="214">
        <v>-41.8</v>
      </c>
      <c r="L12" s="214">
        <v>-14.7</v>
      </c>
      <c r="M12" s="215">
        <v>0.5</v>
      </c>
      <c r="N12" s="216">
        <v>48.6</v>
      </c>
      <c r="O12" s="217">
        <v>45.6</v>
      </c>
      <c r="P12" s="217">
        <v>43.3</v>
      </c>
      <c r="Q12" s="218">
        <v>26.4</v>
      </c>
      <c r="R12" s="216">
        <v>21.5</v>
      </c>
      <c r="S12" s="217">
        <v>11.7</v>
      </c>
      <c r="T12" s="217">
        <v>0.7</v>
      </c>
      <c r="U12" s="218">
        <v>3</v>
      </c>
      <c r="V12" s="216">
        <v>41.5</v>
      </c>
      <c r="W12" s="217">
        <v>-0.3</v>
      </c>
      <c r="X12" s="217">
        <v>-16.899999999999999</v>
      </c>
      <c r="Y12" s="218">
        <v>-5</v>
      </c>
      <c r="Z12" s="217">
        <v>7.7</v>
      </c>
      <c r="AA12" s="217">
        <v>-45.1</v>
      </c>
      <c r="AB12" s="217">
        <v>-70.8</v>
      </c>
      <c r="AC12" s="218">
        <v>-77.2</v>
      </c>
      <c r="AD12" s="216">
        <v>60.3</v>
      </c>
      <c r="AE12" s="217">
        <v>51.4</v>
      </c>
      <c r="AF12" s="217"/>
      <c r="AG12" s="218"/>
      <c r="AI12" s="216">
        <v>60.3</v>
      </c>
      <c r="AJ12" s="217">
        <v>51.4</v>
      </c>
      <c r="AK12" s="217"/>
      <c r="AL12" s="218"/>
    </row>
    <row r="13" spans="1:458" s="11" customFormat="1" ht="20.100000000000001" customHeight="1">
      <c r="A13" s="41" t="s">
        <v>136</v>
      </c>
      <c r="B13" s="216">
        <v>-48.496000000000002</v>
      </c>
      <c r="C13" s="217">
        <v>-85.073000000000008</v>
      </c>
      <c r="D13" s="217">
        <v>-90.59</v>
      </c>
      <c r="E13" s="289">
        <v>-106.816</v>
      </c>
      <c r="F13" s="216">
        <v>-18.654</v>
      </c>
      <c r="G13" s="217">
        <v>-16.358000000000001</v>
      </c>
      <c r="H13" s="217">
        <v>16.681000000000001</v>
      </c>
      <c r="I13" s="289">
        <v>60.908000000000001</v>
      </c>
      <c r="J13" s="214">
        <v>-5.1610000000000005</v>
      </c>
      <c r="K13" s="214">
        <v>-29.2</v>
      </c>
      <c r="L13" s="214">
        <v>-87.6</v>
      </c>
      <c r="M13" s="215">
        <v>-191.9</v>
      </c>
      <c r="N13" s="216">
        <v>-211.8</v>
      </c>
      <c r="O13" s="217">
        <v>-581.20000000000005</v>
      </c>
      <c r="P13" s="217">
        <v>-349.3</v>
      </c>
      <c r="Q13" s="218">
        <v>-478.2</v>
      </c>
      <c r="R13" s="216">
        <v>-33.9</v>
      </c>
      <c r="S13" s="217">
        <v>-105.3</v>
      </c>
      <c r="T13" s="217">
        <v>-164.6</v>
      </c>
      <c r="U13" s="218">
        <v>-329.9</v>
      </c>
      <c r="V13" s="216">
        <v>21.5</v>
      </c>
      <c r="W13" s="217">
        <v>-112.7</v>
      </c>
      <c r="X13" s="217">
        <v>-224.5</v>
      </c>
      <c r="Y13" s="218">
        <v>-470.8</v>
      </c>
      <c r="Z13" s="217">
        <v>38.1</v>
      </c>
      <c r="AA13" s="217">
        <v>-516.5</v>
      </c>
      <c r="AB13" s="345">
        <v>-266.89999999999998</v>
      </c>
      <c r="AC13" s="218">
        <v>-289.10000000000002</v>
      </c>
      <c r="AD13" s="216">
        <v>155.9</v>
      </c>
      <c r="AE13" s="217">
        <v>8.1</v>
      </c>
      <c r="AF13" s="345"/>
      <c r="AG13" s="218"/>
      <c r="AI13" s="216">
        <v>158.4</v>
      </c>
      <c r="AJ13" s="217">
        <v>12.4</v>
      </c>
      <c r="AK13" s="345"/>
      <c r="AL13" s="218"/>
    </row>
    <row r="14" spans="1:458" s="11" customFormat="1" ht="20.100000000000001" customHeight="1">
      <c r="A14" s="636" t="s">
        <v>339</v>
      </c>
      <c r="B14" s="216">
        <v>53.564</v>
      </c>
      <c r="C14" s="217">
        <v>51.881</v>
      </c>
      <c r="D14" s="217">
        <v>66.406999999999996</v>
      </c>
      <c r="E14" s="289">
        <v>67.872</v>
      </c>
      <c r="F14" s="216">
        <v>-36.840000000000003</v>
      </c>
      <c r="G14" s="217">
        <v>-56.231999999999999</v>
      </c>
      <c r="H14" s="217">
        <v>-85.896000000000001</v>
      </c>
      <c r="I14" s="289">
        <v>-104.93900000000001</v>
      </c>
      <c r="J14" s="214">
        <v>31.469000000000001</v>
      </c>
      <c r="K14" s="214">
        <v>-73.8</v>
      </c>
      <c r="L14" s="214">
        <v>-175.9</v>
      </c>
      <c r="M14" s="215">
        <v>-277.7</v>
      </c>
      <c r="N14" s="216">
        <v>-216.1</v>
      </c>
      <c r="O14" s="217">
        <v>69.3</v>
      </c>
      <c r="P14" s="217">
        <v>-184.3</v>
      </c>
      <c r="Q14" s="218">
        <v>-118</v>
      </c>
      <c r="R14" s="216">
        <v>-205.9</v>
      </c>
      <c r="S14" s="217">
        <v>-106.7</v>
      </c>
      <c r="T14" s="217">
        <v>-141.30000000000001</v>
      </c>
      <c r="U14" s="218">
        <v>-33.299999999999997</v>
      </c>
      <c r="V14" s="216">
        <v>-181.5</v>
      </c>
      <c r="W14" s="217">
        <v>-112.9</v>
      </c>
      <c r="X14" s="217">
        <v>-90.1</v>
      </c>
      <c r="Y14" s="218">
        <v>183.1</v>
      </c>
      <c r="Z14" s="217">
        <v>-259.2</v>
      </c>
      <c r="AA14" s="217">
        <v>125.8</v>
      </c>
      <c r="AB14" s="345">
        <v>88</v>
      </c>
      <c r="AC14" s="218">
        <v>-44.2</v>
      </c>
      <c r="AD14" s="216">
        <v>-379.7</v>
      </c>
      <c r="AE14" s="217">
        <v>-183.1</v>
      </c>
      <c r="AF14" s="345"/>
      <c r="AG14" s="218"/>
      <c r="AI14" s="216">
        <v>-439.5</v>
      </c>
      <c r="AJ14" s="217">
        <v>-264.7</v>
      </c>
      <c r="AK14" s="345"/>
      <c r="AL14" s="218"/>
    </row>
    <row r="15" spans="1:458" s="11" customFormat="1" ht="20.100000000000001" customHeight="1">
      <c r="A15" s="41" t="s">
        <v>235</v>
      </c>
      <c r="B15" s="216"/>
      <c r="C15" s="217"/>
      <c r="D15" s="217"/>
      <c r="E15" s="289"/>
      <c r="F15" s="216"/>
      <c r="G15" s="217"/>
      <c r="H15" s="217"/>
      <c r="I15" s="289"/>
      <c r="J15" s="214"/>
      <c r="K15" s="214"/>
      <c r="L15" s="214"/>
      <c r="M15" s="215"/>
      <c r="N15" s="216"/>
      <c r="O15" s="217"/>
      <c r="P15" s="217"/>
      <c r="Q15" s="218"/>
      <c r="R15" s="216"/>
      <c r="S15" s="217"/>
      <c r="T15" s="217"/>
      <c r="U15" s="218"/>
      <c r="V15" s="216"/>
      <c r="W15" s="217"/>
      <c r="X15" s="217"/>
      <c r="Y15" s="218"/>
      <c r="Z15" s="217">
        <v>29.6</v>
      </c>
      <c r="AA15" s="217">
        <v>48.1</v>
      </c>
      <c r="AB15" s="217">
        <v>55.2</v>
      </c>
      <c r="AC15" s="218">
        <v>47.8</v>
      </c>
      <c r="AD15" s="216">
        <v>-9.1999999999999993</v>
      </c>
      <c r="AE15" s="217">
        <v>-3.3</v>
      </c>
      <c r="AF15" s="217"/>
      <c r="AG15" s="218"/>
      <c r="AI15" s="216">
        <v>-9.1999999999999993</v>
      </c>
      <c r="AJ15" s="217">
        <v>-3.3</v>
      </c>
      <c r="AK15" s="217"/>
      <c r="AL15" s="218"/>
    </row>
    <row r="16" spans="1:458" s="11" customFormat="1" ht="20.100000000000001" customHeight="1">
      <c r="A16" s="41" t="s">
        <v>236</v>
      </c>
      <c r="B16" s="216"/>
      <c r="C16" s="217"/>
      <c r="D16" s="217"/>
      <c r="E16" s="289"/>
      <c r="F16" s="216"/>
      <c r="G16" s="217"/>
      <c r="H16" s="217"/>
      <c r="I16" s="289"/>
      <c r="J16" s="214"/>
      <c r="K16" s="214"/>
      <c r="L16" s="214"/>
      <c r="M16" s="215"/>
      <c r="N16" s="216"/>
      <c r="O16" s="217"/>
      <c r="P16" s="217"/>
      <c r="Q16" s="218"/>
      <c r="R16" s="216"/>
      <c r="S16" s="217"/>
      <c r="T16" s="217"/>
      <c r="U16" s="218"/>
      <c r="V16" s="216"/>
      <c r="W16" s="217"/>
      <c r="X16" s="217"/>
      <c r="Y16" s="218"/>
      <c r="Z16" s="217">
        <v>-9.6</v>
      </c>
      <c r="AA16" s="217">
        <v>39.5</v>
      </c>
      <c r="AB16" s="217">
        <v>43.2</v>
      </c>
      <c r="AC16" s="218">
        <v>107.6</v>
      </c>
      <c r="AD16" s="216">
        <v>17.399999999999999</v>
      </c>
      <c r="AE16" s="217">
        <v>7</v>
      </c>
      <c r="AF16" s="217"/>
      <c r="AG16" s="218"/>
      <c r="AI16" s="216">
        <v>17.399999999999999</v>
      </c>
      <c r="AJ16" s="217">
        <v>7</v>
      </c>
      <c r="AK16" s="217"/>
      <c r="AL16" s="218"/>
    </row>
    <row r="17" spans="1:38" s="11" customFormat="1" ht="20.100000000000001" customHeight="1">
      <c r="A17" s="41" t="s">
        <v>137</v>
      </c>
      <c r="B17" s="216">
        <v>-0.186</v>
      </c>
      <c r="C17" s="217">
        <v>4.0730000000000004</v>
      </c>
      <c r="D17" s="217">
        <v>0.502</v>
      </c>
      <c r="E17" s="289">
        <v>2.093</v>
      </c>
      <c r="F17" s="216">
        <v>-1.048</v>
      </c>
      <c r="G17" s="217">
        <v>2.4170000000000003</v>
      </c>
      <c r="H17" s="217">
        <v>-3.5390000000000001</v>
      </c>
      <c r="I17" s="289">
        <v>6.4770000000000003</v>
      </c>
      <c r="J17" s="214">
        <v>-13.309000000000001</v>
      </c>
      <c r="K17" s="214">
        <v>-1.5</v>
      </c>
      <c r="L17" s="214">
        <v>-17.399999999999999</v>
      </c>
      <c r="M17" s="215">
        <v>-4.9000000000000004</v>
      </c>
      <c r="N17" s="216">
        <v>-11.7</v>
      </c>
      <c r="O17" s="217">
        <v>-7.6</v>
      </c>
      <c r="P17" s="217">
        <v>-17.7</v>
      </c>
      <c r="Q17" s="218">
        <v>-3.9</v>
      </c>
      <c r="R17" s="216">
        <v>-11.1</v>
      </c>
      <c r="S17" s="217">
        <v>1</v>
      </c>
      <c r="T17" s="217">
        <v>-5.6</v>
      </c>
      <c r="U17" s="218">
        <v>-6.1</v>
      </c>
      <c r="V17" s="298" t="s">
        <v>1</v>
      </c>
      <c r="W17" s="217">
        <v>9.4</v>
      </c>
      <c r="X17" s="217">
        <v>1.4</v>
      </c>
      <c r="Y17" s="218">
        <v>3.9</v>
      </c>
      <c r="Z17" s="298" t="s">
        <v>1</v>
      </c>
      <c r="AA17" s="299" t="s">
        <v>1</v>
      </c>
      <c r="AB17" s="299" t="s">
        <v>1</v>
      </c>
      <c r="AC17" s="303" t="s">
        <v>1</v>
      </c>
      <c r="AD17" s="298" t="s">
        <v>1</v>
      </c>
      <c r="AE17" s="299" t="s">
        <v>1</v>
      </c>
      <c r="AF17" s="299"/>
      <c r="AG17" s="303"/>
      <c r="AI17" s="298" t="s">
        <v>1</v>
      </c>
      <c r="AJ17" s="299" t="s">
        <v>1</v>
      </c>
      <c r="AK17" s="299"/>
      <c r="AL17" s="303"/>
    </row>
    <row r="18" spans="1:38" s="11" customFormat="1" ht="20.100000000000001" customHeight="1">
      <c r="A18" s="41" t="s">
        <v>138</v>
      </c>
      <c r="B18" s="216">
        <v>-9.7880000000000003</v>
      </c>
      <c r="C18" s="217">
        <v>-10.354000000000001</v>
      </c>
      <c r="D18" s="217">
        <v>-21.978000000000002</v>
      </c>
      <c r="E18" s="289">
        <v>-31.345000000000002</v>
      </c>
      <c r="F18" s="216">
        <v>3.66</v>
      </c>
      <c r="G18" s="217">
        <v>9.0690000000000008</v>
      </c>
      <c r="H18" s="217">
        <v>11.329000000000001</v>
      </c>
      <c r="I18" s="289">
        <v>14.404</v>
      </c>
      <c r="J18" s="214">
        <v>11.066000000000001</v>
      </c>
      <c r="K18" s="214">
        <v>11.1</v>
      </c>
      <c r="L18" s="214">
        <v>-0.2</v>
      </c>
      <c r="M18" s="215">
        <v>-3.9</v>
      </c>
      <c r="N18" s="216">
        <v>-0.6</v>
      </c>
      <c r="O18" s="217">
        <v>5.3</v>
      </c>
      <c r="P18" s="217">
        <v>4.8</v>
      </c>
      <c r="Q18" s="218">
        <v>6.6</v>
      </c>
      <c r="R18" s="216">
        <v>2.5</v>
      </c>
      <c r="S18" s="217">
        <v>4.7</v>
      </c>
      <c r="T18" s="217">
        <v>7.3</v>
      </c>
      <c r="U18" s="218">
        <v>9.8000000000000007</v>
      </c>
      <c r="V18" s="298" t="s">
        <v>1</v>
      </c>
      <c r="W18" s="299" t="s">
        <v>1</v>
      </c>
      <c r="X18" s="299" t="s">
        <v>1</v>
      </c>
      <c r="Y18" s="303" t="s">
        <v>1</v>
      </c>
      <c r="Z18" s="298" t="s">
        <v>1</v>
      </c>
      <c r="AA18" s="299" t="s">
        <v>1</v>
      </c>
      <c r="AB18" s="299" t="s">
        <v>1</v>
      </c>
      <c r="AC18" s="303" t="s">
        <v>1</v>
      </c>
      <c r="AD18" s="298" t="s">
        <v>1</v>
      </c>
      <c r="AE18" s="299" t="s">
        <v>1</v>
      </c>
      <c r="AF18" s="299"/>
      <c r="AG18" s="303"/>
      <c r="AI18" s="298" t="s">
        <v>1</v>
      </c>
      <c r="AJ18" s="299" t="s">
        <v>1</v>
      </c>
      <c r="AK18" s="299"/>
      <c r="AL18" s="303"/>
    </row>
    <row r="19" spans="1:38" s="10" customFormat="1" ht="20.100000000000001" customHeight="1">
      <c r="A19" s="343" t="s">
        <v>228</v>
      </c>
      <c r="B19" s="344">
        <v>-0.73</v>
      </c>
      <c r="C19" s="345">
        <v>-1.5010000000000001</v>
      </c>
      <c r="D19" s="345">
        <v>-2.044</v>
      </c>
      <c r="E19" s="346">
        <v>-2.8970000000000002</v>
      </c>
      <c r="F19" s="344">
        <v>-0.76200000000000001</v>
      </c>
      <c r="G19" s="345">
        <v>-1.58</v>
      </c>
      <c r="H19" s="345">
        <v>-2.3290000000000002</v>
      </c>
      <c r="I19" s="346">
        <v>-2.9239999999999999</v>
      </c>
      <c r="J19" s="347">
        <v>-0.63300000000000001</v>
      </c>
      <c r="K19" s="347">
        <v>-1.3</v>
      </c>
      <c r="L19" s="347">
        <v>-2</v>
      </c>
      <c r="M19" s="215">
        <v>-2.6</v>
      </c>
      <c r="N19" s="344">
        <v>-0.5</v>
      </c>
      <c r="O19" s="345">
        <v>-1.4</v>
      </c>
      <c r="P19" s="345">
        <v>-1.9</v>
      </c>
      <c r="Q19" s="218">
        <v>-2.6</v>
      </c>
      <c r="R19" s="344">
        <v>-0.8</v>
      </c>
      <c r="S19" s="345">
        <v>0</v>
      </c>
      <c r="T19" s="345">
        <v>0</v>
      </c>
      <c r="U19" s="218">
        <v>0</v>
      </c>
      <c r="V19" s="348" t="s">
        <v>1</v>
      </c>
      <c r="W19" s="349" t="s">
        <v>1</v>
      </c>
      <c r="X19" s="349" t="s">
        <v>1</v>
      </c>
      <c r="Y19" s="303" t="s">
        <v>1</v>
      </c>
      <c r="Z19" s="348" t="s">
        <v>1</v>
      </c>
      <c r="AA19" s="349" t="s">
        <v>1</v>
      </c>
      <c r="AB19" s="349" t="s">
        <v>1</v>
      </c>
      <c r="AC19" s="303" t="s">
        <v>1</v>
      </c>
      <c r="AD19" s="348" t="s">
        <v>1</v>
      </c>
      <c r="AE19" s="299" t="s">
        <v>1</v>
      </c>
      <c r="AF19" s="349"/>
      <c r="AG19" s="303"/>
      <c r="AI19" s="348" t="s">
        <v>1</v>
      </c>
      <c r="AJ19" s="299" t="s">
        <v>1</v>
      </c>
      <c r="AK19" s="349"/>
      <c r="AL19" s="303"/>
    </row>
    <row r="20" spans="1:38" s="11" customFormat="1" ht="20.100000000000001" customHeight="1">
      <c r="A20" s="637" t="s">
        <v>341</v>
      </c>
      <c r="B20" s="216"/>
      <c r="C20" s="217"/>
      <c r="D20" s="217"/>
      <c r="E20" s="289"/>
      <c r="F20" s="216"/>
      <c r="G20" s="217"/>
      <c r="H20" s="217"/>
      <c r="I20" s="289"/>
      <c r="J20" s="214"/>
      <c r="K20" s="214"/>
      <c r="L20" s="214"/>
      <c r="M20" s="215"/>
      <c r="N20" s="216"/>
      <c r="O20" s="217"/>
      <c r="P20" s="217"/>
      <c r="Q20" s="218"/>
      <c r="R20" s="216"/>
      <c r="S20" s="217"/>
      <c r="T20" s="217"/>
      <c r="U20" s="218">
        <v>0</v>
      </c>
      <c r="V20" s="216"/>
      <c r="W20" s="217"/>
      <c r="X20" s="217"/>
      <c r="Y20" s="218">
        <v>-2.8</v>
      </c>
      <c r="Z20" s="217">
        <v>-5.2</v>
      </c>
      <c r="AA20" s="217">
        <v>-5.0999999999999996</v>
      </c>
      <c r="AB20" s="217">
        <v>-1.6</v>
      </c>
      <c r="AC20" s="218">
        <v>1.2</v>
      </c>
      <c r="AD20" s="216">
        <v>1.7</v>
      </c>
      <c r="AE20" s="217">
        <v>3.6</v>
      </c>
      <c r="AG20" s="218"/>
      <c r="AI20" s="216">
        <v>1.7</v>
      </c>
      <c r="AJ20" s="217">
        <v>3.6</v>
      </c>
      <c r="AL20" s="218"/>
    </row>
    <row r="21" spans="1:38" s="11" customFormat="1" ht="20.100000000000001" customHeight="1">
      <c r="A21" s="41" t="s">
        <v>139</v>
      </c>
      <c r="B21" s="216">
        <v>-87.786000000000001</v>
      </c>
      <c r="C21" s="217">
        <v>-51.798000000000002</v>
      </c>
      <c r="D21" s="217">
        <v>-102.06700000000001</v>
      </c>
      <c r="E21" s="289">
        <v>-111.07600000000001</v>
      </c>
      <c r="F21" s="216">
        <v>25.975999999999999</v>
      </c>
      <c r="G21" s="217">
        <v>77.412999999999997</v>
      </c>
      <c r="H21" s="217">
        <v>39.252000000000002</v>
      </c>
      <c r="I21" s="289">
        <v>16.294</v>
      </c>
      <c r="J21" s="214">
        <v>10.337</v>
      </c>
      <c r="K21" s="214">
        <v>8.8000000000000007</v>
      </c>
      <c r="L21" s="214">
        <v>164.9</v>
      </c>
      <c r="M21" s="215">
        <v>369.9</v>
      </c>
      <c r="N21" s="216">
        <v>37.1</v>
      </c>
      <c r="O21" s="217">
        <v>99.2</v>
      </c>
      <c r="P21" s="217">
        <v>135.80000000000001</v>
      </c>
      <c r="Q21" s="218">
        <v>222</v>
      </c>
      <c r="R21" s="216">
        <v>250.2</v>
      </c>
      <c r="S21" s="217">
        <v>276.10000000000002</v>
      </c>
      <c r="T21" s="217">
        <v>258.3</v>
      </c>
      <c r="U21" s="218">
        <v>270.89999999999998</v>
      </c>
      <c r="V21" s="216">
        <v>-28.4</v>
      </c>
      <c r="W21" s="217">
        <v>-27.4</v>
      </c>
      <c r="X21" s="217">
        <v>-15.1</v>
      </c>
      <c r="Y21" s="218">
        <v>-31.1</v>
      </c>
      <c r="Z21" s="217">
        <v>4.5999999999999996</v>
      </c>
      <c r="AA21" s="217">
        <v>24.1</v>
      </c>
      <c r="AB21" s="217">
        <v>11.1</v>
      </c>
      <c r="AC21" s="218">
        <v>15.8</v>
      </c>
      <c r="AD21" s="216">
        <v>1.1000000000000001</v>
      </c>
      <c r="AE21" s="217">
        <v>-3.3</v>
      </c>
      <c r="AF21" s="217"/>
      <c r="AG21" s="218"/>
      <c r="AI21" s="216">
        <v>1.9</v>
      </c>
      <c r="AJ21" s="217">
        <v>-6.3</v>
      </c>
      <c r="AK21" s="217"/>
      <c r="AL21" s="218"/>
    </row>
    <row r="22" spans="1:38" s="11" customFormat="1" ht="20.100000000000001" customHeight="1">
      <c r="A22" s="41" t="s">
        <v>67</v>
      </c>
      <c r="B22" s="216">
        <v>41.158999999999999</v>
      </c>
      <c r="C22" s="217">
        <v>54.56</v>
      </c>
      <c r="D22" s="217">
        <v>80.768000000000001</v>
      </c>
      <c r="E22" s="289">
        <v>97.349000000000004</v>
      </c>
      <c r="F22" s="216">
        <v>14.031000000000001</v>
      </c>
      <c r="G22" s="217">
        <v>27.457000000000001</v>
      </c>
      <c r="H22" s="217">
        <v>51.835000000000001</v>
      </c>
      <c r="I22" s="289">
        <v>67.376000000000005</v>
      </c>
      <c r="J22" s="214">
        <v>14.384</v>
      </c>
      <c r="K22" s="214">
        <v>31.1</v>
      </c>
      <c r="L22" s="214">
        <v>32.200000000000003</v>
      </c>
      <c r="M22" s="215">
        <v>21.7</v>
      </c>
      <c r="N22" s="216">
        <v>26</v>
      </c>
      <c r="O22" s="217">
        <v>71.900000000000006</v>
      </c>
      <c r="P22" s="217">
        <v>182.7</v>
      </c>
      <c r="Q22" s="218">
        <v>169</v>
      </c>
      <c r="R22" s="216">
        <v>27.2</v>
      </c>
      <c r="S22" s="217">
        <v>48.4</v>
      </c>
      <c r="T22" s="217">
        <v>113.5</v>
      </c>
      <c r="U22" s="218">
        <v>12.4</v>
      </c>
      <c r="V22" s="216">
        <v>30.8</v>
      </c>
      <c r="W22" s="217">
        <v>138.4</v>
      </c>
      <c r="X22" s="217">
        <v>192.6</v>
      </c>
      <c r="Y22" s="218">
        <v>389.8</v>
      </c>
      <c r="Z22" s="217">
        <v>72.5</v>
      </c>
      <c r="AA22" s="217">
        <v>171.8</v>
      </c>
      <c r="AB22" s="217">
        <v>247.8</v>
      </c>
      <c r="AC22" s="218">
        <v>490</v>
      </c>
      <c r="AD22" s="216">
        <v>78</v>
      </c>
      <c r="AE22" s="217">
        <v>164.9</v>
      </c>
      <c r="AF22" s="217"/>
      <c r="AG22" s="218"/>
      <c r="AI22" s="216">
        <v>77.3</v>
      </c>
      <c r="AJ22" s="217">
        <v>163.80000000000001</v>
      </c>
      <c r="AK22" s="217"/>
      <c r="AL22" s="218"/>
    </row>
    <row r="23" spans="1:38" s="11" customFormat="1" ht="20.100000000000001" customHeight="1">
      <c r="A23" s="636" t="s">
        <v>340</v>
      </c>
      <c r="B23" s="216">
        <v>-38.363</v>
      </c>
      <c r="C23" s="217">
        <v>-76.626000000000005</v>
      </c>
      <c r="D23" s="217">
        <v>-120.02500000000001</v>
      </c>
      <c r="E23" s="289">
        <v>-164.00800000000001</v>
      </c>
      <c r="F23" s="216">
        <v>-40.92</v>
      </c>
      <c r="G23" s="217">
        <v>-81.858999999999995</v>
      </c>
      <c r="H23" s="217">
        <v>-116.813</v>
      </c>
      <c r="I23" s="289">
        <v>-158.85900000000001</v>
      </c>
      <c r="J23" s="214">
        <v>-30.564</v>
      </c>
      <c r="K23" s="214">
        <v>-65.3</v>
      </c>
      <c r="L23" s="214">
        <v>-142.1</v>
      </c>
      <c r="M23" s="215">
        <v>-193.1</v>
      </c>
      <c r="N23" s="216">
        <v>-43.6</v>
      </c>
      <c r="O23" s="217">
        <v>-72.2</v>
      </c>
      <c r="P23" s="217">
        <v>-96.7</v>
      </c>
      <c r="Q23" s="218">
        <v>-134.69999999999999</v>
      </c>
      <c r="R23" s="216">
        <v>-31.1</v>
      </c>
      <c r="S23" s="217">
        <v>-71.2</v>
      </c>
      <c r="T23" s="217">
        <v>-111</v>
      </c>
      <c r="U23" s="218">
        <v>-153</v>
      </c>
      <c r="V23" s="216">
        <v>-33.1</v>
      </c>
      <c r="W23" s="217">
        <v>-65.599999999999994</v>
      </c>
      <c r="X23" s="217">
        <v>-97.4</v>
      </c>
      <c r="Y23" s="218">
        <v>-137.5</v>
      </c>
      <c r="Z23" s="217">
        <v>-25.7</v>
      </c>
      <c r="AA23" s="217">
        <v>-42.9</v>
      </c>
      <c r="AB23" s="217">
        <v>-61.2</v>
      </c>
      <c r="AC23" s="218">
        <v>-83.9</v>
      </c>
      <c r="AD23" s="216">
        <v>-25.8</v>
      </c>
      <c r="AE23" s="217">
        <v>-48.8</v>
      </c>
      <c r="AF23" s="217"/>
      <c r="AG23" s="218"/>
      <c r="AI23" s="216">
        <v>-25.8</v>
      </c>
      <c r="AJ23" s="217">
        <v>-48.8</v>
      </c>
      <c r="AK23" s="217"/>
      <c r="AL23" s="218"/>
    </row>
    <row r="24" spans="1:38" s="11" customFormat="1" ht="20.100000000000001" customHeight="1">
      <c r="A24" s="343" t="s">
        <v>203</v>
      </c>
      <c r="B24" s="228">
        <v>0</v>
      </c>
      <c r="C24" s="229">
        <v>0</v>
      </c>
      <c r="D24" s="229">
        <v>0</v>
      </c>
      <c r="E24" s="230">
        <v>0</v>
      </c>
      <c r="F24" s="228">
        <v>0</v>
      </c>
      <c r="G24" s="229">
        <v>0</v>
      </c>
      <c r="H24" s="229">
        <v>0</v>
      </c>
      <c r="I24" s="230">
        <v>0</v>
      </c>
      <c r="J24" s="231">
        <v>0</v>
      </c>
      <c r="K24" s="214">
        <v>82.1</v>
      </c>
      <c r="L24" s="214">
        <v>82.1</v>
      </c>
      <c r="M24" s="215">
        <v>82.1</v>
      </c>
      <c r="N24" s="216">
        <v>0</v>
      </c>
      <c r="O24" s="217">
        <v>0</v>
      </c>
      <c r="P24" s="217">
        <v>-371.4</v>
      </c>
      <c r="Q24" s="218">
        <v>-371.4</v>
      </c>
      <c r="R24" s="216">
        <v>0</v>
      </c>
      <c r="S24" s="217">
        <v>0</v>
      </c>
      <c r="T24" s="217">
        <v>0</v>
      </c>
      <c r="U24" s="218"/>
      <c r="V24" s="216"/>
      <c r="W24" s="217"/>
      <c r="X24" s="217"/>
      <c r="Y24" s="218"/>
      <c r="Z24" s="217">
        <v>0</v>
      </c>
      <c r="AA24" s="217">
        <v>0</v>
      </c>
      <c r="AB24" s="217">
        <v>0</v>
      </c>
      <c r="AC24" s="218">
        <v>0</v>
      </c>
      <c r="AD24" s="216">
        <v>0</v>
      </c>
      <c r="AE24" s="217">
        <v>0</v>
      </c>
      <c r="AF24" s="217"/>
      <c r="AG24" s="218"/>
      <c r="AI24" s="216">
        <v>0</v>
      </c>
      <c r="AJ24" s="217">
        <v>0</v>
      </c>
      <c r="AK24" s="217"/>
      <c r="AL24" s="218"/>
    </row>
    <row r="25" spans="1:38" s="11" customFormat="1" ht="20.100000000000001" customHeight="1">
      <c r="A25" s="343" t="s">
        <v>226</v>
      </c>
      <c r="B25" s="228"/>
      <c r="C25" s="229"/>
      <c r="D25" s="229"/>
      <c r="E25" s="230"/>
      <c r="F25" s="228"/>
      <c r="G25" s="229"/>
      <c r="H25" s="229"/>
      <c r="I25" s="230"/>
      <c r="J25" s="231"/>
      <c r="K25" s="214"/>
      <c r="L25" s="214"/>
      <c r="M25" s="215"/>
      <c r="N25" s="216"/>
      <c r="O25" s="217"/>
      <c r="P25" s="217"/>
      <c r="Q25" s="218"/>
      <c r="R25" s="216"/>
      <c r="S25" s="217"/>
      <c r="T25" s="217"/>
      <c r="U25" s="218">
        <v>0</v>
      </c>
      <c r="V25" s="216">
        <v>58.7</v>
      </c>
      <c r="W25" s="217">
        <v>58.7</v>
      </c>
      <c r="X25" s="217">
        <v>58.7</v>
      </c>
      <c r="Y25" s="218">
        <v>58.7</v>
      </c>
      <c r="Z25" s="217">
        <v>0</v>
      </c>
      <c r="AA25" s="217">
        <v>0</v>
      </c>
      <c r="AB25" s="217">
        <v>0</v>
      </c>
      <c r="AC25" s="218">
        <v>0</v>
      </c>
      <c r="AD25" s="216">
        <v>0</v>
      </c>
      <c r="AE25" s="217">
        <v>0</v>
      </c>
      <c r="AF25" s="217"/>
      <c r="AG25" s="218"/>
      <c r="AI25" s="216">
        <v>0</v>
      </c>
      <c r="AJ25" s="217">
        <v>0</v>
      </c>
      <c r="AK25" s="217"/>
      <c r="AL25" s="218"/>
    </row>
    <row r="26" spans="1:38" s="11" customFormat="1" ht="20.100000000000001" customHeight="1">
      <c r="A26" s="41" t="s">
        <v>212</v>
      </c>
      <c r="B26" s="228">
        <v>0</v>
      </c>
      <c r="C26" s="229">
        <v>0</v>
      </c>
      <c r="D26" s="229">
        <v>0</v>
      </c>
      <c r="E26" s="230">
        <v>0</v>
      </c>
      <c r="F26" s="228">
        <v>0</v>
      </c>
      <c r="G26" s="229">
        <v>0</v>
      </c>
      <c r="H26" s="229">
        <v>0</v>
      </c>
      <c r="I26" s="230">
        <v>0</v>
      </c>
      <c r="J26" s="231">
        <v>0</v>
      </c>
      <c r="K26" s="214">
        <v>16.5</v>
      </c>
      <c r="L26" s="214">
        <v>55.4</v>
      </c>
      <c r="M26" s="215">
        <v>84.3</v>
      </c>
      <c r="N26" s="216">
        <v>10.6</v>
      </c>
      <c r="O26" s="217">
        <v>33.9</v>
      </c>
      <c r="P26" s="217">
        <v>37.6</v>
      </c>
      <c r="Q26" s="218">
        <v>53</v>
      </c>
      <c r="R26" s="216">
        <v>-174.6</v>
      </c>
      <c r="S26" s="217">
        <v>-160.19999999999999</v>
      </c>
      <c r="T26" s="217">
        <v>-161.9</v>
      </c>
      <c r="U26" s="218">
        <v>-164.9</v>
      </c>
      <c r="V26" s="216">
        <v>-0.1</v>
      </c>
      <c r="W26" s="217">
        <v>0.9</v>
      </c>
      <c r="X26" s="217">
        <v>-1.3</v>
      </c>
      <c r="Y26" s="218">
        <v>-1.5</v>
      </c>
      <c r="Z26" s="299" t="s">
        <v>1</v>
      </c>
      <c r="AA26" s="299" t="s">
        <v>1</v>
      </c>
      <c r="AB26" s="299" t="s">
        <v>1</v>
      </c>
      <c r="AC26" s="303" t="s">
        <v>1</v>
      </c>
      <c r="AD26" s="298" t="s">
        <v>1</v>
      </c>
      <c r="AE26" s="299" t="s">
        <v>1</v>
      </c>
      <c r="AF26" s="299"/>
      <c r="AG26" s="303"/>
      <c r="AI26" s="298" t="s">
        <v>1</v>
      </c>
      <c r="AJ26" s="299" t="s">
        <v>1</v>
      </c>
      <c r="AK26" s="299"/>
      <c r="AL26" s="303"/>
    </row>
    <row r="27" spans="1:38" s="11" customFormat="1" ht="20.100000000000001" customHeight="1" thickBot="1">
      <c r="A27" s="41" t="s">
        <v>140</v>
      </c>
      <c r="B27" s="216">
        <v>0.245</v>
      </c>
      <c r="C27" s="217">
        <v>0.78500000000000003</v>
      </c>
      <c r="D27" s="217">
        <v>1.31</v>
      </c>
      <c r="E27" s="289">
        <v>3.5380000000000003</v>
      </c>
      <c r="F27" s="216">
        <v>1.484</v>
      </c>
      <c r="G27" s="217">
        <f>4.197+4.842</f>
        <v>9.0389999999999997</v>
      </c>
      <c r="H27" s="217">
        <f>5.852+4.842</f>
        <v>10.693999999999999</v>
      </c>
      <c r="I27" s="289">
        <v>11.93</v>
      </c>
      <c r="J27" s="214">
        <v>1.7790000000000001</v>
      </c>
      <c r="K27" s="214">
        <v>10.8</v>
      </c>
      <c r="L27" s="214">
        <v>11.7</v>
      </c>
      <c r="M27" s="215">
        <v>96.1</v>
      </c>
      <c r="N27" s="216">
        <v>-3</v>
      </c>
      <c r="O27" s="217">
        <v>9</v>
      </c>
      <c r="P27" s="217">
        <v>19.600000000000001</v>
      </c>
      <c r="Q27" s="218">
        <v>21.6</v>
      </c>
      <c r="R27" s="216">
        <v>2.5</v>
      </c>
      <c r="S27" s="217">
        <v>-1.9</v>
      </c>
      <c r="T27" s="217">
        <v>22.5</v>
      </c>
      <c r="U27" s="218">
        <v>24</v>
      </c>
      <c r="V27" s="216">
        <v>-2.1</v>
      </c>
      <c r="W27" s="217">
        <v>18.100000000000001</v>
      </c>
      <c r="X27" s="217">
        <v>51.1</v>
      </c>
      <c r="Y27" s="218">
        <v>55.5</v>
      </c>
      <c r="Z27" s="217">
        <v>-18.2</v>
      </c>
      <c r="AA27" s="217">
        <v>2.5</v>
      </c>
      <c r="AB27" s="217">
        <v>18.2</v>
      </c>
      <c r="AC27" s="218">
        <v>-97.8</v>
      </c>
      <c r="AD27" s="216">
        <v>1.1000000000000001</v>
      </c>
      <c r="AE27" s="217">
        <v>-6.3</v>
      </c>
      <c r="AF27" s="217"/>
      <c r="AG27" s="218"/>
      <c r="AI27" s="216">
        <v>1.1000000000000001</v>
      </c>
      <c r="AJ27" s="217">
        <v>-6.3</v>
      </c>
      <c r="AK27" s="217"/>
      <c r="AL27" s="218"/>
    </row>
    <row r="28" spans="1:38" s="11" customFormat="1" ht="20.100000000000001" customHeight="1" thickBot="1">
      <c r="A28" s="40" t="s">
        <v>159</v>
      </c>
      <c r="B28" s="212">
        <f t="shared" ref="B28:Y28" si="6">B4+B5</f>
        <v>233.42699999999999</v>
      </c>
      <c r="C28" s="210">
        <f t="shared" si="6"/>
        <v>415.61099999999999</v>
      </c>
      <c r="D28" s="210">
        <f t="shared" si="6"/>
        <v>628.7700000000001</v>
      </c>
      <c r="E28" s="286">
        <f t="shared" si="6"/>
        <v>843.21800000000007</v>
      </c>
      <c r="F28" s="212">
        <f t="shared" si="6"/>
        <v>165.66199999999998</v>
      </c>
      <c r="G28" s="210">
        <f t="shared" si="6"/>
        <v>351.928</v>
      </c>
      <c r="H28" s="210">
        <f t="shared" si="6"/>
        <v>548.24399999999991</v>
      </c>
      <c r="I28" s="286">
        <f t="shared" si="6"/>
        <v>859.7349999999999</v>
      </c>
      <c r="J28" s="210">
        <f t="shared" si="6"/>
        <v>184.70400000000001</v>
      </c>
      <c r="K28" s="210">
        <f t="shared" si="6"/>
        <v>735.69999999999993</v>
      </c>
      <c r="L28" s="210">
        <f t="shared" si="6"/>
        <v>1423.9000000000003</v>
      </c>
      <c r="M28" s="211">
        <f t="shared" si="6"/>
        <v>2117.7999999999975</v>
      </c>
      <c r="N28" s="212">
        <f t="shared" si="6"/>
        <v>453.00000000000011</v>
      </c>
      <c r="O28" s="210">
        <f t="shared" si="6"/>
        <v>1327.9999999999995</v>
      </c>
      <c r="P28" s="210">
        <f t="shared" si="6"/>
        <v>2173.4999999999991</v>
      </c>
      <c r="Q28" s="213">
        <f t="shared" si="6"/>
        <v>2985.0999999999995</v>
      </c>
      <c r="R28" s="212">
        <f t="shared" si="6"/>
        <v>584.40000000000009</v>
      </c>
      <c r="S28" s="210">
        <f t="shared" si="6"/>
        <v>1549.4</v>
      </c>
      <c r="T28" s="210">
        <f t="shared" si="6"/>
        <v>2357.5000000000009</v>
      </c>
      <c r="U28" s="213">
        <f t="shared" si="6"/>
        <v>3151.5000000000005</v>
      </c>
      <c r="V28" s="212">
        <f t="shared" si="6"/>
        <v>780.70000000000027</v>
      </c>
      <c r="W28" s="210">
        <f t="shared" si="6"/>
        <v>1615.9</v>
      </c>
      <c r="X28" s="210">
        <f t="shared" si="6"/>
        <v>2245.6999999999998</v>
      </c>
      <c r="Y28" s="213">
        <f t="shared" si="6"/>
        <v>3126.3</v>
      </c>
      <c r="Z28" s="212">
        <f>Z4+Z5</f>
        <v>633.10000000000014</v>
      </c>
      <c r="AA28" s="210">
        <f>AA4+AA5</f>
        <v>1396.9</v>
      </c>
      <c r="AB28" s="210">
        <f>AB4+AB5</f>
        <v>2220.8000000000002</v>
      </c>
      <c r="AC28" s="213">
        <f t="shared" ref="AC28" si="7">AC4+AC5</f>
        <v>3232.1</v>
      </c>
      <c r="AD28" s="212">
        <f>AD4+AD5</f>
        <v>703.2</v>
      </c>
      <c r="AE28" s="210">
        <f t="shared" ref="AE28" si="8">AE4+AE5</f>
        <v>1554.3000000000002</v>
      </c>
      <c r="AF28" s="210">
        <f t="shared" ref="AF28:AG28" si="9">AF4+AF5</f>
        <v>0</v>
      </c>
      <c r="AG28" s="213">
        <f t="shared" si="9"/>
        <v>0</v>
      </c>
      <c r="AI28" s="212">
        <f>AI4+AI5</f>
        <v>762.2</v>
      </c>
      <c r="AJ28" s="210">
        <f t="shared" ref="AJ28" si="10">AJ4+AJ5</f>
        <v>1709.3000000000002</v>
      </c>
      <c r="AK28" s="210">
        <f t="shared" ref="AK28:AL28" si="11">AK4+AK5</f>
        <v>0</v>
      </c>
      <c r="AL28" s="213">
        <f t="shared" si="11"/>
        <v>0</v>
      </c>
    </row>
    <row r="29" spans="1:38" s="11" customFormat="1" ht="20.100000000000001" customHeight="1">
      <c r="A29" s="41" t="s">
        <v>141</v>
      </c>
      <c r="B29" s="216">
        <v>-12.561</v>
      </c>
      <c r="C29" s="217">
        <v>-47.188000000000002</v>
      </c>
      <c r="D29" s="217">
        <v>-59.765999999999998</v>
      </c>
      <c r="E29" s="289">
        <v>-78.733000000000004</v>
      </c>
      <c r="F29" s="216">
        <v>-13.763</v>
      </c>
      <c r="G29" s="217">
        <v>-26.318999999999999</v>
      </c>
      <c r="H29" s="217">
        <v>-37.451999999999998</v>
      </c>
      <c r="I29" s="289">
        <v>-67.486000000000004</v>
      </c>
      <c r="J29" s="214">
        <v>-17.809000000000001</v>
      </c>
      <c r="K29" s="214">
        <v>-99.5</v>
      </c>
      <c r="L29" s="214">
        <v>-135.19999999999999</v>
      </c>
      <c r="M29" s="215">
        <v>-189.1</v>
      </c>
      <c r="N29" s="216">
        <v>-48.5</v>
      </c>
      <c r="O29" s="217">
        <v>-44.2</v>
      </c>
      <c r="P29" s="217">
        <v>-94.2</v>
      </c>
      <c r="Q29" s="218">
        <v>-136.19999999999999</v>
      </c>
      <c r="R29" s="216">
        <v>-145.69999999999999</v>
      </c>
      <c r="S29" s="217">
        <v>-186.5</v>
      </c>
      <c r="T29" s="217">
        <v>-236.1</v>
      </c>
      <c r="U29" s="218">
        <v>-292.7</v>
      </c>
      <c r="V29" s="216">
        <v>-43.5</v>
      </c>
      <c r="W29" s="217">
        <v>-112.5</v>
      </c>
      <c r="X29" s="217">
        <v>-181.5</v>
      </c>
      <c r="Y29" s="218">
        <v>-216.2</v>
      </c>
      <c r="Z29" s="217">
        <v>-70.599999999999994</v>
      </c>
      <c r="AA29" s="217">
        <v>-191.3</v>
      </c>
      <c r="AB29" s="217">
        <v>-265.10000000000002</v>
      </c>
      <c r="AC29" s="218">
        <v>-343.2</v>
      </c>
      <c r="AD29" s="216">
        <v>-66.099999999999994</v>
      </c>
      <c r="AE29" s="217">
        <v>-163</v>
      </c>
      <c r="AF29" s="217"/>
      <c r="AG29" s="218"/>
      <c r="AI29" s="216">
        <v>-66.099999999999994</v>
      </c>
      <c r="AJ29" s="217">
        <v>-163</v>
      </c>
      <c r="AK29" s="217"/>
      <c r="AL29" s="218"/>
    </row>
    <row r="30" spans="1:38" s="11" customFormat="1" ht="20.100000000000001" customHeight="1" thickBot="1">
      <c r="A30" s="41" t="s">
        <v>142</v>
      </c>
      <c r="B30" s="216">
        <v>3.843</v>
      </c>
      <c r="C30" s="217">
        <v>8.1440000000000001</v>
      </c>
      <c r="D30" s="217">
        <v>12.96</v>
      </c>
      <c r="E30" s="289">
        <v>16.882000000000001</v>
      </c>
      <c r="F30" s="216">
        <v>3.544</v>
      </c>
      <c r="G30" s="217">
        <v>6.1040000000000001</v>
      </c>
      <c r="H30" s="217">
        <v>8.5630000000000006</v>
      </c>
      <c r="I30" s="289">
        <v>10.41</v>
      </c>
      <c r="J30" s="214">
        <v>2.165</v>
      </c>
      <c r="K30" s="214">
        <v>13.4</v>
      </c>
      <c r="L30" s="214">
        <v>33.1</v>
      </c>
      <c r="M30" s="215">
        <v>45.2</v>
      </c>
      <c r="N30" s="216">
        <v>13.2</v>
      </c>
      <c r="O30" s="217">
        <v>20.5</v>
      </c>
      <c r="P30" s="217">
        <v>30.5</v>
      </c>
      <c r="Q30" s="218">
        <v>38.799999999999997</v>
      </c>
      <c r="R30" s="216">
        <v>8.1</v>
      </c>
      <c r="S30" s="217">
        <v>13.1</v>
      </c>
      <c r="T30" s="217">
        <v>19.5</v>
      </c>
      <c r="U30" s="218">
        <v>25.9</v>
      </c>
      <c r="V30" s="216">
        <v>14.5</v>
      </c>
      <c r="W30" s="217">
        <v>16</v>
      </c>
      <c r="X30" s="217">
        <v>23.5</v>
      </c>
      <c r="Y30" s="218">
        <v>31.3</v>
      </c>
      <c r="Z30" s="217">
        <v>7.5</v>
      </c>
      <c r="AA30" s="217">
        <v>14.6</v>
      </c>
      <c r="AB30" s="217">
        <v>20.5</v>
      </c>
      <c r="AC30" s="218">
        <v>26.2</v>
      </c>
      <c r="AD30" s="216">
        <v>4.8</v>
      </c>
      <c r="AE30" s="217">
        <v>11.8</v>
      </c>
      <c r="AF30" s="217"/>
      <c r="AG30" s="218"/>
      <c r="AI30" s="216">
        <v>4.8</v>
      </c>
      <c r="AJ30" s="217">
        <v>11.8</v>
      </c>
      <c r="AK30" s="217"/>
      <c r="AL30" s="218"/>
    </row>
    <row r="31" spans="1:38" s="11" customFormat="1" ht="24.95" customHeight="1" thickBot="1">
      <c r="A31" s="42" t="s">
        <v>158</v>
      </c>
      <c r="B31" s="221">
        <f t="shared" ref="B31:Q31" si="12">SUM(B28:B30)</f>
        <v>224.70899999999997</v>
      </c>
      <c r="C31" s="219">
        <f t="shared" si="12"/>
        <v>376.56700000000001</v>
      </c>
      <c r="D31" s="219">
        <f t="shared" si="12"/>
        <v>581.96400000000017</v>
      </c>
      <c r="E31" s="290">
        <f t="shared" si="12"/>
        <v>781.36700000000008</v>
      </c>
      <c r="F31" s="221">
        <f t="shared" si="12"/>
        <v>155.44299999999998</v>
      </c>
      <c r="G31" s="219">
        <f t="shared" si="12"/>
        <v>331.71299999999997</v>
      </c>
      <c r="H31" s="219">
        <f t="shared" si="12"/>
        <v>519.3549999999999</v>
      </c>
      <c r="I31" s="290">
        <f t="shared" si="12"/>
        <v>802.65899999999988</v>
      </c>
      <c r="J31" s="219">
        <f t="shared" si="12"/>
        <v>169.06</v>
      </c>
      <c r="K31" s="219">
        <f t="shared" si="12"/>
        <v>649.59999999999991</v>
      </c>
      <c r="L31" s="219">
        <f t="shared" si="12"/>
        <v>1321.8000000000002</v>
      </c>
      <c r="M31" s="220">
        <f t="shared" si="12"/>
        <v>1973.8999999999976</v>
      </c>
      <c r="N31" s="221">
        <f t="shared" si="12"/>
        <v>417.7000000000001</v>
      </c>
      <c r="O31" s="219">
        <f t="shared" si="12"/>
        <v>1304.2999999999995</v>
      </c>
      <c r="P31" s="219">
        <f t="shared" si="12"/>
        <v>2109.7999999999993</v>
      </c>
      <c r="Q31" s="222">
        <f t="shared" si="12"/>
        <v>2887.7</v>
      </c>
      <c r="R31" s="221">
        <f t="shared" ref="R31:T31" si="13">SUM(R28:R30)</f>
        <v>446.80000000000013</v>
      </c>
      <c r="S31" s="219">
        <f t="shared" si="13"/>
        <v>1376</v>
      </c>
      <c r="T31" s="219">
        <f t="shared" si="13"/>
        <v>2140.900000000001</v>
      </c>
      <c r="U31" s="222">
        <f t="shared" ref="U31:X31" si="14">SUM(U28:U30)</f>
        <v>2884.7000000000007</v>
      </c>
      <c r="V31" s="221">
        <f t="shared" si="14"/>
        <v>751.70000000000027</v>
      </c>
      <c r="W31" s="219">
        <f t="shared" si="14"/>
        <v>1519.4</v>
      </c>
      <c r="X31" s="219">
        <f t="shared" si="14"/>
        <v>2087.6999999999998</v>
      </c>
      <c r="Y31" s="222">
        <f t="shared" ref="Y31:AG31" si="15">SUM(Y28:Y30)</f>
        <v>2941.4000000000005</v>
      </c>
      <c r="Z31" s="221">
        <f t="shared" si="15"/>
        <v>570.00000000000011</v>
      </c>
      <c r="AA31" s="219">
        <f t="shared" si="15"/>
        <v>1220.2</v>
      </c>
      <c r="AB31" s="219">
        <f t="shared" si="15"/>
        <v>1976.2000000000003</v>
      </c>
      <c r="AC31" s="222">
        <f>SUM(AC28:AC30)</f>
        <v>2915.1</v>
      </c>
      <c r="AD31" s="221">
        <f t="shared" si="15"/>
        <v>641.9</v>
      </c>
      <c r="AE31" s="219">
        <f t="shared" si="15"/>
        <v>1403.1000000000001</v>
      </c>
      <c r="AF31" s="219">
        <f t="shared" si="15"/>
        <v>0</v>
      </c>
      <c r="AG31" s="222">
        <f t="shared" si="15"/>
        <v>0</v>
      </c>
      <c r="AI31" s="221">
        <f t="shared" ref="AI31:AL31" si="16">SUM(AI28:AI30)</f>
        <v>700.9</v>
      </c>
      <c r="AJ31" s="219">
        <f t="shared" si="16"/>
        <v>1558.1000000000001</v>
      </c>
      <c r="AK31" s="219">
        <f t="shared" si="16"/>
        <v>0</v>
      </c>
      <c r="AL31" s="222">
        <f t="shared" si="16"/>
        <v>0</v>
      </c>
    </row>
    <row r="32" spans="1:38" s="11" customFormat="1" ht="20.100000000000001" customHeight="1">
      <c r="A32" s="41" t="s">
        <v>143</v>
      </c>
      <c r="B32" s="216">
        <v>-13.759</v>
      </c>
      <c r="C32" s="217">
        <v>-28.18</v>
      </c>
      <c r="D32" s="217">
        <v>-40.478000000000002</v>
      </c>
      <c r="E32" s="289">
        <v>-54.936999999999998</v>
      </c>
      <c r="F32" s="216">
        <v>-21.702999999999999</v>
      </c>
      <c r="G32" s="217">
        <v>-40.633000000000003</v>
      </c>
      <c r="H32" s="217">
        <v>-53.000999999999998</v>
      </c>
      <c r="I32" s="289">
        <v>-60.844999999999999</v>
      </c>
      <c r="J32" s="214">
        <v>-19.433</v>
      </c>
      <c r="K32" s="214">
        <v>-93</v>
      </c>
      <c r="L32" s="214">
        <v>-180</v>
      </c>
      <c r="M32" s="215">
        <v>-263.60000000000002</v>
      </c>
      <c r="N32" s="216">
        <v>-137.6</v>
      </c>
      <c r="O32" s="217">
        <v>-187</v>
      </c>
      <c r="P32" s="217">
        <v>-323.2</v>
      </c>
      <c r="Q32" s="218">
        <v>-417.8</v>
      </c>
      <c r="R32" s="216">
        <v>-98.4</v>
      </c>
      <c r="S32" s="217">
        <v>-179.5</v>
      </c>
      <c r="T32" s="217">
        <v>-301.2</v>
      </c>
      <c r="U32" s="218">
        <v>-436.2</v>
      </c>
      <c r="V32" s="216">
        <v>-138.9</v>
      </c>
      <c r="W32" s="217">
        <v>-268.8</v>
      </c>
      <c r="X32" s="217">
        <v>-418.9</v>
      </c>
      <c r="Y32" s="218">
        <v>-524.79999999999995</v>
      </c>
      <c r="Z32" s="217">
        <v>-131.6</v>
      </c>
      <c r="AA32" s="217">
        <v>-266.7</v>
      </c>
      <c r="AB32" s="217">
        <v>-465</v>
      </c>
      <c r="AC32" s="218">
        <v>-624.29999999999995</v>
      </c>
      <c r="AD32" s="216">
        <v>-251.4</v>
      </c>
      <c r="AE32" s="217">
        <v>-433.6</v>
      </c>
      <c r="AF32" s="217"/>
      <c r="AG32" s="218"/>
      <c r="AI32" s="216">
        <v>-251.4</v>
      </c>
      <c r="AJ32" s="217">
        <v>-433.6</v>
      </c>
      <c r="AK32" s="217"/>
      <c r="AL32" s="218"/>
    </row>
    <row r="33" spans="1:38" s="11" customFormat="1" ht="20.100000000000001" customHeight="1">
      <c r="A33" s="41" t="s">
        <v>144</v>
      </c>
      <c r="B33" s="216">
        <v>-7.0449999999999999</v>
      </c>
      <c r="C33" s="217">
        <v>-11.33</v>
      </c>
      <c r="D33" s="217">
        <v>-23.225000000000001</v>
      </c>
      <c r="E33" s="289">
        <v>-36.24</v>
      </c>
      <c r="F33" s="216">
        <v>-13.377000000000001</v>
      </c>
      <c r="G33" s="217">
        <v>-20.378</v>
      </c>
      <c r="H33" s="217">
        <v>-45.453000000000003</v>
      </c>
      <c r="I33" s="289">
        <v>-62.041000000000004</v>
      </c>
      <c r="J33" s="214">
        <v>-19.987000000000002</v>
      </c>
      <c r="K33" s="214">
        <v>-46.6</v>
      </c>
      <c r="L33" s="214">
        <v>-57.4</v>
      </c>
      <c r="M33" s="215">
        <v>-71.8</v>
      </c>
      <c r="N33" s="216">
        <v>-19.100000000000001</v>
      </c>
      <c r="O33" s="217">
        <v>-90.7</v>
      </c>
      <c r="P33" s="217">
        <v>-111.1</v>
      </c>
      <c r="Q33" s="218">
        <v>-165.3</v>
      </c>
      <c r="R33" s="216">
        <v>-20.3</v>
      </c>
      <c r="S33" s="217">
        <v>-61.3</v>
      </c>
      <c r="T33" s="217">
        <v>-94.6</v>
      </c>
      <c r="U33" s="218">
        <v>-154.19999999999999</v>
      </c>
      <c r="V33" s="216">
        <v>-33.200000000000003</v>
      </c>
      <c r="W33" s="217">
        <v>-114.2</v>
      </c>
      <c r="X33" s="217">
        <v>-137.30000000000001</v>
      </c>
      <c r="Y33" s="218">
        <v>-214.3</v>
      </c>
      <c r="Z33" s="217">
        <v>-42.8</v>
      </c>
      <c r="AA33" s="217">
        <v>-83.9</v>
      </c>
      <c r="AB33" s="217">
        <v>-168.4</v>
      </c>
      <c r="AC33" s="218">
        <v>-304.10000000000002</v>
      </c>
      <c r="AD33" s="216">
        <v>-108.5</v>
      </c>
      <c r="AE33" s="217">
        <v>-202.7</v>
      </c>
      <c r="AF33" s="217"/>
      <c r="AG33" s="218"/>
      <c r="AI33" s="216">
        <v>-108.5</v>
      </c>
      <c r="AJ33" s="217">
        <v>-202.7</v>
      </c>
      <c r="AK33" s="217"/>
      <c r="AL33" s="218"/>
    </row>
    <row r="34" spans="1:38" s="10" customFormat="1" ht="20.100000000000001" customHeight="1">
      <c r="A34" s="343" t="s">
        <v>183</v>
      </c>
      <c r="B34" s="344"/>
      <c r="C34" s="345"/>
      <c r="D34" s="345"/>
      <c r="E34" s="346"/>
      <c r="F34" s="344"/>
      <c r="G34" s="345"/>
      <c r="H34" s="345"/>
      <c r="I34" s="346"/>
      <c r="J34" s="347"/>
      <c r="K34" s="347"/>
      <c r="L34" s="347"/>
      <c r="M34" s="215"/>
      <c r="N34" s="344"/>
      <c r="O34" s="345"/>
      <c r="P34" s="345"/>
      <c r="Q34" s="218"/>
      <c r="R34" s="344"/>
      <c r="S34" s="345"/>
      <c r="T34" s="345"/>
      <c r="U34" s="218"/>
      <c r="V34" s="344"/>
      <c r="W34" s="345"/>
      <c r="X34" s="345"/>
      <c r="Y34" s="218">
        <v>-9.3000000000000007</v>
      </c>
      <c r="Z34" s="217">
        <v>0</v>
      </c>
      <c r="AA34" s="345">
        <v>0</v>
      </c>
      <c r="AB34" s="345">
        <v>0</v>
      </c>
      <c r="AC34" s="218">
        <v>-9.1999999999999993</v>
      </c>
      <c r="AD34" s="216">
        <v>0</v>
      </c>
      <c r="AE34" s="345"/>
      <c r="AF34" s="345"/>
      <c r="AG34" s="218"/>
      <c r="AI34" s="216">
        <v>0</v>
      </c>
      <c r="AJ34" s="345">
        <v>0</v>
      </c>
      <c r="AK34" s="345"/>
      <c r="AL34" s="218"/>
    </row>
    <row r="35" spans="1:38" s="11" customFormat="1" ht="20.100000000000001" customHeight="1">
      <c r="A35" s="41" t="s">
        <v>145</v>
      </c>
      <c r="B35" s="228">
        <v>0</v>
      </c>
      <c r="C35" s="229">
        <v>0</v>
      </c>
      <c r="D35" s="229">
        <v>0</v>
      </c>
      <c r="E35" s="230">
        <v>0</v>
      </c>
      <c r="F35" s="228">
        <v>0</v>
      </c>
      <c r="G35" s="229">
        <v>0</v>
      </c>
      <c r="H35" s="229">
        <v>0</v>
      </c>
      <c r="I35" s="230">
        <v>0</v>
      </c>
      <c r="J35" s="228">
        <v>0</v>
      </c>
      <c r="K35" s="217">
        <v>0</v>
      </c>
      <c r="L35" s="217">
        <v>-482.3</v>
      </c>
      <c r="M35" s="215">
        <v>-482.3</v>
      </c>
      <c r="N35" s="216">
        <v>0</v>
      </c>
      <c r="O35" s="217">
        <v>0</v>
      </c>
      <c r="P35" s="217">
        <v>-118.7</v>
      </c>
      <c r="Q35" s="218">
        <v>-118.7</v>
      </c>
      <c r="R35" s="216">
        <v>-147.69999999999999</v>
      </c>
      <c r="S35" s="217">
        <v>-147.69999999999999</v>
      </c>
      <c r="T35" s="217">
        <v>-268.5</v>
      </c>
      <c r="U35" s="218">
        <v>-268.5</v>
      </c>
      <c r="V35" s="216">
        <v>0</v>
      </c>
      <c r="W35" s="217">
        <v>0</v>
      </c>
      <c r="X35" s="217">
        <v>-120.7</v>
      </c>
      <c r="Y35" s="218">
        <v>-120.7</v>
      </c>
      <c r="Z35" s="345">
        <v>0</v>
      </c>
      <c r="AA35" s="217">
        <v>0</v>
      </c>
      <c r="AB35" s="345">
        <v>-119.6</v>
      </c>
      <c r="AC35" s="218">
        <v>-119.6</v>
      </c>
      <c r="AD35" s="344">
        <v>0</v>
      </c>
      <c r="AE35" s="217"/>
      <c r="AF35" s="345"/>
      <c r="AG35" s="218"/>
      <c r="AI35" s="344">
        <v>0</v>
      </c>
      <c r="AJ35" s="217">
        <v>0</v>
      </c>
      <c r="AK35" s="345"/>
      <c r="AL35" s="218"/>
    </row>
    <row r="36" spans="1:38" s="10" customFormat="1" ht="20.100000000000001" customHeight="1">
      <c r="A36" s="343" t="s">
        <v>237</v>
      </c>
      <c r="B36" s="350"/>
      <c r="C36" s="351"/>
      <c r="D36" s="351"/>
      <c r="E36" s="352"/>
      <c r="F36" s="350"/>
      <c r="G36" s="351"/>
      <c r="H36" s="351"/>
      <c r="I36" s="352"/>
      <c r="J36" s="351"/>
      <c r="K36" s="345"/>
      <c r="L36" s="345"/>
      <c r="M36" s="215"/>
      <c r="N36" s="344"/>
      <c r="O36" s="345"/>
      <c r="P36" s="345"/>
      <c r="Q36" s="218"/>
      <c r="R36" s="344">
        <v>0</v>
      </c>
      <c r="S36" s="345">
        <v>0</v>
      </c>
      <c r="T36" s="345">
        <v>0</v>
      </c>
      <c r="U36" s="218">
        <v>0</v>
      </c>
      <c r="V36" s="344">
        <v>0</v>
      </c>
      <c r="W36" s="345">
        <v>0</v>
      </c>
      <c r="X36" s="345">
        <v>0</v>
      </c>
      <c r="Y36" s="218">
        <v>-662.5</v>
      </c>
      <c r="Z36" s="217">
        <v>-11.3</v>
      </c>
      <c r="AA36" s="345">
        <v>-15.7</v>
      </c>
      <c r="AB36" s="345">
        <v>-15.7</v>
      </c>
      <c r="AC36" s="218">
        <v>-16.100000000000001</v>
      </c>
      <c r="AD36" s="216">
        <v>0</v>
      </c>
      <c r="AE36" s="345">
        <v>-14.7</v>
      </c>
      <c r="AF36" s="345"/>
      <c r="AG36" s="218"/>
      <c r="AI36" s="216">
        <v>0</v>
      </c>
      <c r="AJ36" s="345">
        <v>-14.7</v>
      </c>
      <c r="AK36" s="345"/>
      <c r="AL36" s="218"/>
    </row>
    <row r="37" spans="1:38" s="11" customFormat="1" ht="20.100000000000001" customHeight="1">
      <c r="A37" s="41" t="s">
        <v>146</v>
      </c>
      <c r="B37" s="216">
        <v>-2.3290000000000002</v>
      </c>
      <c r="C37" s="217">
        <v>-45.099000000000004</v>
      </c>
      <c r="D37" s="217">
        <v>-45.329000000000001</v>
      </c>
      <c r="E37" s="289">
        <v>-45.710999999999999</v>
      </c>
      <c r="F37" s="216">
        <v>-0.153</v>
      </c>
      <c r="G37" s="217">
        <v>-0.26800000000000002</v>
      </c>
      <c r="H37" s="217">
        <v>-64.186999999999998</v>
      </c>
      <c r="I37" s="289">
        <v>-64.266000000000005</v>
      </c>
      <c r="J37" s="214">
        <v>0</v>
      </c>
      <c r="K37" s="214">
        <v>1800.4</v>
      </c>
      <c r="L37" s="214">
        <v>1800.4</v>
      </c>
      <c r="M37" s="215">
        <v>1800.4</v>
      </c>
      <c r="N37" s="216">
        <v>-4.2</v>
      </c>
      <c r="O37" s="217">
        <v>-29.5</v>
      </c>
      <c r="P37" s="217">
        <v>-29.5</v>
      </c>
      <c r="Q37" s="218">
        <v>-29.5</v>
      </c>
      <c r="R37" s="216">
        <v>262.2</v>
      </c>
      <c r="S37" s="217">
        <v>-145.30000000000001</v>
      </c>
      <c r="T37" s="217">
        <v>-144.4</v>
      </c>
      <c r="U37" s="218">
        <v>-144.4</v>
      </c>
      <c r="V37" s="216">
        <v>0</v>
      </c>
      <c r="W37" s="217">
        <v>0</v>
      </c>
      <c r="X37" s="217">
        <v>1.6</v>
      </c>
      <c r="Y37" s="218">
        <v>-66.8</v>
      </c>
      <c r="Z37" s="345">
        <v>-16.7</v>
      </c>
      <c r="AA37" s="217">
        <v>-276.8</v>
      </c>
      <c r="AB37" s="217">
        <v>-453.7</v>
      </c>
      <c r="AC37" s="218">
        <v>-792.4</v>
      </c>
      <c r="AD37" s="344">
        <v>0</v>
      </c>
      <c r="AE37" s="217">
        <v>-63.8</v>
      </c>
      <c r="AF37" s="217"/>
      <c r="AG37" s="218"/>
      <c r="AI37" s="344">
        <v>0</v>
      </c>
      <c r="AJ37" s="217">
        <v>-63.8</v>
      </c>
      <c r="AK37" s="217"/>
      <c r="AL37" s="218"/>
    </row>
    <row r="38" spans="1:38" s="11" customFormat="1" ht="20.100000000000001" customHeight="1">
      <c r="A38" s="636" t="s">
        <v>326</v>
      </c>
      <c r="B38" s="216"/>
      <c r="C38" s="217"/>
      <c r="D38" s="217"/>
      <c r="E38" s="289"/>
      <c r="F38" s="216"/>
      <c r="G38" s="217"/>
      <c r="H38" s="217"/>
      <c r="I38" s="289"/>
      <c r="J38" s="214"/>
      <c r="K38" s="214"/>
      <c r="L38" s="214"/>
      <c r="M38" s="215"/>
      <c r="N38" s="216"/>
      <c r="O38" s="217"/>
      <c r="P38" s="217"/>
      <c r="Q38" s="218"/>
      <c r="R38" s="216"/>
      <c r="S38" s="217"/>
      <c r="T38" s="217"/>
      <c r="U38" s="218"/>
      <c r="V38" s="216"/>
      <c r="W38" s="217"/>
      <c r="X38" s="217"/>
      <c r="Y38" s="218"/>
      <c r="Z38" s="345"/>
      <c r="AA38" s="217"/>
      <c r="AB38" s="217"/>
      <c r="AC38" s="218"/>
      <c r="AD38" s="344"/>
      <c r="AE38" s="217">
        <v>-16.3</v>
      </c>
      <c r="AF38" s="217"/>
      <c r="AG38" s="218"/>
      <c r="AI38" s="344"/>
      <c r="AJ38" s="217">
        <v>-16.3</v>
      </c>
      <c r="AK38" s="217"/>
      <c r="AL38" s="218"/>
    </row>
    <row r="39" spans="1:38" s="11" customFormat="1" ht="20.100000000000001" customHeight="1">
      <c r="A39" s="41" t="s">
        <v>198</v>
      </c>
      <c r="B39" s="216">
        <v>0</v>
      </c>
      <c r="C39" s="217">
        <v>0</v>
      </c>
      <c r="D39" s="217">
        <v>0</v>
      </c>
      <c r="E39" s="289">
        <v>0</v>
      </c>
      <c r="F39" s="216">
        <v>0</v>
      </c>
      <c r="G39" s="217">
        <v>0</v>
      </c>
      <c r="H39" s="217">
        <v>48.219000000000001</v>
      </c>
      <c r="I39" s="289">
        <v>48.736000000000004</v>
      </c>
      <c r="J39" s="214">
        <v>0</v>
      </c>
      <c r="K39" s="214">
        <v>0</v>
      </c>
      <c r="L39" s="214">
        <v>0</v>
      </c>
      <c r="M39" s="215">
        <v>0</v>
      </c>
      <c r="N39" s="216">
        <v>0</v>
      </c>
      <c r="O39" s="217">
        <v>0</v>
      </c>
      <c r="P39" s="217">
        <v>0</v>
      </c>
      <c r="Q39" s="218">
        <v>0</v>
      </c>
      <c r="R39" s="216">
        <v>0</v>
      </c>
      <c r="S39" s="217">
        <v>0.2</v>
      </c>
      <c r="T39" s="217">
        <v>0.2</v>
      </c>
      <c r="U39" s="218">
        <v>0</v>
      </c>
      <c r="V39" s="216">
        <v>0</v>
      </c>
      <c r="W39" s="217">
        <v>0</v>
      </c>
      <c r="X39" s="217">
        <v>0</v>
      </c>
      <c r="Y39" s="218">
        <v>0</v>
      </c>
      <c r="Z39" s="217">
        <v>0</v>
      </c>
      <c r="AA39" s="217">
        <v>0</v>
      </c>
      <c r="AB39" s="345">
        <v>0</v>
      </c>
      <c r="AC39" s="218">
        <v>0</v>
      </c>
      <c r="AD39" s="216">
        <v>0</v>
      </c>
      <c r="AE39" s="217">
        <v>0</v>
      </c>
      <c r="AF39" s="345"/>
      <c r="AG39" s="218"/>
      <c r="AI39" s="216">
        <v>0</v>
      </c>
      <c r="AJ39" s="217">
        <v>0</v>
      </c>
      <c r="AK39" s="345"/>
      <c r="AL39" s="218"/>
    </row>
    <row r="40" spans="1:38" s="11" customFormat="1" ht="20.100000000000001" customHeight="1">
      <c r="A40" s="41" t="s">
        <v>147</v>
      </c>
      <c r="B40" s="216">
        <v>0.09</v>
      </c>
      <c r="C40" s="217">
        <v>0.121</v>
      </c>
      <c r="D40" s="217">
        <v>0.69000000000000006</v>
      </c>
      <c r="E40" s="289">
        <v>0.751</v>
      </c>
      <c r="F40" s="216">
        <v>0.35000000000000003</v>
      </c>
      <c r="G40" s="217">
        <v>0.41000000000000003</v>
      </c>
      <c r="H40" s="217">
        <v>1.756</v>
      </c>
      <c r="I40" s="289">
        <v>2.0640000000000001</v>
      </c>
      <c r="J40" s="214">
        <v>0.33700000000000002</v>
      </c>
      <c r="K40" s="214">
        <v>1.6</v>
      </c>
      <c r="L40" s="214">
        <v>4</v>
      </c>
      <c r="M40" s="215">
        <v>4.0999999999999996</v>
      </c>
      <c r="N40" s="216">
        <v>0.2</v>
      </c>
      <c r="O40" s="217">
        <v>13.3</v>
      </c>
      <c r="P40" s="217">
        <v>15.1</v>
      </c>
      <c r="Q40" s="218">
        <v>16.899999999999999</v>
      </c>
      <c r="R40" s="216">
        <v>3.5</v>
      </c>
      <c r="S40" s="217">
        <v>5</v>
      </c>
      <c r="T40" s="217">
        <v>6.3</v>
      </c>
      <c r="U40" s="218">
        <v>9.5</v>
      </c>
      <c r="V40" s="216">
        <v>12.8</v>
      </c>
      <c r="W40" s="217">
        <v>16</v>
      </c>
      <c r="X40" s="217">
        <v>15.8</v>
      </c>
      <c r="Y40" s="218">
        <v>19.3</v>
      </c>
      <c r="Z40" s="217">
        <v>3.4</v>
      </c>
      <c r="AA40" s="217">
        <v>10.6</v>
      </c>
      <c r="AB40" s="217">
        <v>11.6</v>
      </c>
      <c r="AC40" s="218">
        <v>11.6</v>
      </c>
      <c r="AD40" s="216">
        <v>2.5</v>
      </c>
      <c r="AE40" s="217">
        <v>4.2</v>
      </c>
      <c r="AF40" s="217"/>
      <c r="AG40" s="218"/>
      <c r="AI40" s="216">
        <v>2.5</v>
      </c>
      <c r="AJ40" s="217">
        <v>4.2</v>
      </c>
      <c r="AK40" s="217"/>
      <c r="AL40" s="218"/>
    </row>
    <row r="41" spans="1:38" s="11" customFormat="1" ht="20.100000000000001" customHeight="1">
      <c r="A41" s="343" t="s">
        <v>249</v>
      </c>
      <c r="B41" s="216"/>
      <c r="C41" s="217"/>
      <c r="D41" s="217"/>
      <c r="E41" s="289"/>
      <c r="F41" s="216"/>
      <c r="G41" s="217"/>
      <c r="H41" s="217"/>
      <c r="I41" s="289"/>
      <c r="J41" s="214"/>
      <c r="K41" s="214"/>
      <c r="L41" s="214"/>
      <c r="M41" s="215"/>
      <c r="N41" s="216"/>
      <c r="O41" s="217"/>
      <c r="P41" s="217"/>
      <c r="Q41" s="218"/>
      <c r="R41" s="216"/>
      <c r="S41" s="217"/>
      <c r="T41" s="217"/>
      <c r="U41" s="218"/>
      <c r="V41" s="216"/>
      <c r="W41" s="217"/>
      <c r="X41" s="217"/>
      <c r="Y41" s="218"/>
      <c r="Z41" s="217">
        <v>-45</v>
      </c>
      <c r="AA41" s="217">
        <v>0.3</v>
      </c>
      <c r="AB41" s="345">
        <v>0.4</v>
      </c>
      <c r="AC41" s="218">
        <f>-130+130.5</f>
        <v>0.5</v>
      </c>
      <c r="AD41" s="216">
        <v>0.1</v>
      </c>
      <c r="AE41" s="217">
        <v>0.3</v>
      </c>
      <c r="AF41" s="345"/>
      <c r="AG41" s="218"/>
      <c r="AI41" s="216">
        <v>0.1</v>
      </c>
      <c r="AJ41" s="217">
        <v>0.3</v>
      </c>
      <c r="AK41" s="345"/>
      <c r="AL41" s="218"/>
    </row>
    <row r="42" spans="1:38" s="11" customFormat="1" ht="20.100000000000001" customHeight="1">
      <c r="A42" s="41" t="s">
        <v>101</v>
      </c>
      <c r="B42" s="216">
        <v>0</v>
      </c>
      <c r="C42" s="217">
        <v>0</v>
      </c>
      <c r="D42" s="217">
        <v>0</v>
      </c>
      <c r="E42" s="289">
        <v>0</v>
      </c>
      <c r="F42" s="216">
        <v>0</v>
      </c>
      <c r="G42" s="217">
        <v>0</v>
      </c>
      <c r="H42" s="217">
        <v>0</v>
      </c>
      <c r="I42" s="289">
        <v>0</v>
      </c>
      <c r="J42" s="214">
        <v>0</v>
      </c>
      <c r="K42" s="214">
        <v>-270</v>
      </c>
      <c r="L42" s="214">
        <v>-30</v>
      </c>
      <c r="M42" s="215">
        <v>0</v>
      </c>
      <c r="N42" s="216">
        <v>-42.7</v>
      </c>
      <c r="O42" s="217">
        <v>-42.7</v>
      </c>
      <c r="P42" s="217">
        <v>0</v>
      </c>
      <c r="Q42" s="218">
        <v>0</v>
      </c>
      <c r="R42" s="216">
        <v>-12.4</v>
      </c>
      <c r="S42" s="217">
        <v>0</v>
      </c>
      <c r="T42" s="217">
        <v>0</v>
      </c>
      <c r="U42" s="218">
        <v>0</v>
      </c>
      <c r="V42" s="216">
        <v>0</v>
      </c>
      <c r="W42" s="217">
        <v>0</v>
      </c>
      <c r="X42" s="217">
        <v>0</v>
      </c>
      <c r="Y42" s="218">
        <v>0</v>
      </c>
      <c r="Z42" s="217">
        <v>0</v>
      </c>
      <c r="AA42" s="217">
        <v>0</v>
      </c>
      <c r="AB42" s="217">
        <v>0</v>
      </c>
      <c r="AC42" s="218">
        <v>0</v>
      </c>
      <c r="AD42" s="216">
        <v>0</v>
      </c>
      <c r="AE42" s="217">
        <v>0</v>
      </c>
      <c r="AF42" s="217"/>
      <c r="AG42" s="218"/>
      <c r="AI42" s="216">
        <v>0</v>
      </c>
      <c r="AJ42" s="217">
        <v>0</v>
      </c>
      <c r="AK42" s="217"/>
      <c r="AL42" s="218"/>
    </row>
    <row r="43" spans="1:38" s="11" customFormat="1" ht="20.100000000000001" customHeight="1">
      <c r="A43" s="41" t="s">
        <v>148</v>
      </c>
      <c r="B43" s="216">
        <v>-1.1000000000000001</v>
      </c>
      <c r="C43" s="217">
        <v>-1.1000000000000001</v>
      </c>
      <c r="D43" s="217">
        <v>-1.1000000000000001</v>
      </c>
      <c r="E43" s="289">
        <v>-1.1000000000000001</v>
      </c>
      <c r="F43" s="216">
        <v>0</v>
      </c>
      <c r="G43" s="217">
        <v>0</v>
      </c>
      <c r="H43" s="217">
        <v>0</v>
      </c>
      <c r="I43" s="289">
        <v>0</v>
      </c>
      <c r="J43" s="214">
        <v>0</v>
      </c>
      <c r="K43" s="214">
        <v>-5.8</v>
      </c>
      <c r="L43" s="214">
        <v>-20.399999999999999</v>
      </c>
      <c r="M43" s="215">
        <v>-23.1</v>
      </c>
      <c r="N43" s="216">
        <v>-6</v>
      </c>
      <c r="O43" s="217">
        <v>-8.9</v>
      </c>
      <c r="P43" s="217">
        <v>-12.1</v>
      </c>
      <c r="Q43" s="218">
        <v>-16.100000000000001</v>
      </c>
      <c r="R43" s="216">
        <v>-6.8</v>
      </c>
      <c r="S43" s="217">
        <v>-9.5</v>
      </c>
      <c r="T43" s="217">
        <v>-10.5</v>
      </c>
      <c r="U43" s="218">
        <v>-11.6</v>
      </c>
      <c r="V43" s="216">
        <v>0</v>
      </c>
      <c r="W43" s="217">
        <v>0</v>
      </c>
      <c r="X43" s="217">
        <v>-28.6</v>
      </c>
      <c r="Y43" s="218">
        <v>-31.1</v>
      </c>
      <c r="Z43" s="217">
        <v>-11</v>
      </c>
      <c r="AA43" s="217">
        <v>-11</v>
      </c>
      <c r="AB43" s="217">
        <v>-11</v>
      </c>
      <c r="AC43" s="218">
        <v>-12.4</v>
      </c>
      <c r="AD43" s="216">
        <v>-12.9</v>
      </c>
      <c r="AE43" s="217">
        <v>-14.6</v>
      </c>
      <c r="AF43" s="217"/>
      <c r="AG43" s="218"/>
      <c r="AI43" s="216">
        <v>-12.9</v>
      </c>
      <c r="AJ43" s="217">
        <v>-14.6</v>
      </c>
      <c r="AK43" s="217"/>
      <c r="AL43" s="218"/>
    </row>
    <row r="44" spans="1:38" s="11" customFormat="1" ht="20.100000000000001" customHeight="1">
      <c r="A44" s="41" t="s">
        <v>149</v>
      </c>
      <c r="B44" s="216">
        <v>0</v>
      </c>
      <c r="C44" s="217">
        <v>1.1000000000000001</v>
      </c>
      <c r="D44" s="217">
        <v>1.1000000000000001</v>
      </c>
      <c r="E44" s="289">
        <v>1.1000000000000001</v>
      </c>
      <c r="F44" s="216">
        <v>0</v>
      </c>
      <c r="G44" s="217">
        <v>0</v>
      </c>
      <c r="H44" s="217">
        <v>0</v>
      </c>
      <c r="I44" s="289">
        <v>0</v>
      </c>
      <c r="J44" s="214">
        <v>0</v>
      </c>
      <c r="K44" s="214">
        <v>0</v>
      </c>
      <c r="L44" s="214">
        <v>0</v>
      </c>
      <c r="M44" s="215">
        <v>0</v>
      </c>
      <c r="N44" s="216">
        <v>0</v>
      </c>
      <c r="O44" s="217">
        <v>0</v>
      </c>
      <c r="P44" s="217">
        <v>0</v>
      </c>
      <c r="Q44" s="218">
        <v>0</v>
      </c>
      <c r="R44" s="216">
        <v>0</v>
      </c>
      <c r="S44" s="217">
        <v>0</v>
      </c>
      <c r="T44" s="217">
        <v>0</v>
      </c>
      <c r="U44" s="218">
        <v>0.1</v>
      </c>
      <c r="V44" s="216">
        <v>0</v>
      </c>
      <c r="W44" s="217">
        <v>0</v>
      </c>
      <c r="X44" s="217">
        <v>25</v>
      </c>
      <c r="Y44" s="218">
        <v>30.5</v>
      </c>
      <c r="Z44" s="217">
        <v>0</v>
      </c>
      <c r="AA44" s="217">
        <v>6.4</v>
      </c>
      <c r="AB44" s="217">
        <v>30</v>
      </c>
      <c r="AC44" s="218">
        <v>29.3</v>
      </c>
      <c r="AD44" s="216">
        <v>0</v>
      </c>
      <c r="AE44" s="217">
        <v>0</v>
      </c>
      <c r="AF44" s="217"/>
      <c r="AG44" s="218"/>
      <c r="AI44" s="216">
        <v>0</v>
      </c>
      <c r="AJ44" s="217">
        <v>0</v>
      </c>
      <c r="AK44" s="217"/>
      <c r="AL44" s="218"/>
    </row>
    <row r="45" spans="1:38" s="11" customFormat="1" ht="20.100000000000001" customHeight="1">
      <c r="A45" s="41" t="s">
        <v>150</v>
      </c>
      <c r="B45" s="216">
        <v>0</v>
      </c>
      <c r="C45" s="217">
        <v>0</v>
      </c>
      <c r="D45" s="217">
        <v>0</v>
      </c>
      <c r="E45" s="289">
        <v>0</v>
      </c>
      <c r="F45" s="216">
        <v>0</v>
      </c>
      <c r="G45" s="217">
        <v>0</v>
      </c>
      <c r="H45" s="217">
        <v>0</v>
      </c>
      <c r="I45" s="289">
        <v>0</v>
      </c>
      <c r="J45" s="214">
        <v>0</v>
      </c>
      <c r="K45" s="214">
        <v>5</v>
      </c>
      <c r="L45" s="214">
        <v>5.5</v>
      </c>
      <c r="M45" s="215">
        <v>6.6</v>
      </c>
      <c r="N45" s="216">
        <v>1.2</v>
      </c>
      <c r="O45" s="217">
        <v>-2.1</v>
      </c>
      <c r="P45" s="217">
        <v>3.2</v>
      </c>
      <c r="Q45" s="218">
        <v>3.9</v>
      </c>
      <c r="R45" s="216">
        <v>-5</v>
      </c>
      <c r="S45" s="217">
        <v>-4</v>
      </c>
      <c r="T45" s="217">
        <v>-3.5</v>
      </c>
      <c r="U45" s="218">
        <v>-1.6</v>
      </c>
      <c r="V45" s="216">
        <v>-1.1000000000000001</v>
      </c>
      <c r="W45" s="217">
        <v>0</v>
      </c>
      <c r="X45" s="299" t="s">
        <v>211</v>
      </c>
      <c r="Y45" s="303" t="s">
        <v>211</v>
      </c>
      <c r="Z45" s="217">
        <v>-1.5</v>
      </c>
      <c r="AA45" s="217">
        <v>0</v>
      </c>
      <c r="AB45" s="299">
        <v>0</v>
      </c>
      <c r="AC45" s="303">
        <v>0</v>
      </c>
      <c r="AD45" s="216">
        <v>0</v>
      </c>
      <c r="AE45" s="217">
        <v>0</v>
      </c>
      <c r="AF45" s="299"/>
      <c r="AG45" s="303"/>
      <c r="AI45" s="216">
        <v>0</v>
      </c>
      <c r="AJ45" s="217">
        <v>0</v>
      </c>
      <c r="AK45" s="299"/>
      <c r="AL45" s="303"/>
    </row>
    <row r="46" spans="1:38" s="11" customFormat="1" ht="20.100000000000001" customHeight="1">
      <c r="A46" s="41" t="s">
        <v>151</v>
      </c>
      <c r="B46" s="216">
        <v>0</v>
      </c>
      <c r="C46" s="217">
        <v>1.258</v>
      </c>
      <c r="D46" s="217">
        <v>1.258</v>
      </c>
      <c r="E46" s="289">
        <v>2.706</v>
      </c>
      <c r="F46" s="216">
        <v>0</v>
      </c>
      <c r="G46" s="217">
        <v>2.5150000000000001</v>
      </c>
      <c r="H46" s="217">
        <v>2.5150000000000001</v>
      </c>
      <c r="I46" s="289">
        <v>2.5150000000000001</v>
      </c>
      <c r="J46" s="214">
        <v>2.5300000000000002</v>
      </c>
      <c r="K46" s="214">
        <v>2.5</v>
      </c>
      <c r="L46" s="214">
        <v>2.5</v>
      </c>
      <c r="M46" s="215">
        <v>2.5</v>
      </c>
      <c r="N46" s="216">
        <v>0</v>
      </c>
      <c r="O46" s="217">
        <v>0</v>
      </c>
      <c r="P46" s="217">
        <v>0</v>
      </c>
      <c r="Q46" s="218">
        <v>0</v>
      </c>
      <c r="R46" s="216">
        <v>0</v>
      </c>
      <c r="S46" s="217">
        <v>0</v>
      </c>
      <c r="T46" s="217">
        <v>0</v>
      </c>
      <c r="U46" s="218">
        <v>0</v>
      </c>
      <c r="V46" s="216">
        <v>0</v>
      </c>
      <c r="W46" s="217">
        <v>0</v>
      </c>
      <c r="X46" s="217">
        <v>0</v>
      </c>
      <c r="Y46" s="218">
        <v>0</v>
      </c>
      <c r="Z46" s="217">
        <v>0</v>
      </c>
      <c r="AA46" s="217">
        <v>0</v>
      </c>
      <c r="AB46" s="217">
        <v>0</v>
      </c>
      <c r="AC46" s="218">
        <v>0</v>
      </c>
      <c r="AD46" s="216">
        <v>0</v>
      </c>
      <c r="AE46" s="217">
        <v>0</v>
      </c>
      <c r="AF46" s="217"/>
      <c r="AG46" s="218"/>
      <c r="AI46" s="216">
        <v>0</v>
      </c>
      <c r="AJ46" s="217">
        <v>0</v>
      </c>
      <c r="AK46" s="217"/>
      <c r="AL46" s="218"/>
    </row>
    <row r="47" spans="1:38" s="11" customFormat="1" ht="20.100000000000001" customHeight="1">
      <c r="A47" s="636" t="s">
        <v>327</v>
      </c>
      <c r="B47" s="216"/>
      <c r="C47" s="217"/>
      <c r="D47" s="217"/>
      <c r="E47" s="289"/>
      <c r="F47" s="216"/>
      <c r="G47" s="217"/>
      <c r="H47" s="217"/>
      <c r="I47" s="289"/>
      <c r="J47" s="214"/>
      <c r="K47" s="214"/>
      <c r="L47" s="214"/>
      <c r="M47" s="215"/>
      <c r="N47" s="216"/>
      <c r="O47" s="217"/>
      <c r="P47" s="217"/>
      <c r="Q47" s="218"/>
      <c r="R47" s="216"/>
      <c r="S47" s="217"/>
      <c r="T47" s="217"/>
      <c r="U47" s="218"/>
      <c r="V47" s="216"/>
      <c r="W47" s="217"/>
      <c r="X47" s="217"/>
      <c r="Y47" s="218"/>
      <c r="Z47" s="217"/>
      <c r="AA47" s="217"/>
      <c r="AB47" s="217"/>
      <c r="AC47" s="218"/>
      <c r="AD47" s="216"/>
      <c r="AE47" s="217">
        <v>8.6999999999999993</v>
      </c>
      <c r="AF47" s="217"/>
      <c r="AG47" s="218"/>
      <c r="AI47" s="216"/>
      <c r="AJ47" s="217">
        <v>8.6999999999999993</v>
      </c>
      <c r="AK47" s="217"/>
      <c r="AL47" s="218"/>
    </row>
    <row r="48" spans="1:38" s="11" customFormat="1" ht="20.100000000000001" customHeight="1" thickBot="1">
      <c r="A48" s="41" t="s">
        <v>213</v>
      </c>
      <c r="B48" s="216">
        <v>0</v>
      </c>
      <c r="C48" s="217">
        <v>0</v>
      </c>
      <c r="D48" s="217">
        <v>0</v>
      </c>
      <c r="E48" s="289">
        <v>0</v>
      </c>
      <c r="F48" s="216">
        <v>0</v>
      </c>
      <c r="G48" s="217">
        <v>0</v>
      </c>
      <c r="H48" s="217">
        <v>0</v>
      </c>
      <c r="I48" s="289">
        <v>0</v>
      </c>
      <c r="J48" s="214">
        <v>0</v>
      </c>
      <c r="K48" s="214">
        <v>0</v>
      </c>
      <c r="L48" s="214">
        <v>0</v>
      </c>
      <c r="M48" s="215">
        <v>0</v>
      </c>
      <c r="N48" s="216">
        <v>0</v>
      </c>
      <c r="O48" s="217">
        <v>0</v>
      </c>
      <c r="P48" s="217">
        <v>0</v>
      </c>
      <c r="Q48" s="218">
        <v>0</v>
      </c>
      <c r="R48" s="216">
        <v>0</v>
      </c>
      <c r="S48" s="217">
        <v>1</v>
      </c>
      <c r="T48" s="217">
        <v>1</v>
      </c>
      <c r="U48" s="218">
        <v>3.5</v>
      </c>
      <c r="V48" s="216">
        <v>1.2</v>
      </c>
      <c r="W48" s="217">
        <v>-0.5</v>
      </c>
      <c r="X48" s="217">
        <v>5.9</v>
      </c>
      <c r="Y48" s="218">
        <v>6.4</v>
      </c>
      <c r="Z48" s="217">
        <v>1.1000000000000001</v>
      </c>
      <c r="AA48" s="217">
        <v>-0.9</v>
      </c>
      <c r="AB48" s="217">
        <v>-5.9</v>
      </c>
      <c r="AC48" s="218">
        <v>1.2</v>
      </c>
      <c r="AD48" s="216">
        <v>3</v>
      </c>
      <c r="AE48" s="217">
        <v>0.5</v>
      </c>
      <c r="AF48" s="217"/>
      <c r="AG48" s="218"/>
      <c r="AI48" s="216">
        <v>3</v>
      </c>
      <c r="AJ48" s="217">
        <v>0.5</v>
      </c>
      <c r="AK48" s="217"/>
      <c r="AL48" s="218"/>
    </row>
    <row r="49" spans="1:38" s="11" customFormat="1" ht="24.95" customHeight="1" thickBot="1">
      <c r="A49" s="42" t="s">
        <v>157</v>
      </c>
      <c r="B49" s="221">
        <f t="shared" ref="B49:AG49" si="17">SUM(B32:B48)</f>
        <v>-24.143000000000004</v>
      </c>
      <c r="C49" s="219">
        <f t="shared" si="17"/>
        <v>-83.230000000000018</v>
      </c>
      <c r="D49" s="219">
        <f t="shared" si="17"/>
        <v>-107.08400000000002</v>
      </c>
      <c r="E49" s="290">
        <f t="shared" si="17"/>
        <v>-133.43099999999998</v>
      </c>
      <c r="F49" s="221">
        <f t="shared" si="17"/>
        <v>-34.882999999999996</v>
      </c>
      <c r="G49" s="219">
        <f t="shared" si="17"/>
        <v>-58.354000000000006</v>
      </c>
      <c r="H49" s="219">
        <f t="shared" si="17"/>
        <v>-110.15100000000002</v>
      </c>
      <c r="I49" s="290">
        <f t="shared" si="17"/>
        <v>-133.83700000000002</v>
      </c>
      <c r="J49" s="221">
        <f t="shared" si="17"/>
        <v>-36.552999999999997</v>
      </c>
      <c r="K49" s="219">
        <f t="shared" si="17"/>
        <v>1394.1000000000001</v>
      </c>
      <c r="L49" s="219">
        <f t="shared" si="17"/>
        <v>1042.3</v>
      </c>
      <c r="M49" s="220">
        <f t="shared" si="17"/>
        <v>972.80000000000007</v>
      </c>
      <c r="N49" s="221">
        <f t="shared" si="17"/>
        <v>-208.2</v>
      </c>
      <c r="O49" s="219">
        <f t="shared" si="17"/>
        <v>-347.59999999999997</v>
      </c>
      <c r="P49" s="219">
        <f t="shared" si="17"/>
        <v>-576.29999999999995</v>
      </c>
      <c r="Q49" s="222">
        <f t="shared" si="17"/>
        <v>-726.60000000000014</v>
      </c>
      <c r="R49" s="221">
        <f t="shared" si="17"/>
        <v>-24.899999999999988</v>
      </c>
      <c r="S49" s="219">
        <f t="shared" si="17"/>
        <v>-541.09999999999991</v>
      </c>
      <c r="T49" s="219">
        <f t="shared" si="17"/>
        <v>-815.19999999999993</v>
      </c>
      <c r="U49" s="222">
        <f t="shared" si="17"/>
        <v>-1003.4</v>
      </c>
      <c r="V49" s="221">
        <f t="shared" si="17"/>
        <v>-159.20000000000002</v>
      </c>
      <c r="W49" s="219">
        <f t="shared" si="17"/>
        <v>-367.5</v>
      </c>
      <c r="X49" s="219">
        <f t="shared" si="17"/>
        <v>-657.20000000000016</v>
      </c>
      <c r="Y49" s="222">
        <f t="shared" si="17"/>
        <v>-1573.2999999999997</v>
      </c>
      <c r="Z49" s="221">
        <f t="shared" si="17"/>
        <v>-255.4</v>
      </c>
      <c r="AA49" s="219">
        <f t="shared" si="17"/>
        <v>-637.70000000000005</v>
      </c>
      <c r="AB49" s="219">
        <f t="shared" si="17"/>
        <v>-1197.3000000000002</v>
      </c>
      <c r="AC49" s="222">
        <f t="shared" si="17"/>
        <v>-1835.5</v>
      </c>
      <c r="AD49" s="221">
        <f t="shared" si="17"/>
        <v>-367.19999999999993</v>
      </c>
      <c r="AE49" s="219">
        <f t="shared" ref="AE49" si="18">SUM(AE32:AE48)</f>
        <v>-731.99999999999989</v>
      </c>
      <c r="AF49" s="219">
        <f t="shared" si="17"/>
        <v>0</v>
      </c>
      <c r="AG49" s="222">
        <f t="shared" si="17"/>
        <v>0</v>
      </c>
      <c r="AI49" s="221">
        <f>SUM(AI32:AI48)</f>
        <v>-367.19999999999993</v>
      </c>
      <c r="AJ49" s="219">
        <f t="shared" ref="AJ49" si="19">SUM(AJ32:AJ48)</f>
        <v>-731.99999999999989</v>
      </c>
      <c r="AK49" s="219">
        <f>SUM(AK32:AK48)</f>
        <v>0</v>
      </c>
      <c r="AL49" s="222">
        <f>SUM(AL32:AL48)</f>
        <v>0</v>
      </c>
    </row>
    <row r="50" spans="1:38" s="11" customFormat="1" ht="19.5" customHeight="1">
      <c r="A50" s="41" t="s">
        <v>152</v>
      </c>
      <c r="B50" s="216">
        <v>-26.754999999999999</v>
      </c>
      <c r="C50" s="217">
        <v>-155.76300000000001</v>
      </c>
      <c r="D50" s="217">
        <v>-397.57499999999999</v>
      </c>
      <c r="E50" s="289">
        <v>-453.32400000000001</v>
      </c>
      <c r="F50" s="216">
        <v>-49.813000000000002</v>
      </c>
      <c r="G50" s="217">
        <v>-192.59</v>
      </c>
      <c r="H50" s="217">
        <v>-366.16200000000003</v>
      </c>
      <c r="I50" s="289">
        <v>-431.11700000000002</v>
      </c>
      <c r="J50" s="214">
        <v>-37.393999999999998</v>
      </c>
      <c r="K50" s="214">
        <v>-547.1</v>
      </c>
      <c r="L50" s="214">
        <v>-747.1</v>
      </c>
      <c r="M50" s="215">
        <v>-1087.0999999999999</v>
      </c>
      <c r="N50" s="216">
        <v>-157</v>
      </c>
      <c r="O50" s="217">
        <v>-954.2</v>
      </c>
      <c r="P50" s="217">
        <v>-9222.2000000000007</v>
      </c>
      <c r="Q50" s="218">
        <v>-9222.2000000000007</v>
      </c>
      <c r="R50" s="216">
        <v>-916.1</v>
      </c>
      <c r="S50" s="217">
        <v>-1498.9</v>
      </c>
      <c r="T50" s="217">
        <v>-1706.9</v>
      </c>
      <c r="U50" s="218">
        <v>-1940.9</v>
      </c>
      <c r="V50" s="216">
        <v>-234</v>
      </c>
      <c r="W50" s="217">
        <v>-568</v>
      </c>
      <c r="X50" s="217">
        <v>-802</v>
      </c>
      <c r="Y50" s="218">
        <v>-1162.5</v>
      </c>
      <c r="Z50" s="217">
        <v>-550</v>
      </c>
      <c r="AA50" s="217">
        <v>-652</v>
      </c>
      <c r="AB50" s="217">
        <v>-1077.8</v>
      </c>
      <c r="AC50" s="218">
        <v>-1282.2</v>
      </c>
      <c r="AD50" s="216">
        <v>-584.4</v>
      </c>
      <c r="AE50" s="217">
        <v>-851.6</v>
      </c>
      <c r="AF50" s="217"/>
      <c r="AG50" s="218"/>
      <c r="AI50" s="216">
        <v>-584.4</v>
      </c>
      <c r="AJ50" s="217">
        <v>-851.6</v>
      </c>
      <c r="AK50" s="217"/>
      <c r="AL50" s="218"/>
    </row>
    <row r="51" spans="1:38" s="11" customFormat="1" ht="19.5" customHeight="1">
      <c r="A51" s="41" t="s">
        <v>153</v>
      </c>
      <c r="B51" s="216">
        <v>0</v>
      </c>
      <c r="C51" s="217">
        <v>0</v>
      </c>
      <c r="D51" s="217">
        <v>0</v>
      </c>
      <c r="E51" s="289">
        <v>0</v>
      </c>
      <c r="F51" s="216">
        <v>0</v>
      </c>
      <c r="G51" s="217">
        <v>0</v>
      </c>
      <c r="H51" s="217">
        <v>0</v>
      </c>
      <c r="I51" s="289">
        <v>0</v>
      </c>
      <c r="J51" s="214">
        <v>0</v>
      </c>
      <c r="K51" s="214">
        <v>2800</v>
      </c>
      <c r="L51" s="214">
        <v>2800</v>
      </c>
      <c r="M51" s="215">
        <v>2800</v>
      </c>
      <c r="N51" s="216">
        <v>50</v>
      </c>
      <c r="O51" s="217">
        <v>120</v>
      </c>
      <c r="P51" s="217">
        <v>6820</v>
      </c>
      <c r="Q51" s="218">
        <v>6820</v>
      </c>
      <c r="R51" s="216">
        <v>5500</v>
      </c>
      <c r="S51" s="217">
        <v>5500</v>
      </c>
      <c r="T51" s="217">
        <v>5500</v>
      </c>
      <c r="U51" s="218">
        <v>5500</v>
      </c>
      <c r="V51" s="216">
        <v>0</v>
      </c>
      <c r="W51" s="217">
        <v>600</v>
      </c>
      <c r="X51" s="217">
        <v>600</v>
      </c>
      <c r="Y51" s="218">
        <v>1200</v>
      </c>
      <c r="Z51" s="217">
        <v>0</v>
      </c>
      <c r="AA51" s="217">
        <v>18.100000000000001</v>
      </c>
      <c r="AB51" s="217">
        <v>635.29999999999995</v>
      </c>
      <c r="AC51" s="218">
        <v>635.29999999999995</v>
      </c>
      <c r="AD51" s="216">
        <v>0</v>
      </c>
      <c r="AE51" s="217">
        <v>0</v>
      </c>
      <c r="AF51" s="217"/>
      <c r="AG51" s="218"/>
      <c r="AI51" s="216">
        <v>0</v>
      </c>
      <c r="AJ51" s="217">
        <v>0</v>
      </c>
      <c r="AK51" s="217"/>
      <c r="AL51" s="218"/>
    </row>
    <row r="52" spans="1:38" s="11" customFormat="1" ht="19.5" customHeight="1">
      <c r="A52" s="636" t="s">
        <v>201</v>
      </c>
      <c r="B52" s="216">
        <v>0</v>
      </c>
      <c r="C52" s="217">
        <v>0</v>
      </c>
      <c r="D52" s="217">
        <v>0</v>
      </c>
      <c r="E52" s="289">
        <v>0</v>
      </c>
      <c r="F52" s="216">
        <v>0</v>
      </c>
      <c r="G52" s="217">
        <v>0</v>
      </c>
      <c r="H52" s="217">
        <v>0</v>
      </c>
      <c r="I52" s="289">
        <v>0</v>
      </c>
      <c r="J52" s="214">
        <v>0</v>
      </c>
      <c r="K52" s="214">
        <v>-2275.9</v>
      </c>
      <c r="L52" s="214">
        <v>-2275.9</v>
      </c>
      <c r="M52" s="215">
        <v>-2275.9</v>
      </c>
      <c r="N52" s="216">
        <v>0</v>
      </c>
      <c r="O52" s="217">
        <v>0</v>
      </c>
      <c r="P52" s="217">
        <v>1000</v>
      </c>
      <c r="Q52" s="218">
        <v>1000</v>
      </c>
      <c r="R52" s="216">
        <v>-4483.8</v>
      </c>
      <c r="S52" s="217">
        <v>-4483.8</v>
      </c>
      <c r="T52" s="217">
        <v>-4483.8</v>
      </c>
      <c r="U52" s="218">
        <v>-4484</v>
      </c>
      <c r="V52" s="216">
        <v>0</v>
      </c>
      <c r="W52" s="217">
        <v>-886.7</v>
      </c>
      <c r="X52" s="217">
        <v>-886.7</v>
      </c>
      <c r="Y52" s="218">
        <v>-886.7</v>
      </c>
      <c r="Z52" s="217">
        <v>0</v>
      </c>
      <c r="AA52" s="217">
        <v>0</v>
      </c>
      <c r="AB52" s="217">
        <v>0</v>
      </c>
      <c r="AC52" s="218">
        <v>0</v>
      </c>
      <c r="AD52" s="216">
        <v>0</v>
      </c>
      <c r="AE52" s="617" t="s">
        <v>343</v>
      </c>
      <c r="AF52" s="217"/>
      <c r="AG52" s="218"/>
      <c r="AI52" s="216">
        <v>0</v>
      </c>
      <c r="AJ52" s="617" t="s">
        <v>343</v>
      </c>
      <c r="AK52" s="217"/>
      <c r="AL52" s="218"/>
    </row>
    <row r="53" spans="1:38" s="11" customFormat="1" ht="19.5" customHeight="1">
      <c r="A53" s="41" t="s">
        <v>172</v>
      </c>
      <c r="B53" s="216">
        <v>0</v>
      </c>
      <c r="C53" s="217">
        <v>0</v>
      </c>
      <c r="D53" s="217">
        <v>0</v>
      </c>
      <c r="E53" s="289">
        <v>0</v>
      </c>
      <c r="F53" s="216">
        <v>0</v>
      </c>
      <c r="G53" s="217">
        <v>0</v>
      </c>
      <c r="H53" s="217">
        <v>0</v>
      </c>
      <c r="I53" s="289">
        <v>0</v>
      </c>
      <c r="J53" s="214">
        <v>0</v>
      </c>
      <c r="K53" s="214">
        <v>0</v>
      </c>
      <c r="L53" s="214">
        <v>0</v>
      </c>
      <c r="M53" s="215">
        <v>0</v>
      </c>
      <c r="N53" s="216">
        <v>0</v>
      </c>
      <c r="O53" s="217">
        <v>0</v>
      </c>
      <c r="P53" s="217">
        <v>0</v>
      </c>
      <c r="Q53" s="218">
        <v>0</v>
      </c>
      <c r="R53" s="216">
        <v>-262.10000000000002</v>
      </c>
      <c r="S53" s="217">
        <v>-262.10000000000002</v>
      </c>
      <c r="T53" s="217">
        <v>-262.10000000000002</v>
      </c>
      <c r="U53" s="218">
        <v>-262.10000000000002</v>
      </c>
      <c r="V53" s="216">
        <v>0</v>
      </c>
      <c r="W53" s="217">
        <v>-58.7</v>
      </c>
      <c r="X53" s="217">
        <v>-58.7</v>
      </c>
      <c r="Y53" s="218">
        <v>-58.7</v>
      </c>
      <c r="Z53" s="217">
        <v>0</v>
      </c>
      <c r="AA53" s="217">
        <v>0</v>
      </c>
      <c r="AB53" s="217">
        <v>0</v>
      </c>
      <c r="AC53" s="218">
        <v>0</v>
      </c>
      <c r="AD53" s="216">
        <v>0</v>
      </c>
      <c r="AE53" s="217">
        <v>0</v>
      </c>
      <c r="AF53" s="217"/>
      <c r="AG53" s="218"/>
      <c r="AI53" s="216">
        <v>0</v>
      </c>
      <c r="AJ53" s="217">
        <v>0</v>
      </c>
      <c r="AK53" s="217"/>
      <c r="AL53" s="218"/>
    </row>
    <row r="54" spans="1:38" s="11" customFormat="1" ht="19.5" customHeight="1">
      <c r="A54" s="41" t="s">
        <v>173</v>
      </c>
      <c r="B54" s="216">
        <v>0</v>
      </c>
      <c r="C54" s="217">
        <v>0</v>
      </c>
      <c r="D54" s="217">
        <v>0</v>
      </c>
      <c r="E54" s="289">
        <v>0</v>
      </c>
      <c r="F54" s="216">
        <v>0</v>
      </c>
      <c r="G54" s="217">
        <v>0</v>
      </c>
      <c r="H54" s="217">
        <v>0</v>
      </c>
      <c r="I54" s="289">
        <v>0</v>
      </c>
      <c r="J54" s="214">
        <v>0</v>
      </c>
      <c r="K54" s="214">
        <v>0</v>
      </c>
      <c r="L54" s="214">
        <v>0</v>
      </c>
      <c r="M54" s="215">
        <v>0</v>
      </c>
      <c r="N54" s="216">
        <v>0</v>
      </c>
      <c r="O54" s="217">
        <v>0</v>
      </c>
      <c r="P54" s="217">
        <v>0</v>
      </c>
      <c r="Q54" s="218">
        <v>0</v>
      </c>
      <c r="R54" s="216">
        <v>175.4</v>
      </c>
      <c r="S54" s="217">
        <v>175.4</v>
      </c>
      <c r="T54" s="217">
        <v>175.4</v>
      </c>
      <c r="U54" s="218">
        <v>175.4</v>
      </c>
      <c r="V54" s="216">
        <v>0</v>
      </c>
      <c r="W54" s="217">
        <v>0</v>
      </c>
      <c r="X54" s="217">
        <v>0</v>
      </c>
      <c r="Y54" s="218">
        <v>0</v>
      </c>
      <c r="Z54" s="217">
        <v>0</v>
      </c>
      <c r="AA54" s="217">
        <v>0</v>
      </c>
      <c r="AB54" s="217">
        <v>0</v>
      </c>
      <c r="AC54" s="218">
        <v>0</v>
      </c>
      <c r="AD54" s="216">
        <v>0</v>
      </c>
      <c r="AE54" s="217">
        <v>0</v>
      </c>
      <c r="AF54" s="217"/>
      <c r="AG54" s="218"/>
      <c r="AI54" s="216">
        <v>0</v>
      </c>
      <c r="AJ54" s="217">
        <v>0</v>
      </c>
      <c r="AK54" s="217"/>
      <c r="AL54" s="218"/>
    </row>
    <row r="55" spans="1:38" s="11" customFormat="1" ht="19.5" customHeight="1">
      <c r="A55" s="638" t="s">
        <v>344</v>
      </c>
      <c r="B55" s="216">
        <v>-26.132999999999999</v>
      </c>
      <c r="C55" s="217">
        <f>(-103258-821)*0.001</f>
        <v>-104.07900000000001</v>
      </c>
      <c r="D55" s="217">
        <f>(-125824-2250)*0.001</f>
        <v>-128.07400000000001</v>
      </c>
      <c r="E55" s="289">
        <f>(-195934-3683)*0.001</f>
        <v>-199.61699999999999</v>
      </c>
      <c r="F55" s="216">
        <f>(-15811-1035)*0.001</f>
        <v>-16.846</v>
      </c>
      <c r="G55" s="217">
        <f>(-84439-1241)*0.001</f>
        <v>-85.68</v>
      </c>
      <c r="H55" s="217">
        <f>(-96215-1689)*0.001</f>
        <v>-97.903999999999996</v>
      </c>
      <c r="I55" s="289">
        <v>-165.017</v>
      </c>
      <c r="J55" s="214">
        <v>-9.0950000000000006</v>
      </c>
      <c r="K55" s="214">
        <v>-348.3</v>
      </c>
      <c r="L55" s="214">
        <v>-733.5</v>
      </c>
      <c r="M55" s="215">
        <v>-872.2</v>
      </c>
      <c r="N55" s="216">
        <v>-357.9</v>
      </c>
      <c r="O55" s="217">
        <v>-472.3</v>
      </c>
      <c r="P55" s="217">
        <v>-804.1</v>
      </c>
      <c r="Q55" s="218">
        <v>-978.9</v>
      </c>
      <c r="R55" s="216">
        <v>-383.2</v>
      </c>
      <c r="S55" s="217">
        <v>-507.9</v>
      </c>
      <c r="T55" s="217">
        <v>-631.70000000000005</v>
      </c>
      <c r="U55" s="218">
        <v>-729.6</v>
      </c>
      <c r="V55" s="216">
        <v>-112.5</v>
      </c>
      <c r="W55" s="217">
        <v>-206</v>
      </c>
      <c r="X55" s="217">
        <v>-319.60000000000002</v>
      </c>
      <c r="Y55" s="218">
        <v>-409.9</v>
      </c>
      <c r="Z55" s="217">
        <v>-138</v>
      </c>
      <c r="AA55" s="217">
        <v>-230.9</v>
      </c>
      <c r="AB55" s="217">
        <v>-342.8</v>
      </c>
      <c r="AC55" s="218">
        <v>-419</v>
      </c>
      <c r="AD55" s="216">
        <v>-107.1</v>
      </c>
      <c r="AE55" s="217">
        <v>-205.5</v>
      </c>
      <c r="AF55" s="217"/>
      <c r="AG55" s="218"/>
      <c r="AI55" s="216">
        <v>-107.1</v>
      </c>
      <c r="AJ55" s="217">
        <v>-205.5</v>
      </c>
      <c r="AK55" s="217"/>
      <c r="AL55" s="218"/>
    </row>
    <row r="56" spans="1:38" s="11" customFormat="1" ht="19.5" customHeight="1">
      <c r="A56" s="599" t="s">
        <v>328</v>
      </c>
      <c r="B56" s="216"/>
      <c r="C56" s="217"/>
      <c r="D56" s="217"/>
      <c r="E56" s="289"/>
      <c r="F56" s="216"/>
      <c r="G56" s="217"/>
      <c r="H56" s="217"/>
      <c r="I56" s="289"/>
      <c r="J56" s="214"/>
      <c r="K56" s="214"/>
      <c r="L56" s="214"/>
      <c r="M56" s="215"/>
      <c r="N56" s="216"/>
      <c r="O56" s="217"/>
      <c r="P56" s="217"/>
      <c r="Q56" s="218"/>
      <c r="R56" s="216"/>
      <c r="S56" s="217"/>
      <c r="T56" s="217"/>
      <c r="U56" s="218"/>
      <c r="V56" s="216"/>
      <c r="W56" s="217"/>
      <c r="X56" s="217"/>
      <c r="Y56" s="218"/>
      <c r="Z56" s="217"/>
      <c r="AA56" s="217"/>
      <c r="AB56" s="217"/>
      <c r="AC56" s="218"/>
      <c r="AD56" s="216">
        <v>-0.2</v>
      </c>
      <c r="AE56" s="217">
        <v>-0.4</v>
      </c>
      <c r="AF56" s="217"/>
      <c r="AG56" s="218"/>
      <c r="AI56" s="216">
        <v>-7.8</v>
      </c>
      <c r="AJ56" s="217">
        <v>-18.8</v>
      </c>
      <c r="AK56" s="217"/>
      <c r="AL56" s="218"/>
    </row>
    <row r="57" spans="1:38" s="11" customFormat="1" ht="19.5" customHeight="1">
      <c r="A57" s="599" t="s">
        <v>329</v>
      </c>
      <c r="B57" s="216"/>
      <c r="C57" s="217"/>
      <c r="D57" s="217"/>
      <c r="E57" s="289"/>
      <c r="F57" s="216"/>
      <c r="G57" s="217"/>
      <c r="H57" s="217"/>
      <c r="I57" s="289"/>
      <c r="J57" s="214"/>
      <c r="K57" s="214"/>
      <c r="L57" s="214"/>
      <c r="M57" s="215"/>
      <c r="N57" s="216"/>
      <c r="O57" s="217"/>
      <c r="P57" s="217"/>
      <c r="Q57" s="218"/>
      <c r="R57" s="216"/>
      <c r="S57" s="217"/>
      <c r="T57" s="217"/>
      <c r="U57" s="218"/>
      <c r="V57" s="216"/>
      <c r="W57" s="217"/>
      <c r="X57" s="217"/>
      <c r="Y57" s="218"/>
      <c r="Z57" s="217"/>
      <c r="AA57" s="217"/>
      <c r="AB57" s="217"/>
      <c r="AC57" s="218"/>
      <c r="AD57" s="216">
        <v>-3.1</v>
      </c>
      <c r="AE57" s="217">
        <v>-6.1</v>
      </c>
      <c r="AF57" s="217"/>
      <c r="AG57" s="218"/>
      <c r="AI57" s="216">
        <v>-54.5</v>
      </c>
      <c r="AJ57" s="217">
        <v>-142.69999999999999</v>
      </c>
      <c r="AK57" s="217"/>
      <c r="AL57" s="218"/>
    </row>
    <row r="58" spans="1:38" s="11" customFormat="1" ht="19.5" customHeight="1">
      <c r="A58" s="41" t="s">
        <v>154</v>
      </c>
      <c r="B58" s="216">
        <v>0</v>
      </c>
      <c r="C58" s="217">
        <v>0</v>
      </c>
      <c r="D58" s="217">
        <v>0</v>
      </c>
      <c r="E58" s="289">
        <v>0</v>
      </c>
      <c r="F58" s="216">
        <v>0</v>
      </c>
      <c r="G58" s="217">
        <v>0</v>
      </c>
      <c r="H58" s="217">
        <v>0</v>
      </c>
      <c r="I58" s="289">
        <v>0</v>
      </c>
      <c r="J58" s="214">
        <v>0</v>
      </c>
      <c r="K58" s="214">
        <v>-102.9</v>
      </c>
      <c r="L58" s="214">
        <v>-102.9</v>
      </c>
      <c r="M58" s="215">
        <v>-102.9</v>
      </c>
      <c r="N58" s="216">
        <v>0</v>
      </c>
      <c r="O58" s="217">
        <v>0</v>
      </c>
      <c r="P58" s="217">
        <v>0</v>
      </c>
      <c r="Q58" s="218">
        <v>0</v>
      </c>
      <c r="R58" s="216">
        <v>0</v>
      </c>
      <c r="S58" s="217">
        <v>0</v>
      </c>
      <c r="T58" s="217">
        <v>0</v>
      </c>
      <c r="U58" s="218">
        <v>0</v>
      </c>
      <c r="V58" s="216">
        <v>0</v>
      </c>
      <c r="W58" s="217">
        <v>0</v>
      </c>
      <c r="X58" s="217">
        <v>-204.7</v>
      </c>
      <c r="Y58" s="218">
        <v>-204.7</v>
      </c>
      <c r="Z58" s="217">
        <v>0</v>
      </c>
      <c r="AA58" s="217">
        <v>0</v>
      </c>
      <c r="AB58" s="217">
        <v>0</v>
      </c>
      <c r="AC58" s="218">
        <v>0</v>
      </c>
      <c r="AD58" s="216">
        <v>0</v>
      </c>
      <c r="AE58" s="217">
        <v>0</v>
      </c>
      <c r="AF58" s="217"/>
      <c r="AG58" s="218"/>
      <c r="AI58" s="216">
        <v>0</v>
      </c>
      <c r="AJ58" s="217">
        <v>0</v>
      </c>
      <c r="AK58" s="217"/>
      <c r="AL58" s="218"/>
    </row>
    <row r="59" spans="1:38" s="10" customFormat="1" ht="19.5" customHeight="1">
      <c r="A59" s="343" t="s">
        <v>227</v>
      </c>
      <c r="B59" s="344"/>
      <c r="C59" s="345"/>
      <c r="D59" s="345"/>
      <c r="E59" s="346"/>
      <c r="F59" s="344"/>
      <c r="G59" s="345"/>
      <c r="H59" s="345"/>
      <c r="I59" s="346"/>
      <c r="J59" s="347"/>
      <c r="K59" s="347"/>
      <c r="L59" s="347"/>
      <c r="M59" s="215"/>
      <c r="N59" s="344"/>
      <c r="O59" s="345"/>
      <c r="P59" s="345"/>
      <c r="Q59" s="218"/>
      <c r="R59" s="344"/>
      <c r="S59" s="345">
        <v>-323.60000000000002</v>
      </c>
      <c r="T59" s="345">
        <v>-323.60000000000002</v>
      </c>
      <c r="U59" s="218">
        <v>-323.60000000000002</v>
      </c>
      <c r="V59" s="344">
        <v>0</v>
      </c>
      <c r="W59" s="345">
        <v>0</v>
      </c>
      <c r="X59" s="345">
        <v>0</v>
      </c>
      <c r="Y59" s="218">
        <v>0</v>
      </c>
      <c r="Z59" s="345">
        <v>0</v>
      </c>
      <c r="AA59" s="345">
        <v>0</v>
      </c>
      <c r="AB59" s="345">
        <v>0</v>
      </c>
      <c r="AC59" s="218">
        <v>0</v>
      </c>
      <c r="AD59" s="344">
        <v>0</v>
      </c>
      <c r="AE59" s="345">
        <v>0</v>
      </c>
      <c r="AF59" s="345"/>
      <c r="AG59" s="218"/>
      <c r="AI59" s="344">
        <v>0</v>
      </c>
      <c r="AJ59" s="345">
        <v>0</v>
      </c>
      <c r="AK59" s="345"/>
      <c r="AL59" s="218"/>
    </row>
    <row r="60" spans="1:38" s="11" customFormat="1" ht="19.5" customHeight="1">
      <c r="A60" s="41" t="s">
        <v>204</v>
      </c>
      <c r="B60" s="216">
        <v>-8.4000000000000005E-2</v>
      </c>
      <c r="C60" s="217">
        <v>-0.23899999999999999</v>
      </c>
      <c r="D60" s="217">
        <v>-0.315</v>
      </c>
      <c r="E60" s="289">
        <v>-0.40600000000000003</v>
      </c>
      <c r="F60" s="216">
        <v>-7.8E-2</v>
      </c>
      <c r="G60" s="217">
        <v>-0.16800000000000001</v>
      </c>
      <c r="H60" s="217">
        <v>-0.25600000000000001</v>
      </c>
      <c r="I60" s="289">
        <v>-0.33</v>
      </c>
      <c r="J60" s="214">
        <v>-6.2E-2</v>
      </c>
      <c r="K60" s="214">
        <v>-0.3</v>
      </c>
      <c r="L60" s="214">
        <v>-0.7</v>
      </c>
      <c r="M60" s="215">
        <v>-0.9</v>
      </c>
      <c r="N60" s="216">
        <v>-2.5</v>
      </c>
      <c r="O60" s="217">
        <v>-3.5</v>
      </c>
      <c r="P60" s="217">
        <v>-4.5</v>
      </c>
      <c r="Q60" s="218">
        <v>-5.6</v>
      </c>
      <c r="R60" s="216">
        <v>-2.1</v>
      </c>
      <c r="S60" s="217">
        <v>-2.7</v>
      </c>
      <c r="T60" s="217">
        <v>-4.4000000000000004</v>
      </c>
      <c r="U60" s="218">
        <v>-6</v>
      </c>
      <c r="V60" s="216">
        <f>-0.3-1.4</f>
        <v>-1.7</v>
      </c>
      <c r="W60" s="217">
        <v>-2.9</v>
      </c>
      <c r="X60" s="217">
        <v>-4.3</v>
      </c>
      <c r="Y60" s="218">
        <v>-5.2</v>
      </c>
      <c r="Z60" s="217">
        <v>-1.6</v>
      </c>
      <c r="AA60" s="217">
        <v>-3.4</v>
      </c>
      <c r="AB60" s="217">
        <v>-4.8</v>
      </c>
      <c r="AC60" s="218">
        <v>-8.4</v>
      </c>
      <c r="AD60" s="216">
        <v>-0.6</v>
      </c>
      <c r="AE60" s="217">
        <v>-0.4</v>
      </c>
      <c r="AF60" s="217"/>
      <c r="AG60" s="218"/>
      <c r="AI60" s="216">
        <v>-0.6</v>
      </c>
      <c r="AJ60" s="217">
        <v>-0.4</v>
      </c>
      <c r="AK60" s="217"/>
      <c r="AL60" s="218"/>
    </row>
    <row r="61" spans="1:38" s="11" customFormat="1" ht="19.5" customHeight="1" thickBot="1">
      <c r="A61" s="41" t="s">
        <v>155</v>
      </c>
      <c r="B61" s="291">
        <v>0</v>
      </c>
      <c r="C61" s="292">
        <v>0</v>
      </c>
      <c r="D61" s="292">
        <v>0</v>
      </c>
      <c r="E61" s="217">
        <v>0</v>
      </c>
      <c r="F61" s="216">
        <v>0</v>
      </c>
      <c r="G61" s="217">
        <v>0</v>
      </c>
      <c r="H61" s="217">
        <v>0</v>
      </c>
      <c r="I61" s="289">
        <v>0</v>
      </c>
      <c r="J61" s="214">
        <v>0</v>
      </c>
      <c r="K61" s="214">
        <v>-3.8</v>
      </c>
      <c r="L61" s="214">
        <v>-3.9</v>
      </c>
      <c r="M61" s="215">
        <v>-3.9</v>
      </c>
      <c r="N61" s="216">
        <v>0</v>
      </c>
      <c r="O61" s="217">
        <v>0</v>
      </c>
      <c r="P61" s="217">
        <v>0</v>
      </c>
      <c r="Q61" s="218">
        <v>0</v>
      </c>
      <c r="R61" s="216">
        <v>0</v>
      </c>
      <c r="S61" s="217">
        <v>0</v>
      </c>
      <c r="T61" s="217">
        <v>0</v>
      </c>
      <c r="U61" s="218">
        <v>0</v>
      </c>
      <c r="V61" s="216">
        <v>0</v>
      </c>
      <c r="W61" s="217">
        <v>0</v>
      </c>
      <c r="X61" s="217">
        <v>0</v>
      </c>
      <c r="Y61" s="218">
        <v>0</v>
      </c>
      <c r="Z61" s="217">
        <v>0</v>
      </c>
      <c r="AA61" s="217"/>
      <c r="AB61" s="217">
        <v>0</v>
      </c>
      <c r="AC61" s="218">
        <v>0</v>
      </c>
      <c r="AD61" s="216">
        <v>0</v>
      </c>
      <c r="AE61" s="217">
        <v>0</v>
      </c>
      <c r="AF61" s="217"/>
      <c r="AG61" s="218"/>
      <c r="AI61" s="216">
        <v>0</v>
      </c>
      <c r="AJ61" s="217">
        <v>0</v>
      </c>
      <c r="AK61" s="217"/>
      <c r="AL61" s="218"/>
    </row>
    <row r="62" spans="1:38" s="11" customFormat="1" ht="20.100000000000001" customHeight="1" thickBot="1">
      <c r="A62" s="42" t="s">
        <v>156</v>
      </c>
      <c r="B62" s="221">
        <f t="shared" ref="B62:AG62" si="20">SUM(B50:B61)</f>
        <v>-52.972000000000001</v>
      </c>
      <c r="C62" s="219">
        <f t="shared" si="20"/>
        <v>-260.08099999999996</v>
      </c>
      <c r="D62" s="219">
        <f t="shared" si="20"/>
        <v>-525.96400000000006</v>
      </c>
      <c r="E62" s="290">
        <f t="shared" si="20"/>
        <v>-653.34699999999998</v>
      </c>
      <c r="F62" s="221">
        <f t="shared" si="20"/>
        <v>-66.737000000000009</v>
      </c>
      <c r="G62" s="219">
        <f t="shared" si="20"/>
        <v>-278.43799999999999</v>
      </c>
      <c r="H62" s="219">
        <f t="shared" si="20"/>
        <v>-464.322</v>
      </c>
      <c r="I62" s="290">
        <f t="shared" si="20"/>
        <v>-596.46400000000006</v>
      </c>
      <c r="J62" s="221">
        <f t="shared" si="20"/>
        <v>-46.550999999999995</v>
      </c>
      <c r="K62" s="219">
        <f t="shared" si="20"/>
        <v>-478.30000000000007</v>
      </c>
      <c r="L62" s="219">
        <f t="shared" si="20"/>
        <v>-1064.0000000000002</v>
      </c>
      <c r="M62" s="220">
        <f t="shared" si="20"/>
        <v>-1542.9000000000003</v>
      </c>
      <c r="N62" s="221">
        <f t="shared" si="20"/>
        <v>-467.4</v>
      </c>
      <c r="O62" s="219">
        <f t="shared" si="20"/>
        <v>-1310</v>
      </c>
      <c r="P62" s="219">
        <f t="shared" si="20"/>
        <v>-2210.8000000000006</v>
      </c>
      <c r="Q62" s="222">
        <f t="shared" si="20"/>
        <v>-2386.7000000000007</v>
      </c>
      <c r="R62" s="221">
        <f t="shared" si="20"/>
        <v>-371.90000000000055</v>
      </c>
      <c r="S62" s="219">
        <f t="shared" si="20"/>
        <v>-1403.6000000000001</v>
      </c>
      <c r="T62" s="219">
        <f t="shared" si="20"/>
        <v>-1737.1000000000004</v>
      </c>
      <c r="U62" s="222">
        <f t="shared" si="20"/>
        <v>-2070.8000000000002</v>
      </c>
      <c r="V62" s="221">
        <f t="shared" si="20"/>
        <v>-348.2</v>
      </c>
      <c r="W62" s="219">
        <f t="shared" si="20"/>
        <v>-1122.3000000000002</v>
      </c>
      <c r="X62" s="219">
        <f t="shared" si="20"/>
        <v>-1676</v>
      </c>
      <c r="Y62" s="222">
        <f t="shared" si="20"/>
        <v>-1527.7000000000003</v>
      </c>
      <c r="Z62" s="221">
        <f t="shared" si="20"/>
        <v>-689.6</v>
      </c>
      <c r="AA62" s="219">
        <f t="shared" si="20"/>
        <v>-868.19999999999993</v>
      </c>
      <c r="AB62" s="219">
        <f t="shared" si="20"/>
        <v>-790.09999999999991</v>
      </c>
      <c r="AC62" s="222">
        <f t="shared" si="20"/>
        <v>-1074.3000000000002</v>
      </c>
      <c r="AD62" s="221">
        <f t="shared" si="20"/>
        <v>-695.40000000000009</v>
      </c>
      <c r="AE62" s="219">
        <f t="shared" ref="AE62" si="21">SUM(AE50:AE61)</f>
        <v>-1064</v>
      </c>
      <c r="AF62" s="219">
        <f t="shared" si="20"/>
        <v>0</v>
      </c>
      <c r="AG62" s="222">
        <f t="shared" si="20"/>
        <v>0</v>
      </c>
      <c r="AI62" s="221">
        <f>SUM(AI50:AI61)</f>
        <v>-754.4</v>
      </c>
      <c r="AJ62" s="219">
        <f t="shared" ref="AJ62" si="22">SUM(AJ50:AJ61)</f>
        <v>-1219</v>
      </c>
      <c r="AK62" s="219">
        <f>SUM(AK50:AK61)</f>
        <v>0</v>
      </c>
      <c r="AL62" s="222">
        <f>SUM(AL50:AL61)</f>
        <v>0</v>
      </c>
    </row>
    <row r="63" spans="1:38" s="11" customFormat="1" ht="20.100000000000001" customHeight="1" thickBot="1">
      <c r="A63" s="42" t="s">
        <v>160</v>
      </c>
      <c r="B63" s="221">
        <f>B31+B49+B62</f>
        <v>147.59399999999997</v>
      </c>
      <c r="C63" s="219">
        <f t="shared" ref="C63:AG63" si="23">C62+C49+C31</f>
        <v>33.256000000000029</v>
      </c>
      <c r="D63" s="219">
        <f t="shared" si="23"/>
        <v>-51.083999999999946</v>
      </c>
      <c r="E63" s="290">
        <f t="shared" si="23"/>
        <v>-5.4109999999999445</v>
      </c>
      <c r="F63" s="221">
        <f t="shared" si="23"/>
        <v>53.822999999999979</v>
      </c>
      <c r="G63" s="219">
        <f t="shared" si="23"/>
        <v>-5.0790000000000077</v>
      </c>
      <c r="H63" s="219">
        <f t="shared" si="23"/>
        <v>-55.118000000000166</v>
      </c>
      <c r="I63" s="290">
        <f t="shared" si="23"/>
        <v>72.357999999999834</v>
      </c>
      <c r="J63" s="219">
        <f t="shared" si="23"/>
        <v>85.956000000000017</v>
      </c>
      <c r="K63" s="219">
        <f t="shared" si="23"/>
        <v>1565.4</v>
      </c>
      <c r="L63" s="219">
        <f t="shared" si="23"/>
        <v>1300.0999999999999</v>
      </c>
      <c r="M63" s="220">
        <f t="shared" si="23"/>
        <v>1403.7999999999975</v>
      </c>
      <c r="N63" s="221">
        <f t="shared" si="23"/>
        <v>-257.89999999999981</v>
      </c>
      <c r="O63" s="219">
        <f t="shared" si="23"/>
        <v>-353.30000000000041</v>
      </c>
      <c r="P63" s="219">
        <f t="shared" si="23"/>
        <v>-677.30000000000109</v>
      </c>
      <c r="Q63" s="222">
        <f t="shared" si="23"/>
        <v>-225.60000000000127</v>
      </c>
      <c r="R63" s="221">
        <f t="shared" si="23"/>
        <v>49.999999999999602</v>
      </c>
      <c r="S63" s="219">
        <f t="shared" si="23"/>
        <v>-568.70000000000005</v>
      </c>
      <c r="T63" s="219">
        <f t="shared" si="23"/>
        <v>-411.39999999999918</v>
      </c>
      <c r="U63" s="222">
        <f t="shared" si="23"/>
        <v>-189.49999999999955</v>
      </c>
      <c r="V63" s="221">
        <f t="shared" si="23"/>
        <v>244.3000000000003</v>
      </c>
      <c r="W63" s="219">
        <f t="shared" si="23"/>
        <v>29.599999999999909</v>
      </c>
      <c r="X63" s="219">
        <f t="shared" si="23"/>
        <v>-245.50000000000045</v>
      </c>
      <c r="Y63" s="222">
        <f t="shared" si="23"/>
        <v>-159.59999999999945</v>
      </c>
      <c r="Z63" s="221">
        <f t="shared" si="23"/>
        <v>-374.99999999999989</v>
      </c>
      <c r="AA63" s="219">
        <f t="shared" si="23"/>
        <v>-285.70000000000005</v>
      </c>
      <c r="AB63" s="219">
        <f t="shared" si="23"/>
        <v>-11.199999999999818</v>
      </c>
      <c r="AC63" s="222">
        <f t="shared" si="23"/>
        <v>5.2999999999997272</v>
      </c>
      <c r="AD63" s="221">
        <f t="shared" si="23"/>
        <v>-420.69999999999993</v>
      </c>
      <c r="AE63" s="219">
        <f t="shared" si="23"/>
        <v>-392.89999999999986</v>
      </c>
      <c r="AF63" s="219">
        <f t="shared" si="23"/>
        <v>0</v>
      </c>
      <c r="AG63" s="222">
        <f t="shared" si="23"/>
        <v>0</v>
      </c>
      <c r="AI63" s="221">
        <f>AI62+AI49+AI31</f>
        <v>-420.69999999999993</v>
      </c>
      <c r="AJ63" s="219">
        <f t="shared" ref="AJ63" si="24">AJ62+AJ49+AJ31</f>
        <v>-392.89999999999986</v>
      </c>
      <c r="AK63" s="219">
        <f>AK62+AK49+AK31</f>
        <v>0</v>
      </c>
      <c r="AL63" s="222">
        <f>AL62+AL49+AL31</f>
        <v>0</v>
      </c>
    </row>
    <row r="64" spans="1:38" s="12" customFormat="1" ht="20.100000000000001" customHeight="1">
      <c r="A64" s="43" t="s">
        <v>161</v>
      </c>
      <c r="B64" s="225">
        <v>277.53399999999999</v>
      </c>
      <c r="C64" s="223">
        <v>277.53399999999999</v>
      </c>
      <c r="D64" s="223">
        <v>277.53399999999999</v>
      </c>
      <c r="E64" s="293">
        <v>277.53399999999999</v>
      </c>
      <c r="F64" s="225">
        <v>270.35399999999998</v>
      </c>
      <c r="G64" s="223">
        <v>270.35399999999998</v>
      </c>
      <c r="H64" s="223">
        <v>270.35399999999998</v>
      </c>
      <c r="I64" s="293">
        <v>270.35399999999998</v>
      </c>
      <c r="J64" s="223">
        <v>342.25100000000003</v>
      </c>
      <c r="K64" s="223">
        <v>342.2</v>
      </c>
      <c r="L64" s="223">
        <v>342.2</v>
      </c>
      <c r="M64" s="224">
        <v>342.2</v>
      </c>
      <c r="N64" s="225">
        <v>1747.9</v>
      </c>
      <c r="O64" s="223">
        <v>1747.9</v>
      </c>
      <c r="P64" s="223">
        <v>1747.9</v>
      </c>
      <c r="Q64" s="226">
        <v>1747.9</v>
      </c>
      <c r="R64" s="225">
        <f>Q66</f>
        <v>1523.6999999999989</v>
      </c>
      <c r="S64" s="223">
        <v>1523.7</v>
      </c>
      <c r="T64" s="223">
        <f>S64</f>
        <v>1523.7</v>
      </c>
      <c r="U64" s="226">
        <v>1523.6999999999989</v>
      </c>
      <c r="V64" s="225">
        <f>U66</f>
        <v>1336.6999999999994</v>
      </c>
      <c r="W64" s="223">
        <f>U66</f>
        <v>1336.6999999999994</v>
      </c>
      <c r="X64" s="223">
        <f>U66</f>
        <v>1336.6999999999994</v>
      </c>
      <c r="Y64" s="226">
        <f>U66</f>
        <v>1336.6999999999994</v>
      </c>
      <c r="Z64" s="225">
        <f>Y66</f>
        <v>1172</v>
      </c>
      <c r="AA64" s="223">
        <f>Y66</f>
        <v>1172</v>
      </c>
      <c r="AB64" s="223">
        <f>Y66</f>
        <v>1172</v>
      </c>
      <c r="AC64" s="226">
        <f>AB64</f>
        <v>1172</v>
      </c>
      <c r="AD64" s="225">
        <f>AC66</f>
        <v>1178.6999999999998</v>
      </c>
      <c r="AE64" s="223">
        <f>AC66</f>
        <v>1178.6999999999998</v>
      </c>
      <c r="AF64" s="223"/>
      <c r="AG64" s="226"/>
      <c r="AI64" s="225">
        <v>1178.7</v>
      </c>
      <c r="AJ64" s="223">
        <f>AC66</f>
        <v>1178.6999999999998</v>
      </c>
      <c r="AK64" s="223"/>
      <c r="AL64" s="226"/>
    </row>
    <row r="65" spans="1:38" s="12" customFormat="1" ht="20.100000000000001" customHeight="1" thickBot="1">
      <c r="A65" s="41" t="s">
        <v>162</v>
      </c>
      <c r="B65" s="216">
        <v>-2.5009999999999999</v>
      </c>
      <c r="C65" s="217">
        <v>-1.2710000000000001</v>
      </c>
      <c r="D65" s="217">
        <v>-1.339</v>
      </c>
      <c r="E65" s="289">
        <v>-1.7690000000000001</v>
      </c>
      <c r="F65" s="216">
        <v>0.161</v>
      </c>
      <c r="G65" s="217">
        <v>0.52800000000000002</v>
      </c>
      <c r="H65" s="217">
        <v>0.16</v>
      </c>
      <c r="I65" s="289">
        <v>-0.46100000000000002</v>
      </c>
      <c r="J65" s="214">
        <v>-1.7000000000000001E-2</v>
      </c>
      <c r="K65" s="214">
        <v>-0.7</v>
      </c>
      <c r="L65" s="214">
        <v>0.9</v>
      </c>
      <c r="M65" s="227">
        <v>1.9</v>
      </c>
      <c r="N65" s="216">
        <v>1.6</v>
      </c>
      <c r="O65" s="217">
        <v>2</v>
      </c>
      <c r="P65" s="217">
        <v>1.4</v>
      </c>
      <c r="Q65" s="218">
        <v>1.4</v>
      </c>
      <c r="R65" s="216">
        <v>-3.7</v>
      </c>
      <c r="S65" s="217">
        <v>0.4</v>
      </c>
      <c r="T65" s="217">
        <v>-2.1</v>
      </c>
      <c r="U65" s="218">
        <v>2.5</v>
      </c>
      <c r="V65" s="216">
        <v>-3.7</v>
      </c>
      <c r="W65" s="217">
        <v>-3.7</v>
      </c>
      <c r="X65" s="217">
        <v>-2.8</v>
      </c>
      <c r="Y65" s="218">
        <v>-5.0999999999999996</v>
      </c>
      <c r="Z65" s="217">
        <v>0.5</v>
      </c>
      <c r="AA65" s="217">
        <v>1.5</v>
      </c>
      <c r="AB65" s="217">
        <v>2.2999999999999998</v>
      </c>
      <c r="AC65" s="218">
        <v>1.4</v>
      </c>
      <c r="AD65" s="217">
        <v>-1</v>
      </c>
      <c r="AE65" s="217">
        <v>-2</v>
      </c>
      <c r="AF65" s="217"/>
      <c r="AG65" s="218"/>
      <c r="AI65" s="291">
        <v>-1</v>
      </c>
      <c r="AJ65" s="217">
        <v>-2</v>
      </c>
      <c r="AK65" s="217"/>
      <c r="AL65" s="218"/>
    </row>
    <row r="66" spans="1:38" s="11" customFormat="1" ht="20.100000000000001" customHeight="1" thickBot="1">
      <c r="A66" s="42" t="s">
        <v>163</v>
      </c>
      <c r="B66" s="221">
        <f>B63+B64+B65</f>
        <v>422.62699999999995</v>
      </c>
      <c r="C66" s="219">
        <f t="shared" ref="C66:Q66" si="25">C64+C63+C65</f>
        <v>309.51900000000001</v>
      </c>
      <c r="D66" s="219">
        <f t="shared" si="25"/>
        <v>225.11100000000005</v>
      </c>
      <c r="E66" s="290">
        <f t="shared" si="25"/>
        <v>270.35400000000004</v>
      </c>
      <c r="F66" s="221">
        <f t="shared" si="25"/>
        <v>324.33799999999997</v>
      </c>
      <c r="G66" s="219">
        <f t="shared" si="25"/>
        <v>265.803</v>
      </c>
      <c r="H66" s="219">
        <f t="shared" si="25"/>
        <v>215.39599999999982</v>
      </c>
      <c r="I66" s="290">
        <f t="shared" si="25"/>
        <v>342.25099999999981</v>
      </c>
      <c r="J66" s="219">
        <f t="shared" si="25"/>
        <v>428.19000000000005</v>
      </c>
      <c r="K66" s="219">
        <f t="shared" si="25"/>
        <v>1906.9</v>
      </c>
      <c r="L66" s="219">
        <f t="shared" si="25"/>
        <v>1643.2</v>
      </c>
      <c r="M66" s="220">
        <f t="shared" si="25"/>
        <v>1747.8999999999976</v>
      </c>
      <c r="N66" s="221">
        <f t="shared" si="25"/>
        <v>1491.6000000000001</v>
      </c>
      <c r="O66" s="219">
        <f t="shared" si="25"/>
        <v>1396.5999999999997</v>
      </c>
      <c r="P66" s="219">
        <f t="shared" si="25"/>
        <v>1071.9999999999991</v>
      </c>
      <c r="Q66" s="222">
        <f t="shared" si="25"/>
        <v>1523.6999999999989</v>
      </c>
      <c r="R66" s="221">
        <f t="shared" ref="R66:U66" si="26">R64+R63+R65</f>
        <v>1569.9999999999984</v>
      </c>
      <c r="S66" s="219">
        <f t="shared" si="26"/>
        <v>955.4</v>
      </c>
      <c r="T66" s="219">
        <f t="shared" si="26"/>
        <v>1110.200000000001</v>
      </c>
      <c r="U66" s="222">
        <f t="shared" si="26"/>
        <v>1336.6999999999994</v>
      </c>
      <c r="V66" s="221">
        <f t="shared" ref="V66:Y66" si="27">V64+V63+V65</f>
        <v>1577.2999999999995</v>
      </c>
      <c r="W66" s="219">
        <f t="shared" si="27"/>
        <v>1362.5999999999992</v>
      </c>
      <c r="X66" s="219">
        <f t="shared" si="27"/>
        <v>1088.399999999999</v>
      </c>
      <c r="Y66" s="222">
        <f t="shared" si="27"/>
        <v>1172</v>
      </c>
      <c r="Z66" s="221">
        <f t="shared" ref="Z66:AG66" si="28">Z64+Z63+Z65</f>
        <v>797.50000000000011</v>
      </c>
      <c r="AA66" s="219">
        <f t="shared" si="28"/>
        <v>887.8</v>
      </c>
      <c r="AB66" s="219">
        <f t="shared" si="28"/>
        <v>1163.1000000000001</v>
      </c>
      <c r="AC66" s="222">
        <f t="shared" si="28"/>
        <v>1178.6999999999998</v>
      </c>
      <c r="AD66" s="221">
        <f>AD64+AD63+AD65</f>
        <v>756.99999999999989</v>
      </c>
      <c r="AE66" s="219">
        <f>AE64+AE63+AE65</f>
        <v>783.8</v>
      </c>
      <c r="AF66" s="219">
        <f t="shared" si="28"/>
        <v>0</v>
      </c>
      <c r="AG66" s="222">
        <f t="shared" si="28"/>
        <v>0</v>
      </c>
      <c r="AI66" s="221">
        <f>AI64+AI63+AI65</f>
        <v>757.00000000000011</v>
      </c>
      <c r="AJ66" s="219">
        <f>AJ64+AJ63+AJ65</f>
        <v>783.8</v>
      </c>
      <c r="AK66" s="219">
        <f t="shared" ref="AK66:AL66" si="29">AK64+AK63+AK65</f>
        <v>0</v>
      </c>
      <c r="AL66" s="222">
        <f t="shared" si="29"/>
        <v>0</v>
      </c>
    </row>
    <row r="67" spans="1:38" s="11" customFormat="1" ht="15.75" customHeight="1">
      <c r="M67" s="34"/>
    </row>
    <row r="68" spans="1:38" s="11" customFormat="1" ht="20.100000000000001" customHeight="1">
      <c r="A68" s="11" t="s">
        <v>269</v>
      </c>
      <c r="M68" s="34"/>
    </row>
    <row r="69" spans="1:38" s="11" customFormat="1" ht="20.100000000000001" customHeight="1">
      <c r="A69" s="11" t="s">
        <v>199</v>
      </c>
      <c r="M69" s="34"/>
    </row>
    <row r="70" spans="1:38" s="11" customFormat="1" ht="20.100000000000001" customHeight="1">
      <c r="A70" s="11" t="s">
        <v>317</v>
      </c>
      <c r="M70" s="34"/>
    </row>
    <row r="71" spans="1:38" s="11" customFormat="1" ht="20.100000000000001" customHeight="1">
      <c r="A71" s="11" t="s">
        <v>214</v>
      </c>
      <c r="M71" s="34"/>
    </row>
    <row r="72" spans="1:38" s="11" customFormat="1" ht="20.100000000000001" customHeight="1">
      <c r="A72" s="11" t="s">
        <v>318</v>
      </c>
      <c r="M72" s="34"/>
    </row>
    <row r="73" spans="1:38" s="11" customFormat="1" ht="20.100000000000001" customHeight="1">
      <c r="A73" s="11" t="s">
        <v>319</v>
      </c>
      <c r="M73" s="34"/>
    </row>
    <row r="74" spans="1:38" s="11" customFormat="1" ht="20.100000000000001" customHeight="1">
      <c r="A74" s="11" t="s">
        <v>342</v>
      </c>
      <c r="M74" s="34"/>
    </row>
    <row r="75" spans="1:38" s="11" customFormat="1">
      <c r="M75" s="34"/>
    </row>
    <row r="76" spans="1:38" s="11" customFormat="1">
      <c r="M76" s="34"/>
    </row>
    <row r="77" spans="1:38" s="11" customFormat="1">
      <c r="M77" s="34"/>
    </row>
    <row r="78" spans="1:38" s="11" customFormat="1">
      <c r="M78" s="34"/>
    </row>
    <row r="79" spans="1:38" s="11" customFormat="1">
      <c r="M79" s="34"/>
    </row>
    <row r="80" spans="1:38" s="11" customFormat="1">
      <c r="M80" s="34"/>
    </row>
    <row r="81" spans="13:13" s="11" customFormat="1">
      <c r="M81" s="34"/>
    </row>
    <row r="82" spans="13:13" s="11" customFormat="1">
      <c r="M82" s="34"/>
    </row>
    <row r="83" spans="13:13" s="11" customFormat="1">
      <c r="M83" s="34"/>
    </row>
    <row r="84" spans="13:13" s="11" customFormat="1">
      <c r="M84" s="34"/>
    </row>
    <row r="85" spans="13:13" s="11" customFormat="1">
      <c r="M85" s="34"/>
    </row>
    <row r="86" spans="13:13" s="11" customFormat="1">
      <c r="M86" s="34"/>
    </row>
    <row r="87" spans="13:13" s="11" customFormat="1">
      <c r="M87" s="34"/>
    </row>
    <row r="88" spans="13:13" s="11" customFormat="1">
      <c r="M88" s="34"/>
    </row>
    <row r="89" spans="13:13" s="11" customFormat="1">
      <c r="M89" s="34"/>
    </row>
    <row r="90" spans="13:13" s="11" customFormat="1">
      <c r="M90" s="34"/>
    </row>
    <row r="91" spans="13:13" s="11" customFormat="1">
      <c r="M91" s="34"/>
    </row>
    <row r="92" spans="13:13" s="11" customFormat="1">
      <c r="M92" s="34"/>
    </row>
    <row r="93" spans="13:13" s="11" customFormat="1">
      <c r="M93" s="34"/>
    </row>
    <row r="94" spans="13:13" s="11" customFormat="1">
      <c r="M94" s="34"/>
    </row>
    <row r="95" spans="13:13" s="11" customFormat="1">
      <c r="M95" s="34"/>
    </row>
    <row r="96" spans="13:13" s="11" customFormat="1">
      <c r="M96" s="34"/>
    </row>
    <row r="97" spans="13:13" s="11" customFormat="1">
      <c r="M97" s="34"/>
    </row>
    <row r="98" spans="13:13" s="11" customFormat="1">
      <c r="M98" s="34"/>
    </row>
    <row r="99" spans="13:13" s="11" customFormat="1">
      <c r="M99" s="34"/>
    </row>
    <row r="100" spans="13:13" s="11" customFormat="1">
      <c r="M100" s="34"/>
    </row>
    <row r="101" spans="13:13" s="11" customFormat="1">
      <c r="M101" s="34"/>
    </row>
    <row r="102" spans="13:13" s="11" customFormat="1">
      <c r="M102" s="34"/>
    </row>
    <row r="103" spans="13:13" s="11" customFormat="1">
      <c r="M103" s="34"/>
    </row>
    <row r="104" spans="13:13" s="11" customFormat="1">
      <c r="M104" s="34"/>
    </row>
    <row r="105" spans="13:13" s="11" customFormat="1">
      <c r="M105" s="34"/>
    </row>
    <row r="106" spans="13:13" s="11" customFormat="1"/>
    <row r="107" spans="13:13" s="11" customFormat="1"/>
    <row r="108" spans="13:13" s="11" customFormat="1"/>
    <row r="109" spans="13:13" s="11" customFormat="1"/>
    <row r="110" spans="13:13" s="11" customFormat="1"/>
    <row r="111" spans="13:13" s="11" customFormat="1"/>
    <row r="112" spans="13:13"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sheetData>
  <mergeCells count="9">
    <mergeCell ref="AI2:AL2"/>
    <mergeCell ref="AD2:AG2"/>
    <mergeCell ref="Z2:AC2"/>
    <mergeCell ref="V2:Y2"/>
    <mergeCell ref="B2:E2"/>
    <mergeCell ref="F2:I2"/>
    <mergeCell ref="J2:M2"/>
    <mergeCell ref="N2:Q2"/>
    <mergeCell ref="R2:U2"/>
  </mergeCells>
  <pageMargins left="0.70866141732283472" right="0.70866141732283472" top="0.74803149606299213" bottom="0.74803149606299213" header="0.31496062992125984" footer="0.31496062992125984"/>
  <pageSetup paperSize="9" scale="39" orientation="landscape" horizontalDpi="1200" verticalDpi="1200" r:id="rId1"/>
  <ignoredErrors>
    <ignoredError sqref="AE49 AE6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56"/>
  <sheetViews>
    <sheetView showGridLines="0" zoomScale="115" zoomScaleNormal="115" zoomScaleSheetLayoutView="100" workbookViewId="0">
      <pane xSplit="1" ySplit="4" topLeftCell="AF5" activePane="bottomRight" state="frozen"/>
      <selection pane="topRight" activeCell="B1" sqref="B1"/>
      <selection pane="bottomLeft" activeCell="A5" sqref="A5"/>
      <selection pane="bottomRight" activeCell="AN34" sqref="AN34"/>
    </sheetView>
  </sheetViews>
  <sheetFormatPr defaultColWidth="9" defaultRowHeight="28.5" customHeight="1"/>
  <cols>
    <col min="1" max="1" width="40.625" style="1" customWidth="1"/>
    <col min="2" max="13" width="10.625" style="2" customWidth="1"/>
    <col min="14" max="14" width="9" style="2"/>
    <col min="15" max="16" width="10.625" style="2" customWidth="1"/>
    <col min="17" max="18" width="9" style="2"/>
    <col min="19" max="19" width="9" style="4"/>
    <col min="20" max="21" width="10.625" style="2" customWidth="1"/>
    <col min="22" max="24" width="9" style="2"/>
    <col min="25" max="26" width="10.625" style="2" customWidth="1"/>
    <col min="27" max="29" width="9" style="2"/>
    <col min="30" max="31" width="10.625" style="2" customWidth="1"/>
    <col min="32" max="33" width="9" style="2"/>
    <col min="34" max="34" width="9.875" style="2" bestFit="1" customWidth="1"/>
    <col min="35" max="36" width="10.625" style="2" customWidth="1"/>
    <col min="37" max="16384" width="9" style="2"/>
  </cols>
  <sheetData>
    <row r="1" spans="1:492" s="25" customFormat="1" ht="27" customHeigh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row>
    <row r="2" spans="1:492" ht="81" customHeight="1" thickBot="1">
      <c r="A2" s="685" t="s">
        <v>210</v>
      </c>
      <c r="B2" s="685"/>
      <c r="C2" s="685"/>
      <c r="D2" s="685"/>
      <c r="E2" s="685"/>
      <c r="F2" s="685"/>
      <c r="G2" s="685"/>
      <c r="H2" s="685"/>
      <c r="I2" s="685"/>
      <c r="J2" s="685"/>
      <c r="K2" s="685"/>
      <c r="L2" s="685"/>
      <c r="M2" s="685"/>
      <c r="N2" s="685"/>
      <c r="T2" s="181"/>
      <c r="U2" s="181"/>
      <c r="V2" s="181"/>
      <c r="W2" s="181"/>
      <c r="X2" s="181"/>
      <c r="Y2" s="181"/>
      <c r="Z2" s="181"/>
      <c r="AA2" s="181"/>
      <c r="AB2" s="181"/>
      <c r="AC2" s="181"/>
      <c r="AD2" s="181"/>
      <c r="AE2" s="181"/>
      <c r="AF2" s="181"/>
      <c r="AG2" s="181"/>
      <c r="AH2" s="181"/>
      <c r="AI2" s="181"/>
      <c r="AJ2" s="181"/>
      <c r="AL2" s="398"/>
      <c r="AM2" s="398"/>
    </row>
    <row r="3" spans="1:492" ht="20.100000000000001" customHeight="1" thickBot="1">
      <c r="A3" s="686" t="s">
        <v>29</v>
      </c>
      <c r="B3" s="677">
        <v>2012</v>
      </c>
      <c r="C3" s="678"/>
      <c r="D3" s="678"/>
      <c r="E3" s="678"/>
      <c r="F3" s="683">
        <v>2012</v>
      </c>
      <c r="G3" s="677">
        <v>2013</v>
      </c>
      <c r="H3" s="678"/>
      <c r="I3" s="678"/>
      <c r="J3" s="678"/>
      <c r="K3" s="683">
        <v>2013</v>
      </c>
      <c r="L3" s="677">
        <v>2014</v>
      </c>
      <c r="M3" s="678"/>
      <c r="N3" s="678"/>
      <c r="O3" s="678"/>
      <c r="P3" s="683">
        <v>2014</v>
      </c>
      <c r="Q3" s="677">
        <v>2015</v>
      </c>
      <c r="R3" s="678"/>
      <c r="S3" s="678"/>
      <c r="T3" s="678"/>
      <c r="U3" s="679">
        <v>2015</v>
      </c>
      <c r="V3" s="677">
        <v>2016</v>
      </c>
      <c r="W3" s="678"/>
      <c r="X3" s="678"/>
      <c r="Y3" s="678"/>
      <c r="Z3" s="679">
        <v>2016</v>
      </c>
      <c r="AA3" s="677">
        <v>2017</v>
      </c>
      <c r="AB3" s="678"/>
      <c r="AC3" s="678"/>
      <c r="AD3" s="678"/>
      <c r="AE3" s="679">
        <v>2017</v>
      </c>
      <c r="AF3" s="677">
        <v>2018</v>
      </c>
      <c r="AG3" s="678"/>
      <c r="AH3" s="678"/>
      <c r="AI3" s="678"/>
      <c r="AJ3" s="679">
        <v>2018</v>
      </c>
      <c r="AK3" s="677">
        <v>2019</v>
      </c>
      <c r="AL3" s="678">
        <v>0</v>
      </c>
      <c r="AM3" s="678">
        <v>0</v>
      </c>
      <c r="AN3" s="678">
        <v>0</v>
      </c>
      <c r="AO3" s="679">
        <v>2019</v>
      </c>
    </row>
    <row r="4" spans="1:492" ht="20.100000000000001" customHeight="1" thickBot="1">
      <c r="A4" s="687"/>
      <c r="B4" s="175" t="s">
        <v>6</v>
      </c>
      <c r="C4" s="176" t="s">
        <v>7</v>
      </c>
      <c r="D4" s="176" t="s">
        <v>8</v>
      </c>
      <c r="E4" s="176" t="s">
        <v>9</v>
      </c>
      <c r="F4" s="684"/>
      <c r="G4" s="175" t="s">
        <v>6</v>
      </c>
      <c r="H4" s="176" t="s">
        <v>7</v>
      </c>
      <c r="I4" s="176" t="s">
        <v>8</v>
      </c>
      <c r="J4" s="176" t="s">
        <v>9</v>
      </c>
      <c r="K4" s="684"/>
      <c r="L4" s="175" t="s">
        <v>6</v>
      </c>
      <c r="M4" s="176" t="s">
        <v>7</v>
      </c>
      <c r="N4" s="177" t="s">
        <v>8</v>
      </c>
      <c r="O4" s="177" t="s">
        <v>9</v>
      </c>
      <c r="P4" s="684"/>
      <c r="Q4" s="178" t="s">
        <v>6</v>
      </c>
      <c r="R4" s="179" t="s">
        <v>7</v>
      </c>
      <c r="S4" s="179" t="s">
        <v>8</v>
      </c>
      <c r="T4" s="179" t="s">
        <v>9</v>
      </c>
      <c r="U4" s="680"/>
      <c r="V4" s="263" t="s">
        <v>6</v>
      </c>
      <c r="W4" s="294" t="s">
        <v>7</v>
      </c>
      <c r="X4" s="301" t="s">
        <v>8</v>
      </c>
      <c r="Y4" s="179" t="s">
        <v>9</v>
      </c>
      <c r="Z4" s="680"/>
      <c r="AA4" s="263" t="s">
        <v>6</v>
      </c>
      <c r="AB4" s="301" t="s">
        <v>7</v>
      </c>
      <c r="AC4" s="301" t="s">
        <v>8</v>
      </c>
      <c r="AD4" s="322" t="s">
        <v>9</v>
      </c>
      <c r="AE4" s="680"/>
      <c r="AF4" s="263" t="s">
        <v>6</v>
      </c>
      <c r="AG4" s="301" t="s">
        <v>265</v>
      </c>
      <c r="AH4" s="301" t="s">
        <v>8</v>
      </c>
      <c r="AI4" s="322" t="s">
        <v>9</v>
      </c>
      <c r="AJ4" s="680"/>
      <c r="AK4" s="263" t="s">
        <v>6</v>
      </c>
      <c r="AL4" s="301" t="s">
        <v>7</v>
      </c>
      <c r="AM4" s="301" t="s">
        <v>8</v>
      </c>
      <c r="AN4" s="322" t="s">
        <v>9</v>
      </c>
      <c r="AO4" s="680">
        <v>0</v>
      </c>
    </row>
    <row r="5" spans="1:492" ht="20.100000000000001" customHeight="1" thickBot="1">
      <c r="A5" s="45" t="s">
        <v>206</v>
      </c>
      <c r="B5" s="46" t="s">
        <v>27</v>
      </c>
      <c r="C5" s="47" t="s">
        <v>27</v>
      </c>
      <c r="D5" s="47" t="s">
        <v>27</v>
      </c>
      <c r="E5" s="47" t="s">
        <v>27</v>
      </c>
      <c r="F5" s="48" t="s">
        <v>27</v>
      </c>
      <c r="G5" s="49">
        <f t="shared" ref="G5:N5" si="0">G7+G24</f>
        <v>16348336</v>
      </c>
      <c r="H5" s="50">
        <f t="shared" si="0"/>
        <v>16434266</v>
      </c>
      <c r="I5" s="50">
        <f t="shared" si="0"/>
        <v>16627551</v>
      </c>
      <c r="J5" s="50">
        <f t="shared" si="0"/>
        <v>16447334</v>
      </c>
      <c r="K5" s="48">
        <f t="shared" si="0"/>
        <v>16447334</v>
      </c>
      <c r="L5" s="49">
        <f t="shared" si="0"/>
        <v>16333003</v>
      </c>
      <c r="M5" s="50">
        <f t="shared" si="0"/>
        <v>16250497</v>
      </c>
      <c r="N5" s="50">
        <f t="shared" si="0"/>
        <v>16449992</v>
      </c>
      <c r="O5" s="50">
        <f>O7+O24</f>
        <v>16482031</v>
      </c>
      <c r="P5" s="48">
        <f>P7+P24</f>
        <v>16482031</v>
      </c>
      <c r="Q5" s="49">
        <f t="shared" ref="Q5:V5" si="1">Q7+Q24</f>
        <v>16429469</v>
      </c>
      <c r="R5" s="50">
        <f t="shared" si="1"/>
        <v>16349090</v>
      </c>
      <c r="S5" s="50">
        <f t="shared" si="1"/>
        <v>16395514</v>
      </c>
      <c r="T5" s="50">
        <f t="shared" si="1"/>
        <v>16469696</v>
      </c>
      <c r="U5" s="302">
        <f t="shared" si="1"/>
        <v>16469696</v>
      </c>
      <c r="V5" s="49">
        <f t="shared" si="1"/>
        <v>16531833</v>
      </c>
      <c r="W5" s="50">
        <f t="shared" ref="W5" si="2">W7+W24</f>
        <v>16711541</v>
      </c>
      <c r="X5" s="50">
        <f>X7+X24</f>
        <v>16545653</v>
      </c>
      <c r="Y5" s="50">
        <f t="shared" ref="Y5:AO5" si="3">Y7+Y24</f>
        <v>16524936</v>
      </c>
      <c r="Z5" s="302">
        <f t="shared" si="3"/>
        <v>16524936</v>
      </c>
      <c r="AA5" s="49">
        <f t="shared" si="3"/>
        <v>16216128</v>
      </c>
      <c r="AB5" s="50">
        <f t="shared" si="3"/>
        <v>16273840</v>
      </c>
      <c r="AC5" s="50">
        <f t="shared" si="3"/>
        <v>16410325</v>
      </c>
      <c r="AD5" s="50">
        <f t="shared" si="3"/>
        <v>16522597</v>
      </c>
      <c r="AE5" s="302">
        <f t="shared" si="3"/>
        <v>16522597</v>
      </c>
      <c r="AF5" s="50">
        <f t="shared" si="3"/>
        <v>16579337</v>
      </c>
      <c r="AG5" s="50">
        <f t="shared" si="3"/>
        <v>16698622</v>
      </c>
      <c r="AH5" s="50">
        <f t="shared" si="3"/>
        <v>16851153</v>
      </c>
      <c r="AI5" s="50">
        <f t="shared" si="3"/>
        <v>16906133</v>
      </c>
      <c r="AJ5" s="302">
        <f t="shared" si="3"/>
        <v>16906133</v>
      </c>
      <c r="AK5" s="50">
        <f t="shared" si="3"/>
        <v>16973770</v>
      </c>
      <c r="AL5" s="50">
        <f t="shared" si="3"/>
        <v>17058921</v>
      </c>
      <c r="AM5" s="50">
        <f t="shared" si="3"/>
        <v>0</v>
      </c>
      <c r="AN5" s="50">
        <f t="shared" si="3"/>
        <v>0</v>
      </c>
      <c r="AO5" s="302">
        <f t="shared" si="3"/>
        <v>0</v>
      </c>
    </row>
    <row r="6" spans="1:492" ht="20.100000000000001" customHeight="1">
      <c r="A6" s="108" t="s">
        <v>30</v>
      </c>
      <c r="B6" s="51"/>
      <c r="C6" s="52"/>
      <c r="D6" s="52"/>
      <c r="E6" s="52"/>
      <c r="F6" s="53"/>
      <c r="G6" s="54"/>
      <c r="H6" s="52"/>
      <c r="I6" s="52"/>
      <c r="J6" s="52"/>
      <c r="K6" s="53"/>
      <c r="L6" s="139"/>
      <c r="M6" s="52"/>
      <c r="N6" s="52"/>
      <c r="O6" s="52"/>
      <c r="P6" s="55"/>
      <c r="Q6" s="139"/>
      <c r="R6" s="52"/>
      <c r="S6" s="52"/>
      <c r="T6" s="52"/>
      <c r="U6" s="55"/>
      <c r="V6" s="264"/>
      <c r="W6" s="295"/>
      <c r="X6" s="295"/>
      <c r="Y6" s="52"/>
      <c r="Z6" s="55"/>
      <c r="AA6" s="264"/>
      <c r="AB6" s="295"/>
      <c r="AC6" s="295"/>
      <c r="AD6" s="52"/>
      <c r="AE6" s="55"/>
      <c r="AF6" s="295"/>
      <c r="AG6" s="295"/>
      <c r="AH6" s="295"/>
      <c r="AI6" s="52"/>
      <c r="AJ6" s="55"/>
      <c r="AK6" s="295"/>
      <c r="AL6" s="295"/>
      <c r="AM6" s="295"/>
      <c r="AN6" s="52"/>
      <c r="AO6" s="55"/>
    </row>
    <row r="7" spans="1:492" ht="20.100000000000001" customHeight="1">
      <c r="A7" s="140" t="s">
        <v>207</v>
      </c>
      <c r="B7" s="57">
        <f>B8+B10+B11</f>
        <v>11532547</v>
      </c>
      <c r="C7" s="58">
        <f t="shared" ref="C7:M7" si="4">C8+C10+C11</f>
        <v>11516833</v>
      </c>
      <c r="D7" s="58">
        <f t="shared" si="4"/>
        <v>11605099</v>
      </c>
      <c r="E7" s="58">
        <f t="shared" si="4"/>
        <v>11735100</v>
      </c>
      <c r="F7" s="59">
        <f>SUM(F8,F10:F11)</f>
        <v>11735100</v>
      </c>
      <c r="G7" s="57">
        <f t="shared" si="4"/>
        <v>11799951</v>
      </c>
      <c r="H7" s="58">
        <f t="shared" si="4"/>
        <v>11868947</v>
      </c>
      <c r="I7" s="58">
        <f t="shared" si="4"/>
        <v>11908422</v>
      </c>
      <c r="J7" s="58">
        <f t="shared" si="4"/>
        <v>11978807</v>
      </c>
      <c r="K7" s="59">
        <f>SUM(K8,K10:K11)</f>
        <v>11978807</v>
      </c>
      <c r="L7" s="57">
        <f t="shared" si="4"/>
        <v>11982678</v>
      </c>
      <c r="M7" s="58">
        <f t="shared" si="4"/>
        <v>12023369</v>
      </c>
      <c r="N7" s="58">
        <f>N8+N10+N11</f>
        <v>12230798</v>
      </c>
      <c r="O7" s="58">
        <f>O8+O10+O11</f>
        <v>12347828</v>
      </c>
      <c r="P7" s="60">
        <f>P8+P10+P11</f>
        <v>12347828</v>
      </c>
      <c r="Q7" s="57">
        <f t="shared" ref="Q7" si="5">Q8+Q10+Q11</f>
        <v>12394712</v>
      </c>
      <c r="R7" s="58">
        <f>R8+R10+R11</f>
        <v>12377021</v>
      </c>
      <c r="S7" s="58">
        <f t="shared" ref="S7:V7" si="6">S8+S10+S11</f>
        <v>12418707</v>
      </c>
      <c r="T7" s="58">
        <f t="shared" si="6"/>
        <v>12614703</v>
      </c>
      <c r="U7" s="60">
        <f t="shared" si="6"/>
        <v>12614703</v>
      </c>
      <c r="V7" s="57">
        <f t="shared" si="6"/>
        <v>12744166</v>
      </c>
      <c r="W7" s="58">
        <f t="shared" ref="W7:AO7" si="7">W8+W10+W11</f>
        <v>12880725</v>
      </c>
      <c r="X7" s="58">
        <f t="shared" si="7"/>
        <v>13017749</v>
      </c>
      <c r="Y7" s="58">
        <f t="shared" si="7"/>
        <v>13254598</v>
      </c>
      <c r="Z7" s="60">
        <f t="shared" si="7"/>
        <v>13254598</v>
      </c>
      <c r="AA7" s="57">
        <f t="shared" si="7"/>
        <v>13337038</v>
      </c>
      <c r="AB7" s="58">
        <f t="shared" si="7"/>
        <v>13419539</v>
      </c>
      <c r="AC7" s="58">
        <f t="shared" si="7"/>
        <v>13530164</v>
      </c>
      <c r="AD7" s="58">
        <v>13685044</v>
      </c>
      <c r="AE7" s="60">
        <f t="shared" si="7"/>
        <v>13685044</v>
      </c>
      <c r="AF7" s="58">
        <f t="shared" si="7"/>
        <v>13796153</v>
      </c>
      <c r="AG7" s="58">
        <f t="shared" si="7"/>
        <v>13929804</v>
      </c>
      <c r="AH7" s="58">
        <f t="shared" si="7"/>
        <v>14057045</v>
      </c>
      <c r="AI7" s="58">
        <f t="shared" si="7"/>
        <v>14259264</v>
      </c>
      <c r="AJ7" s="60">
        <f t="shared" si="7"/>
        <v>14259264</v>
      </c>
      <c r="AK7" s="58">
        <f t="shared" si="7"/>
        <v>14330995</v>
      </c>
      <c r="AL7" s="58">
        <f t="shared" si="7"/>
        <v>14451610</v>
      </c>
      <c r="AM7" s="58">
        <f t="shared" si="7"/>
        <v>0</v>
      </c>
      <c r="AN7" s="58">
        <f t="shared" si="7"/>
        <v>0</v>
      </c>
      <c r="AO7" s="60">
        <f t="shared" si="7"/>
        <v>0</v>
      </c>
    </row>
    <row r="8" spans="1:492" ht="20.100000000000001" customHeight="1">
      <c r="A8" s="61" t="s">
        <v>32</v>
      </c>
      <c r="B8" s="62">
        <v>3885022</v>
      </c>
      <c r="C8" s="63">
        <v>3868733</v>
      </c>
      <c r="D8" s="63">
        <v>3921673</v>
      </c>
      <c r="E8" s="63">
        <v>3994875</v>
      </c>
      <c r="F8" s="64">
        <f>E8</f>
        <v>3994875</v>
      </c>
      <c r="G8" s="62">
        <v>4047592</v>
      </c>
      <c r="H8" s="63">
        <v>4127560</v>
      </c>
      <c r="I8" s="63">
        <v>4160343</v>
      </c>
      <c r="J8" s="63">
        <v>4212323</v>
      </c>
      <c r="K8" s="64">
        <f>J8</f>
        <v>4212323</v>
      </c>
      <c r="L8" s="62">
        <v>4236986</v>
      </c>
      <c r="M8" s="63">
        <v>4255544</v>
      </c>
      <c r="N8" s="65">
        <v>4344773</v>
      </c>
      <c r="O8" s="63">
        <v>4391702</v>
      </c>
      <c r="P8" s="66">
        <v>4391702</v>
      </c>
      <c r="Q8" s="62">
        <v>4405464</v>
      </c>
      <c r="R8" s="63">
        <v>4374517</v>
      </c>
      <c r="S8" s="63">
        <v>4396361</v>
      </c>
      <c r="T8" s="63">
        <v>4503320</v>
      </c>
      <c r="U8" s="66">
        <f t="shared" ref="U8:U12" si="8">T8</f>
        <v>4503320</v>
      </c>
      <c r="V8" s="62">
        <v>4560267</v>
      </c>
      <c r="W8" s="63">
        <v>4632246</v>
      </c>
      <c r="X8" s="63">
        <v>4679114</v>
      </c>
      <c r="Y8" s="63">
        <v>4766429</v>
      </c>
      <c r="Z8" s="66">
        <f t="shared" ref="Z8:Z12" si="9">Y8</f>
        <v>4766429</v>
      </c>
      <c r="AA8" s="62">
        <v>4785947</v>
      </c>
      <c r="AB8" s="63">
        <v>4835534</v>
      </c>
      <c r="AC8" s="63">
        <v>4882505</v>
      </c>
      <c r="AD8" s="63">
        <v>4942640</v>
      </c>
      <c r="AE8" s="66">
        <f>AD8</f>
        <v>4942640</v>
      </c>
      <c r="AF8" s="63">
        <v>4984391</v>
      </c>
      <c r="AG8" s="63">
        <v>5027520</v>
      </c>
      <c r="AH8" s="495">
        <v>5038210</v>
      </c>
      <c r="AI8" s="495">
        <v>5098917</v>
      </c>
      <c r="AJ8" s="66">
        <v>5098917</v>
      </c>
      <c r="AK8" s="63">
        <v>5077221</v>
      </c>
      <c r="AL8" s="63">
        <v>5058740</v>
      </c>
      <c r="AM8" s="495"/>
      <c r="AN8" s="495"/>
      <c r="AO8" s="66"/>
    </row>
    <row r="9" spans="1:492" ht="20.100000000000001" customHeight="1">
      <c r="A9" s="67" t="s">
        <v>10</v>
      </c>
      <c r="B9" s="68">
        <v>394001</v>
      </c>
      <c r="C9" s="69">
        <v>416027</v>
      </c>
      <c r="D9" s="69">
        <v>470578</v>
      </c>
      <c r="E9" s="69">
        <v>510617</v>
      </c>
      <c r="F9" s="70">
        <f t="shared" ref="F9:F11" si="10">E9</f>
        <v>510617</v>
      </c>
      <c r="G9" s="68">
        <v>559997</v>
      </c>
      <c r="H9" s="69">
        <v>633475</v>
      </c>
      <c r="I9" s="69">
        <v>680316</v>
      </c>
      <c r="J9" s="69">
        <v>719935</v>
      </c>
      <c r="K9" s="70">
        <f>J9</f>
        <v>719935</v>
      </c>
      <c r="L9" s="68">
        <v>749319</v>
      </c>
      <c r="M9" s="69">
        <v>771481</v>
      </c>
      <c r="N9" s="71">
        <v>806064</v>
      </c>
      <c r="O9" s="69">
        <v>844809</v>
      </c>
      <c r="P9" s="72">
        <v>844809</v>
      </c>
      <c r="Q9" s="68">
        <v>872628</v>
      </c>
      <c r="R9" s="69">
        <v>886305</v>
      </c>
      <c r="S9" s="69">
        <v>901271</v>
      </c>
      <c r="T9" s="69">
        <v>936307</v>
      </c>
      <c r="U9" s="72">
        <f t="shared" si="8"/>
        <v>936307</v>
      </c>
      <c r="V9" s="68">
        <v>957952</v>
      </c>
      <c r="W9" s="69">
        <v>972771</v>
      </c>
      <c r="X9" s="69">
        <v>982068</v>
      </c>
      <c r="Y9" s="69">
        <v>1021720</v>
      </c>
      <c r="Z9" s="72">
        <f t="shared" si="9"/>
        <v>1021720</v>
      </c>
      <c r="AA9" s="68">
        <v>1031294</v>
      </c>
      <c r="AB9" s="69">
        <v>1058982</v>
      </c>
      <c r="AC9" s="69">
        <v>1072513</v>
      </c>
      <c r="AD9" s="69">
        <v>1099582</v>
      </c>
      <c r="AE9" s="72">
        <f t="shared" ref="AE9:AE12" si="11">AD9</f>
        <v>1099582</v>
      </c>
      <c r="AF9" s="69">
        <v>1114833</v>
      </c>
      <c r="AG9" s="69">
        <v>1127285</v>
      </c>
      <c r="AH9" s="73">
        <v>1141820</v>
      </c>
      <c r="AI9" s="73">
        <v>1160353</v>
      </c>
      <c r="AJ9" s="72">
        <v>1160353</v>
      </c>
      <c r="AK9" s="69">
        <v>1167983</v>
      </c>
      <c r="AL9" s="69">
        <v>1173866</v>
      </c>
      <c r="AM9" s="73"/>
      <c r="AN9" s="73"/>
      <c r="AO9" s="72"/>
    </row>
    <row r="10" spans="1:492" ht="20.100000000000001" customHeight="1">
      <c r="A10" s="61" t="s">
        <v>33</v>
      </c>
      <c r="B10" s="62">
        <v>6985015</v>
      </c>
      <c r="C10" s="63">
        <v>6978192</v>
      </c>
      <c r="D10" s="63">
        <v>6976594</v>
      </c>
      <c r="E10" s="63">
        <v>6979590</v>
      </c>
      <c r="F10" s="64">
        <f t="shared" si="10"/>
        <v>6979590</v>
      </c>
      <c r="G10" s="62">
        <v>6941638</v>
      </c>
      <c r="H10" s="63">
        <v>6891314</v>
      </c>
      <c r="I10" s="63">
        <v>6834719</v>
      </c>
      <c r="J10" s="63">
        <v>6778675</v>
      </c>
      <c r="K10" s="64">
        <f t="shared" ref="K10:K11" si="12">J10</f>
        <v>6778675</v>
      </c>
      <c r="L10" s="62">
        <v>6713629</v>
      </c>
      <c r="M10" s="63">
        <v>6644687</v>
      </c>
      <c r="N10" s="65">
        <v>6617382</v>
      </c>
      <c r="O10" s="63">
        <v>6587915</v>
      </c>
      <c r="P10" s="66">
        <v>6587915</v>
      </c>
      <c r="Q10" s="62">
        <v>6552365</v>
      </c>
      <c r="R10" s="63">
        <v>6519311</v>
      </c>
      <c r="S10" s="63">
        <v>6505016</v>
      </c>
      <c r="T10" s="63">
        <v>6516643</v>
      </c>
      <c r="U10" s="66">
        <f t="shared" si="8"/>
        <v>6516643</v>
      </c>
      <c r="V10" s="62">
        <v>6536366</v>
      </c>
      <c r="W10" s="63">
        <v>6559223</v>
      </c>
      <c r="X10" s="63">
        <v>6616579</v>
      </c>
      <c r="Y10" s="63">
        <v>6730427</v>
      </c>
      <c r="Z10" s="66">
        <f t="shared" si="9"/>
        <v>6730427</v>
      </c>
      <c r="AA10" s="62">
        <v>6785002</v>
      </c>
      <c r="AB10" s="63">
        <v>6810999</v>
      </c>
      <c r="AC10" s="63">
        <v>6864787</v>
      </c>
      <c r="AD10" s="63">
        <v>6932676</v>
      </c>
      <c r="AE10" s="66">
        <f t="shared" si="11"/>
        <v>6932676</v>
      </c>
      <c r="AF10" s="63">
        <v>6997850</v>
      </c>
      <c r="AG10" s="63">
        <v>7098239</v>
      </c>
      <c r="AH10" s="495">
        <v>7209240</v>
      </c>
      <c r="AI10" s="495">
        <v>7345213</v>
      </c>
      <c r="AJ10" s="66">
        <v>7345213</v>
      </c>
      <c r="AK10" s="63">
        <v>7452479</v>
      </c>
      <c r="AL10" s="63">
        <v>7597611</v>
      </c>
      <c r="AM10" s="495"/>
      <c r="AN10" s="495"/>
      <c r="AO10" s="66"/>
    </row>
    <row r="11" spans="1:492" ht="20.100000000000001" customHeight="1">
      <c r="A11" s="61" t="s">
        <v>11</v>
      </c>
      <c r="B11" s="62">
        <v>662510</v>
      </c>
      <c r="C11" s="63">
        <v>669908</v>
      </c>
      <c r="D11" s="63">
        <v>706832</v>
      </c>
      <c r="E11" s="63">
        <v>760635</v>
      </c>
      <c r="F11" s="64">
        <f t="shared" si="10"/>
        <v>760635</v>
      </c>
      <c r="G11" s="62">
        <v>810721</v>
      </c>
      <c r="H11" s="63">
        <v>850073</v>
      </c>
      <c r="I11" s="63">
        <v>913360</v>
      </c>
      <c r="J11" s="63">
        <v>987809</v>
      </c>
      <c r="K11" s="64">
        <f t="shared" si="12"/>
        <v>987809</v>
      </c>
      <c r="L11" s="74">
        <v>1032063</v>
      </c>
      <c r="M11" s="75">
        <v>1123138</v>
      </c>
      <c r="N11" s="65">
        <v>1268643</v>
      </c>
      <c r="O11" s="1">
        <v>1368211</v>
      </c>
      <c r="P11" s="66">
        <v>1368211</v>
      </c>
      <c r="Q11" s="74">
        <v>1436883</v>
      </c>
      <c r="R11" s="75">
        <v>1483193</v>
      </c>
      <c r="S11" s="75">
        <v>1517330</v>
      </c>
      <c r="T11" s="63">
        <v>1594740</v>
      </c>
      <c r="U11" s="66">
        <f t="shared" si="8"/>
        <v>1594740</v>
      </c>
      <c r="V11" s="74">
        <v>1647533</v>
      </c>
      <c r="W11" s="75">
        <v>1689256</v>
      </c>
      <c r="X11" s="75">
        <v>1722056</v>
      </c>
      <c r="Y11" s="63">
        <v>1757742</v>
      </c>
      <c r="Z11" s="66">
        <f t="shared" si="9"/>
        <v>1757742</v>
      </c>
      <c r="AA11" s="74">
        <v>1766089</v>
      </c>
      <c r="AB11" s="75">
        <v>1773006</v>
      </c>
      <c r="AC11" s="75">
        <v>1782872</v>
      </c>
      <c r="AD11" s="63">
        <v>1809728</v>
      </c>
      <c r="AE11" s="66">
        <f t="shared" si="11"/>
        <v>1809728</v>
      </c>
      <c r="AF11" s="75">
        <v>1813912</v>
      </c>
      <c r="AG11" s="75">
        <v>1804045</v>
      </c>
      <c r="AH11" s="496">
        <v>1809595</v>
      </c>
      <c r="AI11" s="496">
        <v>1815134</v>
      </c>
      <c r="AJ11" s="66">
        <v>1815134</v>
      </c>
      <c r="AK11" s="75">
        <v>1801295</v>
      </c>
      <c r="AL11" s="75">
        <v>1795259</v>
      </c>
      <c r="AM11" s="496"/>
      <c r="AN11" s="496"/>
      <c r="AO11" s="66"/>
    </row>
    <row r="12" spans="1:492" ht="20.100000000000001" customHeight="1" thickBot="1">
      <c r="A12" s="102" t="s">
        <v>34</v>
      </c>
      <c r="B12" s="76">
        <v>6282300</v>
      </c>
      <c r="C12" s="77">
        <v>6264412</v>
      </c>
      <c r="D12" s="77">
        <v>6281184</v>
      </c>
      <c r="E12" s="77">
        <v>6313423</v>
      </c>
      <c r="F12" s="78">
        <f>E12</f>
        <v>6313423</v>
      </c>
      <c r="G12" s="76">
        <v>6318321</v>
      </c>
      <c r="H12" s="77">
        <v>6306877</v>
      </c>
      <c r="I12" s="77">
        <v>6285607</v>
      </c>
      <c r="J12" s="77">
        <v>6287658</v>
      </c>
      <c r="K12" s="78">
        <f>J12</f>
        <v>6287658</v>
      </c>
      <c r="L12" s="76">
        <v>6260662</v>
      </c>
      <c r="M12" s="77">
        <v>6221111</v>
      </c>
      <c r="N12" s="79">
        <v>6184775</v>
      </c>
      <c r="O12" s="77">
        <v>6137531</v>
      </c>
      <c r="P12" s="80">
        <v>6137531</v>
      </c>
      <c r="Q12" s="76">
        <v>6068839</v>
      </c>
      <c r="R12" s="77">
        <v>5990051</v>
      </c>
      <c r="S12" s="77">
        <v>5937768</v>
      </c>
      <c r="T12" s="77">
        <v>5916103</v>
      </c>
      <c r="U12" s="80">
        <f t="shared" si="8"/>
        <v>5916103</v>
      </c>
      <c r="V12" s="76">
        <v>5893225</v>
      </c>
      <c r="W12" s="77">
        <v>5862310</v>
      </c>
      <c r="X12" s="77">
        <v>5860884</v>
      </c>
      <c r="Y12" s="77">
        <v>5882804</v>
      </c>
      <c r="Z12" s="80">
        <f t="shared" si="9"/>
        <v>5882804</v>
      </c>
      <c r="AA12" s="76">
        <v>5847401</v>
      </c>
      <c r="AB12" s="77">
        <v>5819386</v>
      </c>
      <c r="AC12" s="77">
        <v>5791841</v>
      </c>
      <c r="AD12" s="77">
        <v>5776598</v>
      </c>
      <c r="AE12" s="80">
        <f t="shared" si="11"/>
        <v>5776598</v>
      </c>
      <c r="AF12" s="77">
        <v>5743832</v>
      </c>
      <c r="AG12" s="77">
        <v>5724492</v>
      </c>
      <c r="AH12" s="497">
        <v>5712151</v>
      </c>
      <c r="AI12" s="497">
        <v>5706147</v>
      </c>
      <c r="AJ12" s="80">
        <v>5706147</v>
      </c>
      <c r="AK12" s="77">
        <v>5672790</v>
      </c>
      <c r="AL12" s="77">
        <v>5652912</v>
      </c>
      <c r="AM12" s="497">
        <v>0</v>
      </c>
      <c r="AN12" s="497">
        <v>0</v>
      </c>
      <c r="AO12" s="80">
        <v>0</v>
      </c>
    </row>
    <row r="13" spans="1:492" ht="20.100000000000001" customHeight="1">
      <c r="A13" s="81" t="s">
        <v>247</v>
      </c>
      <c r="B13" s="82"/>
      <c r="C13" s="83"/>
      <c r="D13" s="83"/>
      <c r="E13" s="83"/>
      <c r="F13" s="84"/>
      <c r="G13" s="82"/>
      <c r="H13" s="83"/>
      <c r="I13" s="83"/>
      <c r="J13" s="83"/>
      <c r="K13" s="84"/>
      <c r="L13" s="82"/>
      <c r="M13" s="83"/>
      <c r="N13" s="85"/>
      <c r="O13" s="83"/>
      <c r="P13" s="86"/>
      <c r="Q13" s="82"/>
      <c r="R13" s="83"/>
      <c r="S13" s="83"/>
      <c r="T13" s="83"/>
      <c r="U13" s="86"/>
      <c r="V13" s="82"/>
      <c r="W13" s="83"/>
      <c r="X13" s="83"/>
      <c r="Y13" s="83"/>
      <c r="Z13" s="86"/>
      <c r="AA13" s="82">
        <v>80.3</v>
      </c>
      <c r="AB13" s="83">
        <v>81.2</v>
      </c>
      <c r="AC13" s="83">
        <v>80.5</v>
      </c>
      <c r="AD13" s="83">
        <v>81.900000000000006</v>
      </c>
      <c r="AE13" s="86"/>
      <c r="AF13" s="83">
        <v>81.900000000000006</v>
      </c>
      <c r="AG13" s="381">
        <v>82.9</v>
      </c>
      <c r="AH13" s="381">
        <v>84</v>
      </c>
      <c r="AI13" s="381">
        <v>84</v>
      </c>
      <c r="AJ13" s="86">
        <v>83.2</v>
      </c>
      <c r="AK13" s="83">
        <v>82.9</v>
      </c>
      <c r="AL13" s="381">
        <v>83.4</v>
      </c>
      <c r="AM13" s="381"/>
      <c r="AN13" s="381"/>
      <c r="AO13" s="86"/>
    </row>
    <row r="14" spans="1:492" ht="20.100000000000001" customHeight="1">
      <c r="A14" s="379" t="s">
        <v>248</v>
      </c>
      <c r="B14" s="376">
        <v>92.5</v>
      </c>
      <c r="C14" s="377">
        <v>94.4</v>
      </c>
      <c r="D14" s="377">
        <v>93.8</v>
      </c>
      <c r="E14" s="377">
        <v>93.8</v>
      </c>
      <c r="F14" s="378">
        <v>93.6</v>
      </c>
      <c r="G14" s="376">
        <v>89.1</v>
      </c>
      <c r="H14" s="377">
        <v>90.3</v>
      </c>
      <c r="I14" s="377">
        <v>87.6</v>
      </c>
      <c r="J14" s="377">
        <v>87.1</v>
      </c>
      <c r="K14" s="378">
        <v>88.5</v>
      </c>
      <c r="L14" s="376">
        <v>84.8</v>
      </c>
      <c r="M14" s="377">
        <v>85.3</v>
      </c>
      <c r="N14" s="85">
        <v>86.5</v>
      </c>
      <c r="O14" s="377">
        <v>87.2</v>
      </c>
      <c r="P14" s="378">
        <v>85.9</v>
      </c>
      <c r="Q14" s="376">
        <v>85.8</v>
      </c>
      <c r="R14" s="377">
        <v>87</v>
      </c>
      <c r="S14" s="377">
        <v>88.1</v>
      </c>
      <c r="T14" s="377">
        <v>88.3</v>
      </c>
      <c r="U14" s="378">
        <v>87.3</v>
      </c>
      <c r="V14" s="376">
        <v>87</v>
      </c>
      <c r="W14" s="377">
        <v>88.4</v>
      </c>
      <c r="X14" s="377">
        <v>88.6</v>
      </c>
      <c r="Y14" s="377">
        <v>90.7</v>
      </c>
      <c r="Z14" s="378">
        <v>88.7</v>
      </c>
      <c r="AA14" s="376">
        <v>89.1</v>
      </c>
      <c r="AB14" s="377">
        <v>89.6</v>
      </c>
      <c r="AC14" s="377">
        <v>88.4</v>
      </c>
      <c r="AD14" s="377">
        <v>89</v>
      </c>
      <c r="AE14" s="378">
        <v>89</v>
      </c>
      <c r="AF14" s="376">
        <v>88.7</v>
      </c>
      <c r="AG14" s="382">
        <v>89.6</v>
      </c>
      <c r="AH14" s="382">
        <v>90.1</v>
      </c>
      <c r="AI14" s="382">
        <v>90.5</v>
      </c>
      <c r="AJ14" s="378">
        <v>89.7</v>
      </c>
      <c r="AK14" s="376"/>
      <c r="AL14" s="382"/>
      <c r="AM14" s="382"/>
      <c r="AN14" s="382"/>
      <c r="AO14" s="378"/>
    </row>
    <row r="15" spans="1:492" ht="20.100000000000001" customHeight="1">
      <c r="A15" s="87" t="s">
        <v>35</v>
      </c>
      <c r="B15" s="88" t="s">
        <v>27</v>
      </c>
      <c r="C15" s="89" t="s">
        <v>27</v>
      </c>
      <c r="D15" s="89" t="s">
        <v>27</v>
      </c>
      <c r="E15" s="90">
        <v>8.4252884188563901E-2</v>
      </c>
      <c r="F15" s="91">
        <f>E15</f>
        <v>8.4252884188563901E-2</v>
      </c>
      <c r="G15" s="92">
        <v>8.6500864834109098E-2</v>
      </c>
      <c r="H15" s="90">
        <v>8.7995678097648605E-2</v>
      </c>
      <c r="I15" s="90">
        <v>8.95665783401738E-2</v>
      </c>
      <c r="J15" s="90">
        <v>9.1612274770678806E-2</v>
      </c>
      <c r="K15" s="91">
        <f>J15</f>
        <v>9.1612274770678806E-2</v>
      </c>
      <c r="L15" s="92">
        <v>9.0641340484564806E-2</v>
      </c>
      <c r="M15" s="90">
        <v>8.7627794752018207E-2</v>
      </c>
      <c r="N15" s="93">
        <f>8.8%</f>
        <v>8.8000000000000009E-2</v>
      </c>
      <c r="O15" s="90">
        <v>9.0976359886998898E-2</v>
      </c>
      <c r="P15" s="94">
        <v>9.0999999999999998E-2</v>
      </c>
      <c r="Q15" s="92">
        <v>9.5000000000000001E-2</v>
      </c>
      <c r="R15" s="90">
        <v>0.10100000000000001</v>
      </c>
      <c r="S15" s="90">
        <v>0.10199999999999999</v>
      </c>
      <c r="T15" s="90">
        <v>0.1</v>
      </c>
      <c r="U15" s="94">
        <v>0.1</v>
      </c>
      <c r="V15" s="92">
        <v>9.8000000000000004E-2</v>
      </c>
      <c r="W15" s="90">
        <v>0.09</v>
      </c>
      <c r="X15" s="90">
        <v>8.5000000000000006E-2</v>
      </c>
      <c r="Y15" s="90">
        <v>8.3000000000000004E-2</v>
      </c>
      <c r="Z15" s="94">
        <v>8.3000000000000004E-2</v>
      </c>
      <c r="AA15" s="92">
        <v>8.5000000000000006E-2</v>
      </c>
      <c r="AB15" s="90">
        <v>8.5999999999999993E-2</v>
      </c>
      <c r="AC15" s="90">
        <v>8.7999999999999995E-2</v>
      </c>
      <c r="AD15" s="90">
        <v>8.7999999999999995E-2</v>
      </c>
      <c r="AE15" s="94">
        <v>8.7999999999999995E-2</v>
      </c>
      <c r="AF15" s="90">
        <v>8.5000000000000006E-2</v>
      </c>
      <c r="AG15" s="90">
        <v>8.3000000000000004E-2</v>
      </c>
      <c r="AH15" s="498">
        <v>7.9000000000000001E-2</v>
      </c>
      <c r="AI15" s="498">
        <v>7.5999999999999998E-2</v>
      </c>
      <c r="AJ15" s="94">
        <v>7.5999999999999998E-2</v>
      </c>
      <c r="AK15" s="90">
        <v>7.1999999999999995E-2</v>
      </c>
      <c r="AL15" s="90">
        <v>7.0000000000000007E-2</v>
      </c>
      <c r="AM15" s="498"/>
      <c r="AN15" s="498"/>
      <c r="AO15" s="94"/>
    </row>
    <row r="16" spans="1:492" ht="20.100000000000001" customHeight="1" thickBot="1">
      <c r="A16" s="87" t="s">
        <v>36</v>
      </c>
      <c r="B16" s="95">
        <f t="shared" ref="B16:M16" si="13">B7/B12</f>
        <v>1.8357205163713926</v>
      </c>
      <c r="C16" s="96">
        <f t="shared" si="13"/>
        <v>1.838453952262399</v>
      </c>
      <c r="D16" s="96">
        <f t="shared" si="13"/>
        <v>1.8475973638091163</v>
      </c>
      <c r="E16" s="96">
        <f t="shared" si="13"/>
        <v>1.858753959619053</v>
      </c>
      <c r="F16" s="97">
        <f t="shared" si="13"/>
        <v>1.858753959619053</v>
      </c>
      <c r="G16" s="95">
        <f t="shared" si="13"/>
        <v>1.8675770034475931</v>
      </c>
      <c r="H16" s="96">
        <f t="shared" si="13"/>
        <v>1.8819055770391591</v>
      </c>
      <c r="I16" s="96">
        <f t="shared" si="13"/>
        <v>1.8945540184106324</v>
      </c>
      <c r="J16" s="96">
        <f t="shared" si="13"/>
        <v>1.9051301772456453</v>
      </c>
      <c r="K16" s="97">
        <f t="shared" si="13"/>
        <v>1.9051301772456453</v>
      </c>
      <c r="L16" s="95">
        <f t="shared" si="13"/>
        <v>1.9139634115369908</v>
      </c>
      <c r="M16" s="96">
        <f t="shared" si="13"/>
        <v>1.9326723152825918</v>
      </c>
      <c r="N16" s="98">
        <v>1.98</v>
      </c>
      <c r="O16" s="96">
        <v>2.0099999999999998</v>
      </c>
      <c r="P16" s="97">
        <v>2.0099999999999998</v>
      </c>
      <c r="Q16" s="95">
        <f t="shared" ref="Q16" si="14">Q7/Q12</f>
        <v>2.0423530760990696</v>
      </c>
      <c r="R16" s="96">
        <v>2.0699999999999998</v>
      </c>
      <c r="S16" s="96">
        <v>2.09</v>
      </c>
      <c r="T16" s="96">
        <v>2.13</v>
      </c>
      <c r="U16" s="97">
        <v>2.13</v>
      </c>
      <c r="V16" s="95">
        <v>2.16</v>
      </c>
      <c r="W16" s="96">
        <v>2.2000000000000002</v>
      </c>
      <c r="X16" s="96">
        <v>2.2200000000000002</v>
      </c>
      <c r="Y16" s="96">
        <v>2.25</v>
      </c>
      <c r="Z16" s="97">
        <v>2.25</v>
      </c>
      <c r="AA16" s="95">
        <v>2.2799999999999998</v>
      </c>
      <c r="AB16" s="96">
        <v>2.31</v>
      </c>
      <c r="AC16" s="96">
        <v>2.34</v>
      </c>
      <c r="AD16" s="96">
        <v>2.37</v>
      </c>
      <c r="AE16" s="97">
        <v>2.37</v>
      </c>
      <c r="AF16" s="96">
        <v>2.4</v>
      </c>
      <c r="AG16" s="96">
        <v>2.4300000000000002</v>
      </c>
      <c r="AH16" s="499">
        <v>2.46</v>
      </c>
      <c r="AI16" s="499">
        <v>2.5</v>
      </c>
      <c r="AJ16" s="97">
        <v>2.5</v>
      </c>
      <c r="AK16" s="96">
        <v>2.5299999999999998</v>
      </c>
      <c r="AL16" s="96">
        <v>2.56</v>
      </c>
      <c r="AM16" s="499"/>
      <c r="AN16" s="499"/>
      <c r="AO16" s="97"/>
    </row>
    <row r="17" spans="1:41" ht="20.100000000000001" customHeight="1">
      <c r="A17" s="99" t="s">
        <v>37</v>
      </c>
      <c r="B17" s="100">
        <f>B18+B20+B21</f>
        <v>11497022</v>
      </c>
      <c r="C17" s="101">
        <f t="shared" ref="C17:M17" si="15">C18+C20+C21</f>
        <v>11521707</v>
      </c>
      <c r="D17" s="101">
        <f t="shared" si="15"/>
        <v>11558288</v>
      </c>
      <c r="E17" s="101">
        <f t="shared" si="15"/>
        <v>11659474</v>
      </c>
      <c r="F17" s="59">
        <f t="shared" si="15"/>
        <v>11559122.75</v>
      </c>
      <c r="G17" s="100">
        <f t="shared" si="15"/>
        <v>11772318</v>
      </c>
      <c r="H17" s="101">
        <f t="shared" si="15"/>
        <v>11846507</v>
      </c>
      <c r="I17" s="101">
        <f t="shared" si="15"/>
        <v>11884574</v>
      </c>
      <c r="J17" s="101">
        <f t="shared" si="15"/>
        <v>11924710</v>
      </c>
      <c r="K17" s="59">
        <f t="shared" si="15"/>
        <v>11857027.25</v>
      </c>
      <c r="L17" s="100">
        <f t="shared" si="15"/>
        <v>11986199</v>
      </c>
      <c r="M17" s="101">
        <f t="shared" si="15"/>
        <v>11981389</v>
      </c>
      <c r="N17" s="101">
        <f>N18+N20+N21</f>
        <v>12125363.166666668</v>
      </c>
      <c r="O17" s="101">
        <f>O18+O20+O21</f>
        <v>12272311</v>
      </c>
      <c r="P17" s="60">
        <f>P18+P20+P21</f>
        <v>12091316</v>
      </c>
      <c r="Q17" s="100">
        <f t="shared" ref="Q17" si="16">Q18+Q20+Q21</f>
        <v>12376603</v>
      </c>
      <c r="R17" s="101">
        <f>R18+R20+R21</f>
        <v>12391326</v>
      </c>
      <c r="S17" s="101">
        <f t="shared" ref="S17:V17" si="17">S18+S20+S21</f>
        <v>12378586</v>
      </c>
      <c r="T17" s="101">
        <f t="shared" si="17"/>
        <v>12496080</v>
      </c>
      <c r="U17" s="60">
        <f t="shared" si="17"/>
        <v>12410649</v>
      </c>
      <c r="V17" s="100">
        <f t="shared" si="17"/>
        <v>12675864</v>
      </c>
      <c r="W17" s="101">
        <f t="shared" ref="W17:AO17" si="18">W18+W20+W21</f>
        <v>12809438</v>
      </c>
      <c r="X17" s="101">
        <f t="shared" si="18"/>
        <v>12940680</v>
      </c>
      <c r="Y17" s="101">
        <f t="shared" si="18"/>
        <v>13119033</v>
      </c>
      <c r="Z17" s="60">
        <f t="shared" si="18"/>
        <v>12886254</v>
      </c>
      <c r="AA17" s="100">
        <f t="shared" si="18"/>
        <v>13313971</v>
      </c>
      <c r="AB17" s="101">
        <f t="shared" si="18"/>
        <v>13379081</v>
      </c>
      <c r="AC17" s="101">
        <f t="shared" si="18"/>
        <v>13467835</v>
      </c>
      <c r="AD17" s="101">
        <f t="shared" si="18"/>
        <v>13596202</v>
      </c>
      <c r="AE17" s="60">
        <f t="shared" si="18"/>
        <v>13439272</v>
      </c>
      <c r="AF17" s="101">
        <f t="shared" si="18"/>
        <v>13741811</v>
      </c>
      <c r="AG17" s="101">
        <f>AG18+AG20+AG21</f>
        <v>13858205</v>
      </c>
      <c r="AH17" s="101">
        <f>AH18+AH20+AH21</f>
        <v>13995952</v>
      </c>
      <c r="AI17" s="101">
        <f t="shared" si="18"/>
        <v>14159632</v>
      </c>
      <c r="AJ17" s="60">
        <f t="shared" si="18"/>
        <v>13938900</v>
      </c>
      <c r="AK17" s="101">
        <f t="shared" si="18"/>
        <v>14283823</v>
      </c>
      <c r="AL17" s="101">
        <f>AL18+AL20+AL21</f>
        <v>14381445</v>
      </c>
      <c r="AM17" s="101">
        <f>AM18+AM20+AM21</f>
        <v>0</v>
      </c>
      <c r="AN17" s="101">
        <f t="shared" si="18"/>
        <v>0</v>
      </c>
      <c r="AO17" s="60">
        <f t="shared" si="18"/>
        <v>0</v>
      </c>
    </row>
    <row r="18" spans="1:41" ht="20.100000000000001" customHeight="1">
      <c r="A18" s="61" t="s">
        <v>32</v>
      </c>
      <c r="B18" s="62">
        <v>3858338</v>
      </c>
      <c r="C18" s="63">
        <v>3879834</v>
      </c>
      <c r="D18" s="63">
        <v>3894623</v>
      </c>
      <c r="E18" s="63">
        <v>3955082</v>
      </c>
      <c r="F18" s="64">
        <f>AVERAGE(B18:E18)</f>
        <v>3896969.25</v>
      </c>
      <c r="G18" s="62">
        <v>4018307</v>
      </c>
      <c r="H18" s="63">
        <v>4098051</v>
      </c>
      <c r="I18" s="63">
        <v>4144131</v>
      </c>
      <c r="J18" s="63">
        <v>4175145</v>
      </c>
      <c r="K18" s="64">
        <f>AVERAGE(G18:J18)</f>
        <v>4108908.5</v>
      </c>
      <c r="L18" s="62">
        <v>4227450</v>
      </c>
      <c r="M18" s="63">
        <v>4243880</v>
      </c>
      <c r="N18" s="65">
        <v>4301558.166666667</v>
      </c>
      <c r="O18" s="63">
        <v>4361890</v>
      </c>
      <c r="P18" s="66">
        <v>4283695</v>
      </c>
      <c r="Q18" s="62">
        <v>4403541</v>
      </c>
      <c r="R18" s="63">
        <v>4397999</v>
      </c>
      <c r="S18" s="63">
        <v>4376405</v>
      </c>
      <c r="T18" s="63">
        <v>4441918</v>
      </c>
      <c r="U18" s="66">
        <v>4404966</v>
      </c>
      <c r="V18" s="62">
        <v>4532806</v>
      </c>
      <c r="W18" s="63">
        <v>4595313</v>
      </c>
      <c r="X18" s="63">
        <v>4654591</v>
      </c>
      <c r="Y18" s="63">
        <v>4712813</v>
      </c>
      <c r="Z18" s="66">
        <v>4623881</v>
      </c>
      <c r="AA18" s="62">
        <v>4781680</v>
      </c>
      <c r="AB18" s="63">
        <v>4817543</v>
      </c>
      <c r="AC18" s="63">
        <v>4856979</v>
      </c>
      <c r="AD18" s="63">
        <v>4905839</v>
      </c>
      <c r="AE18" s="66">
        <v>4840510</v>
      </c>
      <c r="AF18" s="63">
        <v>4963830</v>
      </c>
      <c r="AG18" s="63">
        <v>5013604</v>
      </c>
      <c r="AH18" s="495">
        <v>5029344</v>
      </c>
      <c r="AI18" s="495">
        <v>5070219</v>
      </c>
      <c r="AJ18" s="66">
        <v>5019249</v>
      </c>
      <c r="AK18" s="63">
        <v>5090723</v>
      </c>
      <c r="AL18" s="63">
        <v>5066146</v>
      </c>
      <c r="AM18" s="495"/>
      <c r="AN18" s="495"/>
      <c r="AO18" s="66"/>
    </row>
    <row r="19" spans="1:41" ht="20.100000000000001" customHeight="1">
      <c r="A19" s="67" t="s">
        <v>10</v>
      </c>
      <c r="B19" s="68">
        <v>358652</v>
      </c>
      <c r="C19" s="69">
        <v>406943</v>
      </c>
      <c r="D19" s="73">
        <v>443743.5</v>
      </c>
      <c r="E19" s="69">
        <v>494506</v>
      </c>
      <c r="F19" s="70">
        <f>AVERAGE(B19:E19)</f>
        <v>425961.125</v>
      </c>
      <c r="G19" s="68">
        <v>535271</v>
      </c>
      <c r="H19" s="69">
        <v>600411</v>
      </c>
      <c r="I19" s="69">
        <v>658475</v>
      </c>
      <c r="J19" s="69">
        <v>697978</v>
      </c>
      <c r="K19" s="70">
        <f t="shared" ref="K19:K21" si="19">AVERAGE(G19:J19)</f>
        <v>623033.75</v>
      </c>
      <c r="L19" s="141">
        <v>736315</v>
      </c>
      <c r="M19" s="69">
        <v>759922</v>
      </c>
      <c r="N19" s="71">
        <v>787736.16666666663</v>
      </c>
      <c r="O19" s="69">
        <v>822568</v>
      </c>
      <c r="P19" s="72">
        <v>776635</v>
      </c>
      <c r="Q19" s="141">
        <v>860827</v>
      </c>
      <c r="R19" s="69">
        <v>881296</v>
      </c>
      <c r="S19" s="69">
        <v>893001</v>
      </c>
      <c r="T19" s="69">
        <v>915940</v>
      </c>
      <c r="U19" s="72">
        <v>887766</v>
      </c>
      <c r="V19" s="265">
        <v>948366</v>
      </c>
      <c r="W19" s="296">
        <v>964197</v>
      </c>
      <c r="X19" s="296">
        <v>977142</v>
      </c>
      <c r="Y19" s="69">
        <v>995820</v>
      </c>
      <c r="Z19" s="72">
        <v>971381</v>
      </c>
      <c r="AA19" s="265">
        <v>1029294</v>
      </c>
      <c r="AB19" s="296">
        <v>1051692</v>
      </c>
      <c r="AC19" s="296">
        <v>1064544</v>
      </c>
      <c r="AD19" s="296">
        <v>1082951</v>
      </c>
      <c r="AE19" s="72">
        <v>1057120</v>
      </c>
      <c r="AF19" s="296">
        <v>1108316</v>
      </c>
      <c r="AG19" s="296">
        <v>1121333</v>
      </c>
      <c r="AH19" s="500">
        <v>1134327</v>
      </c>
      <c r="AI19" s="500">
        <v>1149795</v>
      </c>
      <c r="AJ19" s="72">
        <v>1128443</v>
      </c>
      <c r="AK19" s="296">
        <v>1164591</v>
      </c>
      <c r="AL19" s="296">
        <v>1171425</v>
      </c>
      <c r="AM19" s="500"/>
      <c r="AN19" s="500"/>
      <c r="AO19" s="72"/>
    </row>
    <row r="20" spans="1:41" ht="20.100000000000001" customHeight="1">
      <c r="A20" s="61" t="s">
        <v>33</v>
      </c>
      <c r="B20" s="62">
        <v>6986951</v>
      </c>
      <c r="C20" s="63">
        <v>6977393</v>
      </c>
      <c r="D20" s="63">
        <v>6978772</v>
      </c>
      <c r="E20" s="63">
        <v>6974525</v>
      </c>
      <c r="F20" s="64">
        <f t="shared" ref="F20:F21" si="20">AVERAGE(B20:E20)</f>
        <v>6979410.25</v>
      </c>
      <c r="G20" s="62">
        <v>6965606</v>
      </c>
      <c r="H20" s="63">
        <v>6917102</v>
      </c>
      <c r="I20" s="63">
        <v>6862047</v>
      </c>
      <c r="J20" s="63">
        <v>6801845</v>
      </c>
      <c r="K20" s="64">
        <f t="shared" si="19"/>
        <v>6886650</v>
      </c>
      <c r="L20" s="142">
        <v>6749396</v>
      </c>
      <c r="M20" s="63">
        <v>6670820</v>
      </c>
      <c r="N20" s="65">
        <v>6628199.166666667</v>
      </c>
      <c r="O20" s="63">
        <v>6597742</v>
      </c>
      <c r="P20" s="66">
        <v>6661539</v>
      </c>
      <c r="Q20" s="142">
        <v>6570344</v>
      </c>
      <c r="R20" s="63">
        <v>6532488</v>
      </c>
      <c r="S20" s="63">
        <v>6508391</v>
      </c>
      <c r="T20" s="63">
        <v>6502872</v>
      </c>
      <c r="U20" s="66">
        <v>6528524</v>
      </c>
      <c r="V20" s="266">
        <v>6523316</v>
      </c>
      <c r="W20" s="297">
        <v>6546774</v>
      </c>
      <c r="X20" s="297">
        <v>6579908</v>
      </c>
      <c r="Y20" s="63">
        <v>6667869</v>
      </c>
      <c r="Z20" s="66">
        <v>6579467</v>
      </c>
      <c r="AA20" s="266">
        <v>6769379</v>
      </c>
      <c r="AB20" s="297">
        <v>6790804</v>
      </c>
      <c r="AC20" s="297">
        <v>6836282</v>
      </c>
      <c r="AD20" s="297">
        <v>6894295</v>
      </c>
      <c r="AE20" s="66">
        <v>6822690</v>
      </c>
      <c r="AF20" s="297">
        <v>6963584</v>
      </c>
      <c r="AG20" s="297">
        <v>7036346</v>
      </c>
      <c r="AH20" s="501">
        <v>7161022</v>
      </c>
      <c r="AI20" s="501">
        <v>7276732</v>
      </c>
      <c r="AJ20" s="66">
        <v>7109421</v>
      </c>
      <c r="AK20" s="297">
        <v>7384746</v>
      </c>
      <c r="AL20" s="297">
        <v>7519107</v>
      </c>
      <c r="AM20" s="501"/>
      <c r="AN20" s="501"/>
      <c r="AO20" s="66"/>
    </row>
    <row r="21" spans="1:41" ht="20.100000000000001" customHeight="1">
      <c r="A21" s="61" t="s">
        <v>11</v>
      </c>
      <c r="B21" s="62">
        <v>651733</v>
      </c>
      <c r="C21" s="63">
        <v>664480</v>
      </c>
      <c r="D21" s="63">
        <v>684893</v>
      </c>
      <c r="E21" s="63">
        <v>729867</v>
      </c>
      <c r="F21" s="64">
        <f t="shared" si="20"/>
        <v>682743.25</v>
      </c>
      <c r="G21" s="62">
        <v>788405</v>
      </c>
      <c r="H21" s="63">
        <v>831354</v>
      </c>
      <c r="I21" s="63">
        <v>878396</v>
      </c>
      <c r="J21" s="63">
        <v>947720</v>
      </c>
      <c r="K21" s="64">
        <f t="shared" si="19"/>
        <v>861468.75</v>
      </c>
      <c r="L21" s="142">
        <v>1009353</v>
      </c>
      <c r="M21" s="63">
        <v>1066689</v>
      </c>
      <c r="N21" s="65">
        <v>1195605.8333333333</v>
      </c>
      <c r="O21" s="63">
        <v>1312679</v>
      </c>
      <c r="P21" s="66">
        <v>1146082</v>
      </c>
      <c r="Q21" s="142">
        <v>1402718</v>
      </c>
      <c r="R21" s="63">
        <v>1460839</v>
      </c>
      <c r="S21" s="63">
        <v>1493790</v>
      </c>
      <c r="T21" s="63">
        <v>1551290</v>
      </c>
      <c r="U21" s="66">
        <v>1477159</v>
      </c>
      <c r="V21" s="266">
        <v>1619742</v>
      </c>
      <c r="W21" s="297">
        <v>1667351</v>
      </c>
      <c r="X21" s="297">
        <v>1706181</v>
      </c>
      <c r="Y21" s="63">
        <v>1738351</v>
      </c>
      <c r="Z21" s="66">
        <v>1682906</v>
      </c>
      <c r="AA21" s="266">
        <v>1762912</v>
      </c>
      <c r="AB21" s="297">
        <v>1770734</v>
      </c>
      <c r="AC21" s="297">
        <v>1774574</v>
      </c>
      <c r="AD21" s="297">
        <v>1796068</v>
      </c>
      <c r="AE21" s="66">
        <v>1776072</v>
      </c>
      <c r="AF21" s="297">
        <v>1814397</v>
      </c>
      <c r="AG21" s="297">
        <v>1808255</v>
      </c>
      <c r="AH21" s="501">
        <v>1805586</v>
      </c>
      <c r="AI21" s="501">
        <v>1812681</v>
      </c>
      <c r="AJ21" s="66">
        <v>1810230</v>
      </c>
      <c r="AK21" s="297">
        <v>1808354</v>
      </c>
      <c r="AL21" s="297">
        <v>1796192</v>
      </c>
      <c r="AM21" s="501"/>
      <c r="AN21" s="501"/>
      <c r="AO21" s="66"/>
    </row>
    <row r="22" spans="1:41" ht="20.100000000000001" customHeight="1" thickBot="1">
      <c r="A22" s="102" t="s">
        <v>38</v>
      </c>
      <c r="B22" s="103">
        <v>6288609</v>
      </c>
      <c r="C22" s="104">
        <v>6272029</v>
      </c>
      <c r="D22" s="104">
        <v>6271838</v>
      </c>
      <c r="E22" s="104">
        <v>6291791</v>
      </c>
      <c r="F22" s="105">
        <f>AVERAGE(B22:E22)</f>
        <v>6281066.75</v>
      </c>
      <c r="G22" s="106">
        <v>6316275</v>
      </c>
      <c r="H22" s="104">
        <v>6317333</v>
      </c>
      <c r="I22" s="104">
        <v>6293472</v>
      </c>
      <c r="J22" s="104">
        <v>6279979</v>
      </c>
      <c r="K22" s="105">
        <f>AVERAGE(G22:J22)</f>
        <v>6301764.75</v>
      </c>
      <c r="L22" s="106">
        <v>6274951</v>
      </c>
      <c r="M22" s="104">
        <v>6242450</v>
      </c>
      <c r="N22" s="79">
        <v>6201335.333333333</v>
      </c>
      <c r="O22" s="104">
        <v>6159902.666666667</v>
      </c>
      <c r="P22" s="107">
        <v>6219660</v>
      </c>
      <c r="Q22" s="106">
        <v>6105250</v>
      </c>
      <c r="R22" s="104">
        <v>6031638</v>
      </c>
      <c r="S22" s="104">
        <v>5960463</v>
      </c>
      <c r="T22" s="104">
        <v>5922397</v>
      </c>
      <c r="U22" s="107">
        <v>6004937</v>
      </c>
      <c r="V22" s="106">
        <v>5902526</v>
      </c>
      <c r="W22" s="104">
        <v>5876458</v>
      </c>
      <c r="X22" s="104">
        <v>5858477</v>
      </c>
      <c r="Y22" s="104">
        <v>5868541</v>
      </c>
      <c r="Z22" s="107">
        <v>5876500</v>
      </c>
      <c r="AA22" s="106">
        <v>5872517</v>
      </c>
      <c r="AB22" s="104">
        <v>5828405</v>
      </c>
      <c r="AC22" s="104">
        <v>5803517</v>
      </c>
      <c r="AD22" s="104">
        <v>5781207</v>
      </c>
      <c r="AE22" s="107">
        <v>5821411</v>
      </c>
      <c r="AF22" s="104">
        <v>5760338</v>
      </c>
      <c r="AG22" s="104">
        <v>5732091</v>
      </c>
      <c r="AH22" s="502">
        <v>5717882</v>
      </c>
      <c r="AI22" s="502">
        <v>5708353</v>
      </c>
      <c r="AJ22" s="107">
        <v>5729666</v>
      </c>
      <c r="AK22" s="104">
        <v>5688071</v>
      </c>
      <c r="AL22" s="104">
        <v>5662168</v>
      </c>
      <c r="AM22" s="502"/>
      <c r="AN22" s="502"/>
      <c r="AO22" s="107"/>
    </row>
    <row r="23" spans="1:41" ht="20.100000000000001" customHeight="1">
      <c r="A23" s="108" t="s">
        <v>39</v>
      </c>
      <c r="B23" s="109"/>
      <c r="C23" s="110"/>
      <c r="D23" s="110"/>
      <c r="E23" s="110"/>
      <c r="F23" s="111"/>
      <c r="G23" s="112"/>
      <c r="H23" s="113"/>
      <c r="I23" s="113"/>
      <c r="J23" s="113"/>
      <c r="K23" s="111"/>
      <c r="L23" s="112"/>
      <c r="M23" s="114"/>
      <c r="N23" s="114"/>
      <c r="O23" s="113"/>
      <c r="P23" s="111"/>
      <c r="Q23" s="112"/>
      <c r="R23" s="114"/>
      <c r="S23" s="114"/>
      <c r="T23" s="113"/>
      <c r="U23" s="111"/>
      <c r="V23" s="112"/>
      <c r="W23" s="113"/>
      <c r="X23" s="113"/>
      <c r="Y23" s="113"/>
      <c r="Z23" s="111"/>
      <c r="AA23" s="112"/>
      <c r="AB23" s="113"/>
      <c r="AC23" s="113"/>
      <c r="AD23" s="113"/>
      <c r="AE23" s="111"/>
      <c r="AF23" s="113"/>
      <c r="AG23" s="113"/>
      <c r="AH23" s="113"/>
      <c r="AI23" s="113"/>
      <c r="AJ23" s="111"/>
      <c r="AK23" s="113"/>
      <c r="AL23" s="113"/>
      <c r="AM23" s="113"/>
      <c r="AN23" s="113"/>
      <c r="AO23" s="111"/>
    </row>
    <row r="24" spans="1:41" ht="20.100000000000001" customHeight="1">
      <c r="A24" s="56" t="s">
        <v>31</v>
      </c>
      <c r="B24" s="115" t="s">
        <v>27</v>
      </c>
      <c r="C24" s="116" t="s">
        <v>27</v>
      </c>
      <c r="D24" s="116" t="s">
        <v>27</v>
      </c>
      <c r="E24" s="116" t="s">
        <v>27</v>
      </c>
      <c r="F24" s="143" t="s">
        <v>27</v>
      </c>
      <c r="G24" s="57">
        <f>SUM(G25:G27)</f>
        <v>4548385</v>
      </c>
      <c r="H24" s="58">
        <f t="shared" ref="H24:M24" si="21">SUM(H25:H27)</f>
        <v>4565319</v>
      </c>
      <c r="I24" s="58">
        <f t="shared" si="21"/>
        <v>4719129</v>
      </c>
      <c r="J24" s="58">
        <f t="shared" si="21"/>
        <v>4468527</v>
      </c>
      <c r="K24" s="59">
        <f t="shared" si="21"/>
        <v>4468527</v>
      </c>
      <c r="L24" s="57">
        <f t="shared" si="21"/>
        <v>4350325</v>
      </c>
      <c r="M24" s="58">
        <f t="shared" si="21"/>
        <v>4227128</v>
      </c>
      <c r="N24" s="58">
        <f>SUM(N25:N27)</f>
        <v>4219194</v>
      </c>
      <c r="O24" s="58">
        <f>SUM(O25:O27)</f>
        <v>4134203</v>
      </c>
      <c r="P24" s="60">
        <f>SUM(P25:P27)</f>
        <v>4134203</v>
      </c>
      <c r="Q24" s="57">
        <f t="shared" ref="Q24:V24" si="22">SUM(Q25:Q27)</f>
        <v>4034757</v>
      </c>
      <c r="R24" s="58">
        <f t="shared" si="22"/>
        <v>3972069</v>
      </c>
      <c r="S24" s="58">
        <f t="shared" si="22"/>
        <v>3976807</v>
      </c>
      <c r="T24" s="58">
        <f t="shared" si="22"/>
        <v>3854993</v>
      </c>
      <c r="U24" s="60">
        <f t="shared" si="22"/>
        <v>3854993</v>
      </c>
      <c r="V24" s="57">
        <f t="shared" si="22"/>
        <v>3787667</v>
      </c>
      <c r="W24" s="58">
        <f t="shared" ref="W24:AJ24" si="23">SUM(W25:W27)</f>
        <v>3830816</v>
      </c>
      <c r="X24" s="58">
        <f t="shared" si="23"/>
        <v>3527904</v>
      </c>
      <c r="Y24" s="58">
        <f t="shared" si="23"/>
        <v>3270338</v>
      </c>
      <c r="Z24" s="60">
        <f t="shared" si="23"/>
        <v>3270338</v>
      </c>
      <c r="AA24" s="57">
        <f t="shared" si="23"/>
        <v>2879090</v>
      </c>
      <c r="AB24" s="58">
        <f t="shared" si="23"/>
        <v>2854301</v>
      </c>
      <c r="AC24" s="58">
        <f t="shared" si="23"/>
        <v>2880161</v>
      </c>
      <c r="AD24" s="58">
        <f t="shared" si="23"/>
        <v>2837553</v>
      </c>
      <c r="AE24" s="60">
        <f t="shared" si="23"/>
        <v>2837553</v>
      </c>
      <c r="AF24" s="58">
        <f t="shared" si="23"/>
        <v>2783184</v>
      </c>
      <c r="AG24" s="58">
        <f t="shared" si="23"/>
        <v>2768818</v>
      </c>
      <c r="AH24" s="58">
        <f t="shared" si="23"/>
        <v>2794108</v>
      </c>
      <c r="AI24" s="58">
        <f t="shared" si="23"/>
        <v>2646869</v>
      </c>
      <c r="AJ24" s="60">
        <f t="shared" si="23"/>
        <v>2646869</v>
      </c>
      <c r="AK24" s="58">
        <f>SUM(AK25:AK27)</f>
        <v>2642775</v>
      </c>
      <c r="AL24" s="58">
        <f t="shared" ref="AL24:AO24" si="24">SUM(AL25:AL27)</f>
        <v>2607311</v>
      </c>
      <c r="AM24" s="58">
        <f t="shared" si="24"/>
        <v>0</v>
      </c>
      <c r="AN24" s="58">
        <f t="shared" si="24"/>
        <v>0</v>
      </c>
      <c r="AO24" s="60">
        <f t="shared" si="24"/>
        <v>0</v>
      </c>
    </row>
    <row r="25" spans="1:41" ht="20.100000000000001" customHeight="1">
      <c r="A25" s="61" t="s">
        <v>40</v>
      </c>
      <c r="B25" s="88" t="s">
        <v>27</v>
      </c>
      <c r="C25" s="89" t="s">
        <v>27</v>
      </c>
      <c r="D25" s="89" t="s">
        <v>27</v>
      </c>
      <c r="E25" s="89" t="s">
        <v>27</v>
      </c>
      <c r="F25" s="144" t="s">
        <v>27</v>
      </c>
      <c r="G25" s="62">
        <v>85574</v>
      </c>
      <c r="H25" s="63">
        <v>81441</v>
      </c>
      <c r="I25" s="63">
        <v>84538</v>
      </c>
      <c r="J25" s="63">
        <v>77771</v>
      </c>
      <c r="K25" s="66">
        <f>J25</f>
        <v>77771</v>
      </c>
      <c r="L25" s="62">
        <v>81619</v>
      </c>
      <c r="M25" s="63">
        <v>66578</v>
      </c>
      <c r="N25" s="65">
        <v>98136</v>
      </c>
      <c r="O25" s="63">
        <v>122787</v>
      </c>
      <c r="P25" s="66">
        <v>122787</v>
      </c>
      <c r="Q25" s="62">
        <v>66163</v>
      </c>
      <c r="R25" s="63">
        <v>41517</v>
      </c>
      <c r="S25" s="63">
        <v>60471</v>
      </c>
      <c r="T25" s="63">
        <v>31972</v>
      </c>
      <c r="U25" s="66">
        <f>T25</f>
        <v>31972</v>
      </c>
      <c r="V25" s="62">
        <v>35754</v>
      </c>
      <c r="W25" s="63">
        <v>73544</v>
      </c>
      <c r="X25" s="63">
        <v>44913</v>
      </c>
      <c r="Y25" s="63">
        <v>79306</v>
      </c>
      <c r="Z25" s="66">
        <f>Y25</f>
        <v>79306</v>
      </c>
      <c r="AA25" s="62">
        <v>48224</v>
      </c>
      <c r="AB25" s="63">
        <v>57183</v>
      </c>
      <c r="AC25" s="63">
        <v>63627</v>
      </c>
      <c r="AD25" s="63">
        <v>79561</v>
      </c>
      <c r="AE25" s="66">
        <f>AD25</f>
        <v>79561</v>
      </c>
      <c r="AF25" s="63">
        <v>75159</v>
      </c>
      <c r="AG25" s="63">
        <v>59722</v>
      </c>
      <c r="AH25" s="495">
        <v>91261</v>
      </c>
      <c r="AI25" s="495">
        <v>95685</v>
      </c>
      <c r="AJ25" s="66">
        <v>95685</v>
      </c>
      <c r="AK25" s="63">
        <v>144586</v>
      </c>
      <c r="AL25" s="63">
        <v>87176</v>
      </c>
      <c r="AM25" s="495"/>
      <c r="AN25" s="495"/>
      <c r="AO25" s="66"/>
    </row>
    <row r="26" spans="1:41" ht="20.100000000000001" customHeight="1">
      <c r="A26" s="61" t="s">
        <v>41</v>
      </c>
      <c r="B26" s="88" t="s">
        <v>27</v>
      </c>
      <c r="C26" s="89" t="s">
        <v>27</v>
      </c>
      <c r="D26" s="89" t="s">
        <v>27</v>
      </c>
      <c r="E26" s="89" t="s">
        <v>27</v>
      </c>
      <c r="F26" s="144" t="s">
        <v>27</v>
      </c>
      <c r="G26" s="62">
        <v>4385742</v>
      </c>
      <c r="H26" s="63">
        <v>4379630</v>
      </c>
      <c r="I26" s="63">
        <v>4475541</v>
      </c>
      <c r="J26" s="63">
        <v>4171810</v>
      </c>
      <c r="K26" s="66">
        <f>J26</f>
        <v>4171810</v>
      </c>
      <c r="L26" s="62">
        <v>4042605</v>
      </c>
      <c r="M26" s="63">
        <v>3923778</v>
      </c>
      <c r="N26" s="65">
        <v>3855669</v>
      </c>
      <c r="O26" s="63">
        <v>3792978</v>
      </c>
      <c r="P26" s="66">
        <v>3792978</v>
      </c>
      <c r="Q26" s="62">
        <v>3775976</v>
      </c>
      <c r="R26" s="63">
        <v>3737282</v>
      </c>
      <c r="S26" s="63">
        <v>3685092</v>
      </c>
      <c r="T26" s="63">
        <v>3591736</v>
      </c>
      <c r="U26" s="66">
        <f t="shared" ref="U26:U27" si="25">T26</f>
        <v>3591736</v>
      </c>
      <c r="V26" s="62">
        <v>3495733</v>
      </c>
      <c r="W26" s="63">
        <v>3473228</v>
      </c>
      <c r="X26" s="63">
        <v>3223224</v>
      </c>
      <c r="Y26" s="63">
        <v>2972443</v>
      </c>
      <c r="Z26" s="66">
        <f t="shared" ref="Z26:Z27" si="26">Y26</f>
        <v>2972443</v>
      </c>
      <c r="AA26" s="62">
        <v>2646477</v>
      </c>
      <c r="AB26" s="63">
        <v>2616592</v>
      </c>
      <c r="AC26" s="63">
        <v>2623950</v>
      </c>
      <c r="AD26" s="63">
        <v>2579613</v>
      </c>
      <c r="AE26" s="66">
        <f t="shared" ref="AE26:AE27" si="27">AD26</f>
        <v>2579613</v>
      </c>
      <c r="AF26" s="63">
        <v>2539402</v>
      </c>
      <c r="AG26" s="63">
        <v>2545749</v>
      </c>
      <c r="AH26" s="495">
        <v>2550355</v>
      </c>
      <c r="AI26" s="495">
        <v>2423774</v>
      </c>
      <c r="AJ26" s="66">
        <v>2423774</v>
      </c>
      <c r="AK26" s="63">
        <v>2387672</v>
      </c>
      <c r="AL26" s="63">
        <v>2418370</v>
      </c>
      <c r="AM26" s="495"/>
      <c r="AN26" s="495"/>
      <c r="AO26" s="66"/>
    </row>
    <row r="27" spans="1:41" ht="20.100000000000001" customHeight="1" thickBot="1">
      <c r="A27" s="128" t="s">
        <v>12</v>
      </c>
      <c r="B27" s="88" t="s">
        <v>27</v>
      </c>
      <c r="C27" s="89" t="s">
        <v>27</v>
      </c>
      <c r="D27" s="89" t="s">
        <v>27</v>
      </c>
      <c r="E27" s="89" t="s">
        <v>27</v>
      </c>
      <c r="F27" s="144" t="s">
        <v>27</v>
      </c>
      <c r="G27" s="62">
        <v>77069</v>
      </c>
      <c r="H27" s="63">
        <v>104248</v>
      </c>
      <c r="I27" s="63">
        <v>159050</v>
      </c>
      <c r="J27" s="63">
        <v>218946</v>
      </c>
      <c r="K27" s="66">
        <f>J27</f>
        <v>218946</v>
      </c>
      <c r="L27" s="62">
        <v>226101</v>
      </c>
      <c r="M27" s="63">
        <v>236772</v>
      </c>
      <c r="N27" s="65">
        <v>265389</v>
      </c>
      <c r="O27" s="63">
        <v>218438</v>
      </c>
      <c r="P27" s="66">
        <v>218438</v>
      </c>
      <c r="Q27" s="62">
        <v>192618</v>
      </c>
      <c r="R27" s="63">
        <v>193270</v>
      </c>
      <c r="S27" s="63">
        <v>231244</v>
      </c>
      <c r="T27" s="63">
        <v>231285</v>
      </c>
      <c r="U27" s="66">
        <f t="shared" si="25"/>
        <v>231285</v>
      </c>
      <c r="V27" s="62">
        <v>256180</v>
      </c>
      <c r="W27" s="63">
        <v>284044</v>
      </c>
      <c r="X27" s="63">
        <v>259767</v>
      </c>
      <c r="Y27" s="63">
        <v>218589</v>
      </c>
      <c r="Z27" s="66">
        <f t="shared" si="26"/>
        <v>218589</v>
      </c>
      <c r="AA27" s="62">
        <v>184389</v>
      </c>
      <c r="AB27" s="63">
        <v>180526</v>
      </c>
      <c r="AC27" s="63">
        <v>192584</v>
      </c>
      <c r="AD27" s="63">
        <v>178379</v>
      </c>
      <c r="AE27" s="66">
        <f t="shared" si="27"/>
        <v>178379</v>
      </c>
      <c r="AF27" s="63">
        <v>168623</v>
      </c>
      <c r="AG27" s="63">
        <v>163347</v>
      </c>
      <c r="AH27" s="495">
        <v>152492</v>
      </c>
      <c r="AI27" s="495">
        <v>127410</v>
      </c>
      <c r="AJ27" s="66">
        <v>127410</v>
      </c>
      <c r="AK27" s="63">
        <v>110517</v>
      </c>
      <c r="AL27" s="63">
        <v>101765</v>
      </c>
      <c r="AM27" s="495"/>
      <c r="AN27" s="495"/>
      <c r="AO27" s="66"/>
    </row>
    <row r="28" spans="1:41" ht="20.100000000000001" customHeight="1" thickBot="1">
      <c r="A28" s="145" t="s">
        <v>42</v>
      </c>
      <c r="B28" s="119" t="s">
        <v>27</v>
      </c>
      <c r="C28" s="120" t="s">
        <v>27</v>
      </c>
      <c r="D28" s="120" t="s">
        <v>27</v>
      </c>
      <c r="E28" s="120" t="s">
        <v>27</v>
      </c>
      <c r="F28" s="146" t="s">
        <v>27</v>
      </c>
      <c r="G28" s="121">
        <v>18</v>
      </c>
      <c r="H28" s="122">
        <v>19.2</v>
      </c>
      <c r="I28" s="122">
        <v>18.2</v>
      </c>
      <c r="J28" s="122">
        <v>17.5</v>
      </c>
      <c r="K28" s="123">
        <v>18.2</v>
      </c>
      <c r="L28" s="121">
        <v>16.5</v>
      </c>
      <c r="M28" s="122">
        <v>17.899999999999999</v>
      </c>
      <c r="N28" s="124">
        <v>18.3</v>
      </c>
      <c r="O28" s="122">
        <v>18.2</v>
      </c>
      <c r="P28" s="123">
        <v>17.7</v>
      </c>
      <c r="Q28" s="121">
        <v>17.3</v>
      </c>
      <c r="R28" s="122">
        <v>18.3</v>
      </c>
      <c r="S28" s="122">
        <v>19</v>
      </c>
      <c r="T28" s="122">
        <v>18.5</v>
      </c>
      <c r="U28" s="123">
        <v>18.3</v>
      </c>
      <c r="V28" s="121">
        <v>17.7</v>
      </c>
      <c r="W28" s="122">
        <v>18.899999999999999</v>
      </c>
      <c r="X28" s="122">
        <v>18.7</v>
      </c>
      <c r="Y28" s="122">
        <v>19.2</v>
      </c>
      <c r="Z28" s="123">
        <v>18.600000000000001</v>
      </c>
      <c r="AA28" s="121">
        <v>18.7</v>
      </c>
      <c r="AB28" s="122">
        <v>20.5</v>
      </c>
      <c r="AC28" s="122">
        <v>20.2</v>
      </c>
      <c r="AD28" s="122">
        <v>20.100000000000001</v>
      </c>
      <c r="AE28" s="123">
        <v>19.899999999999999</v>
      </c>
      <c r="AF28" s="122">
        <v>20.100000000000001</v>
      </c>
      <c r="AG28" s="122">
        <v>20.399999999999999</v>
      </c>
      <c r="AH28" s="503">
        <v>20.8</v>
      </c>
      <c r="AI28" s="503">
        <v>20.3</v>
      </c>
      <c r="AJ28" s="123">
        <v>20.399999999999999</v>
      </c>
      <c r="AK28" s="122">
        <v>20.100000000000001</v>
      </c>
      <c r="AL28" s="122">
        <v>20.8</v>
      </c>
      <c r="AM28" s="503"/>
      <c r="AN28" s="503"/>
      <c r="AO28" s="123"/>
    </row>
    <row r="29" spans="1:41" ht="20.100000000000001" customHeight="1">
      <c r="A29" s="125" t="s">
        <v>208</v>
      </c>
      <c r="B29" s="126" t="s">
        <v>27</v>
      </c>
      <c r="C29" s="147" t="s">
        <v>27</v>
      </c>
      <c r="D29" s="147" t="s">
        <v>27</v>
      </c>
      <c r="E29" s="147" t="s">
        <v>27</v>
      </c>
      <c r="F29" s="148" t="s">
        <v>27</v>
      </c>
      <c r="G29" s="100">
        <f>SUM(G30:G32)</f>
        <v>4549031</v>
      </c>
      <c r="H29" s="101">
        <f t="shared" ref="H29:M29" si="28">SUM(H30:H32)</f>
        <v>4532090</v>
      </c>
      <c r="I29" s="101">
        <f t="shared" si="28"/>
        <v>4635182</v>
      </c>
      <c r="J29" s="101">
        <f t="shared" si="28"/>
        <v>4599374</v>
      </c>
      <c r="K29" s="127">
        <f t="shared" si="28"/>
        <v>4578919.25</v>
      </c>
      <c r="L29" s="100">
        <f t="shared" si="28"/>
        <v>4398038</v>
      </c>
      <c r="M29" s="101">
        <f t="shared" si="28"/>
        <v>4285747</v>
      </c>
      <c r="N29" s="101">
        <f>SUM(N30:N32)</f>
        <v>4212274</v>
      </c>
      <c r="O29" s="101">
        <f>SUM(O30:O32)</f>
        <v>4172129</v>
      </c>
      <c r="P29" s="127">
        <f>SUM(P30:P32)</f>
        <v>4267047</v>
      </c>
      <c r="Q29" s="100">
        <f t="shared" ref="Q29:V29" si="29">SUM(Q30:Q32)</f>
        <v>4068646</v>
      </c>
      <c r="R29" s="101">
        <f t="shared" si="29"/>
        <v>4006108</v>
      </c>
      <c r="S29" s="101">
        <f t="shared" si="29"/>
        <v>3970091</v>
      </c>
      <c r="T29" s="101">
        <f t="shared" si="29"/>
        <v>3917979</v>
      </c>
      <c r="U29" s="127">
        <f t="shared" si="29"/>
        <v>3990706</v>
      </c>
      <c r="V29" s="100">
        <f t="shared" si="29"/>
        <v>3801870</v>
      </c>
      <c r="W29" s="101">
        <f t="shared" ref="W29:AO29" si="30">SUM(W30:W32)</f>
        <v>3794613</v>
      </c>
      <c r="X29" s="101">
        <f t="shared" si="30"/>
        <v>3713417</v>
      </c>
      <c r="Y29" s="101">
        <f t="shared" si="30"/>
        <v>3341220</v>
      </c>
      <c r="Z29" s="127">
        <f t="shared" si="30"/>
        <v>3662780</v>
      </c>
      <c r="AA29" s="100">
        <f t="shared" si="30"/>
        <v>3050604</v>
      </c>
      <c r="AB29" s="101">
        <f t="shared" si="30"/>
        <v>2882155</v>
      </c>
      <c r="AC29" s="101">
        <f t="shared" si="30"/>
        <v>2863783</v>
      </c>
      <c r="AD29" s="101">
        <f t="shared" si="30"/>
        <v>2851766</v>
      </c>
      <c r="AE29" s="127">
        <f t="shared" si="30"/>
        <v>2912076</v>
      </c>
      <c r="AF29" s="101">
        <f t="shared" si="30"/>
        <v>2789695</v>
      </c>
      <c r="AG29" s="101">
        <f t="shared" si="30"/>
        <v>2771707</v>
      </c>
      <c r="AH29" s="101">
        <f>SUM(AH30:AH32)</f>
        <v>2774199</v>
      </c>
      <c r="AI29" s="101">
        <f t="shared" si="30"/>
        <v>2745638</v>
      </c>
      <c r="AJ29" s="127">
        <f t="shared" si="30"/>
        <v>2770309</v>
      </c>
      <c r="AK29" s="101">
        <f t="shared" si="30"/>
        <v>2613613</v>
      </c>
      <c r="AL29" s="101">
        <f t="shared" si="30"/>
        <v>2616887</v>
      </c>
      <c r="AM29" s="101">
        <f>SUM(AM30:AM32)</f>
        <v>0</v>
      </c>
      <c r="AN29" s="101">
        <f t="shared" si="30"/>
        <v>0</v>
      </c>
      <c r="AO29" s="127">
        <f t="shared" si="30"/>
        <v>0</v>
      </c>
    </row>
    <row r="30" spans="1:41" ht="20.100000000000001" customHeight="1">
      <c r="A30" s="61" t="s">
        <v>40</v>
      </c>
      <c r="B30" s="88" t="s">
        <v>27</v>
      </c>
      <c r="C30" s="89" t="s">
        <v>27</v>
      </c>
      <c r="D30" s="89" t="s">
        <v>27</v>
      </c>
      <c r="E30" s="89" t="s">
        <v>27</v>
      </c>
      <c r="F30" s="144" t="s">
        <v>27</v>
      </c>
      <c r="G30" s="62">
        <v>78707</v>
      </c>
      <c r="H30" s="63">
        <v>73828</v>
      </c>
      <c r="I30" s="63">
        <v>68740</v>
      </c>
      <c r="J30" s="63">
        <v>77953</v>
      </c>
      <c r="K30" s="66">
        <f>AVERAGE(G30:J30)</f>
        <v>74807</v>
      </c>
      <c r="L30" s="62">
        <v>77779</v>
      </c>
      <c r="M30" s="63">
        <v>79253</v>
      </c>
      <c r="N30" s="65">
        <v>69522</v>
      </c>
      <c r="O30" s="63">
        <v>129021</v>
      </c>
      <c r="P30" s="66">
        <v>88894</v>
      </c>
      <c r="Q30" s="62">
        <v>67972</v>
      </c>
      <c r="R30" s="63">
        <v>61165</v>
      </c>
      <c r="S30" s="63">
        <v>41313</v>
      </c>
      <c r="T30" s="63">
        <v>56743</v>
      </c>
      <c r="U30" s="66">
        <v>56798</v>
      </c>
      <c r="V30" s="62">
        <v>36255</v>
      </c>
      <c r="W30" s="63">
        <v>52114</v>
      </c>
      <c r="X30" s="63">
        <v>42971</v>
      </c>
      <c r="Y30" s="63">
        <v>54083</v>
      </c>
      <c r="Z30" s="66">
        <v>46356</v>
      </c>
      <c r="AA30" s="62">
        <v>48659</v>
      </c>
      <c r="AB30" s="63">
        <v>69132</v>
      </c>
      <c r="AC30" s="63">
        <v>54950</v>
      </c>
      <c r="AD30" s="63">
        <v>65088</v>
      </c>
      <c r="AE30" s="66">
        <v>59457</v>
      </c>
      <c r="AF30" s="63">
        <v>58222</v>
      </c>
      <c r="AG30" s="63">
        <v>69503</v>
      </c>
      <c r="AH30" s="495">
        <v>58358</v>
      </c>
      <c r="AI30" s="495">
        <v>95346</v>
      </c>
      <c r="AJ30" s="66">
        <v>70357</v>
      </c>
      <c r="AK30" s="63">
        <v>91940</v>
      </c>
      <c r="AL30" s="495">
        <v>113249</v>
      </c>
      <c r="AM30" s="495"/>
      <c r="AN30" s="495"/>
      <c r="AO30" s="66"/>
    </row>
    <row r="31" spans="1:41" ht="20.100000000000001" customHeight="1">
      <c r="A31" s="61" t="s">
        <v>41</v>
      </c>
      <c r="B31" s="88" t="s">
        <v>27</v>
      </c>
      <c r="C31" s="89" t="s">
        <v>27</v>
      </c>
      <c r="D31" s="89" t="s">
        <v>27</v>
      </c>
      <c r="E31" s="89" t="s">
        <v>27</v>
      </c>
      <c r="F31" s="144" t="s">
        <v>27</v>
      </c>
      <c r="G31" s="62">
        <v>4397976</v>
      </c>
      <c r="H31" s="63">
        <v>4370181</v>
      </c>
      <c r="I31" s="63">
        <v>4431149</v>
      </c>
      <c r="J31" s="63">
        <v>4338987</v>
      </c>
      <c r="K31" s="66">
        <f t="shared" ref="K31:K32" si="31">AVERAGE(G31:J31)</f>
        <v>4384573.25</v>
      </c>
      <c r="L31" s="62">
        <v>4091609</v>
      </c>
      <c r="M31" s="63">
        <v>3975410</v>
      </c>
      <c r="N31" s="65">
        <v>3893375</v>
      </c>
      <c r="O31" s="63">
        <v>3798701</v>
      </c>
      <c r="P31" s="66">
        <v>3939774</v>
      </c>
      <c r="Q31" s="62">
        <v>3797423</v>
      </c>
      <c r="R31" s="63">
        <v>3755130</v>
      </c>
      <c r="S31" s="63">
        <v>3713656</v>
      </c>
      <c r="T31" s="63">
        <v>3630863</v>
      </c>
      <c r="U31" s="66">
        <v>3724268</v>
      </c>
      <c r="V31" s="62">
        <v>3529840</v>
      </c>
      <c r="W31" s="63">
        <v>3473104</v>
      </c>
      <c r="X31" s="63">
        <v>3386794</v>
      </c>
      <c r="Y31" s="63">
        <v>3058691</v>
      </c>
      <c r="Z31" s="66">
        <v>3362107</v>
      </c>
      <c r="AA31" s="62">
        <v>2800366</v>
      </c>
      <c r="AB31" s="63">
        <v>2631773</v>
      </c>
      <c r="AC31" s="63">
        <v>2620575</v>
      </c>
      <c r="AD31" s="63">
        <v>2601552</v>
      </c>
      <c r="AE31" s="66">
        <v>2663566</v>
      </c>
      <c r="AF31" s="63">
        <v>2558174</v>
      </c>
      <c r="AG31" s="63">
        <v>2536844</v>
      </c>
      <c r="AH31" s="495">
        <v>2555414</v>
      </c>
      <c r="AI31" s="495">
        <v>2511226</v>
      </c>
      <c r="AJ31" s="66">
        <v>2540414</v>
      </c>
      <c r="AK31" s="63">
        <v>2403135</v>
      </c>
      <c r="AL31" s="495">
        <v>2398016</v>
      </c>
      <c r="AM31" s="495"/>
      <c r="AN31" s="495"/>
      <c r="AO31" s="66"/>
    </row>
    <row r="32" spans="1:41" ht="20.100000000000001" customHeight="1" thickBot="1">
      <c r="A32" s="128" t="s">
        <v>12</v>
      </c>
      <c r="B32" s="117" t="s">
        <v>27</v>
      </c>
      <c r="C32" s="118" t="s">
        <v>27</v>
      </c>
      <c r="D32" s="118" t="s">
        <v>27</v>
      </c>
      <c r="E32" s="118" t="s">
        <v>27</v>
      </c>
      <c r="F32" s="149" t="s">
        <v>27</v>
      </c>
      <c r="G32" s="130">
        <v>72348</v>
      </c>
      <c r="H32" s="131">
        <v>88081</v>
      </c>
      <c r="I32" s="131">
        <v>135293</v>
      </c>
      <c r="J32" s="131">
        <v>182434</v>
      </c>
      <c r="K32" s="129">
        <f t="shared" si="31"/>
        <v>119539</v>
      </c>
      <c r="L32" s="130">
        <v>228650</v>
      </c>
      <c r="M32" s="131">
        <v>231084</v>
      </c>
      <c r="N32" s="132">
        <v>249377</v>
      </c>
      <c r="O32" s="131">
        <v>244407</v>
      </c>
      <c r="P32" s="129">
        <v>238379</v>
      </c>
      <c r="Q32" s="130">
        <v>203251</v>
      </c>
      <c r="R32" s="131">
        <v>189813</v>
      </c>
      <c r="S32" s="131">
        <v>215122</v>
      </c>
      <c r="T32" s="131">
        <v>230373</v>
      </c>
      <c r="U32" s="129">
        <v>209640</v>
      </c>
      <c r="V32" s="130">
        <v>235775</v>
      </c>
      <c r="W32" s="131">
        <v>269395</v>
      </c>
      <c r="X32" s="131">
        <v>283652</v>
      </c>
      <c r="Y32" s="131">
        <v>228446</v>
      </c>
      <c r="Z32" s="129">
        <v>254317</v>
      </c>
      <c r="AA32" s="130">
        <v>201579</v>
      </c>
      <c r="AB32" s="131">
        <v>181250</v>
      </c>
      <c r="AC32" s="131">
        <v>188258</v>
      </c>
      <c r="AD32" s="131">
        <v>185126</v>
      </c>
      <c r="AE32" s="129">
        <v>189053</v>
      </c>
      <c r="AF32" s="131">
        <v>173299</v>
      </c>
      <c r="AG32" s="131">
        <v>165360</v>
      </c>
      <c r="AH32" s="504">
        <v>160427</v>
      </c>
      <c r="AI32" s="504">
        <v>139066</v>
      </c>
      <c r="AJ32" s="129">
        <v>159538</v>
      </c>
      <c r="AK32" s="131">
        <v>118538</v>
      </c>
      <c r="AL32" s="504">
        <v>105622</v>
      </c>
      <c r="AM32" s="504"/>
      <c r="AN32" s="504"/>
      <c r="AO32" s="129"/>
    </row>
    <row r="33" spans="1:36" ht="20.100000000000001" customHeight="1">
      <c r="T33" s="181"/>
      <c r="U33" s="181"/>
      <c r="V33" s="181"/>
      <c r="W33" s="181"/>
      <c r="X33" s="181"/>
      <c r="Y33" s="181"/>
      <c r="Z33" s="181"/>
      <c r="AA33" s="181"/>
      <c r="AB33" s="181"/>
      <c r="AC33" s="181"/>
      <c r="AD33" s="181"/>
      <c r="AE33" s="181"/>
      <c r="AF33" s="181"/>
      <c r="AG33" s="181"/>
      <c r="AH33" s="181"/>
      <c r="AI33" s="181"/>
      <c r="AJ33" s="181"/>
    </row>
    <row r="34" spans="1:36" ht="20.100000000000001" customHeight="1">
      <c r="A34" s="1" t="s">
        <v>43</v>
      </c>
      <c r="T34" s="182"/>
      <c r="U34" s="182"/>
      <c r="V34" s="182"/>
      <c r="W34" s="182"/>
      <c r="X34" s="182"/>
      <c r="Y34" s="182"/>
      <c r="Z34" s="182"/>
      <c r="AA34" s="182"/>
      <c r="AB34" s="182"/>
      <c r="AC34" s="182"/>
      <c r="AD34" s="182"/>
      <c r="AE34" s="182"/>
      <c r="AF34" s="182"/>
      <c r="AG34" s="182"/>
      <c r="AH34" s="182"/>
      <c r="AI34" s="182"/>
      <c r="AJ34" s="182"/>
    </row>
    <row r="35" spans="1:36" ht="20.100000000000001" customHeight="1">
      <c r="A35" s="1" t="s">
        <v>44</v>
      </c>
      <c r="T35" s="182"/>
      <c r="U35" s="182"/>
      <c r="V35" s="182"/>
      <c r="W35" s="182"/>
      <c r="X35" s="182"/>
      <c r="Y35" s="182"/>
      <c r="Z35" s="182"/>
      <c r="AA35" s="182"/>
      <c r="AB35" s="182"/>
      <c r="AC35" s="182"/>
      <c r="AD35" s="182"/>
      <c r="AE35" s="182"/>
      <c r="AF35" s="182"/>
      <c r="AG35" s="182"/>
      <c r="AH35" s="182"/>
      <c r="AI35" s="182"/>
      <c r="AJ35" s="182"/>
    </row>
    <row r="36" spans="1:36" ht="20.100000000000001" customHeight="1">
      <c r="A36" s="681" t="s">
        <v>45</v>
      </c>
      <c r="B36" s="682"/>
      <c r="C36" s="682"/>
      <c r="D36" s="682"/>
      <c r="E36" s="682"/>
      <c r="F36" s="682"/>
      <c r="G36" s="682"/>
      <c r="H36" s="682"/>
      <c r="I36" s="682"/>
      <c r="T36" s="182"/>
      <c r="U36" s="182"/>
      <c r="V36" s="182"/>
      <c r="W36" s="182"/>
      <c r="X36" s="182"/>
      <c r="Y36" s="182"/>
      <c r="Z36" s="182"/>
      <c r="AA36" s="182"/>
      <c r="AB36" s="182"/>
      <c r="AC36" s="182"/>
      <c r="AD36" s="182"/>
      <c r="AE36" s="182"/>
      <c r="AF36" s="182"/>
      <c r="AG36" s="182"/>
      <c r="AH36" s="182"/>
      <c r="AI36" s="182"/>
      <c r="AJ36" s="182"/>
    </row>
    <row r="37" spans="1:36" ht="42.75" customHeight="1">
      <c r="A37" s="681" t="s">
        <v>46</v>
      </c>
      <c r="B37" s="681"/>
      <c r="C37" s="681"/>
      <c r="D37" s="681"/>
      <c r="E37" s="681"/>
      <c r="F37" s="681"/>
      <c r="G37" s="681"/>
      <c r="H37" s="681"/>
      <c r="I37" s="681"/>
      <c r="J37" s="681"/>
      <c r="K37" s="681"/>
      <c r="L37" s="681"/>
      <c r="M37" s="681"/>
      <c r="T37" s="183"/>
      <c r="U37" s="181"/>
      <c r="V37" s="181"/>
      <c r="W37" s="181"/>
      <c r="X37" s="181"/>
      <c r="Y37" s="183"/>
      <c r="Z37" s="181"/>
      <c r="AA37" s="181"/>
      <c r="AB37" s="181"/>
      <c r="AC37" s="181"/>
      <c r="AD37" s="183"/>
      <c r="AE37" s="181"/>
      <c r="AF37" s="181"/>
      <c r="AG37" s="181"/>
      <c r="AH37" s="181"/>
      <c r="AI37" s="183"/>
      <c r="AJ37" s="181"/>
    </row>
    <row r="38" spans="1:36" ht="20.100000000000001" customHeight="1">
      <c r="A38" s="682" t="s">
        <v>47</v>
      </c>
      <c r="B38" s="682"/>
      <c r="C38" s="682"/>
      <c r="D38" s="682"/>
      <c r="E38" s="682"/>
      <c r="F38" s="682"/>
      <c r="G38" s="682"/>
      <c r="H38" s="682"/>
      <c r="I38" s="682"/>
      <c r="J38" s="682"/>
      <c r="K38" s="682"/>
      <c r="L38" s="682"/>
      <c r="M38" s="682"/>
      <c r="T38" s="182"/>
      <c r="U38" s="182"/>
      <c r="V38" s="182"/>
      <c r="W38" s="182"/>
      <c r="X38" s="182"/>
      <c r="Y38" s="182"/>
      <c r="Z38" s="182"/>
      <c r="AA38" s="182"/>
      <c r="AB38" s="182"/>
      <c r="AC38" s="182"/>
      <c r="AD38" s="182"/>
      <c r="AE38" s="182"/>
      <c r="AF38" s="182"/>
      <c r="AG38" s="182"/>
      <c r="AH38" s="182"/>
      <c r="AI38" s="182"/>
      <c r="AJ38" s="182"/>
    </row>
    <row r="39" spans="1:36" ht="20.100000000000001" customHeight="1">
      <c r="A39" s="1" t="s">
        <v>270</v>
      </c>
      <c r="T39" s="181"/>
      <c r="U39" s="181"/>
      <c r="V39" s="181"/>
      <c r="W39" s="181"/>
      <c r="X39" s="181"/>
      <c r="Y39" s="181"/>
      <c r="Z39" s="181"/>
      <c r="AA39" s="181"/>
      <c r="AB39" s="181"/>
      <c r="AC39" s="181"/>
      <c r="AD39" s="181"/>
      <c r="AE39" s="181"/>
      <c r="AF39" s="181"/>
      <c r="AG39" s="181"/>
      <c r="AH39" s="181"/>
      <c r="AI39" s="181"/>
      <c r="AJ39" s="181"/>
    </row>
    <row r="40" spans="1:36" ht="20.100000000000001" customHeight="1"/>
    <row r="41" spans="1:36" ht="20.100000000000001" customHeight="1"/>
    <row r="42" spans="1:36" ht="20.100000000000001" customHeight="1"/>
    <row r="43" spans="1:36" ht="20.100000000000001" customHeight="1"/>
    <row r="44" spans="1:36" ht="20.100000000000001" customHeight="1"/>
    <row r="45" spans="1:36" ht="20.100000000000001" customHeight="1"/>
    <row r="46" spans="1:36" ht="20.100000000000001" customHeight="1"/>
    <row r="47" spans="1:36" ht="20.100000000000001" customHeight="1"/>
    <row r="48" spans="1:36" ht="20.100000000000001" customHeight="1"/>
    <row r="49" spans="2:36" ht="20.100000000000001" customHeight="1"/>
    <row r="50" spans="2:36" ht="20.100000000000001" customHeight="1"/>
    <row r="51" spans="2:36" s="1" customFormat="1" ht="20.100000000000001" customHeight="1">
      <c r="B51" s="2"/>
      <c r="C51" s="2"/>
      <c r="D51" s="2"/>
      <c r="E51" s="2"/>
      <c r="F51" s="2"/>
      <c r="G51" s="2"/>
      <c r="H51" s="2"/>
      <c r="I51" s="2"/>
      <c r="J51" s="2"/>
      <c r="K51" s="2"/>
      <c r="L51" s="2"/>
      <c r="M51" s="2"/>
      <c r="N51" s="2"/>
      <c r="O51" s="2"/>
      <c r="P51" s="2"/>
      <c r="Q51" s="2"/>
      <c r="R51" s="2"/>
      <c r="S51" s="4"/>
      <c r="T51" s="2"/>
      <c r="U51" s="2"/>
      <c r="V51" s="2"/>
      <c r="W51" s="2"/>
      <c r="X51" s="2"/>
      <c r="Y51" s="2"/>
      <c r="Z51" s="2"/>
      <c r="AA51" s="2"/>
      <c r="AB51" s="2"/>
      <c r="AC51" s="2"/>
      <c r="AD51" s="2"/>
      <c r="AE51" s="2"/>
      <c r="AF51" s="2"/>
      <c r="AG51" s="2"/>
      <c r="AH51" s="2"/>
      <c r="AI51" s="2"/>
      <c r="AJ51" s="2"/>
    </row>
    <row r="52" spans="2:36" s="1" customFormat="1" ht="20.100000000000001" customHeight="1">
      <c r="B52" s="2"/>
      <c r="C52" s="2"/>
      <c r="D52" s="2"/>
      <c r="E52" s="2"/>
      <c r="F52" s="2"/>
      <c r="G52" s="2"/>
      <c r="H52" s="2"/>
      <c r="I52" s="2"/>
      <c r="J52" s="2"/>
      <c r="K52" s="2"/>
      <c r="L52" s="2"/>
      <c r="M52" s="2"/>
      <c r="N52" s="2"/>
      <c r="O52" s="2"/>
      <c r="P52" s="2"/>
      <c r="Q52" s="2"/>
      <c r="R52" s="2"/>
      <c r="S52" s="4"/>
      <c r="T52" s="2"/>
      <c r="U52" s="2"/>
      <c r="V52" s="2"/>
      <c r="W52" s="2"/>
      <c r="X52" s="2"/>
      <c r="Y52" s="2"/>
      <c r="Z52" s="2"/>
      <c r="AA52" s="2"/>
      <c r="AB52" s="2"/>
      <c r="AC52" s="2"/>
      <c r="AD52" s="2"/>
      <c r="AE52" s="2"/>
      <c r="AF52" s="2"/>
      <c r="AG52" s="2"/>
      <c r="AH52" s="2"/>
      <c r="AI52" s="2"/>
      <c r="AJ52" s="2"/>
    </row>
    <row r="53" spans="2:36" s="1" customFormat="1" ht="20.100000000000001" customHeight="1">
      <c r="B53" s="2"/>
      <c r="C53" s="2"/>
      <c r="D53" s="2"/>
      <c r="E53" s="2"/>
      <c r="F53" s="2"/>
      <c r="G53" s="2"/>
      <c r="H53" s="2"/>
      <c r="I53" s="2"/>
      <c r="J53" s="2"/>
      <c r="K53" s="2"/>
      <c r="L53" s="2"/>
      <c r="M53" s="2"/>
      <c r="N53" s="2"/>
      <c r="O53" s="2"/>
      <c r="P53" s="2"/>
      <c r="Q53" s="2"/>
      <c r="R53" s="2"/>
      <c r="S53" s="4"/>
      <c r="T53" s="2"/>
      <c r="U53" s="2"/>
      <c r="V53" s="2"/>
      <c r="W53" s="2"/>
      <c r="X53" s="2"/>
      <c r="Y53" s="2"/>
      <c r="Z53" s="2"/>
      <c r="AA53" s="2"/>
      <c r="AB53" s="2"/>
      <c r="AC53" s="2"/>
      <c r="AD53" s="2"/>
      <c r="AE53" s="2"/>
      <c r="AF53" s="2"/>
      <c r="AG53" s="2"/>
      <c r="AH53" s="2"/>
      <c r="AI53" s="2"/>
      <c r="AJ53" s="2"/>
    </row>
    <row r="54" spans="2:36" s="1" customFormat="1" ht="20.100000000000001" customHeight="1">
      <c r="B54" s="2"/>
      <c r="C54" s="2"/>
      <c r="D54" s="2"/>
      <c r="E54" s="2"/>
      <c r="F54" s="2"/>
      <c r="G54" s="2"/>
      <c r="H54" s="2"/>
      <c r="I54" s="2"/>
      <c r="J54" s="2"/>
      <c r="K54" s="2"/>
      <c r="L54" s="2"/>
      <c r="M54" s="2"/>
      <c r="N54" s="2"/>
      <c r="O54" s="2"/>
      <c r="P54" s="2"/>
      <c r="Q54" s="2"/>
      <c r="R54" s="2"/>
      <c r="S54" s="4"/>
      <c r="T54" s="2"/>
      <c r="U54" s="2"/>
      <c r="V54" s="2"/>
      <c r="W54" s="2"/>
      <c r="X54" s="2"/>
      <c r="Y54" s="2"/>
      <c r="Z54" s="2"/>
      <c r="AA54" s="2"/>
      <c r="AB54" s="2"/>
      <c r="AC54" s="2"/>
      <c r="AD54" s="2"/>
      <c r="AE54" s="2"/>
      <c r="AF54" s="2"/>
      <c r="AG54" s="2"/>
      <c r="AH54" s="2"/>
      <c r="AI54" s="2"/>
      <c r="AJ54" s="2"/>
    </row>
    <row r="55" spans="2:36" s="1" customFormat="1" ht="20.100000000000001" customHeight="1">
      <c r="B55" s="2"/>
      <c r="C55" s="2"/>
      <c r="D55" s="2"/>
      <c r="E55" s="2"/>
      <c r="F55" s="2"/>
      <c r="G55" s="2"/>
      <c r="H55" s="2"/>
      <c r="I55" s="2"/>
      <c r="J55" s="2"/>
      <c r="K55" s="2"/>
      <c r="L55" s="2"/>
      <c r="M55" s="2"/>
      <c r="N55" s="2"/>
      <c r="O55" s="2"/>
      <c r="P55" s="2"/>
      <c r="Q55" s="2"/>
      <c r="R55" s="2"/>
      <c r="S55" s="4"/>
      <c r="T55" s="2"/>
      <c r="U55" s="2"/>
      <c r="V55" s="2"/>
      <c r="W55" s="2"/>
      <c r="X55" s="2"/>
      <c r="Y55" s="2"/>
      <c r="Z55" s="2"/>
      <c r="AA55" s="2"/>
      <c r="AB55" s="2"/>
      <c r="AC55" s="2"/>
      <c r="AD55" s="2"/>
      <c r="AE55" s="2"/>
      <c r="AF55" s="2"/>
      <c r="AG55" s="2"/>
      <c r="AH55" s="2"/>
      <c r="AI55" s="2"/>
      <c r="AJ55" s="2"/>
    </row>
    <row r="56" spans="2:36" s="1" customFormat="1" ht="20.100000000000001" customHeight="1">
      <c r="B56" s="2"/>
      <c r="C56" s="2"/>
      <c r="D56" s="2"/>
      <c r="E56" s="2"/>
      <c r="F56" s="2"/>
      <c r="G56" s="2"/>
      <c r="H56" s="2"/>
      <c r="I56" s="2"/>
      <c r="J56" s="2"/>
      <c r="K56" s="2"/>
      <c r="L56" s="2"/>
      <c r="M56" s="2"/>
      <c r="N56" s="2"/>
      <c r="O56" s="2"/>
      <c r="P56" s="2"/>
      <c r="Q56" s="2"/>
      <c r="R56" s="2"/>
      <c r="S56" s="4"/>
      <c r="T56" s="2"/>
      <c r="U56" s="2"/>
      <c r="V56" s="2"/>
      <c r="W56" s="2"/>
      <c r="X56" s="2"/>
      <c r="Y56" s="2"/>
      <c r="Z56" s="2"/>
      <c r="AA56" s="2"/>
      <c r="AB56" s="2"/>
      <c r="AC56" s="2"/>
      <c r="AD56" s="2"/>
      <c r="AE56" s="2"/>
      <c r="AF56" s="2"/>
      <c r="AG56" s="2"/>
      <c r="AH56" s="2"/>
      <c r="AI56" s="2"/>
      <c r="AJ56" s="2"/>
    </row>
  </sheetData>
  <mergeCells count="21">
    <mergeCell ref="A2:N2"/>
    <mergeCell ref="A3:A4"/>
    <mergeCell ref="B3:E3"/>
    <mergeCell ref="F3:F4"/>
    <mergeCell ref="G3:J3"/>
    <mergeCell ref="K3:K4"/>
    <mergeCell ref="L3:O3"/>
    <mergeCell ref="AK3:AN3"/>
    <mergeCell ref="AO3:AO4"/>
    <mergeCell ref="A37:M37"/>
    <mergeCell ref="A38:M38"/>
    <mergeCell ref="U3:U4"/>
    <mergeCell ref="Q3:T3"/>
    <mergeCell ref="P3:P4"/>
    <mergeCell ref="A36:I36"/>
    <mergeCell ref="AF3:AI3"/>
    <mergeCell ref="AJ3:AJ4"/>
    <mergeCell ref="AA3:AD3"/>
    <mergeCell ref="AE3:AE4"/>
    <mergeCell ref="Z3:Z4"/>
    <mergeCell ref="V3:Y3"/>
  </mergeCells>
  <pageMargins left="0.7" right="0.7" top="0.75" bottom="0.75" header="0.3" footer="0.3"/>
  <pageSetup paperSize="9" scale="45" orientation="portrait" horizontalDpi="4294967294" r:id="rId1"/>
  <ignoredErrors>
    <ignoredError sqref="G24:J24 L24:P24 Q24:T24 V24:Y24 AA24:AD24 AF24:AI24 AJ24:AK24" formulaRange="1"/>
    <ignoredError sqref="K7 F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
  <sheetViews>
    <sheetView showGridLines="0" zoomScale="115" zoomScaleNormal="115" workbookViewId="0">
      <pane xSplit="2" ySplit="3" topLeftCell="C4" activePane="bottomRight" state="frozen"/>
      <selection pane="topRight" activeCell="C1" sqref="C1"/>
      <selection pane="bottomLeft" activeCell="A4" sqref="A4"/>
      <selection pane="bottomRight" activeCell="B54" sqref="B54"/>
    </sheetView>
  </sheetViews>
  <sheetFormatPr defaultRowHeight="14.25"/>
  <cols>
    <col min="1" max="1" width="1.625" style="15" customWidth="1"/>
    <col min="2" max="2" width="30.75" customWidth="1"/>
    <col min="3" max="5" width="12.625" customWidth="1"/>
    <col min="6" max="8" width="12.625" style="566" customWidth="1"/>
  </cols>
  <sheetData>
    <row r="1" spans="2:8" s="15" customFormat="1" ht="36.75" customHeight="1" thickBot="1">
      <c r="B1" s="3" t="s">
        <v>24</v>
      </c>
    </row>
    <row r="2" spans="2:8" ht="20.25" customHeight="1" thickBot="1">
      <c r="B2" s="695" t="s">
        <v>25</v>
      </c>
      <c r="C2" s="688" t="s">
        <v>232</v>
      </c>
      <c r="D2" s="689"/>
      <c r="E2" s="690"/>
      <c r="F2" s="688" t="s">
        <v>330</v>
      </c>
      <c r="G2" s="689"/>
      <c r="H2" s="690"/>
    </row>
    <row r="3" spans="2:8" ht="20.25" customHeight="1" thickBot="1">
      <c r="B3" s="696"/>
      <c r="C3" s="172">
        <v>2019</v>
      </c>
      <c r="D3" s="173">
        <v>2018</v>
      </c>
      <c r="E3" s="174" t="s">
        <v>209</v>
      </c>
      <c r="F3" s="172">
        <v>2019</v>
      </c>
      <c r="G3" s="173">
        <v>2018</v>
      </c>
      <c r="H3" s="174" t="s">
        <v>209</v>
      </c>
    </row>
    <row r="4" spans="2:8" ht="25.5" customHeight="1">
      <c r="B4" s="133" t="s">
        <v>26</v>
      </c>
      <c r="C4" s="134">
        <v>0.2336</v>
      </c>
      <c r="D4" s="185">
        <v>0.2392</v>
      </c>
      <c r="E4" s="323">
        <v>-0.56000000000000005</v>
      </c>
      <c r="F4" s="134">
        <v>0.24099999999999999</v>
      </c>
      <c r="G4" s="185">
        <v>0.24030000000000001</v>
      </c>
      <c r="H4" s="323">
        <v>6.9999999999997842E-2</v>
      </c>
    </row>
    <row r="5" spans="2:8" ht="25.5" customHeight="1">
      <c r="B5" s="135" t="s">
        <v>245</v>
      </c>
      <c r="C5" s="184">
        <v>0.112</v>
      </c>
      <c r="D5" s="185">
        <v>0.1187</v>
      </c>
      <c r="E5" s="324">
        <v>-0.66999999999999971</v>
      </c>
      <c r="F5" s="184">
        <v>0.1129</v>
      </c>
      <c r="G5" s="185">
        <v>0.1154</v>
      </c>
      <c r="H5" s="324">
        <v>-0.25000000000000022</v>
      </c>
    </row>
    <row r="6" spans="2:8" ht="25.5" customHeight="1">
      <c r="B6" s="135" t="s">
        <v>205</v>
      </c>
      <c r="C6" s="184">
        <v>0.1216</v>
      </c>
      <c r="D6" s="185">
        <v>0.1205</v>
      </c>
      <c r="E6" s="324">
        <v>0.11000000000000038</v>
      </c>
      <c r="F6" s="184">
        <v>0.12820000000000001</v>
      </c>
      <c r="G6" s="185">
        <v>0.1249</v>
      </c>
      <c r="H6" s="324">
        <v>0.33000000000000113</v>
      </c>
    </row>
    <row r="7" spans="2:8" ht="18" customHeight="1">
      <c r="B7" s="340" t="s">
        <v>174</v>
      </c>
      <c r="C7" s="388">
        <v>3.3599999999999998E-2</v>
      </c>
      <c r="D7" s="389">
        <v>3.7999999999999999E-2</v>
      </c>
      <c r="E7" s="325">
        <v>-0.44000000000000011</v>
      </c>
      <c r="F7" s="388">
        <v>3.5099999999999999E-2</v>
      </c>
      <c r="G7" s="389">
        <v>3.9399999999999998E-2</v>
      </c>
      <c r="H7" s="325">
        <v>-0.42999999999999983</v>
      </c>
    </row>
    <row r="8" spans="2:8" ht="18" customHeight="1">
      <c r="B8" s="340" t="s">
        <v>175</v>
      </c>
      <c r="C8" s="388">
        <v>1.6E-2</v>
      </c>
      <c r="D8" s="389">
        <v>1.4200000000000001E-2</v>
      </c>
      <c r="E8" s="325">
        <v>0.17999999999999994</v>
      </c>
      <c r="F8" s="388">
        <v>1.61E-2</v>
      </c>
      <c r="G8" s="389">
        <v>1.41E-2</v>
      </c>
      <c r="H8" s="325">
        <v>0.2</v>
      </c>
    </row>
    <row r="9" spans="2:8" ht="18" customHeight="1">
      <c r="B9" s="340" t="s">
        <v>176</v>
      </c>
      <c r="C9" s="388">
        <v>1.12E-2</v>
      </c>
      <c r="D9" s="389">
        <v>1.2999999999999999E-2</v>
      </c>
      <c r="E9" s="325">
        <v>-0.17999999999999994</v>
      </c>
      <c r="F9" s="388">
        <v>1.2E-2</v>
      </c>
      <c r="G9" s="389">
        <v>1.3299999999999999E-2</v>
      </c>
      <c r="H9" s="325">
        <v>-0.12999999999999989</v>
      </c>
    </row>
    <row r="10" spans="2:8" ht="18" customHeight="1">
      <c r="B10" s="340" t="s">
        <v>238</v>
      </c>
      <c r="C10" s="388">
        <v>9.4999999999999998E-3</v>
      </c>
      <c r="D10" s="389">
        <v>9.1999999999999998E-3</v>
      </c>
      <c r="E10" s="325">
        <v>2.9999999999999992E-2</v>
      </c>
      <c r="F10" s="388">
        <v>1.0200000000000001E-2</v>
      </c>
      <c r="G10" s="389">
        <v>9.7000000000000003E-3</v>
      </c>
      <c r="H10" s="325">
        <v>5.0000000000000044E-2</v>
      </c>
    </row>
    <row r="11" spans="2:8" ht="18" customHeight="1">
      <c r="B11" s="340" t="s">
        <v>13</v>
      </c>
      <c r="C11" s="388">
        <v>6.0000000000000001E-3</v>
      </c>
      <c r="D11" s="389">
        <v>6.6E-3</v>
      </c>
      <c r="E11" s="325">
        <v>-5.9999999999999984E-2</v>
      </c>
      <c r="F11" s="388">
        <v>6.4999999999999997E-3</v>
      </c>
      <c r="G11" s="389">
        <v>6.7999999999999996E-3</v>
      </c>
      <c r="H11" s="325">
        <v>-2.9999999999999992E-2</v>
      </c>
    </row>
    <row r="12" spans="2:8" ht="18" customHeight="1">
      <c r="B12" s="340" t="s">
        <v>14</v>
      </c>
      <c r="C12" s="388">
        <v>1.6000000000000001E-3</v>
      </c>
      <c r="D12" s="389">
        <v>1.6000000000000001E-3</v>
      </c>
      <c r="E12" s="325">
        <v>0</v>
      </c>
      <c r="F12" s="388">
        <v>2.5999999999999999E-3</v>
      </c>
      <c r="G12" s="389">
        <v>2.3E-3</v>
      </c>
      <c r="H12" s="325">
        <v>2.9999999999999992E-2</v>
      </c>
    </row>
    <row r="13" spans="2:8" ht="18" customHeight="1">
      <c r="B13" s="340" t="s">
        <v>16</v>
      </c>
      <c r="C13" s="388">
        <v>6.4999999999999997E-3</v>
      </c>
      <c r="D13" s="389">
        <v>7.0000000000000001E-3</v>
      </c>
      <c r="E13" s="325">
        <v>-5.0000000000000044E-2</v>
      </c>
      <c r="F13" s="388">
        <v>6.7999999999999996E-3</v>
      </c>
      <c r="G13" s="389">
        <v>6.6E-3</v>
      </c>
      <c r="H13" s="325">
        <v>1.9999999999999966E-2</v>
      </c>
    </row>
    <row r="14" spans="2:8" ht="18" customHeight="1">
      <c r="B14" s="340" t="s">
        <v>18</v>
      </c>
      <c r="C14" s="388">
        <v>6.0000000000000001E-3</v>
      </c>
      <c r="D14" s="389">
        <v>4.7999999999999996E-3</v>
      </c>
      <c r="E14" s="325">
        <v>0.12000000000000005</v>
      </c>
      <c r="F14" s="388">
        <v>5.7000000000000002E-3</v>
      </c>
      <c r="G14" s="389">
        <v>5.0000000000000001E-3</v>
      </c>
      <c r="H14" s="325">
        <v>7.0000000000000007E-2</v>
      </c>
    </row>
    <row r="15" spans="2:8" ht="18" customHeight="1">
      <c r="B15" s="340" t="s">
        <v>17</v>
      </c>
      <c r="C15" s="388">
        <v>3.2000000000000002E-3</v>
      </c>
      <c r="D15" s="389">
        <v>3.0000000000000001E-3</v>
      </c>
      <c r="E15" s="325">
        <v>2.0000000000000011E-2</v>
      </c>
      <c r="F15" s="388">
        <v>3.5000000000000001E-3</v>
      </c>
      <c r="G15" s="389">
        <v>3.0000000000000001E-3</v>
      </c>
      <c r="H15" s="325">
        <v>0.05</v>
      </c>
    </row>
    <row r="16" spans="2:8" ht="18" customHeight="1">
      <c r="B16" s="340" t="s">
        <v>178</v>
      </c>
      <c r="C16" s="388">
        <v>1.8E-3</v>
      </c>
      <c r="D16" s="389">
        <v>1.6999999999999999E-3</v>
      </c>
      <c r="E16" s="325">
        <v>1.0000000000000005E-2</v>
      </c>
      <c r="F16" s="388">
        <v>2E-3</v>
      </c>
      <c r="G16" s="389">
        <v>1.9E-3</v>
      </c>
      <c r="H16" s="325">
        <v>1.0000000000000005E-2</v>
      </c>
    </row>
    <row r="17" spans="2:8" ht="18" customHeight="1">
      <c r="B17" s="340" t="s">
        <v>22</v>
      </c>
      <c r="C17" s="388">
        <v>1.1000000000000001E-3</v>
      </c>
      <c r="D17" s="389">
        <v>1.2999999999999999E-3</v>
      </c>
      <c r="E17" s="325">
        <v>-1.9999999999999987E-2</v>
      </c>
      <c r="F17" s="388">
        <v>1.1999999999999999E-3</v>
      </c>
      <c r="G17" s="389">
        <v>1.1999999999999999E-3</v>
      </c>
      <c r="H17" s="325">
        <v>0</v>
      </c>
    </row>
    <row r="18" spans="2:8" ht="18" customHeight="1">
      <c r="B18" s="340" t="s">
        <v>15</v>
      </c>
      <c r="C18" s="388">
        <v>5.9999999999999995E-4</v>
      </c>
      <c r="D18" s="389">
        <v>5.0000000000000001E-4</v>
      </c>
      <c r="E18" s="325">
        <v>9.9999999999999933E-3</v>
      </c>
      <c r="F18" s="388">
        <v>6.9999999999999999E-4</v>
      </c>
      <c r="G18" s="389">
        <v>5.9999999999999995E-4</v>
      </c>
      <c r="H18" s="325">
        <v>1.0000000000000005E-2</v>
      </c>
    </row>
    <row r="19" spans="2:8" ht="18" customHeight="1">
      <c r="B19" s="340" t="s">
        <v>272</v>
      </c>
      <c r="C19" s="388">
        <v>4.0000000000000002E-4</v>
      </c>
      <c r="D19" s="389">
        <v>5.0000000000000001E-4</v>
      </c>
      <c r="E19" s="325">
        <v>-9.9999999999999985E-3</v>
      </c>
      <c r="F19" s="388">
        <v>4.0000000000000002E-4</v>
      </c>
      <c r="G19" s="389">
        <v>4.0000000000000002E-4</v>
      </c>
      <c r="H19" s="325">
        <v>0</v>
      </c>
    </row>
    <row r="20" spans="2:8" ht="18" customHeight="1">
      <c r="B20" s="340" t="s">
        <v>273</v>
      </c>
      <c r="C20" s="388">
        <v>8.0000000000000004E-4</v>
      </c>
      <c r="D20" s="389">
        <v>4.0000000000000002E-4</v>
      </c>
      <c r="E20" s="325">
        <v>0.04</v>
      </c>
      <c r="F20" s="388">
        <v>1E-3</v>
      </c>
      <c r="G20" s="389">
        <v>4.0000000000000002E-4</v>
      </c>
      <c r="H20" s="325">
        <v>6.0000000000000005E-2</v>
      </c>
    </row>
    <row r="21" spans="2:8" ht="18" customHeight="1">
      <c r="B21" s="340" t="s">
        <v>180</v>
      </c>
      <c r="C21" s="388">
        <v>4.0000000000000002E-4</v>
      </c>
      <c r="D21" s="389">
        <v>4.0000000000000002E-4</v>
      </c>
      <c r="E21" s="325">
        <v>0</v>
      </c>
      <c r="F21" s="388">
        <v>4.0000000000000002E-4</v>
      </c>
      <c r="G21" s="389">
        <v>4.0000000000000002E-4</v>
      </c>
      <c r="H21" s="325">
        <v>0</v>
      </c>
    </row>
    <row r="22" spans="2:8" ht="18" customHeight="1">
      <c r="B22" s="340" t="s">
        <v>274</v>
      </c>
      <c r="C22" s="388">
        <v>2.9999999999999997E-4</v>
      </c>
      <c r="D22" s="389">
        <v>2.9999999999999997E-4</v>
      </c>
      <c r="E22" s="325">
        <v>0</v>
      </c>
      <c r="F22" s="388">
        <v>4.0000000000000002E-4</v>
      </c>
      <c r="G22" s="389">
        <v>4.0000000000000002E-4</v>
      </c>
      <c r="H22" s="325">
        <v>0</v>
      </c>
    </row>
    <row r="23" spans="2:8" ht="18" customHeight="1">
      <c r="B23" s="340" t="s">
        <v>251</v>
      </c>
      <c r="C23" s="388">
        <v>5.0000000000000001E-4</v>
      </c>
      <c r="D23" s="389">
        <v>4.0000000000000002E-4</v>
      </c>
      <c r="E23" s="325">
        <v>9.9999999999999985E-3</v>
      </c>
      <c r="F23" s="388">
        <v>5.0000000000000001E-4</v>
      </c>
      <c r="G23" s="389">
        <v>2.9999999999999997E-4</v>
      </c>
      <c r="H23" s="325">
        <v>2.0000000000000004E-2</v>
      </c>
    </row>
    <row r="24" spans="2:8" ht="18" customHeight="1">
      <c r="B24" s="340" t="s">
        <v>252</v>
      </c>
      <c r="C24" s="388" t="s">
        <v>27</v>
      </c>
      <c r="D24" s="389" t="s">
        <v>27</v>
      </c>
      <c r="E24" s="325" t="s">
        <v>27</v>
      </c>
      <c r="F24" s="388" t="s">
        <v>27</v>
      </c>
      <c r="G24" s="389" t="s">
        <v>27</v>
      </c>
      <c r="H24" s="325" t="s">
        <v>27</v>
      </c>
    </row>
    <row r="25" spans="2:8" ht="18" customHeight="1">
      <c r="B25" s="340" t="s">
        <v>275</v>
      </c>
      <c r="C25" s="388" t="s">
        <v>27</v>
      </c>
      <c r="D25" s="389" t="s">
        <v>27</v>
      </c>
      <c r="E25" s="325" t="s">
        <v>27</v>
      </c>
      <c r="F25" s="388" t="s">
        <v>27</v>
      </c>
      <c r="G25" s="389" t="s">
        <v>27</v>
      </c>
      <c r="H25" s="325" t="s">
        <v>27</v>
      </c>
    </row>
    <row r="26" spans="2:8" ht="18" customHeight="1">
      <c r="B26" s="340" t="s">
        <v>276</v>
      </c>
      <c r="C26" s="388" t="s">
        <v>27</v>
      </c>
      <c r="D26" s="389" t="s">
        <v>27</v>
      </c>
      <c r="E26" s="325" t="s">
        <v>27</v>
      </c>
      <c r="F26" s="388" t="s">
        <v>27</v>
      </c>
      <c r="G26" s="389" t="s">
        <v>27</v>
      </c>
      <c r="H26" s="325" t="s">
        <v>27</v>
      </c>
    </row>
    <row r="27" spans="2:8" ht="18" customHeight="1">
      <c r="B27" s="340" t="s">
        <v>277</v>
      </c>
      <c r="C27" s="388">
        <v>2.0000000000000001E-4</v>
      </c>
      <c r="D27" s="389" t="s">
        <v>27</v>
      </c>
      <c r="E27" s="325" t="s">
        <v>27</v>
      </c>
      <c r="F27" s="388">
        <v>4.0000000000000002E-4</v>
      </c>
      <c r="G27" s="389" t="s">
        <v>27</v>
      </c>
      <c r="H27" s="325" t="s">
        <v>27</v>
      </c>
    </row>
    <row r="28" spans="2:8" ht="18" customHeight="1">
      <c r="B28" s="340" t="s">
        <v>278</v>
      </c>
      <c r="C28" s="388">
        <v>2.9999999999999997E-4</v>
      </c>
      <c r="D28" s="389" t="s">
        <v>27</v>
      </c>
      <c r="E28" s="325" t="s">
        <v>27</v>
      </c>
      <c r="F28" s="388">
        <v>2.0000000000000001E-4</v>
      </c>
      <c r="G28" s="389" t="s">
        <v>27</v>
      </c>
      <c r="H28" s="325" t="s">
        <v>27</v>
      </c>
    </row>
    <row r="29" spans="2:8" ht="18" customHeight="1">
      <c r="B29" s="340" t="s">
        <v>215</v>
      </c>
      <c r="C29" s="365">
        <v>9.4000000000000004E-3</v>
      </c>
      <c r="D29" s="366">
        <v>8.2000000000000007E-3</v>
      </c>
      <c r="E29" s="325">
        <v>0.11999999999999997</v>
      </c>
      <c r="F29" s="365">
        <v>9.7999999999999997E-3</v>
      </c>
      <c r="G29" s="366">
        <v>8.6999999999999994E-3</v>
      </c>
      <c r="H29" s="325">
        <v>0.11000000000000003</v>
      </c>
    </row>
    <row r="30" spans="2:8" ht="18" customHeight="1">
      <c r="B30" s="340" t="s">
        <v>216</v>
      </c>
      <c r="C30" s="365">
        <v>6.6E-3</v>
      </c>
      <c r="D30" s="366">
        <v>7.7000000000000002E-3</v>
      </c>
      <c r="E30" s="325">
        <v>-0.11000000000000003</v>
      </c>
      <c r="F30" s="365">
        <v>8.3000000000000001E-3</v>
      </c>
      <c r="G30" s="366">
        <v>8.2000000000000007E-3</v>
      </c>
      <c r="H30" s="325">
        <v>9.9999999999999395E-3</v>
      </c>
    </row>
    <row r="31" spans="2:8" ht="18" customHeight="1">
      <c r="B31" s="340" t="s">
        <v>217</v>
      </c>
      <c r="C31" s="365">
        <v>8.0000000000000004E-4</v>
      </c>
      <c r="D31" s="389">
        <v>8.0000000000000004E-4</v>
      </c>
      <c r="E31" s="325">
        <v>0</v>
      </c>
      <c r="F31" s="365">
        <v>6.9999999999999999E-4</v>
      </c>
      <c r="G31" s="389">
        <v>8.9999999999999998E-4</v>
      </c>
      <c r="H31" s="325">
        <v>-1.9999999999999997E-2</v>
      </c>
    </row>
    <row r="32" spans="2:8" ht="18" customHeight="1">
      <c r="B32" s="340" t="s">
        <v>218</v>
      </c>
      <c r="C32" s="365">
        <v>6.9999999999999999E-4</v>
      </c>
      <c r="D32" s="366">
        <v>6.9999999999999999E-4</v>
      </c>
      <c r="E32" s="325">
        <v>0</v>
      </c>
      <c r="F32" s="365">
        <v>1E-3</v>
      </c>
      <c r="G32" s="366">
        <v>8.0000000000000004E-4</v>
      </c>
      <c r="H32" s="325">
        <v>1.9999999999999997E-2</v>
      </c>
    </row>
    <row r="33" spans="1:8" ht="18" customHeight="1">
      <c r="B33" s="340" t="s">
        <v>219</v>
      </c>
      <c r="C33" s="365">
        <v>4.0000000000000002E-4</v>
      </c>
      <c r="D33" s="366">
        <v>1E-4</v>
      </c>
      <c r="E33" s="325">
        <v>3.0000000000000002E-2</v>
      </c>
      <c r="F33" s="365">
        <v>5.0000000000000001E-4</v>
      </c>
      <c r="G33" s="366">
        <v>1E-4</v>
      </c>
      <c r="H33" s="325">
        <v>0.04</v>
      </c>
    </row>
    <row r="34" spans="1:8" ht="18" customHeight="1">
      <c r="B34" s="341" t="s">
        <v>254</v>
      </c>
      <c r="C34" s="365">
        <v>0</v>
      </c>
      <c r="D34" s="366">
        <v>0</v>
      </c>
      <c r="E34" s="325">
        <v>0</v>
      </c>
      <c r="F34" s="365"/>
      <c r="G34" s="366"/>
      <c r="H34" s="325"/>
    </row>
    <row r="35" spans="1:8" ht="18" customHeight="1">
      <c r="B35" s="340" t="s">
        <v>256</v>
      </c>
      <c r="C35" s="388">
        <v>8.9999999999999998E-4</v>
      </c>
      <c r="D35" s="389">
        <v>6.9999999999999999E-4</v>
      </c>
      <c r="E35" s="325">
        <v>1.9999999999999997E-2</v>
      </c>
      <c r="F35" s="388">
        <v>8.0000000000000004E-4</v>
      </c>
      <c r="G35" s="389">
        <v>6.9999999999999999E-4</v>
      </c>
      <c r="H35" s="325">
        <v>1.0000000000000005E-2</v>
      </c>
    </row>
    <row r="36" spans="1:8" ht="18" customHeight="1">
      <c r="B36" s="340" t="s">
        <v>255</v>
      </c>
      <c r="C36" s="388">
        <v>2.3E-3</v>
      </c>
      <c r="D36" s="389">
        <v>1.1999999999999999E-3</v>
      </c>
      <c r="E36" s="325">
        <v>0.11</v>
      </c>
      <c r="F36" s="388">
        <v>2.5000000000000001E-3</v>
      </c>
      <c r="G36" s="389">
        <v>1.2999999999999999E-3</v>
      </c>
      <c r="H36" s="325">
        <v>0.12000000000000001</v>
      </c>
    </row>
    <row r="37" spans="1:8" ht="18" customHeight="1">
      <c r="B37" s="340" t="s">
        <v>257</v>
      </c>
      <c r="C37" s="388">
        <v>5.0000000000000001E-4</v>
      </c>
      <c r="D37" s="389">
        <v>6.9999999999999999E-4</v>
      </c>
      <c r="E37" s="325">
        <v>-1.9999999999999997E-2</v>
      </c>
      <c r="F37" s="388">
        <v>5.0000000000000001E-4</v>
      </c>
      <c r="G37" s="389">
        <v>5.9999999999999995E-4</v>
      </c>
      <c r="H37" s="325">
        <v>-9.9999999999999933E-3</v>
      </c>
    </row>
    <row r="38" spans="1:8" ht="18" customHeight="1">
      <c r="B38" s="340" t="s">
        <v>258</v>
      </c>
      <c r="C38" s="388" t="s">
        <v>27</v>
      </c>
      <c r="D38" s="389" t="s">
        <v>27</v>
      </c>
      <c r="E38" s="325" t="s">
        <v>27</v>
      </c>
      <c r="F38" s="388" t="s">
        <v>27</v>
      </c>
      <c r="G38" s="389" t="s">
        <v>27</v>
      </c>
      <c r="H38" s="325" t="s">
        <v>27</v>
      </c>
    </row>
    <row r="39" spans="1:8" ht="18" customHeight="1">
      <c r="B39" s="340" t="s">
        <v>259</v>
      </c>
      <c r="C39" s="388" t="s">
        <v>27</v>
      </c>
      <c r="D39" s="389" t="s">
        <v>27</v>
      </c>
      <c r="E39" s="325" t="s">
        <v>27</v>
      </c>
      <c r="F39" s="388" t="s">
        <v>27</v>
      </c>
      <c r="G39" s="389" t="s">
        <v>27</v>
      </c>
      <c r="H39" s="325" t="s">
        <v>27</v>
      </c>
    </row>
    <row r="40" spans="1:8" s="566" customFormat="1" ht="18" customHeight="1" thickBot="1">
      <c r="A40" s="15"/>
      <c r="B40" s="390" t="s">
        <v>260</v>
      </c>
      <c r="C40" s="388"/>
      <c r="D40" s="389"/>
      <c r="E40" s="325"/>
      <c r="F40" s="388" t="s">
        <v>27</v>
      </c>
      <c r="G40" s="389" t="s">
        <v>27</v>
      </c>
      <c r="H40" s="325" t="s">
        <v>27</v>
      </c>
    </row>
    <row r="41" spans="1:8" s="326" customFormat="1" ht="16.5" thickBot="1">
      <c r="B41" s="466" t="s">
        <v>332</v>
      </c>
      <c r="C41" s="375">
        <v>0.28000000000000003</v>
      </c>
      <c r="D41" s="329">
        <v>0.27</v>
      </c>
      <c r="E41" s="330" t="s">
        <v>321</v>
      </c>
      <c r="F41" s="375">
        <v>0.27600000000000002</v>
      </c>
      <c r="G41" s="329">
        <v>0.26900000000000002</v>
      </c>
      <c r="H41" s="330" t="s">
        <v>331</v>
      </c>
    </row>
    <row r="42" spans="1:8" s="326" customFormat="1" ht="15.75" thickBot="1">
      <c r="B42" s="384"/>
      <c r="C42" s="385"/>
      <c r="D42" s="383"/>
      <c r="E42" s="386"/>
      <c r="F42" s="385"/>
      <c r="G42" s="383"/>
      <c r="H42" s="386"/>
    </row>
    <row r="43" spans="1:8" s="326" customFormat="1" ht="18" customHeight="1" thickBot="1">
      <c r="B43" s="691" t="s">
        <v>241</v>
      </c>
      <c r="C43" s="692"/>
      <c r="D43" s="692"/>
      <c r="E43" s="692"/>
      <c r="F43" s="692"/>
      <c r="G43" s="692"/>
      <c r="H43" s="693"/>
    </row>
    <row r="44" spans="1:8" s="326" customFormat="1" ht="18" customHeight="1">
      <c r="B44" s="364" t="s">
        <v>239</v>
      </c>
      <c r="C44" s="365">
        <v>8.8000000000000005E-3</v>
      </c>
      <c r="D44" s="366">
        <v>9.4999999999999998E-3</v>
      </c>
      <c r="E44" s="325">
        <v>-6.9999999999999923E-2</v>
      </c>
      <c r="F44" s="365">
        <v>8.3999999999999995E-3</v>
      </c>
      <c r="G44" s="366">
        <v>9.2999999999999992E-3</v>
      </c>
      <c r="H44" s="325">
        <v>-8.9999999999999969E-2</v>
      </c>
    </row>
    <row r="45" spans="1:8" s="326" customFormat="1" ht="18" customHeight="1">
      <c r="B45" s="364" t="s">
        <v>240</v>
      </c>
      <c r="C45" s="365">
        <v>3.5000000000000001E-3</v>
      </c>
      <c r="D45" s="366">
        <v>2.8E-3</v>
      </c>
      <c r="E45" s="325">
        <v>7.0000000000000007E-2</v>
      </c>
      <c r="F45" s="365">
        <v>2.8999999999999998E-3</v>
      </c>
      <c r="G45" s="366">
        <v>2.8999999999999998E-3</v>
      </c>
      <c r="H45" s="325">
        <v>0</v>
      </c>
    </row>
    <row r="46" spans="1:8" s="326" customFormat="1" ht="18" customHeight="1">
      <c r="B46" s="506" t="s">
        <v>307</v>
      </c>
      <c r="C46" s="365">
        <v>1.1000000000000001E-3</v>
      </c>
      <c r="D46" s="366">
        <v>8.9999999999999998E-4</v>
      </c>
      <c r="E46" s="325">
        <v>2.0000000000000011E-2</v>
      </c>
      <c r="F46" s="365">
        <v>1.4E-3</v>
      </c>
      <c r="G46" s="366">
        <v>1.2999999999999999E-3</v>
      </c>
      <c r="H46" s="325">
        <v>1.0000000000000005E-2</v>
      </c>
    </row>
    <row r="47" spans="1:8" s="326" customFormat="1" ht="18" customHeight="1">
      <c r="B47" s="364" t="s">
        <v>20</v>
      </c>
      <c r="C47" s="365">
        <v>1.6999999999999999E-3</v>
      </c>
      <c r="D47" s="366">
        <v>1.1000000000000001E-3</v>
      </c>
      <c r="E47" s="325">
        <v>5.9999999999999984E-2</v>
      </c>
      <c r="F47" s="365">
        <v>1.6999999999999999E-3</v>
      </c>
      <c r="G47" s="366">
        <v>1.1000000000000001E-3</v>
      </c>
      <c r="H47" s="325">
        <v>5.9999999999999984E-2</v>
      </c>
    </row>
    <row r="48" spans="1:8" s="326" customFormat="1" ht="18" customHeight="1">
      <c r="B48" s="364" t="s">
        <v>177</v>
      </c>
      <c r="C48" s="365">
        <v>1.9E-3</v>
      </c>
      <c r="D48" s="366">
        <v>1E-3</v>
      </c>
      <c r="E48" s="325">
        <v>0.09</v>
      </c>
      <c r="F48" s="365">
        <v>1.8E-3</v>
      </c>
      <c r="G48" s="366">
        <v>8.0000000000000004E-4</v>
      </c>
      <c r="H48" s="325">
        <v>0.1</v>
      </c>
    </row>
    <row r="49" spans="2:8" s="326" customFormat="1" ht="18" customHeight="1">
      <c r="B49" s="364" t="s">
        <v>179</v>
      </c>
      <c r="C49" s="365">
        <v>1.1000000000000001E-3</v>
      </c>
      <c r="D49" s="366">
        <v>8.0000000000000004E-4</v>
      </c>
      <c r="E49" s="325">
        <v>3.0000000000000002E-2</v>
      </c>
      <c r="F49" s="365">
        <v>1E-3</v>
      </c>
      <c r="G49" s="366">
        <v>1E-3</v>
      </c>
      <c r="H49" s="325">
        <v>0</v>
      </c>
    </row>
    <row r="50" spans="2:8" s="326" customFormat="1" ht="17.45" customHeight="1">
      <c r="B50" s="364" t="s">
        <v>21</v>
      </c>
      <c r="C50" s="365">
        <v>2.0000000000000001E-4</v>
      </c>
      <c r="D50" s="366">
        <v>2.0000000000000001E-4</v>
      </c>
      <c r="E50" s="325">
        <v>0</v>
      </c>
      <c r="F50" s="365">
        <v>2.9999999999999997E-4</v>
      </c>
      <c r="G50" s="366">
        <v>2.9999999999999997E-4</v>
      </c>
      <c r="H50" s="325">
        <v>0</v>
      </c>
    </row>
    <row r="51" spans="2:8" s="326" customFormat="1" ht="17.45" customHeight="1" thickBot="1">
      <c r="B51" s="390" t="s">
        <v>260</v>
      </c>
      <c r="C51" s="368" t="s">
        <v>27</v>
      </c>
      <c r="D51" s="369" t="s">
        <v>27</v>
      </c>
      <c r="E51" s="328" t="s">
        <v>27</v>
      </c>
      <c r="F51" s="368"/>
      <c r="G51" s="369"/>
      <c r="H51" s="328"/>
    </row>
    <row r="52" spans="2:8" s="15" customFormat="1"/>
    <row r="53" spans="2:8" s="15" customFormat="1" ht="180.6" customHeight="1">
      <c r="B53" s="699" t="s">
        <v>333</v>
      </c>
      <c r="C53" s="699"/>
      <c r="D53" s="699"/>
      <c r="E53" s="699"/>
    </row>
    <row r="54" spans="2:8" s="15" customFormat="1" ht="30.95" customHeight="1" thickBot="1">
      <c r="B54" s="505"/>
      <c r="C54" s="484"/>
      <c r="D54" s="484"/>
      <c r="E54" s="484"/>
      <c r="F54" s="484"/>
      <c r="G54" s="484"/>
      <c r="H54" s="484"/>
    </row>
    <row r="55" spans="2:8" ht="15.75" customHeight="1" thickBot="1">
      <c r="B55" s="697" t="s">
        <v>28</v>
      </c>
      <c r="C55" s="688" t="s">
        <v>232</v>
      </c>
      <c r="D55" s="689"/>
      <c r="E55" s="690"/>
      <c r="F55" s="688" t="s">
        <v>330</v>
      </c>
      <c r="G55" s="689"/>
      <c r="H55" s="690"/>
    </row>
    <row r="56" spans="2:8" ht="20.25" customHeight="1" thickBot="1">
      <c r="B56" s="698"/>
      <c r="C56" s="172">
        <v>2019</v>
      </c>
      <c r="D56" s="173">
        <v>2018</v>
      </c>
      <c r="E56" s="174" t="s">
        <v>209</v>
      </c>
      <c r="F56" s="172">
        <v>2019</v>
      </c>
      <c r="G56" s="173">
        <v>2018</v>
      </c>
      <c r="H56" s="174" t="s">
        <v>209</v>
      </c>
    </row>
    <row r="57" spans="2:8" ht="20.25" customHeight="1">
      <c r="B57" s="387" t="s">
        <v>23</v>
      </c>
      <c r="C57" s="394">
        <v>1</v>
      </c>
      <c r="D57" s="395">
        <v>1</v>
      </c>
      <c r="E57" s="327">
        <v>0</v>
      </c>
      <c r="F57" s="394">
        <v>1</v>
      </c>
      <c r="G57" s="395">
        <v>1</v>
      </c>
      <c r="H57" s="327">
        <v>0</v>
      </c>
    </row>
    <row r="58" spans="2:8" ht="18" customHeight="1">
      <c r="B58" s="387" t="s">
        <v>174</v>
      </c>
      <c r="C58" s="394">
        <v>1</v>
      </c>
      <c r="D58" s="395">
        <v>1</v>
      </c>
      <c r="E58" s="327">
        <v>0</v>
      </c>
      <c r="F58" s="394">
        <v>0.999</v>
      </c>
      <c r="G58" s="395">
        <v>1</v>
      </c>
      <c r="H58" s="327">
        <v>-0.10000000000000009</v>
      </c>
    </row>
    <row r="59" spans="2:8" ht="18" customHeight="1">
      <c r="B59" s="387" t="s">
        <v>221</v>
      </c>
      <c r="C59" s="394">
        <v>0.98699999999999999</v>
      </c>
      <c r="D59" s="395">
        <v>0.97899999999999998</v>
      </c>
      <c r="E59" s="327">
        <v>0.80000000000000071</v>
      </c>
      <c r="F59" s="394">
        <v>0.98699999999999999</v>
      </c>
      <c r="G59" s="395">
        <v>0.98</v>
      </c>
      <c r="H59" s="327">
        <v>0.70000000000000062</v>
      </c>
    </row>
    <row r="60" spans="2:8" ht="18" customHeight="1">
      <c r="B60" s="387" t="s">
        <v>220</v>
      </c>
      <c r="C60" s="394">
        <v>0.98499999999999999</v>
      </c>
      <c r="D60" s="395">
        <v>0.98</v>
      </c>
      <c r="E60" s="327">
        <v>0.50000000000000044</v>
      </c>
      <c r="F60" s="394">
        <v>0.98499999999999999</v>
      </c>
      <c r="G60" s="395">
        <v>0.98</v>
      </c>
      <c r="H60" s="327">
        <v>0.50000000000000044</v>
      </c>
    </row>
    <row r="61" spans="2:8" ht="18" customHeight="1">
      <c r="B61" s="387" t="s">
        <v>238</v>
      </c>
      <c r="C61" s="394">
        <v>0.97799999999999998</v>
      </c>
      <c r="D61" s="395">
        <v>0.97099999999999997</v>
      </c>
      <c r="E61" s="327">
        <v>0.70000000000000062</v>
      </c>
      <c r="F61" s="394">
        <v>0.97799999999999998</v>
      </c>
      <c r="G61" s="395">
        <v>0.97299999999999998</v>
      </c>
      <c r="H61" s="327">
        <v>0.50000000000000044</v>
      </c>
    </row>
    <row r="62" spans="2:8" ht="18" customHeight="1">
      <c r="B62" s="387" t="s">
        <v>175</v>
      </c>
      <c r="C62" s="394">
        <v>0.95599999999999996</v>
      </c>
      <c r="D62" s="395">
        <v>0.95799999999999996</v>
      </c>
      <c r="E62" s="327">
        <v>-0.20000000000000018</v>
      </c>
      <c r="F62" s="394">
        <v>0.95499999999999996</v>
      </c>
      <c r="G62" s="395">
        <v>0.95899999999999996</v>
      </c>
      <c r="H62" s="327">
        <v>-0.40000000000000036</v>
      </c>
    </row>
    <row r="63" spans="2:8" ht="18" customHeight="1">
      <c r="B63" s="387" t="s">
        <v>176</v>
      </c>
      <c r="C63" s="394">
        <v>0.64300000000000002</v>
      </c>
      <c r="D63" s="395">
        <v>0.622</v>
      </c>
      <c r="E63" s="327">
        <v>2.1000000000000019</v>
      </c>
      <c r="F63" s="394">
        <v>0.64200000000000002</v>
      </c>
      <c r="G63" s="395">
        <v>0.62</v>
      </c>
      <c r="H63" s="327">
        <v>2.200000000000002</v>
      </c>
    </row>
    <row r="64" spans="2:8" ht="18" customHeight="1">
      <c r="B64" s="387" t="s">
        <v>222</v>
      </c>
      <c r="C64" s="394">
        <v>0.625</v>
      </c>
      <c r="D64" s="395">
        <v>0.58799999999999997</v>
      </c>
      <c r="E64" s="327">
        <v>3.7000000000000033</v>
      </c>
      <c r="F64" s="394">
        <v>0.627</v>
      </c>
      <c r="G64" s="395">
        <v>0.58599999999999997</v>
      </c>
      <c r="H64" s="327">
        <v>4.1000000000000032</v>
      </c>
    </row>
    <row r="65" spans="2:8" ht="18" customHeight="1">
      <c r="B65" s="387" t="s">
        <v>180</v>
      </c>
      <c r="C65" s="394">
        <v>0.58799999999999997</v>
      </c>
      <c r="D65" s="395">
        <v>0.6</v>
      </c>
      <c r="E65" s="327">
        <v>-1.2000000000000011</v>
      </c>
      <c r="F65" s="394">
        <v>0.58599999999999997</v>
      </c>
      <c r="G65" s="395">
        <v>0.59799999999999998</v>
      </c>
      <c r="H65" s="327">
        <v>-1.2000000000000011</v>
      </c>
    </row>
    <row r="66" spans="2:8" ht="18" customHeight="1">
      <c r="B66" s="387" t="s">
        <v>256</v>
      </c>
      <c r="C66" s="394">
        <v>0.58799999999999997</v>
      </c>
      <c r="D66" s="395">
        <v>0.56899999999999995</v>
      </c>
      <c r="E66" s="327">
        <v>1.9000000000000017</v>
      </c>
      <c r="F66" s="394">
        <v>0.58699999999999997</v>
      </c>
      <c r="G66" s="395">
        <v>0.56799999999999995</v>
      </c>
      <c r="H66" s="327">
        <v>1.9000000000000017</v>
      </c>
    </row>
    <row r="67" spans="2:8" ht="18" customHeight="1">
      <c r="B67" s="387" t="s">
        <v>13</v>
      </c>
      <c r="C67" s="394">
        <v>0.57599999999999996</v>
      </c>
      <c r="D67" s="395">
        <v>0.55900000000000005</v>
      </c>
      <c r="E67" s="327">
        <v>1.6999999999999904</v>
      </c>
      <c r="F67" s="394">
        <v>0.57999999999999996</v>
      </c>
      <c r="G67" s="395">
        <v>0.55700000000000005</v>
      </c>
      <c r="H67" s="327">
        <v>2.2999999999999909</v>
      </c>
    </row>
    <row r="68" spans="2:8" ht="18" customHeight="1">
      <c r="B68" s="387" t="s">
        <v>223</v>
      </c>
      <c r="C68" s="394">
        <v>0.58199999999999996</v>
      </c>
      <c r="D68" s="395">
        <v>0.48799999999999999</v>
      </c>
      <c r="E68" s="327">
        <v>9.3999999999999968</v>
      </c>
      <c r="F68" s="394">
        <v>0.58299999999999996</v>
      </c>
      <c r="G68" s="395">
        <v>0.51900000000000002</v>
      </c>
      <c r="H68" s="327">
        <v>6.399999999999995</v>
      </c>
    </row>
    <row r="69" spans="2:8" ht="18" customHeight="1">
      <c r="B69" s="387" t="s">
        <v>17</v>
      </c>
      <c r="C69" s="394">
        <v>0.56499999999999995</v>
      </c>
      <c r="D69" s="395">
        <v>0.55200000000000005</v>
      </c>
      <c r="E69" s="327">
        <v>1.2999999999999901</v>
      </c>
      <c r="F69" s="394">
        <v>0.57099999999999995</v>
      </c>
      <c r="G69" s="395">
        <v>0.55000000000000004</v>
      </c>
      <c r="H69" s="327">
        <v>2.0999999999999908</v>
      </c>
    </row>
    <row r="70" spans="2:8" ht="18" customHeight="1">
      <c r="B70" s="387" t="s">
        <v>16</v>
      </c>
      <c r="C70" s="394">
        <v>0.56399999999999995</v>
      </c>
      <c r="D70" s="395">
        <v>0.54600000000000004</v>
      </c>
      <c r="E70" s="327">
        <v>1.7999999999999905</v>
      </c>
      <c r="F70" s="394">
        <v>0.56100000000000005</v>
      </c>
      <c r="G70" s="395">
        <v>0.54300000000000004</v>
      </c>
      <c r="H70" s="327">
        <v>1.8000000000000016</v>
      </c>
    </row>
    <row r="71" spans="2:8" ht="18" customHeight="1">
      <c r="B71" s="387" t="s">
        <v>18</v>
      </c>
      <c r="C71" s="394">
        <v>0.53600000000000003</v>
      </c>
      <c r="D71" s="395">
        <v>0.53300000000000003</v>
      </c>
      <c r="E71" s="327">
        <v>0.30000000000000027</v>
      </c>
      <c r="F71" s="394">
        <v>0.53200000000000003</v>
      </c>
      <c r="G71" s="395">
        <v>0.53</v>
      </c>
      <c r="H71" s="327">
        <v>0.20000000000000018</v>
      </c>
    </row>
    <row r="72" spans="2:8" ht="18" customHeight="1">
      <c r="B72" s="387" t="s">
        <v>22</v>
      </c>
      <c r="C72" s="394">
        <v>0.495</v>
      </c>
      <c r="D72" s="395">
        <v>0.497</v>
      </c>
      <c r="E72" s="327">
        <v>-0.20000000000000018</v>
      </c>
      <c r="F72" s="394">
        <v>0.496</v>
      </c>
      <c r="G72" s="395">
        <v>0.497</v>
      </c>
      <c r="H72" s="327">
        <v>-0.10000000000000009</v>
      </c>
    </row>
    <row r="73" spans="2:8" ht="18" customHeight="1">
      <c r="B73" s="387" t="s">
        <v>178</v>
      </c>
      <c r="C73" s="394">
        <v>0.50800000000000001</v>
      </c>
      <c r="D73" s="395">
        <v>0.48799999999999999</v>
      </c>
      <c r="E73" s="327">
        <v>2.0000000000000018</v>
      </c>
      <c r="F73" s="394">
        <v>0.50800000000000001</v>
      </c>
      <c r="G73" s="395">
        <v>0.48799999999999999</v>
      </c>
      <c r="H73" s="327">
        <v>2.0000000000000018</v>
      </c>
    </row>
    <row r="74" spans="2:8" ht="18" customHeight="1">
      <c r="B74" s="387" t="s">
        <v>272</v>
      </c>
      <c r="C74" s="394">
        <v>0.48199999999999998</v>
      </c>
      <c r="D74" s="395">
        <v>0.48399999999999999</v>
      </c>
      <c r="E74" s="327">
        <v>-0.20000000000000018</v>
      </c>
      <c r="F74" s="394">
        <v>0.48699999999999999</v>
      </c>
      <c r="G74" s="395">
        <v>0.48399999999999999</v>
      </c>
      <c r="H74" s="327">
        <v>0.30000000000000027</v>
      </c>
    </row>
    <row r="75" spans="2:8" ht="18" customHeight="1">
      <c r="B75" s="387" t="s">
        <v>14</v>
      </c>
      <c r="C75" s="394">
        <v>0.48199999999999998</v>
      </c>
      <c r="D75" s="395">
        <v>0.46200000000000002</v>
      </c>
      <c r="E75" s="327">
        <v>1.9999999999999962</v>
      </c>
      <c r="F75" s="394">
        <v>0.48199999999999998</v>
      </c>
      <c r="G75" s="395">
        <v>0.46100000000000002</v>
      </c>
      <c r="H75" s="327">
        <v>2.0999999999999961</v>
      </c>
    </row>
    <row r="76" spans="2:8" ht="18" customHeight="1">
      <c r="B76" s="387" t="s">
        <v>224</v>
      </c>
      <c r="C76" s="394">
        <v>0.48499999999999999</v>
      </c>
      <c r="D76" s="395">
        <v>0.39400000000000002</v>
      </c>
      <c r="E76" s="327">
        <v>9.0999999999999979</v>
      </c>
      <c r="F76" s="394">
        <v>0.48499999999999999</v>
      </c>
      <c r="G76" s="395">
        <v>0.42499999999999999</v>
      </c>
      <c r="H76" s="327">
        <v>6</v>
      </c>
    </row>
    <row r="77" spans="2:8" ht="18" customHeight="1">
      <c r="B77" s="387" t="s">
        <v>15</v>
      </c>
      <c r="C77" s="394">
        <v>0.38200000000000001</v>
      </c>
      <c r="D77" s="395">
        <v>0.36</v>
      </c>
      <c r="E77" s="327">
        <v>2.200000000000002</v>
      </c>
      <c r="F77" s="394">
        <v>0.38200000000000001</v>
      </c>
      <c r="G77" s="395">
        <v>0.35899999999999999</v>
      </c>
      <c r="H77" s="327">
        <v>2.300000000000002</v>
      </c>
    </row>
    <row r="78" spans="2:8" ht="18" customHeight="1">
      <c r="B78" s="387" t="s">
        <v>225</v>
      </c>
      <c r="C78" s="394">
        <v>0.36499999999999999</v>
      </c>
      <c r="D78" s="395">
        <v>0.26400000000000001</v>
      </c>
      <c r="E78" s="327">
        <v>10.099999999999998</v>
      </c>
      <c r="F78" s="394">
        <v>0.36</v>
      </c>
      <c r="G78" s="395">
        <v>0.26900000000000002</v>
      </c>
      <c r="H78" s="327">
        <v>9.0999999999999979</v>
      </c>
    </row>
    <row r="79" spans="2:8" ht="18" customHeight="1">
      <c r="B79" s="387" t="s">
        <v>250</v>
      </c>
      <c r="C79" s="394">
        <v>0.311</v>
      </c>
      <c r="D79" s="395">
        <v>0.307</v>
      </c>
      <c r="E79" s="327">
        <v>0.40000000000000036</v>
      </c>
      <c r="F79" s="394">
        <v>0.314</v>
      </c>
      <c r="G79" s="395">
        <v>0.29799999999999999</v>
      </c>
      <c r="H79" s="327">
        <v>1.6000000000000014</v>
      </c>
    </row>
    <row r="80" spans="2:8" ht="18" customHeight="1">
      <c r="B80" s="387" t="s">
        <v>251</v>
      </c>
      <c r="C80" s="394">
        <v>0.19600000000000001</v>
      </c>
      <c r="D80" s="395">
        <v>0.184</v>
      </c>
      <c r="E80" s="327">
        <v>1.2000000000000011</v>
      </c>
      <c r="F80" s="394">
        <v>0.19900000000000001</v>
      </c>
      <c r="G80" s="395">
        <v>0.18</v>
      </c>
      <c r="H80" s="327">
        <v>1.9000000000000017</v>
      </c>
    </row>
    <row r="81" spans="1:8" ht="18" customHeight="1">
      <c r="B81" s="387" t="s">
        <v>255</v>
      </c>
      <c r="C81" s="394">
        <v>0.13900000000000001</v>
      </c>
      <c r="D81" s="395">
        <v>0.157</v>
      </c>
      <c r="E81" s="327">
        <v>-1.7999999999999989</v>
      </c>
      <c r="F81" s="394">
        <v>0.14599999999999999</v>
      </c>
      <c r="G81" s="395">
        <v>0.13900000000000001</v>
      </c>
      <c r="H81" s="327">
        <v>0.69999999999999785</v>
      </c>
    </row>
    <row r="82" spans="1:8" ht="18" customHeight="1">
      <c r="B82" s="387" t="s">
        <v>257</v>
      </c>
      <c r="C82" s="394">
        <v>0.14199999999999999</v>
      </c>
      <c r="D82" s="395">
        <v>0.16200000000000001</v>
      </c>
      <c r="E82" s="327">
        <v>-2.0000000000000018</v>
      </c>
      <c r="F82" s="394">
        <v>0.14799999999999999</v>
      </c>
      <c r="G82" s="395">
        <v>0.14199999999999999</v>
      </c>
      <c r="H82" s="327">
        <v>0.60000000000000053</v>
      </c>
    </row>
    <row r="83" spans="1:8" ht="18" customHeight="1">
      <c r="B83" s="387" t="s">
        <v>252</v>
      </c>
      <c r="C83" s="394" t="s">
        <v>27</v>
      </c>
      <c r="D83" s="395" t="s">
        <v>27</v>
      </c>
      <c r="E83" s="327" t="s">
        <v>27</v>
      </c>
      <c r="F83" s="394" t="s">
        <v>253</v>
      </c>
      <c r="G83" s="395" t="s">
        <v>253</v>
      </c>
      <c r="H83" s="327" t="s">
        <v>253</v>
      </c>
    </row>
    <row r="84" spans="1:8" ht="18" customHeight="1">
      <c r="B84" s="387" t="s">
        <v>261</v>
      </c>
      <c r="C84" s="394" t="s">
        <v>27</v>
      </c>
      <c r="D84" s="395" t="s">
        <v>27</v>
      </c>
      <c r="E84" s="327" t="s">
        <v>27</v>
      </c>
      <c r="F84" s="394" t="s">
        <v>253</v>
      </c>
      <c r="G84" s="395" t="s">
        <v>253</v>
      </c>
      <c r="H84" s="327" t="s">
        <v>253</v>
      </c>
    </row>
    <row r="85" spans="1:8" ht="18" customHeight="1">
      <c r="B85" s="387" t="s">
        <v>262</v>
      </c>
      <c r="C85" s="394" t="s">
        <v>27</v>
      </c>
      <c r="D85" s="395" t="s">
        <v>27</v>
      </c>
      <c r="E85" s="327" t="s">
        <v>27</v>
      </c>
      <c r="F85" s="394" t="s">
        <v>253</v>
      </c>
      <c r="G85" s="395" t="s">
        <v>253</v>
      </c>
      <c r="H85" s="327" t="s">
        <v>253</v>
      </c>
    </row>
    <row r="86" spans="1:8" ht="18" customHeight="1">
      <c r="B86" s="387" t="s">
        <v>279</v>
      </c>
      <c r="C86" s="485" t="s">
        <v>27</v>
      </c>
      <c r="D86" s="395" t="s">
        <v>27</v>
      </c>
      <c r="E86" s="327" t="s">
        <v>27</v>
      </c>
      <c r="F86" s="485" t="s">
        <v>253</v>
      </c>
      <c r="G86" s="395" t="s">
        <v>253</v>
      </c>
      <c r="H86" s="327" t="s">
        <v>253</v>
      </c>
    </row>
    <row r="87" spans="1:8" ht="18" customHeight="1">
      <c r="B87" s="387" t="s">
        <v>280</v>
      </c>
      <c r="C87" s="394" t="s">
        <v>27</v>
      </c>
      <c r="D87" s="395" t="s">
        <v>27</v>
      </c>
      <c r="E87" s="327" t="s">
        <v>27</v>
      </c>
      <c r="F87" s="394" t="s">
        <v>253</v>
      </c>
      <c r="G87" s="395" t="s">
        <v>253</v>
      </c>
      <c r="H87" s="327" t="s">
        <v>253</v>
      </c>
    </row>
    <row r="88" spans="1:8" ht="18" customHeight="1">
      <c r="B88" s="387" t="s">
        <v>281</v>
      </c>
      <c r="C88" s="394">
        <v>0.30099999999999999</v>
      </c>
      <c r="D88" s="395" t="s">
        <v>27</v>
      </c>
      <c r="E88" s="327" t="s">
        <v>27</v>
      </c>
      <c r="F88" s="394">
        <v>0.307</v>
      </c>
      <c r="G88" s="395" t="s">
        <v>253</v>
      </c>
      <c r="H88" s="327" t="s">
        <v>253</v>
      </c>
    </row>
    <row r="89" spans="1:8" s="566" customFormat="1" ht="18" customHeight="1">
      <c r="A89" s="15"/>
      <c r="B89" s="387" t="s">
        <v>282</v>
      </c>
      <c r="C89" s="394">
        <v>0.27100000000000002</v>
      </c>
      <c r="D89" s="395" t="s">
        <v>27</v>
      </c>
      <c r="E89" s="327" t="s">
        <v>27</v>
      </c>
      <c r="F89" s="394">
        <v>0.27300000000000002</v>
      </c>
      <c r="G89" s="395" t="s">
        <v>253</v>
      </c>
      <c r="H89" s="327" t="s">
        <v>253</v>
      </c>
    </row>
    <row r="90" spans="1:8" ht="18" customHeight="1" thickBot="1">
      <c r="B90" s="390" t="s">
        <v>263</v>
      </c>
      <c r="C90" s="396"/>
      <c r="D90" s="397"/>
      <c r="E90" s="328"/>
      <c r="F90" s="396">
        <v>0.27300000000000002</v>
      </c>
      <c r="G90" s="397" t="s">
        <v>253</v>
      </c>
      <c r="H90" s="328" t="s">
        <v>253</v>
      </c>
    </row>
    <row r="91" spans="1:8" ht="18" customHeight="1" thickBot="1">
      <c r="B91" s="391"/>
      <c r="C91" s="392"/>
      <c r="D91" s="367"/>
      <c r="E91" s="393"/>
      <c r="F91" s="392"/>
      <c r="G91" s="367"/>
      <c r="H91" s="393"/>
    </row>
    <row r="92" spans="1:8" ht="18" customHeight="1" thickBot="1">
      <c r="B92" s="611" t="s">
        <v>241</v>
      </c>
      <c r="C92" s="612"/>
      <c r="D92" s="612"/>
      <c r="E92" s="612"/>
      <c r="F92" s="613"/>
      <c r="G92" s="613"/>
      <c r="H92" s="614"/>
    </row>
    <row r="93" spans="1:8" ht="18" customHeight="1">
      <c r="B93" s="387" t="s">
        <v>239</v>
      </c>
      <c r="C93" s="394">
        <v>0.98099999999999998</v>
      </c>
      <c r="D93" s="395">
        <v>0.97299999999999998</v>
      </c>
      <c r="E93" s="327">
        <v>0.80000000000000071</v>
      </c>
      <c r="F93" s="394">
        <v>0.98199999999999998</v>
      </c>
      <c r="G93" s="395">
        <v>0.97499999999999998</v>
      </c>
      <c r="H93" s="327">
        <v>0.70000000000000062</v>
      </c>
    </row>
    <row r="94" spans="1:8" ht="18" customHeight="1">
      <c r="B94" s="387" t="s">
        <v>240</v>
      </c>
      <c r="C94" s="394">
        <v>0.83599999999999997</v>
      </c>
      <c r="D94" s="395">
        <v>0.755</v>
      </c>
      <c r="E94" s="327">
        <v>8.0999999999999961</v>
      </c>
      <c r="F94" s="394">
        <v>0.84</v>
      </c>
      <c r="G94" s="395">
        <v>0.76500000000000001</v>
      </c>
      <c r="H94" s="327">
        <v>7.4999999999999956</v>
      </c>
    </row>
    <row r="95" spans="1:8" ht="18" customHeight="1">
      <c r="B95" s="387" t="s">
        <v>20</v>
      </c>
      <c r="C95" s="394">
        <v>0.51100000000000001</v>
      </c>
      <c r="D95" s="395">
        <v>0.47899999999999998</v>
      </c>
      <c r="E95" s="327">
        <v>3.2000000000000028</v>
      </c>
      <c r="F95" s="394">
        <v>0.51100000000000001</v>
      </c>
      <c r="G95" s="395">
        <v>0.49</v>
      </c>
      <c r="H95" s="327">
        <v>2.1000000000000019</v>
      </c>
    </row>
    <row r="96" spans="1:8" ht="18" customHeight="1">
      <c r="B96" s="387" t="s">
        <v>177</v>
      </c>
      <c r="C96" s="394">
        <v>0.46400000000000002</v>
      </c>
      <c r="D96" s="395">
        <v>0.45200000000000001</v>
      </c>
      <c r="E96" s="327">
        <v>1.2000000000000011</v>
      </c>
      <c r="F96" s="394">
        <v>0.46600000000000003</v>
      </c>
      <c r="G96" s="395">
        <v>0.45</v>
      </c>
      <c r="H96" s="327">
        <v>1.6000000000000014</v>
      </c>
    </row>
    <row r="97" spans="1:8" ht="18" customHeight="1">
      <c r="A97"/>
      <c r="B97" s="387" t="s">
        <v>21</v>
      </c>
      <c r="C97" s="394">
        <v>0.45100000000000001</v>
      </c>
      <c r="D97" s="395">
        <v>0.42799999999999999</v>
      </c>
      <c r="E97" s="327">
        <v>2.300000000000002</v>
      </c>
      <c r="F97" s="394">
        <v>0.45100000000000001</v>
      </c>
      <c r="G97" s="395">
        <v>0.439</v>
      </c>
      <c r="H97" s="327">
        <v>1.2000000000000011</v>
      </c>
    </row>
    <row r="98" spans="1:8" ht="18" customHeight="1">
      <c r="A98"/>
      <c r="B98" s="387" t="s">
        <v>179</v>
      </c>
      <c r="C98" s="394">
        <v>0.44600000000000001</v>
      </c>
      <c r="D98" s="395">
        <v>0.42599999999999999</v>
      </c>
      <c r="E98" s="327">
        <v>2.0000000000000018</v>
      </c>
      <c r="F98" s="394">
        <v>0.44800000000000001</v>
      </c>
      <c r="G98" s="395">
        <v>0.442</v>
      </c>
      <c r="H98" s="327">
        <v>0.60000000000000053</v>
      </c>
    </row>
    <row r="99" spans="1:8" ht="18" customHeight="1">
      <c r="A99"/>
      <c r="B99" s="387" t="s">
        <v>19</v>
      </c>
      <c r="C99" s="394">
        <v>0.42099999999999999</v>
      </c>
      <c r="D99" s="395">
        <v>0.40400000000000003</v>
      </c>
      <c r="E99" s="327">
        <v>1.699999999999996</v>
      </c>
      <c r="F99" s="394">
        <v>0.435</v>
      </c>
      <c r="G99" s="395">
        <v>0.40200000000000002</v>
      </c>
      <c r="H99" s="327">
        <v>3.2999999999999972</v>
      </c>
    </row>
    <row r="100" spans="1:8" s="15" customFormat="1" ht="18" customHeight="1" thickBot="1">
      <c r="B100" s="390" t="s">
        <v>263</v>
      </c>
      <c r="C100" s="396" t="s">
        <v>27</v>
      </c>
      <c r="D100" s="397" t="s">
        <v>27</v>
      </c>
      <c r="E100" s="328" t="s">
        <v>27</v>
      </c>
      <c r="F100" s="396"/>
      <c r="G100" s="397"/>
      <c r="H100" s="328"/>
    </row>
    <row r="101" spans="1:8" s="15" customFormat="1" ht="9.9499999999999993" customHeight="1">
      <c r="B101" s="371"/>
      <c r="C101" s="374"/>
      <c r="D101" s="367"/>
      <c r="E101" s="370"/>
      <c r="F101" s="374"/>
      <c r="G101" s="367"/>
      <c r="H101" s="370"/>
    </row>
    <row r="102" spans="1:8" s="15" customFormat="1" ht="143.44999999999999" customHeight="1">
      <c r="B102" s="700" t="s">
        <v>306</v>
      </c>
      <c r="C102" s="700"/>
      <c r="D102" s="700"/>
      <c r="E102" s="700"/>
    </row>
    <row r="103" spans="1:8" s="15" customFormat="1" ht="10.5" customHeight="1">
      <c r="B103" s="701"/>
      <c r="C103" s="701"/>
      <c r="D103" s="701"/>
      <c r="E103" s="701"/>
    </row>
    <row r="104" spans="1:8" s="15" customFormat="1" ht="14.25" customHeight="1">
      <c r="B104" s="694"/>
      <c r="C104" s="694"/>
      <c r="D104" s="694"/>
      <c r="E104" s="694"/>
    </row>
    <row r="105" spans="1:8" s="15" customFormat="1">
      <c r="B105" s="137"/>
      <c r="C105" s="138"/>
      <c r="D105" s="138"/>
      <c r="E105" s="138"/>
      <c r="F105" s="138"/>
      <c r="G105" s="138"/>
      <c r="H105" s="138"/>
    </row>
    <row r="106" spans="1:8" s="136" customFormat="1" ht="28.5" customHeight="1">
      <c r="B106" s="694"/>
      <c r="C106" s="694"/>
      <c r="D106" s="694"/>
      <c r="E106" s="694"/>
    </row>
    <row r="107" spans="1:8" s="15" customFormat="1">
      <c r="B107" s="694"/>
      <c r="C107" s="694"/>
      <c r="D107" s="694"/>
      <c r="E107" s="694"/>
    </row>
    <row r="108" spans="1:8" s="15" customFormat="1" ht="14.25" customHeight="1">
      <c r="B108" s="137"/>
    </row>
    <row r="109" spans="1:8" s="15" customFormat="1" ht="14.25" customHeight="1">
      <c r="B109" s="399"/>
    </row>
  </sheetData>
  <mergeCells count="13">
    <mergeCell ref="F2:H2"/>
    <mergeCell ref="F55:H55"/>
    <mergeCell ref="B43:H43"/>
    <mergeCell ref="B106:E106"/>
    <mergeCell ref="B107:E107"/>
    <mergeCell ref="B2:B3"/>
    <mergeCell ref="C2:E2"/>
    <mergeCell ref="B55:B56"/>
    <mergeCell ref="C55:E55"/>
    <mergeCell ref="B53:E53"/>
    <mergeCell ref="B102:E102"/>
    <mergeCell ref="B104:E104"/>
    <mergeCell ref="B103:E103"/>
  </mergeCells>
  <pageMargins left="0.7" right="0.7" top="0.75" bottom="0.75" header="0.3" footer="0.3"/>
  <pageSetup paperSize="9" scale="56"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7</vt:i4>
      </vt:variant>
    </vt:vector>
  </HeadingPairs>
  <TitlesOfParts>
    <vt:vector size="13" baseType="lpstr">
      <vt:lpstr>Consolidated income statement</vt:lpstr>
      <vt:lpstr>Segments</vt:lpstr>
      <vt:lpstr>Consolidated balance sheet</vt:lpstr>
      <vt:lpstr>Consolidated CF</vt:lpstr>
      <vt:lpstr>KPI_B2B&amp;B2C segment</vt:lpstr>
      <vt:lpstr>KPI - TV segment</vt:lpstr>
      <vt:lpstr>'KPI - TV segment'!_Toc377043859</vt:lpstr>
      <vt:lpstr>'KPI - TV segment'!_Toc377043860</vt:lpstr>
      <vt:lpstr>'Consolidated balance sheet'!Obszar_wydruku</vt:lpstr>
      <vt:lpstr>'Consolidated CF'!Obszar_wydruku</vt:lpstr>
      <vt:lpstr>'Consolidated income statement'!Obszar_wydruku</vt:lpstr>
      <vt:lpstr>'KPI - TV segment'!Obszar_wydruku</vt:lpstr>
      <vt:lpstr>'Consolidated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2015-11-10T13:35:13Z</cp:lastPrinted>
  <dcterms:created xsi:type="dcterms:W3CDTF">2008-08-25T12:12:22Z</dcterms:created>
  <dcterms:modified xsi:type="dcterms:W3CDTF">2019-08-28T20:31:09Z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