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500" yWindow="-50" windowWidth="9680" windowHeight="7040" firstSheet="1" activeTab="4"/>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segment'!$C$45</definedName>
    <definedName name="_Toc377043860" localSheetId="5">'KPI - TV segment'!$D$45</definedName>
    <definedName name="_Toc377043862" localSheetId="5">'KPI - TV segment'!#REF!</definedName>
    <definedName name="_Toc377043863" localSheetId="5">'KPI - TV segment'!#REF!</definedName>
    <definedName name="_xlnm.Print_Area" localSheetId="2">'Consolidated balance sheet'!$A$1:$Q$72</definedName>
    <definedName name="_xlnm.Print_Area" localSheetId="3">'Consolidated CF'!$A$1:$Q$67</definedName>
    <definedName name="_xlnm.Print_Area" localSheetId="0">'Consolidated income statement'!$A$1:$S$33</definedName>
    <definedName name="_xlnm.Print_Area" localSheetId="5">'KPI - TV segment'!$A$1:$E$84</definedName>
    <definedName name="OLE_LINK3" localSheetId="3">'Consolidated CF'!$A$21</definedName>
  </definedNames>
  <calcPr calcId="145621"/>
</workbook>
</file>

<file path=xl/calcChain.xml><?xml version="1.0" encoding="utf-8"?>
<calcChain xmlns="http://schemas.openxmlformats.org/spreadsheetml/2006/main">
  <c r="E71" i="16" l="1"/>
  <c r="E70" i="16"/>
  <c r="E69" i="16"/>
  <c r="E52" i="16"/>
  <c r="E62" i="16"/>
  <c r="E67" i="16"/>
  <c r="D4" i="16"/>
  <c r="C4" i="16"/>
  <c r="E39" i="16"/>
  <c r="E38" i="16"/>
  <c r="E37" i="16"/>
  <c r="E36" i="16"/>
  <c r="E35" i="16"/>
  <c r="E34" i="16"/>
  <c r="E33" i="16"/>
  <c r="AJ29" i="17"/>
  <c r="AI29" i="17"/>
  <c r="AH29" i="17"/>
  <c r="AG29" i="17"/>
  <c r="AF29" i="17"/>
  <c r="AJ24" i="17"/>
  <c r="AJ5" i="17" s="1"/>
  <c r="AI24" i="17"/>
  <c r="AH24" i="17"/>
  <c r="AG24" i="17"/>
  <c r="AG5" i="17" s="1"/>
  <c r="AF24" i="17"/>
  <c r="AF5" i="17" s="1"/>
  <c r="AJ17" i="17"/>
  <c r="AI17" i="17"/>
  <c r="AH17" i="17"/>
  <c r="AG17" i="17"/>
  <c r="AF17" i="17"/>
  <c r="AJ7" i="17"/>
  <c r="AI7" i="17"/>
  <c r="AH7" i="17"/>
  <c r="AH5" i="17" s="1"/>
  <c r="AG7" i="17"/>
  <c r="AF7" i="17"/>
  <c r="AI5" i="17"/>
  <c r="AC4" i="6"/>
  <c r="AB4" i="6"/>
  <c r="AA4" i="6"/>
  <c r="Z19" i="4"/>
  <c r="Q7" i="18"/>
  <c r="O7" i="18"/>
  <c r="M7" i="18"/>
  <c r="E31" i="16" l="1"/>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AC58" i="6"/>
  <c r="AB58" i="6"/>
  <c r="AA58" i="6"/>
  <c r="Z58" i="6"/>
  <c r="AC47" i="6"/>
  <c r="AB47" i="6"/>
  <c r="AA47" i="6"/>
  <c r="Z47" i="6"/>
  <c r="AC5" i="6"/>
  <c r="AB5" i="6"/>
  <c r="AA5" i="6"/>
  <c r="Z5" i="6"/>
  <c r="AC65" i="4"/>
  <c r="AB65" i="4"/>
  <c r="AA65" i="4"/>
  <c r="Z65" i="4"/>
  <c r="AC54" i="4"/>
  <c r="AB54" i="4"/>
  <c r="AA54" i="4"/>
  <c r="Z54" i="4"/>
  <c r="AC43" i="4"/>
  <c r="AC45" i="4" s="1"/>
  <c r="AB43" i="4"/>
  <c r="AB45" i="4" s="1"/>
  <c r="AA43" i="4"/>
  <c r="AA45" i="4" s="1"/>
  <c r="Z43" i="4"/>
  <c r="Z45" i="4" s="1"/>
  <c r="AC32" i="4"/>
  <c r="AB32" i="4"/>
  <c r="AA32" i="4"/>
  <c r="Z32" i="4"/>
  <c r="AC19" i="4"/>
  <c r="AC33" i="4" s="1"/>
  <c r="AB19" i="4"/>
  <c r="AB33" i="4" s="1"/>
  <c r="AA19" i="4"/>
  <c r="AP28" i="9"/>
  <c r="AP27" i="9"/>
  <c r="AP25" i="9"/>
  <c r="AP23" i="9"/>
  <c r="AP21" i="9"/>
  <c r="AP20" i="9"/>
  <c r="AP18" i="9"/>
  <c r="AP17" i="9"/>
  <c r="AP16" i="9"/>
  <c r="AP15" i="9"/>
  <c r="AP14" i="9"/>
  <c r="AP13" i="9"/>
  <c r="AP12" i="9"/>
  <c r="AP11" i="9"/>
  <c r="AP10" i="9"/>
  <c r="AP9" i="9" s="1"/>
  <c r="AO9" i="9"/>
  <c r="AN9" i="9"/>
  <c r="AM9" i="9"/>
  <c r="AL9" i="9"/>
  <c r="AP8" i="9"/>
  <c r="AP7" i="9"/>
  <c r="AP6" i="9"/>
  <c r="AP5" i="9"/>
  <c r="AO4" i="9"/>
  <c r="AO19" i="9" s="1"/>
  <c r="AN4" i="9"/>
  <c r="AN19" i="9" s="1"/>
  <c r="AM4" i="9"/>
  <c r="AM19" i="9" s="1"/>
  <c r="AL4" i="9"/>
  <c r="AL19" i="9" s="1"/>
  <c r="AL30" i="9" s="1"/>
  <c r="AL31" i="9" s="1"/>
  <c r="AJ28" i="9"/>
  <c r="AJ27" i="9"/>
  <c r="AJ25" i="9"/>
  <c r="AJ23" i="9"/>
  <c r="AJ21" i="9"/>
  <c r="AJ20" i="9"/>
  <c r="AJ18" i="9"/>
  <c r="AJ17" i="9"/>
  <c r="AJ16" i="9"/>
  <c r="AJ15" i="9"/>
  <c r="AJ14" i="9"/>
  <c r="AJ13" i="9"/>
  <c r="AJ12" i="9"/>
  <c r="AJ11" i="9"/>
  <c r="AJ10" i="9"/>
  <c r="AI9" i="9"/>
  <c r="AH9" i="9"/>
  <c r="AG9" i="9"/>
  <c r="AF9" i="9"/>
  <c r="AJ8" i="9"/>
  <c r="AJ7" i="9"/>
  <c r="AJ6" i="9"/>
  <c r="AJ5" i="9"/>
  <c r="AI4" i="9"/>
  <c r="AI19" i="9" s="1"/>
  <c r="AH4" i="9"/>
  <c r="AH19" i="9" s="1"/>
  <c r="AG4" i="9"/>
  <c r="AG19" i="9" s="1"/>
  <c r="AF4" i="9"/>
  <c r="AF19" i="9" s="1"/>
  <c r="AF24" i="9" s="1"/>
  <c r="AF26" i="9" s="1"/>
  <c r="AF29" i="9" s="1"/>
  <c r="AP4" i="9" l="1"/>
  <c r="AP19" i="9" s="1"/>
  <c r="AA66" i="4"/>
  <c r="AB66" i="4"/>
  <c r="Z66" i="4"/>
  <c r="Z67" i="4" s="1"/>
  <c r="AC66" i="4"/>
  <c r="AC67" i="4" s="1"/>
  <c r="AA67" i="4"/>
  <c r="Z33" i="4"/>
  <c r="AA33" i="4"/>
  <c r="AB67" i="4"/>
  <c r="AM30" i="9"/>
  <c r="AM31" i="9" s="1"/>
  <c r="AM24" i="9"/>
  <c r="AM26" i="9" s="1"/>
  <c r="AM29" i="9" s="1"/>
  <c r="AN24" i="9"/>
  <c r="AN26" i="9" s="1"/>
  <c r="AN29" i="9" s="1"/>
  <c r="AN30" i="9"/>
  <c r="AN31" i="9" s="1"/>
  <c r="AO24" i="9"/>
  <c r="AO26" i="9" s="1"/>
  <c r="AO29" i="9" s="1"/>
  <c r="AO30" i="9"/>
  <c r="AO31" i="9" s="1"/>
  <c r="AL24" i="9"/>
  <c r="AL26" i="9" s="1"/>
  <c r="AL29" i="9" s="1"/>
  <c r="AJ9" i="9"/>
  <c r="AJ4" i="9"/>
  <c r="AG30" i="9"/>
  <c r="AG31" i="9" s="1"/>
  <c r="AG24" i="9"/>
  <c r="AG26" i="9" s="1"/>
  <c r="AG29" i="9" s="1"/>
  <c r="AJ19" i="9"/>
  <c r="AH30" i="9"/>
  <c r="AH31" i="9" s="1"/>
  <c r="AH24" i="9"/>
  <c r="AH26" i="9" s="1"/>
  <c r="AH29" i="9" s="1"/>
  <c r="AI24" i="9"/>
  <c r="AI26" i="9" s="1"/>
  <c r="AI29" i="9" s="1"/>
  <c r="AI30" i="9"/>
  <c r="AI31" i="9" s="1"/>
  <c r="AF30" i="9"/>
  <c r="AF31" i="9" s="1"/>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B24" i="9"/>
  <c r="AP24" i="9" l="1"/>
  <c r="AP26" i="9" s="1"/>
  <c r="AP30" i="9"/>
  <c r="AP31" i="9" s="1"/>
  <c r="AJ30" i="9"/>
  <c r="AJ31" i="9" s="1"/>
  <c r="AJ24" i="9"/>
  <c r="AJ26" i="9" s="1"/>
  <c r="AJ29" i="9" s="1"/>
  <c r="Z22" i="9"/>
  <c r="U22" i="9"/>
  <c r="P22" i="9"/>
  <c r="K22" i="9"/>
  <c r="F22" i="9"/>
  <c r="AP29" i="9" l="1"/>
  <c r="AA28" i="6"/>
  <c r="AA31" i="6" s="1"/>
  <c r="AA59" i="6" s="1"/>
  <c r="Z4" i="6"/>
  <c r="Z28" i="6" s="1"/>
  <c r="Z31" i="6" s="1"/>
  <c r="Z59" i="6" s="1"/>
  <c r="AC28" i="6"/>
  <c r="AC31" i="6" s="1"/>
  <c r="AC59" i="6" s="1"/>
  <c r="AB28" i="6"/>
  <c r="AB31" i="6" s="1"/>
  <c r="AB59" i="6" s="1"/>
  <c r="E66" i="16"/>
  <c r="E65" i="16"/>
  <c r="E64" i="16"/>
  <c r="E63" i="16"/>
  <c r="E61" i="16"/>
  <c r="E60" i="16"/>
  <c r="E59" i="16"/>
  <c r="E58" i="16"/>
  <c r="E57" i="16"/>
  <c r="E56" i="16"/>
  <c r="E55" i="16"/>
  <c r="E54" i="16"/>
  <c r="E53" i="16"/>
  <c r="E51" i="16"/>
  <c r="E50" i="16"/>
  <c r="E49" i="16"/>
  <c r="E48" i="16"/>
  <c r="E47" i="16"/>
  <c r="E46" i="16"/>
  <c r="E45" i="16"/>
  <c r="E44" i="16"/>
  <c r="Y19" i="4" l="1"/>
  <c r="AE29" i="17" l="1"/>
  <c r="AD29" i="17"/>
  <c r="AE27" i="17"/>
  <c r="AE26" i="17"/>
  <c r="AE25" i="17"/>
  <c r="AD24" i="17"/>
  <c r="AD5" i="17" s="1"/>
  <c r="AE17" i="17"/>
  <c r="AD17" i="17"/>
  <c r="AE12" i="17"/>
  <c r="AE11" i="17"/>
  <c r="AE10" i="17"/>
  <c r="AE9" i="17"/>
  <c r="AE8" i="17"/>
  <c r="Y65" i="4"/>
  <c r="Y54" i="4"/>
  <c r="Y43" i="4"/>
  <c r="Y45" i="4" s="1"/>
  <c r="Y32" i="4"/>
  <c r="AE28" i="9"/>
  <c r="AE27" i="9"/>
  <c r="AE25" i="9"/>
  <c r="AE23" i="9"/>
  <c r="AE21" i="9"/>
  <c r="AE20" i="9"/>
  <c r="AE18" i="9"/>
  <c r="AE17" i="9"/>
  <c r="AE16" i="9"/>
  <c r="AE15" i="9"/>
  <c r="AE14" i="9"/>
  <c r="AE13" i="9"/>
  <c r="AE12" i="9"/>
  <c r="AE11" i="9"/>
  <c r="AE10" i="9"/>
  <c r="AE8" i="9"/>
  <c r="AE7" i="9"/>
  <c r="AE6" i="9"/>
  <c r="AE5" i="9"/>
  <c r="AD9" i="9"/>
  <c r="AD4" i="9"/>
  <c r="AE9" i="9" l="1"/>
  <c r="Y66" i="4"/>
  <c r="Y67" i="4"/>
  <c r="Y33" i="4"/>
  <c r="AD19" i="9"/>
  <c r="AD30" i="9"/>
  <c r="AD31" i="9" s="1"/>
  <c r="AD26" i="9"/>
  <c r="AD29" i="9" s="1"/>
  <c r="AE4" i="9"/>
  <c r="AE24" i="17"/>
  <c r="AE7" i="17"/>
  <c r="AC29" i="17"/>
  <c r="AC24" i="17"/>
  <c r="AC17" i="17"/>
  <c r="AC7" i="17"/>
  <c r="X65" i="4"/>
  <c r="X66" i="4"/>
  <c r="X67" i="4"/>
  <c r="X54" i="4"/>
  <c r="X45" i="4"/>
  <c r="X43" i="4"/>
  <c r="X32" i="4"/>
  <c r="X19" i="4"/>
  <c r="X33" i="4" s="1"/>
  <c r="AC30" i="9"/>
  <c r="AC31" i="9" s="1"/>
  <c r="AC26" i="9"/>
  <c r="AC29" i="9" s="1"/>
  <c r="AC19" i="9"/>
  <c r="AC9" i="9"/>
  <c r="AC4" i="9"/>
  <c r="AE19" i="9" l="1"/>
  <c r="AE24" i="9" s="1"/>
  <c r="AE26" i="9" s="1"/>
  <c r="AE29" i="9" s="1"/>
  <c r="AE5" i="17"/>
  <c r="AE30" i="9"/>
  <c r="AE31" i="9" s="1"/>
  <c r="AC5" i="17"/>
  <c r="AB17" i="17" l="1"/>
  <c r="AB7" i="17"/>
  <c r="AB5" i="17" s="1"/>
  <c r="AB24" i="17"/>
  <c r="AB29" i="17"/>
  <c r="W65" i="4"/>
  <c r="W66" i="4" s="1"/>
  <c r="W54" i="4"/>
  <c r="W43" i="4"/>
  <c r="W45" i="4" s="1"/>
  <c r="W32" i="4"/>
  <c r="W19" i="4"/>
  <c r="AB9" i="9"/>
  <c r="AB4" i="9"/>
  <c r="AB19" i="9" s="1"/>
  <c r="AB30" i="9" s="1"/>
  <c r="AB31" i="9" s="1"/>
  <c r="W67" i="4" l="1"/>
  <c r="W33" i="4"/>
  <c r="AB26" i="9"/>
  <c r="M10" i="18"/>
  <c r="H10" i="18"/>
  <c r="H7" i="18"/>
  <c r="C10" i="18"/>
  <c r="C7" i="18"/>
  <c r="V56" i="6"/>
  <c r="AB29" i="9" l="1"/>
  <c r="AA24" i="17"/>
  <c r="AA29" i="17"/>
  <c r="AA17" i="17"/>
  <c r="AA7" i="17"/>
  <c r="Y58" i="6"/>
  <c r="X58" i="6"/>
  <c r="W58" i="6"/>
  <c r="V58" i="6"/>
  <c r="Y47" i="6"/>
  <c r="X47" i="6"/>
  <c r="W47" i="6"/>
  <c r="V47" i="6"/>
  <c r="Y5" i="6"/>
  <c r="Y28" i="6" s="1"/>
  <c r="Y31" i="6" s="1"/>
  <c r="X5" i="6"/>
  <c r="W5" i="6"/>
  <c r="V5" i="6"/>
  <c r="V65" i="4"/>
  <c r="V54" i="4"/>
  <c r="V45" i="4"/>
  <c r="V43" i="4"/>
  <c r="V32" i="4"/>
  <c r="V19" i="4"/>
  <c r="V33" i="4" s="1"/>
  <c r="J10" i="18"/>
  <c r="J7" i="18"/>
  <c r="E10" i="18"/>
  <c r="Z28"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AA26" i="9" s="1"/>
  <c r="X4" i="6" s="1"/>
  <c r="X28" i="6" s="1"/>
  <c r="X31" i="6" s="1"/>
  <c r="X59" i="6" s="1"/>
  <c r="V66" i="4"/>
  <c r="V67" i="4" s="1"/>
  <c r="AA5" i="17"/>
  <c r="Y59" i="6"/>
  <c r="AA30" i="9" l="1"/>
  <c r="AA31" i="9" s="1"/>
  <c r="AA29" i="9"/>
  <c r="V4" i="6"/>
  <c r="V28" i="6" s="1"/>
  <c r="V31" i="6" s="1"/>
  <c r="V59" i="6" s="1"/>
  <c r="W4" i="6"/>
  <c r="W28" i="6" s="1"/>
  <c r="W31" i="6" s="1"/>
  <c r="W59" i="6" s="1"/>
  <c r="U45" i="4"/>
  <c r="Z29" i="17" l="1"/>
  <c r="Y29" i="17"/>
  <c r="Z27" i="17"/>
  <c r="Z26" i="17"/>
  <c r="Z25" i="17"/>
  <c r="Y24" i="17"/>
  <c r="Z17" i="17"/>
  <c r="Y17" i="17"/>
  <c r="Z12" i="17"/>
  <c r="Z11" i="17"/>
  <c r="Z10" i="17"/>
  <c r="Z9" i="17"/>
  <c r="Z8" i="17"/>
  <c r="Y7" i="17"/>
  <c r="Y5" i="17" s="1"/>
  <c r="U58" i="6"/>
  <c r="U47" i="6"/>
  <c r="U5" i="6"/>
  <c r="U65" i="4"/>
  <c r="U66" i="4" s="1"/>
  <c r="U54" i="4"/>
  <c r="U43" i="4"/>
  <c r="U32" i="4"/>
  <c r="U19" i="4"/>
  <c r="U33" i="4" s="1"/>
  <c r="Z25" i="9"/>
  <c r="Z23" i="9"/>
  <c r="Z21" i="9"/>
  <c r="Z20" i="9"/>
  <c r="Z18" i="9"/>
  <c r="Z17" i="9"/>
  <c r="Z16" i="9"/>
  <c r="Z15" i="9"/>
  <c r="Z14" i="9"/>
  <c r="Z13" i="9"/>
  <c r="Z6" i="9"/>
  <c r="Z7" i="9"/>
  <c r="Z8" i="9"/>
  <c r="Z5" i="9"/>
  <c r="Y4" i="9"/>
  <c r="Z9" i="9" l="1"/>
  <c r="Y19" i="9"/>
  <c r="Z4" i="9"/>
  <c r="Z19" i="9" s="1"/>
  <c r="Z7" i="17"/>
  <c r="Z24" i="17"/>
  <c r="U67" i="4"/>
  <c r="Y26" i="9" l="1"/>
  <c r="Y29" i="9" s="1"/>
  <c r="Y30" i="9"/>
  <c r="Y31" i="9" s="1"/>
  <c r="Z30" i="9"/>
  <c r="Z31" i="9" s="1"/>
  <c r="Z5" i="17"/>
  <c r="Z26" i="9"/>
  <c r="Z29" i="9" s="1"/>
  <c r="X29" i="17" l="1"/>
  <c r="X24" i="17"/>
  <c r="X5" i="17" s="1"/>
  <c r="X17" i="17"/>
  <c r="X7" i="17"/>
  <c r="T60" i="6"/>
  <c r="T58" i="6"/>
  <c r="T47" i="6"/>
  <c r="T5" i="6"/>
  <c r="T65" i="4"/>
  <c r="S65" i="4"/>
  <c r="T54" i="4"/>
  <c r="T43" i="4"/>
  <c r="T45" i="4" s="1"/>
  <c r="T32" i="4"/>
  <c r="T19" i="4"/>
  <c r="E7" i="18"/>
  <c r="X4" i="9"/>
  <c r="X19" i="9" l="1"/>
  <c r="T66" i="4"/>
  <c r="T67" i="4" s="1"/>
  <c r="T33" i="4"/>
  <c r="S47" i="6"/>
  <c r="O10" i="18"/>
  <c r="X26" i="9" l="1"/>
  <c r="X29" i="9" s="1"/>
  <c r="X30" i="9"/>
  <c r="X31" i="9" s="1"/>
  <c r="W29" i="17"/>
  <c r="W24" i="17"/>
  <c r="W17" i="17"/>
  <c r="W7" i="17"/>
  <c r="S58" i="6"/>
  <c r="S5" i="6"/>
  <c r="S54" i="4"/>
  <c r="S43" i="4"/>
  <c r="S45" i="4" s="1"/>
  <c r="S32" i="4"/>
  <c r="S19" i="4"/>
  <c r="W4" i="9"/>
  <c r="W5" i="17" l="1"/>
  <c r="S66" i="4"/>
  <c r="S67" i="4" s="1"/>
  <c r="S33" i="4"/>
  <c r="W19" i="9"/>
  <c r="B46" i="4"/>
  <c r="W26" i="9" l="1"/>
  <c r="W29" i="9" s="1"/>
  <c r="W30" i="9"/>
  <c r="W31" i="9" s="1"/>
  <c r="V29" i="17"/>
  <c r="V24" i="17"/>
  <c r="V17" i="17"/>
  <c r="V7" i="17"/>
  <c r="V5" i="17" s="1"/>
  <c r="R58" i="6"/>
  <c r="R47" i="6"/>
  <c r="R5" i="6"/>
  <c r="R32" i="4"/>
  <c r="R65" i="4"/>
  <c r="R54" i="4"/>
  <c r="R43" i="4"/>
  <c r="R45" i="4" s="1"/>
  <c r="R19" i="4"/>
  <c r="V27" i="9"/>
  <c r="Z27" i="9" s="1"/>
  <c r="V4" i="9"/>
  <c r="V19" i="9" s="1"/>
  <c r="V30" i="9" s="1"/>
  <c r="R33" i="4" l="1"/>
  <c r="R66" i="4"/>
  <c r="R67" i="4" s="1"/>
  <c r="V26" i="9"/>
  <c r="V31" i="9"/>
  <c r="U25" i="9"/>
  <c r="U21" i="9"/>
  <c r="U20" i="9"/>
  <c r="V29" i="9" l="1"/>
  <c r="T4" i="6"/>
  <c r="R4" i="6"/>
  <c r="R28" i="6" s="1"/>
  <c r="R31" i="6" s="1"/>
  <c r="R59" i="6" s="1"/>
  <c r="S4" i="6"/>
  <c r="S28" i="6" s="1"/>
  <c r="S31" i="6" s="1"/>
  <c r="S59" i="6" s="1"/>
  <c r="U29" i="17"/>
  <c r="T29" i="17"/>
  <c r="U27" i="17"/>
  <c r="U26" i="17"/>
  <c r="U25" i="17"/>
  <c r="U24" i="17" s="1"/>
  <c r="T24" i="17"/>
  <c r="U17" i="17"/>
  <c r="T17" i="17"/>
  <c r="U12" i="17"/>
  <c r="U11" i="17"/>
  <c r="U10" i="17"/>
  <c r="U7" i="17" s="1"/>
  <c r="U9" i="17"/>
  <c r="U8" i="17"/>
  <c r="T7" i="17"/>
  <c r="T5" i="17" s="1"/>
  <c r="Q58" i="6"/>
  <c r="Q47" i="6"/>
  <c r="Q5" i="6"/>
  <c r="Q65" i="4"/>
  <c r="Q54" i="4"/>
  <c r="Q43" i="4"/>
  <c r="Q45" i="4" s="1"/>
  <c r="Q32" i="4"/>
  <c r="Q19" i="4"/>
  <c r="U4" i="9"/>
  <c r="T4" i="9"/>
  <c r="U4" i="6" l="1"/>
  <c r="U28" i="6" s="1"/>
  <c r="U31" i="6" s="1"/>
  <c r="U59" i="6" s="1"/>
  <c r="U62" i="6" s="1"/>
  <c r="T28" i="6"/>
  <c r="T31" i="6" s="1"/>
  <c r="T59" i="6" s="1"/>
  <c r="T62" i="6" s="1"/>
  <c r="Q33" i="4"/>
  <c r="Q66" i="4"/>
  <c r="Q67" i="4" s="1"/>
  <c r="T19" i="9"/>
  <c r="U5" i="17"/>
  <c r="U19" i="9"/>
  <c r="U30" i="9" s="1"/>
  <c r="X60" i="6" l="1"/>
  <c r="X62" i="6" s="1"/>
  <c r="Y60" i="6"/>
  <c r="Y62" i="6" s="1"/>
  <c r="T30" i="9"/>
  <c r="T31" i="9" s="1"/>
  <c r="V60" i="6"/>
  <c r="V62" i="6" s="1"/>
  <c r="W60" i="6"/>
  <c r="W62" i="6" s="1"/>
  <c r="T26" i="9"/>
  <c r="U31" i="9"/>
  <c r="U26" i="9"/>
  <c r="U29" i="9" s="1"/>
  <c r="Z60" i="6" l="1"/>
  <c r="Z62" i="6" s="1"/>
  <c r="AA60" i="6" s="1"/>
  <c r="AA62" i="6" s="1"/>
  <c r="AB60" i="6" s="1"/>
  <c r="AB62" i="6" s="1"/>
  <c r="AC60" i="6" s="1"/>
  <c r="AC62" i="6" s="1"/>
  <c r="T27" i="9"/>
  <c r="T29" i="9"/>
  <c r="U27" i="9"/>
  <c r="Q4" i="6"/>
  <c r="Q28" i="6" s="1"/>
  <c r="Q31" i="6" s="1"/>
  <c r="Q59" i="6" s="1"/>
  <c r="Q62" i="6" s="1"/>
  <c r="R60" i="6" s="1"/>
  <c r="R62" i="6" s="1"/>
  <c r="S62" i="6" s="1"/>
  <c r="H27" i="6"/>
  <c r="G27" i="6"/>
  <c r="S14" i="18" l="1"/>
  <c r="R14" i="18"/>
  <c r="Q14" i="18"/>
  <c r="L14" i="18"/>
  <c r="G14" i="18"/>
  <c r="S13" i="18"/>
  <c r="R13" i="18"/>
  <c r="Q13" i="18"/>
  <c r="L13" i="18"/>
  <c r="G13" i="18"/>
  <c r="S11" i="18"/>
  <c r="R11" i="18"/>
  <c r="Q11" i="18"/>
  <c r="L11" i="18"/>
  <c r="G11" i="18"/>
  <c r="S10" i="18"/>
  <c r="R10" i="18"/>
  <c r="Q10" i="18"/>
  <c r="L10" i="18"/>
  <c r="G10" i="18"/>
  <c r="S9" i="18"/>
  <c r="R9" i="18"/>
  <c r="Q9" i="18"/>
  <c r="L9" i="18"/>
  <c r="G9" i="18"/>
  <c r="S8" i="18"/>
  <c r="R8" i="18"/>
  <c r="Q8" i="18"/>
  <c r="L8" i="18"/>
  <c r="G8" i="18"/>
  <c r="S7" i="18"/>
  <c r="R7" i="18"/>
  <c r="L7" i="18"/>
  <c r="G7" i="18"/>
  <c r="S6" i="18"/>
  <c r="R6" i="18"/>
  <c r="Q6" i="18"/>
  <c r="L6" i="18"/>
  <c r="G6" i="18"/>
  <c r="S5" i="18"/>
  <c r="R5" i="18"/>
  <c r="Q5" i="18"/>
  <c r="L5" i="18"/>
  <c r="G5" i="18"/>
  <c r="K32" i="17"/>
  <c r="K31" i="17"/>
  <c r="K30" i="17"/>
  <c r="S29" i="17"/>
  <c r="R29" i="17"/>
  <c r="Q29" i="17"/>
  <c r="P29" i="17"/>
  <c r="O29" i="17"/>
  <c r="N29" i="17"/>
  <c r="M29" i="17"/>
  <c r="L29" i="17"/>
  <c r="K29" i="17"/>
  <c r="J29" i="17"/>
  <c r="I29" i="17"/>
  <c r="H29" i="17"/>
  <c r="G29" i="17"/>
  <c r="K27" i="17"/>
  <c r="K26" i="17"/>
  <c r="K25" i="17"/>
  <c r="S24" i="17"/>
  <c r="R24" i="17"/>
  <c r="Q24" i="17"/>
  <c r="P24" i="17"/>
  <c r="O24" i="17"/>
  <c r="N24" i="17"/>
  <c r="M24" i="17"/>
  <c r="L24" i="17"/>
  <c r="K24" i="17"/>
  <c r="J24" i="17"/>
  <c r="I24" i="17"/>
  <c r="H24" i="17"/>
  <c r="G24" i="17"/>
  <c r="K22" i="17"/>
  <c r="F22" i="17"/>
  <c r="K21" i="17"/>
  <c r="F21" i="17"/>
  <c r="K20" i="17"/>
  <c r="F20" i="17"/>
  <c r="K19" i="17"/>
  <c r="F19" i="17"/>
  <c r="K18" i="17"/>
  <c r="K17" i="17" s="1"/>
  <c r="F18" i="17"/>
  <c r="S17" i="17"/>
  <c r="R17" i="17"/>
  <c r="Q17" i="17"/>
  <c r="P17" i="17"/>
  <c r="O17" i="17"/>
  <c r="N17" i="17"/>
  <c r="M17" i="17"/>
  <c r="L17" i="17"/>
  <c r="J17" i="17"/>
  <c r="I17" i="17"/>
  <c r="H17" i="17"/>
  <c r="G17" i="17"/>
  <c r="F17" i="17"/>
  <c r="E17" i="17"/>
  <c r="D17" i="17"/>
  <c r="C17" i="17"/>
  <c r="B17" i="17"/>
  <c r="L16" i="17"/>
  <c r="H16" i="17"/>
  <c r="G16" i="17"/>
  <c r="D16" i="17"/>
  <c r="C16" i="17"/>
  <c r="N15" i="17"/>
  <c r="K15" i="17"/>
  <c r="F15" i="17"/>
  <c r="K12" i="17"/>
  <c r="F12" i="17"/>
  <c r="K11" i="17"/>
  <c r="F11" i="17"/>
  <c r="K10" i="17"/>
  <c r="F10" i="17"/>
  <c r="K9" i="17"/>
  <c r="F9" i="17"/>
  <c r="K8" i="17"/>
  <c r="K7" i="17" s="1"/>
  <c r="F8" i="17"/>
  <c r="S7" i="17"/>
  <c r="R7" i="17"/>
  <c r="R5" i="17" s="1"/>
  <c r="Q7" i="17"/>
  <c r="Q16" i="17" s="1"/>
  <c r="P7" i="17"/>
  <c r="O7" i="17"/>
  <c r="N7" i="17"/>
  <c r="N5" i="17" s="1"/>
  <c r="M7" i="17"/>
  <c r="M16" i="17" s="1"/>
  <c r="L7" i="17"/>
  <c r="J7" i="17"/>
  <c r="J16" i="17" s="1"/>
  <c r="I7" i="17"/>
  <c r="I16" i="17" s="1"/>
  <c r="H7" i="17"/>
  <c r="G7" i="17"/>
  <c r="F7" i="17"/>
  <c r="F16" i="17" s="1"/>
  <c r="E7" i="17"/>
  <c r="E16" i="17" s="1"/>
  <c r="D7" i="17"/>
  <c r="C7" i="17"/>
  <c r="B7" i="17"/>
  <c r="B16" i="17" s="1"/>
  <c r="S5" i="17"/>
  <c r="P5" i="17"/>
  <c r="O5" i="17"/>
  <c r="L5" i="17"/>
  <c r="H5" i="17"/>
  <c r="G5" i="17"/>
  <c r="T9" i="18" l="1"/>
  <c r="T5" i="18"/>
  <c r="T13" i="18"/>
  <c r="T6" i="18"/>
  <c r="T10" i="18"/>
  <c r="T7" i="18"/>
  <c r="T8" i="18"/>
  <c r="T11" i="18"/>
  <c r="T14" i="18"/>
  <c r="K5" i="17"/>
  <c r="K16" i="17"/>
  <c r="I5" i="17"/>
  <c r="M5" i="17"/>
  <c r="Q5" i="17"/>
  <c r="J5" i="17"/>
  <c r="B58" i="6" l="1"/>
  <c r="I58" i="6"/>
  <c r="J58" i="6"/>
  <c r="K58" i="6"/>
  <c r="L58" i="6"/>
  <c r="M58" i="6"/>
  <c r="N58" i="6"/>
  <c r="O58" i="6"/>
  <c r="P58" i="6"/>
  <c r="J64" i="4"/>
  <c r="I64" i="4"/>
  <c r="H64" i="4"/>
  <c r="G64" i="4"/>
  <c r="F64" i="4"/>
  <c r="E64" i="4"/>
  <c r="D64" i="4"/>
  <c r="C64" i="4"/>
  <c r="J63" i="4"/>
  <c r="I63" i="4"/>
  <c r="H63" i="4"/>
  <c r="G63" i="4"/>
  <c r="F63" i="4"/>
  <c r="E63" i="4"/>
  <c r="D63" i="4"/>
  <c r="C63" i="4"/>
  <c r="J62" i="4"/>
  <c r="I62" i="4"/>
  <c r="H62" i="4"/>
  <c r="G62" i="4"/>
  <c r="F62" i="4"/>
  <c r="E62" i="4"/>
  <c r="D62" i="4"/>
  <c r="C62" i="4"/>
  <c r="J60" i="4"/>
  <c r="I60" i="4"/>
  <c r="H60" i="4"/>
  <c r="G60" i="4"/>
  <c r="F60" i="4"/>
  <c r="E60" i="4"/>
  <c r="D60" i="4"/>
  <c r="C60" i="4"/>
  <c r="J57" i="4"/>
  <c r="I57" i="4"/>
  <c r="H57" i="4"/>
  <c r="G57" i="4"/>
  <c r="F57" i="4"/>
  <c r="E57" i="4"/>
  <c r="D57" i="4"/>
  <c r="C57" i="4"/>
  <c r="J56" i="4"/>
  <c r="I56" i="4"/>
  <c r="H56" i="4"/>
  <c r="G56" i="4"/>
  <c r="F56" i="4"/>
  <c r="E56" i="4"/>
  <c r="D56" i="4"/>
  <c r="C56" i="4"/>
  <c r="J55" i="4"/>
  <c r="I55" i="4"/>
  <c r="I65" i="4" s="1"/>
  <c r="H55" i="4"/>
  <c r="G55" i="4"/>
  <c r="F55" i="4"/>
  <c r="E55" i="4"/>
  <c r="D55" i="4"/>
  <c r="C55" i="4"/>
  <c r="J52" i="4"/>
  <c r="I52" i="4"/>
  <c r="H52" i="4"/>
  <c r="G52" i="4"/>
  <c r="F52" i="4"/>
  <c r="E52" i="4"/>
  <c r="D52" i="4"/>
  <c r="C52" i="4"/>
  <c r="J51" i="4"/>
  <c r="I51" i="4"/>
  <c r="H51" i="4"/>
  <c r="G51" i="4"/>
  <c r="F51" i="4"/>
  <c r="E51" i="4"/>
  <c r="D51" i="4"/>
  <c r="C51" i="4"/>
  <c r="J50" i="4"/>
  <c r="I50" i="4"/>
  <c r="H50" i="4"/>
  <c r="G50" i="4"/>
  <c r="F50" i="4"/>
  <c r="E50" i="4"/>
  <c r="D50" i="4"/>
  <c r="C50" i="4"/>
  <c r="J48" i="4"/>
  <c r="I48" i="4"/>
  <c r="H48" i="4"/>
  <c r="G48" i="4"/>
  <c r="F48" i="4"/>
  <c r="E48" i="4"/>
  <c r="D48" i="4"/>
  <c r="C48" i="4"/>
  <c r="J47" i="4"/>
  <c r="I47" i="4"/>
  <c r="H47" i="4"/>
  <c r="G47" i="4"/>
  <c r="F47" i="4"/>
  <c r="E47" i="4"/>
  <c r="D47" i="4"/>
  <c r="C47" i="4"/>
  <c r="J46" i="4"/>
  <c r="I46" i="4"/>
  <c r="H46" i="4"/>
  <c r="G46" i="4"/>
  <c r="F46" i="4"/>
  <c r="E46" i="4"/>
  <c r="D46" i="4"/>
  <c r="C46" i="4"/>
  <c r="J42" i="4"/>
  <c r="I42" i="4"/>
  <c r="H42" i="4"/>
  <c r="G42" i="4"/>
  <c r="F42" i="4"/>
  <c r="E42" i="4"/>
  <c r="D42" i="4"/>
  <c r="C42" i="4"/>
  <c r="I41" i="4"/>
  <c r="H41" i="4"/>
  <c r="G41" i="4"/>
  <c r="F41" i="4"/>
  <c r="E41" i="4"/>
  <c r="D41" i="4"/>
  <c r="C41" i="4"/>
  <c r="J38" i="4"/>
  <c r="I38" i="4"/>
  <c r="H38" i="4"/>
  <c r="G38" i="4"/>
  <c r="F38" i="4"/>
  <c r="E38" i="4"/>
  <c r="D38" i="4"/>
  <c r="C38" i="4"/>
  <c r="J35" i="4"/>
  <c r="I35" i="4"/>
  <c r="H35" i="4"/>
  <c r="G35" i="4"/>
  <c r="F35" i="4"/>
  <c r="E35" i="4"/>
  <c r="D35" i="4"/>
  <c r="C35" i="4"/>
  <c r="J30" i="4"/>
  <c r="I30" i="4"/>
  <c r="H30" i="4"/>
  <c r="G30" i="4"/>
  <c r="F30" i="4"/>
  <c r="E30" i="4"/>
  <c r="D30" i="4"/>
  <c r="C30" i="4"/>
  <c r="J27" i="4"/>
  <c r="I27" i="4"/>
  <c r="H27" i="4"/>
  <c r="G27" i="4"/>
  <c r="F27" i="4"/>
  <c r="E27" i="4"/>
  <c r="D27" i="4"/>
  <c r="C27" i="4"/>
  <c r="J26" i="4"/>
  <c r="I26" i="4"/>
  <c r="H26" i="4"/>
  <c r="G26" i="4"/>
  <c r="F26" i="4"/>
  <c r="E26" i="4"/>
  <c r="D26" i="4"/>
  <c r="C26" i="4"/>
  <c r="J25" i="4"/>
  <c r="I25" i="4"/>
  <c r="H25" i="4"/>
  <c r="G25" i="4"/>
  <c r="F25" i="4"/>
  <c r="E25" i="4"/>
  <c r="D25" i="4"/>
  <c r="C25" i="4"/>
  <c r="J24" i="4"/>
  <c r="I24" i="4"/>
  <c r="H24" i="4"/>
  <c r="G24" i="4"/>
  <c r="F24" i="4"/>
  <c r="E24" i="4"/>
  <c r="D24" i="4"/>
  <c r="C24" i="4"/>
  <c r="J22" i="4"/>
  <c r="I22" i="4"/>
  <c r="H22" i="4"/>
  <c r="G22" i="4"/>
  <c r="F22" i="4"/>
  <c r="E22" i="4"/>
  <c r="D22" i="4"/>
  <c r="C22"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1" i="4"/>
  <c r="H29" i="4"/>
  <c r="H28" i="4"/>
  <c r="H23" i="4"/>
  <c r="G53" i="4"/>
  <c r="G49" i="4"/>
  <c r="G23" i="4"/>
  <c r="F31" i="4"/>
  <c r="F29" i="4"/>
  <c r="F28" i="4"/>
  <c r="F23" i="4"/>
  <c r="E28" i="4"/>
  <c r="E23" i="4"/>
  <c r="D53" i="4"/>
  <c r="D49" i="4"/>
  <c r="D31" i="4"/>
  <c r="D23" i="4"/>
  <c r="C53" i="4"/>
  <c r="C49" i="4"/>
  <c r="C31" i="4"/>
  <c r="C29" i="4"/>
  <c r="C28" i="4"/>
  <c r="C23" i="4"/>
  <c r="B64" i="4"/>
  <c r="B63" i="4"/>
  <c r="B62" i="4"/>
  <c r="B60" i="4"/>
  <c r="B57" i="4"/>
  <c r="B56" i="4"/>
  <c r="B55" i="4"/>
  <c r="L53" i="4"/>
  <c r="K53" i="4"/>
  <c r="B53" i="4"/>
  <c r="B52" i="4"/>
  <c r="B50" i="4"/>
  <c r="B49" i="4"/>
  <c r="B48" i="4"/>
  <c r="B47" i="4"/>
  <c r="B42" i="4"/>
  <c r="B40" i="4"/>
  <c r="B39" i="4"/>
  <c r="B37" i="4"/>
  <c r="B36" i="4"/>
  <c r="B35" i="4"/>
  <c r="B30" i="4"/>
  <c r="B27" i="4"/>
  <c r="B25" i="4"/>
  <c r="B24" i="4"/>
  <c r="B23" i="4"/>
  <c r="B22" i="4"/>
  <c r="B20" i="4"/>
  <c r="B18" i="4"/>
  <c r="B15" i="4"/>
  <c r="B12" i="4"/>
  <c r="B11" i="4"/>
  <c r="B10" i="4"/>
  <c r="B9" i="4"/>
  <c r="B8" i="4"/>
  <c r="B7" i="4"/>
  <c r="B6" i="4"/>
  <c r="B5" i="4"/>
  <c r="L32" i="4"/>
  <c r="O32" i="4"/>
  <c r="P32" i="4"/>
  <c r="L28" i="4"/>
  <c r="K28" i="4"/>
  <c r="K32" i="4" s="1"/>
  <c r="G32" i="4" l="1"/>
  <c r="B54" i="4"/>
  <c r="B32" i="4"/>
  <c r="J32" i="4"/>
  <c r="I32" i="4"/>
  <c r="H32" i="4"/>
  <c r="F32" i="4"/>
  <c r="E32" i="4"/>
  <c r="D32" i="4"/>
  <c r="C32" i="4"/>
  <c r="P47" i="6" l="1"/>
  <c r="P5" i="6"/>
  <c r="P65" i="4"/>
  <c r="P54" i="4"/>
  <c r="P43" i="4"/>
  <c r="P45" i="4" s="1"/>
  <c r="P19" i="4"/>
  <c r="P66" i="4" l="1"/>
  <c r="P67" i="4" s="1"/>
  <c r="P33" i="4"/>
  <c r="S4" i="9" l="1"/>
  <c r="S19" i="9" l="1"/>
  <c r="O47" i="6"/>
  <c r="O5" i="6"/>
  <c r="O28" i="6" s="1"/>
  <c r="O31" i="6" s="1"/>
  <c r="O54" i="4"/>
  <c r="O65" i="4"/>
  <c r="O43" i="4"/>
  <c r="O45" i="4" s="1"/>
  <c r="O19" i="4"/>
  <c r="R4" i="9"/>
  <c r="N65" i="4"/>
  <c r="M65" i="4"/>
  <c r="N54" i="4"/>
  <c r="M54" i="4"/>
  <c r="N19" i="4"/>
  <c r="M19" i="4"/>
  <c r="N47" i="6"/>
  <c r="N5" i="6"/>
  <c r="N28" i="6" s="1"/>
  <c r="N31" i="6" s="1"/>
  <c r="N43" i="4"/>
  <c r="N45" i="4" s="1"/>
  <c r="Q4" i="9"/>
  <c r="S26" i="9" l="1"/>
  <c r="S27" i="9" s="1"/>
  <c r="S30" i="9"/>
  <c r="S31" i="9" s="1"/>
  <c r="O66" i="4"/>
  <c r="O59" i="6"/>
  <c r="O62" i="6" s="1"/>
  <c r="R19" i="9"/>
  <c r="O33" i="4"/>
  <c r="N59" i="6"/>
  <c r="N62" i="6" s="1"/>
  <c r="N66" i="4"/>
  <c r="Q19" i="9"/>
  <c r="M47" i="6"/>
  <c r="M5" i="6"/>
  <c r="M43" i="4"/>
  <c r="M45" i="4" s="1"/>
  <c r="O4" i="9"/>
  <c r="P25" i="9"/>
  <c r="P21" i="9"/>
  <c r="P20" i="9"/>
  <c r="P18" i="9"/>
  <c r="P17" i="9"/>
  <c r="P16" i="9"/>
  <c r="P15" i="9"/>
  <c r="P14" i="9"/>
  <c r="P13" i="9"/>
  <c r="P8" i="9"/>
  <c r="P7" i="9"/>
  <c r="P6" i="9"/>
  <c r="P5" i="9"/>
  <c r="S29" i="9" l="1"/>
  <c r="Q26" i="9"/>
  <c r="Q27" i="9" s="1"/>
  <c r="Q30" i="9"/>
  <c r="R26" i="9"/>
  <c r="R29" i="9" s="1"/>
  <c r="R30" i="9"/>
  <c r="R31" i="9" s="1"/>
  <c r="P9" i="9"/>
  <c r="O67" i="4"/>
  <c r="N67" i="4"/>
  <c r="Q31" i="9"/>
  <c r="M66" i="4"/>
  <c r="O19" i="9"/>
  <c r="P4" i="9"/>
  <c r="N4" i="9"/>
  <c r="L47" i="6"/>
  <c r="L5" i="6"/>
  <c r="L65" i="4"/>
  <c r="L54" i="4"/>
  <c r="L43" i="4"/>
  <c r="L45" i="4" s="1"/>
  <c r="L19" i="4"/>
  <c r="F16" i="9"/>
  <c r="K16" i="9"/>
  <c r="R27" i="9" l="1"/>
  <c r="Q29" i="9"/>
  <c r="P4" i="6"/>
  <c r="P28" i="6" s="1"/>
  <c r="P31" i="6" s="1"/>
  <c r="P59" i="6" s="1"/>
  <c r="P62" i="6" s="1"/>
  <c r="O30" i="9"/>
  <c r="O31" i="9" s="1"/>
  <c r="M67" i="4"/>
  <c r="N19" i="9"/>
  <c r="O26" i="9"/>
  <c r="P19" i="9"/>
  <c r="L28" i="6"/>
  <c r="L31" i="6" s="1"/>
  <c r="L59" i="6" s="1"/>
  <c r="L62" i="6" s="1"/>
  <c r="L66" i="4"/>
  <c r="L33" i="4"/>
  <c r="P30" i="9" l="1"/>
  <c r="N30" i="9"/>
  <c r="N31" i="9" s="1"/>
  <c r="O27" i="9"/>
  <c r="O29" i="9"/>
  <c r="L67" i="4"/>
  <c r="N26" i="9"/>
  <c r="N27" i="9" l="1"/>
  <c r="N29" i="9"/>
  <c r="P31" i="9"/>
  <c r="P26" i="9"/>
  <c r="P27" i="9" l="1"/>
  <c r="P29" i="9"/>
  <c r="M4" i="6"/>
  <c r="M28" i="6" s="1"/>
  <c r="D5" i="6"/>
  <c r="C5" i="6"/>
  <c r="B5" i="6"/>
  <c r="H53" i="6"/>
  <c r="H58" i="6" s="1"/>
  <c r="G53" i="6"/>
  <c r="G58" i="6" s="1"/>
  <c r="F53" i="6"/>
  <c r="F58" i="6" s="1"/>
  <c r="E53" i="6"/>
  <c r="E58" i="6" s="1"/>
  <c r="D53" i="6"/>
  <c r="D58" i="6" s="1"/>
  <c r="C53" i="6"/>
  <c r="C58" i="6" s="1"/>
  <c r="M31" i="6" l="1"/>
  <c r="I44" i="4"/>
  <c r="J44" i="4"/>
  <c r="H44" i="4"/>
  <c r="B47" i="6"/>
  <c r="C47" i="6"/>
  <c r="D47" i="6"/>
  <c r="E47" i="6"/>
  <c r="F47" i="6"/>
  <c r="G47" i="6"/>
  <c r="H47" i="6"/>
  <c r="I47" i="6"/>
  <c r="J47" i="6"/>
  <c r="K47" i="6"/>
  <c r="N23" i="4" l="1"/>
  <c r="N32" i="4" s="1"/>
  <c r="M23" i="4"/>
  <c r="M29" i="4"/>
  <c r="M59" i="6"/>
  <c r="K5" i="6"/>
  <c r="K65" i="4"/>
  <c r="K54" i="4"/>
  <c r="K43" i="4"/>
  <c r="K45" i="4" s="1"/>
  <c r="K19" i="4"/>
  <c r="M4" i="9"/>
  <c r="H4" i="9"/>
  <c r="I4" i="9"/>
  <c r="J4" i="9"/>
  <c r="G4" i="9"/>
  <c r="K25" i="9"/>
  <c r="F25" i="9"/>
  <c r="K21" i="9"/>
  <c r="K20" i="9"/>
  <c r="F21" i="9"/>
  <c r="F20" i="9"/>
  <c r="K14" i="9"/>
  <c r="K15" i="9"/>
  <c r="K17" i="9"/>
  <c r="K18" i="9"/>
  <c r="K13" i="9"/>
  <c r="F14" i="9"/>
  <c r="F15" i="9"/>
  <c r="F17" i="9"/>
  <c r="F18" i="9"/>
  <c r="F13" i="9"/>
  <c r="K6" i="9"/>
  <c r="K7" i="9"/>
  <c r="K8" i="9"/>
  <c r="K5" i="9"/>
  <c r="F6" i="9"/>
  <c r="F7" i="9"/>
  <c r="F8" i="9"/>
  <c r="F5" i="9"/>
  <c r="C4" i="9"/>
  <c r="D4" i="9"/>
  <c r="E4" i="9"/>
  <c r="B4" i="9"/>
  <c r="F9" i="9" l="1"/>
  <c r="K9" i="9"/>
  <c r="M32" i="4"/>
  <c r="H43" i="4"/>
  <c r="H45" i="4" s="1"/>
  <c r="D65" i="4"/>
  <c r="C54" i="4"/>
  <c r="G43" i="4"/>
  <c r="G45" i="4" s="1"/>
  <c r="H54" i="4"/>
  <c r="I43" i="4"/>
  <c r="I45" i="4" s="1"/>
  <c r="C65" i="4"/>
  <c r="E65" i="4"/>
  <c r="I54" i="4"/>
  <c r="F43" i="4"/>
  <c r="F45" i="4" s="1"/>
  <c r="D43" i="4"/>
  <c r="D45" i="4" s="1"/>
  <c r="J65" i="4"/>
  <c r="E54" i="4"/>
  <c r="B43" i="4"/>
  <c r="B45" i="4" s="1"/>
  <c r="D54" i="4"/>
  <c r="G65" i="4"/>
  <c r="F65" i="4"/>
  <c r="J54" i="4"/>
  <c r="G54" i="4"/>
  <c r="B65" i="4"/>
  <c r="E43" i="4"/>
  <c r="E45" i="4" s="1"/>
  <c r="J19" i="4"/>
  <c r="H65" i="4"/>
  <c r="F54" i="4"/>
  <c r="C43" i="4"/>
  <c r="C45" i="4" s="1"/>
  <c r="J43" i="4"/>
  <c r="J45" i="4" s="1"/>
  <c r="M62" i="6"/>
  <c r="L4" i="9"/>
  <c r="F19" i="4"/>
  <c r="E19" i="4"/>
  <c r="G19" i="4"/>
  <c r="B19" i="4"/>
  <c r="H19" i="4"/>
  <c r="I19" i="4"/>
  <c r="D19" i="4"/>
  <c r="C19" i="4"/>
  <c r="K33" i="4"/>
  <c r="K66" i="4"/>
  <c r="B19" i="9"/>
  <c r="B30" i="9" s="1"/>
  <c r="D66" i="4" l="1"/>
  <c r="H66" i="4"/>
  <c r="H67" i="4" s="1"/>
  <c r="B66" i="4"/>
  <c r="B67" i="4" s="1"/>
  <c r="J66" i="4"/>
  <c r="J67" i="4" s="1"/>
  <c r="I66" i="4"/>
  <c r="I67" i="4" s="1"/>
  <c r="F33" i="4"/>
  <c r="E66" i="4"/>
  <c r="E67" i="4" s="1"/>
  <c r="C66" i="4"/>
  <c r="C67" i="4" s="1"/>
  <c r="D67" i="4"/>
  <c r="G66" i="4"/>
  <c r="G67" i="4" s="1"/>
  <c r="I33" i="4"/>
  <c r="N33" i="4"/>
  <c r="F66" i="4"/>
  <c r="F67" i="4" s="1"/>
  <c r="G33" i="4"/>
  <c r="M33" i="4"/>
  <c r="D33" i="4"/>
  <c r="B31" i="9"/>
  <c r="C33" i="4"/>
  <c r="K67" i="4"/>
  <c r="B33" i="4"/>
  <c r="E33" i="4"/>
  <c r="J33" i="4"/>
  <c r="H33" i="4"/>
  <c r="M19" i="9" l="1"/>
  <c r="M30" i="9" s="1"/>
  <c r="L19" i="9"/>
  <c r="L30" i="9" s="1"/>
  <c r="J19" i="9"/>
  <c r="J30" i="9" s="1"/>
  <c r="I19" i="9"/>
  <c r="I30" i="9" s="1"/>
  <c r="H19" i="9"/>
  <c r="H30" i="9" s="1"/>
  <c r="G19" i="9"/>
  <c r="G30" i="9" s="1"/>
  <c r="E19" i="9"/>
  <c r="E30" i="9" s="1"/>
  <c r="D19" i="9"/>
  <c r="D30" i="9" s="1"/>
  <c r="C19" i="9"/>
  <c r="C30" i="9" s="1"/>
  <c r="B26" i="9"/>
  <c r="K4" i="9"/>
  <c r="F4" i="9"/>
  <c r="F19" i="9" s="1"/>
  <c r="F30" i="9" l="1"/>
  <c r="B27" i="9"/>
  <c r="B29" i="9"/>
  <c r="D26" i="9"/>
  <c r="D31" i="9"/>
  <c r="L26" i="9"/>
  <c r="L31" i="9"/>
  <c r="G31" i="9"/>
  <c r="G26" i="9"/>
  <c r="J31" i="9"/>
  <c r="J26" i="9"/>
  <c r="H26" i="9"/>
  <c r="H31" i="9"/>
  <c r="C26" i="9"/>
  <c r="C31" i="9"/>
  <c r="E31" i="9"/>
  <c r="E26" i="9"/>
  <c r="I26" i="9"/>
  <c r="I31" i="9"/>
  <c r="M26" i="9"/>
  <c r="M31" i="9"/>
  <c r="K19" i="9"/>
  <c r="F26" i="9"/>
  <c r="F31" i="9"/>
  <c r="K30" i="9" l="1"/>
  <c r="G27" i="9"/>
  <c r="G29" i="9"/>
  <c r="M27" i="9"/>
  <c r="M29" i="9"/>
  <c r="D27" i="9"/>
  <c r="D29" i="9"/>
  <c r="J27" i="9"/>
  <c r="J29" i="9"/>
  <c r="E27" i="9"/>
  <c r="E29" i="9"/>
  <c r="H27" i="9"/>
  <c r="H29" i="9"/>
  <c r="I27" i="9"/>
  <c r="I29" i="9"/>
  <c r="C27" i="9"/>
  <c r="C29" i="9"/>
  <c r="L27" i="9"/>
  <c r="L29" i="9"/>
  <c r="F27" i="9"/>
  <c r="F29" i="9"/>
  <c r="K26" i="9"/>
  <c r="K31" i="9"/>
  <c r="K4" i="6"/>
  <c r="K28" i="6" s="1"/>
  <c r="K31" i="6" s="1"/>
  <c r="K59" i="6" s="1"/>
  <c r="K62" i="6" s="1"/>
  <c r="K27" i="9" l="1"/>
  <c r="K29" i="9"/>
  <c r="C28" i="6"/>
  <c r="C31" i="6" s="1"/>
  <c r="C59" i="6" l="1"/>
  <c r="C62" i="6" s="1"/>
  <c r="E5" i="6" l="1"/>
  <c r="E28" i="6" s="1"/>
  <c r="E31" i="6" s="1"/>
  <c r="E59" i="6" s="1"/>
  <c r="E62" i="6" s="1"/>
  <c r="J5" i="6"/>
  <c r="J28" i="6" s="1"/>
  <c r="J31" i="6" s="1"/>
  <c r="J59" i="6" s="1"/>
  <c r="J62" i="6" s="1"/>
  <c r="B28" i="6"/>
  <c r="B31" i="6" s="1"/>
  <c r="B59" i="6" s="1"/>
  <c r="B62" i="6" s="1"/>
  <c r="F5" i="6"/>
  <c r="F28" i="6" s="1"/>
  <c r="F31" i="6" s="1"/>
  <c r="F59" i="6" s="1"/>
  <c r="F62" i="6" s="1"/>
  <c r="G5" i="6"/>
  <c r="G28" i="6" s="1"/>
  <c r="G31" i="6" s="1"/>
  <c r="G59" i="6" s="1"/>
  <c r="G62" i="6" s="1"/>
  <c r="D28" i="6"/>
  <c r="D31" i="6" s="1"/>
  <c r="D59" i="6" s="1"/>
  <c r="D62" i="6" s="1"/>
  <c r="I5" i="6"/>
  <c r="I28" i="6" s="1"/>
  <c r="I31" i="6" s="1"/>
  <c r="I59" i="6" s="1"/>
  <c r="I62" i="6" s="1"/>
  <c r="H5" i="6"/>
  <c r="H28" i="6" s="1"/>
  <c r="H31" i="6" s="1"/>
  <c r="H59" i="6" s="1"/>
  <c r="H62" i="6" s="1"/>
</calcChain>
</file>

<file path=xl/comments1.xml><?xml version="1.0" encoding="utf-8"?>
<comments xmlns="http://schemas.openxmlformats.org/spreadsheetml/2006/main">
  <authors>
    <author>Agata Wiktorow</author>
  </authors>
  <commentList>
    <comment ref="A2" authorId="0">
      <text>
        <r>
          <rPr>
            <b/>
            <sz val="9"/>
            <color indexed="81"/>
            <rFont val="Tahoma"/>
            <family val="2"/>
            <charset val="238"/>
          </rPr>
          <t>Agata Wiktorow:</t>
        </r>
        <r>
          <rPr>
            <sz val="9"/>
            <color indexed="81"/>
            <rFont val="Tahoma"/>
            <family val="2"/>
            <charset val="238"/>
          </rPr>
          <t xml:space="preserve">
update disclaimer - MSSF15 impact on ARPU
</t>
        </r>
      </text>
    </comment>
  </commentList>
</comments>
</file>

<file path=xl/sharedStrings.xml><?xml version="1.0" encoding="utf-8"?>
<sst xmlns="http://schemas.openxmlformats.org/spreadsheetml/2006/main" count="549" uniqueCount="284">
  <si>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</si>
  <si>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</si>
  <si>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</si>
  <si>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</si>
  <si>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</si>
  <si>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</si>
  <si>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</si>
  <si>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</si>
  <si>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</si>
  <si>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</si>
  <si>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</si>
  <si>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</si>
  <si>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</si>
  <si>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</si>
  <si>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</si>
  <si>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</si>
  <si>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</si>
  <si>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</si>
  <si>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</si>
  <si>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</si>
  <si>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</si>
  <si>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</si>
  <si>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</si>
  <si>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</si>
  <si>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</si>
  <si>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</si>
  <si>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</si>
  <si>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</si>
  <si>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</si>
  <si>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</si>
  <si>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</si>
  <si>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</si>
  <si>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</si>
  <si>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</si>
  <si>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</si>
  <si>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</si>
  <si>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</si>
  <si>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</si>
  <si>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</si>
  <si>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</si>
  <si>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</si>
  <si>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</si>
  <si>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</si>
  <si>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</si>
  <si>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</si>
  <si>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</si>
  <si>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</si>
  <si>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</si>
  <si>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</si>
  <si>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</si>
  <si>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</si>
  <si>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</si>
  <si>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</si>
  <si>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</si>
  <si>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</si>
  <si>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</si>
  <si>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</si>
  <si>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</si>
  <si>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</si>
  <si>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</si>
  <si>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</si>
  <si>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</si>
  <si>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</si>
  <si>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</si>
  <si>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</si>
  <si>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</si>
  <si>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</si>
  <si>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</si>
  <si>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</si>
  <si>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</si>
  <si>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</si>
  <si>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</si>
  <si>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</si>
  <si>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</si>
  <si>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</si>
  <si>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</si>
  <si>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</si>
  <si>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</si>
  <si>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</si>
  <si>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</si>
  <si>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</si>
  <si>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</si>
  <si>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</si>
  <si>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</si>
  <si>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</si>
  <si>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</si>
  <si>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</si>
  <si>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</si>
  <si>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</si>
  <si>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</si>
  <si>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</si>
  <si>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</si>
  <si>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</si>
  <si>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</si>
  <si>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</si>
  <si>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</si>
  <si>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</si>
  <si>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</si>
  <si>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</si>
  <si>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</si>
  <si>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</si>
  <si>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</si>
  <si>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</si>
  <si>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</si>
  <si>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</si>
  <si>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</si>
  <si>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</si>
  <si>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</si>
  <si>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</si>
  <si>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</si>
  <si>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</si>
  <si>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</si>
  <si>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</si>
  <si>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</si>
  <si>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</si>
  <si>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</si>
  <si>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</si>
  <si>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</si>
  <si>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</si>
  <si>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</si>
  <si>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</si>
  <si>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</si>
  <si>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</si>
  <si>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</si>
  <si>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</si>
  <si>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</si>
  <si>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</si>
  <si>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</si>
  <si>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</si>
  <si>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</si>
  <si>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</si>
  <si>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</si>
  <si>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</si>
  <si>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</si>
  <si>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</si>
  <si>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</si>
  <si>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</si>
  <si>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</si>
  <si>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</si>
  <si>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</si>
  <si>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</si>
  <si>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</si>
  <si>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</si>
  <si>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</si>
  <si>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</si>
  <si>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</si>
  <si>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</si>
  <si>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</si>
  <si>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</si>
  <si>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</si>
  <si>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</si>
  <si>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</si>
  <si>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</si>
  <si>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</si>
  <si>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</si>
  <si>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</si>
  <si>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</si>
  <si>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</si>
  <si>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</si>
  <si>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</si>
  <si>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</si>
  <si>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</si>
  <si>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</si>
  <si>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</si>
  <si>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</si>
  <si>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</si>
  <si>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</si>
  <si>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</si>
  <si>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</si>
  <si>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</si>
  <si>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</si>
  <si>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</si>
  <si>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</si>
  <si>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</si>
  <si>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</si>
  <si>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</si>
  <si>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</si>
  <si>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</si>
  <si>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</si>
  <si>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</si>
  <si>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</si>
  <si>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</si>
  <si>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</si>
  <si>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</si>
  <si>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</si>
  <si>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</si>
  <si>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</si>
  <si>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</si>
  <si>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</si>
  <si>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</si>
  <si>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</si>
  <si>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</si>
  <si>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</si>
  <si>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</si>
  <si>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</si>
  <si>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</si>
  <si>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</si>
  <si>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</si>
  <si>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</si>
  <si>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</si>
  <si>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</si>
  <si>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</si>
  <si>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</si>
  <si>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</si>
  <si>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</si>
  <si>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</si>
  <si>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</si>
  <si>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</si>
  <si>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</si>
  <si>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</si>
  <si>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</si>
  <si>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</si>
  <si>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</si>
  <si>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Super Polsat</t>
    </r>
    <r>
      <rPr>
        <vertAlign val="superscript"/>
        <sz val="11"/>
        <color theme="1"/>
        <rFont val="Calibri"/>
        <family val="2"/>
        <charset val="238"/>
        <scheme val="minor"/>
      </rPr>
      <t>(3)</t>
    </r>
  </si>
  <si>
    <r>
      <t>Polsat Sport News HD</t>
    </r>
    <r>
      <rPr>
        <vertAlign val="superscript"/>
        <sz val="11"/>
        <color theme="1"/>
        <rFont val="Calibri"/>
        <family val="2"/>
        <charset val="238"/>
        <scheme val="minor"/>
      </rPr>
      <t>(5)</t>
    </r>
  </si>
  <si>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</si>
  <si>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</si>
  <si>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</si>
  <si>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</si>
  <si>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</si>
  <si>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</si>
  <si>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</si>
  <si>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r>
      <t>Polsat Music HD</t>
    </r>
    <r>
      <rPr>
        <vertAlign val="superscript"/>
        <sz val="11"/>
        <color theme="1"/>
        <rFont val="Calibri"/>
        <family val="2"/>
        <charset val="238"/>
        <scheme val="minor"/>
      </rPr>
      <t>(4)</t>
    </r>
  </si>
  <si>
    <r>
      <t>Polsat Sport Fight</t>
    </r>
    <r>
      <rPr>
        <vertAlign val="superscript"/>
        <sz val="11"/>
        <color theme="1"/>
        <rFont val="Calibri"/>
        <family val="2"/>
        <charset val="238"/>
        <scheme val="minor"/>
      </rPr>
      <t>(7)</t>
    </r>
  </si>
  <si>
    <r>
      <t>Polsat 1</t>
    </r>
    <r>
      <rPr>
        <vertAlign val="superscript"/>
        <sz val="11"/>
        <color theme="1"/>
        <rFont val="Calibri"/>
        <family val="2"/>
        <charset val="238"/>
        <scheme val="minor"/>
      </rPr>
      <t>(8)</t>
    </r>
  </si>
  <si>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</si>
  <si>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4)</t>
  </si>
  <si>
    <t>Net (gain)/loss on derivatives</t>
  </si>
  <si>
    <t>Other inflows/(outflows)</t>
  </si>
  <si>
    <t>4) Item included in "Other inflows/(outflows)".</t>
  </si>
  <si>
    <t>Polo TV</t>
  </si>
  <si>
    <t>Eska TV</t>
  </si>
  <si>
    <t>Eska TV Extra</t>
  </si>
  <si>
    <t>Vox Music TV</t>
  </si>
  <si>
    <t>Eska Rock TV</t>
  </si>
  <si>
    <r>
      <t>Eska TV</t>
    </r>
    <r>
      <rPr>
        <vertAlign val="superscript"/>
        <sz val="9"/>
        <color theme="1"/>
        <rFont val="Arial Narrow"/>
        <family val="2"/>
        <charset val="238"/>
      </rPr>
      <t>(2)</t>
    </r>
  </si>
  <si>
    <r>
      <t>Polo TV</t>
    </r>
    <r>
      <rPr>
        <vertAlign val="superscript"/>
        <sz val="9"/>
        <color theme="1"/>
        <rFont val="Arial Narrow"/>
        <family val="2"/>
        <charset val="238"/>
      </rPr>
      <t>(2)</t>
    </r>
  </si>
  <si>
    <r>
      <t>Eska TV Extra</t>
    </r>
    <r>
      <rPr>
        <vertAlign val="superscript"/>
        <sz val="9"/>
        <color theme="1"/>
        <rFont val="Arial Narrow"/>
        <family val="2"/>
        <charset val="238"/>
      </rPr>
      <t>(2)</t>
    </r>
  </si>
  <si>
    <t xml:space="preserve">Polsat Sport </t>
  </si>
  <si>
    <r>
      <t>Vox Music TV</t>
    </r>
    <r>
      <rPr>
        <vertAlign val="superscript"/>
        <sz val="9"/>
        <color theme="1"/>
        <rFont val="Arial Narrow"/>
        <family val="2"/>
        <charset val="238"/>
      </rPr>
      <t>(2)</t>
    </r>
  </si>
  <si>
    <r>
      <t>Eska Rock TV</t>
    </r>
    <r>
      <rPr>
        <vertAlign val="superscript"/>
        <sz val="9"/>
        <color theme="1"/>
        <rFont val="Arial Narrow"/>
        <family val="2"/>
        <charset val="238"/>
      </rPr>
      <t>(2)</t>
    </r>
  </si>
  <si>
    <r>
      <t>Polsat Doku</t>
    </r>
    <r>
      <rPr>
        <vertAlign val="superscript"/>
        <sz val="9"/>
        <color theme="1"/>
        <rFont val="Arial Narrow"/>
        <family val="2"/>
        <charset val="238"/>
      </rPr>
      <t>(6)</t>
    </r>
  </si>
  <si>
    <t>Share of the profit of associates accounted for using the equity method</t>
  </si>
  <si>
    <t>Early redemption costs</t>
  </si>
  <si>
    <t>Acquisition of bonds issued by Midas</t>
  </si>
  <si>
    <r>
      <t>Share of the profit of a joint venture</t>
    </r>
    <r>
      <rPr>
        <sz val="10"/>
        <color indexed="8"/>
        <rFont val="Calibri"/>
        <family val="2"/>
        <charset val="238"/>
      </rPr>
      <t xml:space="preserve"> accounted for using the equity method</t>
    </r>
  </si>
  <si>
    <t>YTD 2018</t>
  </si>
  <si>
    <r>
      <t xml:space="preserve">2) Data presented in accordance with IAS 18 standard - they do not include the impact of the standards IFRS 9 </t>
    </r>
    <r>
      <rPr>
        <i/>
        <sz val="10"/>
        <color indexed="8"/>
        <rFont val="Calibri"/>
        <family val="2"/>
        <charset val="238"/>
      </rPr>
      <t>Financial Instruments</t>
    </r>
    <r>
      <rPr>
        <sz val="10"/>
        <color indexed="8"/>
        <rFont val="Calibri"/>
        <family val="2"/>
        <charset val="238"/>
      </rPr>
      <t xml:space="preserve"> and IFRS 15 </t>
    </r>
    <r>
      <rPr>
        <i/>
        <sz val="10"/>
        <color indexed="8"/>
        <rFont val="Calibri"/>
        <family val="2"/>
        <charset val="238"/>
      </rPr>
      <t>Revenue from Contracts with Customers</t>
    </r>
    <r>
      <rPr>
        <sz val="10"/>
        <color indexed="8"/>
        <rFont val="Calibri"/>
        <family val="2"/>
        <charset val="238"/>
      </rPr>
      <t xml:space="preserve">, applicable from January 1, 2018.  </t>
    </r>
  </si>
  <si>
    <t xml:space="preserve">3) Data presented in accordance with standards IFRS 9 Financial Instruments and IFRS 15 Revenue from Contracts with Customers. Data is not comparable to data for previous periods. </t>
  </si>
  <si>
    <t>for the 3-month period ended</t>
  </si>
  <si>
    <t>Balance as at March 31</t>
  </si>
  <si>
    <t>3 months ended March 31</t>
  </si>
  <si>
    <t>Contract assets</t>
  </si>
  <si>
    <t>Contract liabilities</t>
  </si>
  <si>
    <t>Change in contract assets</t>
  </si>
  <si>
    <t>Change in contract liabilities</t>
  </si>
  <si>
    <t>Acquisition of shares in associates and other entities</t>
  </si>
  <si>
    <t>Investment funds outflows</t>
  </si>
  <si>
    <r>
      <t>Super Polsat</t>
    </r>
    <r>
      <rPr>
        <vertAlign val="superscript"/>
        <sz val="9"/>
        <color theme="1"/>
        <rFont val="Arial Narrow"/>
        <family val="2"/>
        <charset val="238"/>
      </rPr>
      <t>(3)</t>
    </r>
  </si>
  <si>
    <r>
      <t>Polsat Doku</t>
    </r>
    <r>
      <rPr>
        <vertAlign val="superscript"/>
        <sz val="9"/>
        <color theme="1"/>
        <rFont val="Arial Narrow"/>
        <family val="2"/>
        <charset val="238"/>
      </rPr>
      <t>(5)</t>
    </r>
  </si>
  <si>
    <r>
      <t>Polsat Sport Fight</t>
    </r>
    <r>
      <rPr>
        <vertAlign val="superscript"/>
        <sz val="9"/>
        <color theme="1"/>
        <rFont val="Arial Narrow"/>
        <family val="2"/>
        <charset val="238"/>
      </rPr>
      <t>(6)</t>
    </r>
  </si>
  <si>
    <r>
      <t>Polsat Sport News HD</t>
    </r>
    <r>
      <rPr>
        <vertAlign val="superscript"/>
        <sz val="9"/>
        <color theme="1"/>
        <rFont val="Arial Narrow"/>
        <family val="2"/>
        <charset val="238"/>
      </rPr>
      <t>(7)</t>
    </r>
  </si>
  <si>
    <r>
      <t>Polsat 1</t>
    </r>
    <r>
      <rPr>
        <vertAlign val="superscript"/>
        <sz val="9"/>
        <color theme="1"/>
        <rFont val="Arial Narrow"/>
        <family val="2"/>
        <charset val="238"/>
      </rPr>
      <t>(8)</t>
    </r>
  </si>
  <si>
    <t>Fokus TV</t>
  </si>
  <si>
    <t>Nowa TV</t>
  </si>
  <si>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broadcast since February 10, 2017, data for the broadcasting period.
6) Channel broadcast since August 1, 2016, included in the telemetric panel since January 1, 2017.
7) Channel available only in cable and satellite networks since January 2, 2017 under the name “Polsat Sport News HD”.
8) Channel not included in the telemetric panel. 
9) Channels included in Polsat Group’s portfolio from March 4, 2017, data for the entire analyzed period.
10) Our estimates based on Starcom data.</t>
  </si>
  <si>
    <t>Channels cooperating with Cyfrowy Polsat Group (non-consolidated)</t>
  </si>
  <si>
    <t>52.5%</t>
  </si>
  <si>
    <t>47.6%</t>
  </si>
  <si>
    <t>1) Nielsen Audience Measurement, percentage of TV households able to receive a given channel; arithmetical average of monthly technical reach.
2) Channel included in Polsat Group’s portfolio from March 4, 2017. 
3) Channel broadcasting in DTT since January 2, 2017, replaced Polsat Sport News
4) Channel broadcast since May 26, 2017, replaced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Channel broadcast outside of Poland, not included in the telemetric survey.</t>
  </si>
  <si>
    <t>March 31, 2018
(IFRS 15 basis)</t>
  </si>
  <si>
    <t>March 31, 2017
(IAS 18 basis)</t>
  </si>
  <si>
    <t>Other non-current assets, includes:</t>
  </si>
  <si>
    <t>shares in associates accounted for using the equity method</t>
  </si>
  <si>
    <t>derivative instruments assets</t>
  </si>
  <si>
    <r>
      <t>Channels acquired in March 2017</t>
    </r>
    <r>
      <rPr>
        <b/>
        <vertAlign val="superscript"/>
        <sz val="11"/>
        <rFont val="Calibri"/>
        <family val="2"/>
        <charset val="238"/>
        <scheme val="minor"/>
      </rPr>
      <t>(9)</t>
    </r>
  </si>
  <si>
    <r>
      <t>Advertising market share</t>
    </r>
    <r>
      <rPr>
        <b/>
        <vertAlign val="superscript"/>
        <sz val="11"/>
        <rFont val="Calibri"/>
        <family val="2"/>
        <charset val="238"/>
        <scheme val="minor"/>
      </rPr>
      <t>(10)</t>
    </r>
  </si>
  <si>
    <t xml:space="preserve">    POLSAT (main channel)</t>
  </si>
  <si>
    <r>
      <t>2018</t>
    </r>
    <r>
      <rPr>
        <b/>
        <vertAlign val="superscript"/>
        <sz val="11"/>
        <color theme="1"/>
        <rFont val="Calibri"/>
        <family val="2"/>
        <charset val="238"/>
      </rPr>
      <t>2)</t>
    </r>
    <r>
      <rPr>
        <b/>
        <sz val="11"/>
        <color theme="1"/>
        <rFont val="Calibri"/>
        <family val="2"/>
        <charset val="238"/>
      </rPr>
      <t xml:space="preserve"> (IAS 18 basis)</t>
    </r>
  </si>
  <si>
    <r>
      <t>2018</t>
    </r>
    <r>
      <rPr>
        <b/>
        <vertAlign val="superscript"/>
        <sz val="11"/>
        <color theme="1"/>
        <rFont val="Calibri"/>
        <family val="2"/>
        <charset val="238"/>
      </rPr>
      <t>3)</t>
    </r>
    <r>
      <rPr>
        <b/>
        <sz val="11"/>
        <color theme="1"/>
        <rFont val="Calibri"/>
        <family val="2"/>
        <charset val="238"/>
      </rPr>
      <t xml:space="preserve"> (IFRS 15 basis)</t>
    </r>
  </si>
  <si>
    <r>
      <t xml:space="preserve">2017 </t>
    </r>
    <r>
      <rPr>
        <i/>
        <sz val="10"/>
        <color theme="1"/>
        <rFont val="Calibri"/>
        <family val="2"/>
        <charset val="238"/>
        <scheme val="minor"/>
      </rPr>
      <t>(IAS 18 basis)</t>
    </r>
  </si>
  <si>
    <r>
      <t xml:space="preserve">2018 </t>
    </r>
    <r>
      <rPr>
        <i/>
        <sz val="10"/>
        <color theme="1"/>
        <rFont val="Calibri"/>
        <family val="2"/>
        <charset val="238"/>
        <scheme val="minor"/>
      </rPr>
      <t>(IFRS 15 basis)</t>
    </r>
  </si>
  <si>
    <r>
      <t>ARPU per customer</t>
    </r>
    <r>
      <rPr>
        <vertAlign val="superscript"/>
        <sz val="9"/>
        <color rgb="FF000000"/>
        <rFont val="Calibri"/>
        <family val="2"/>
        <charset val="238"/>
        <scheme val="minor"/>
      </rPr>
      <t>3)</t>
    </r>
    <r>
      <rPr>
        <sz val="9"/>
        <color rgb="FF000000"/>
        <rFont val="Calibri"/>
        <family val="2"/>
        <charset val="238"/>
        <scheme val="minor"/>
      </rPr>
      <t xml:space="preserve"> acc. to IFRS 15 [PLN]</t>
    </r>
  </si>
  <si>
    <r>
      <t>ARPU per customer</t>
    </r>
    <r>
      <rPr>
        <vertAlign val="superscript"/>
        <sz val="9"/>
        <color rgb="FF000000"/>
        <rFont val="Calibri"/>
        <family val="2"/>
        <charset val="238"/>
        <scheme val="minor"/>
      </rPr>
      <t xml:space="preserve">3) </t>
    </r>
    <r>
      <rPr>
        <sz val="9"/>
        <color rgb="FF000000"/>
        <rFont val="Calibri"/>
        <family val="2"/>
        <charset val="238"/>
        <scheme val="minor"/>
      </rPr>
      <t>acc. to IAS 18 [PLN]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</si>
</sst>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
    <numFmt numFmtId="175" formatCode="#,##0.0;\(#,##0.0\);\-"/>
    <numFmt numFmtId="176" formatCode="#,##0.000;\(#,##0.000\);\-"/>
    <numFmt numFmtId="177" formatCode="#,##0;\(#,##0\);\-"/>
    <numFmt numFmtId="178" formatCode="#,##0.0\ ;\(#,##0.0\);\-"/>
    <numFmt numFmtId="179" formatCode="0.00;\(0.00\);\-"/>
    <numFmt numFmtId="180" formatCode="0.0;\(0.0\);\-"/>
    <numFmt numFmtId="181" formatCode="\-"/>
  </numFmts>
  <fonts count="76">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10"/>
      <name val="Calibri"/>
      <family val="2"/>
      <charset val="238"/>
    </font>
    <font>
      <b/>
      <sz val="10"/>
      <color theme="1"/>
      <name val="Calibri"/>
      <family val="2"/>
      <charset val="238"/>
    </font>
    <font>
      <b/>
      <sz val="10"/>
      <name val="Calibri"/>
      <family val="2"/>
      <charset val="238"/>
    </font>
    <font>
      <vertAlign val="superscript"/>
      <sz val="9"/>
      <color theme="1"/>
      <name val="Arial Narrow"/>
      <family val="2"/>
      <charset val="238"/>
    </font>
    <font>
      <b/>
      <vertAlign val="superscript"/>
      <sz val="11"/>
      <color theme="1"/>
      <name val="Calibri"/>
      <family val="2"/>
      <charset val="238"/>
    </font>
    <font>
      <sz val="9"/>
      <color indexed="81"/>
      <name val="Tahoma"/>
      <family val="2"/>
      <charset val="238"/>
    </font>
    <font>
      <b/>
      <sz val="9"/>
      <color indexed="81"/>
      <name val="Tahoma"/>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164"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72" fontId="20" fillId="0" borderId="0"/>
    <xf numFmtId="172" fontId="20" fillId="0" borderId="0"/>
    <xf numFmtId="172" fontId="20" fillId="0" borderId="0"/>
    <xf numFmtId="9" fontId="20" fillId="0" borderId="0" applyFont="0" applyFill="0" applyBorder="0" applyAlignment="0" applyProtection="0"/>
  </cellStyleXfs>
  <cellXfs count="597">
    <xf numFmtId="0" fontId="0" fillId="0" borderId="0" xfId="0"/>
    <xf numFmtId="0" fontId="13" fillId="0" borderId="0" xfId="0" applyFont="1" applyBorder="1" applyAlignment="1">
      <alignment vertical="center"/>
    </xf>
    <xf numFmtId="0" fontId="13" fillId="0" borderId="0" xfId="0" applyFont="1" applyAlignment="1">
      <alignment vertical="center"/>
    </xf>
    <xf numFmtId="0" fontId="22" fillId="3" borderId="0" xfId="0" applyFont="1" applyFill="1" applyAlignment="1">
      <alignment vertical="center"/>
    </xf>
    <xf numFmtId="0" fontId="21" fillId="4" borderId="6" xfId="0" applyFont="1" applyFill="1" applyBorder="1" applyAlignment="1">
      <alignment vertical="center" wrapText="1"/>
    </xf>
    <xf numFmtId="0" fontId="13" fillId="0" borderId="0" xfId="0" applyFont="1" applyFill="1" applyBorder="1" applyAlignment="1">
      <alignment vertical="center"/>
    </xf>
    <xf numFmtId="0" fontId="28" fillId="3" borderId="0" xfId="0" applyFont="1" applyFill="1" applyAlignment="1">
      <alignment vertical="center"/>
    </xf>
    <xf numFmtId="0" fontId="18" fillId="0" borderId="0" xfId="0" applyFont="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0" xfId="0" applyFont="1" applyFill="1"/>
    <xf numFmtId="0" fontId="18" fillId="0" borderId="0" xfId="0" applyFont="1"/>
    <xf numFmtId="0" fontId="29" fillId="3" borderId="4" xfId="0" applyFont="1" applyFill="1" applyBorder="1" applyAlignment="1">
      <alignment vertical="center" wrapText="1"/>
    </xf>
    <xf numFmtId="0" fontId="29" fillId="3" borderId="5" xfId="0" applyFont="1" applyFill="1" applyBorder="1" applyAlignment="1">
      <alignment vertical="center" wrapText="1"/>
    </xf>
    <xf numFmtId="0" fontId="30" fillId="0" borderId="0" xfId="0" applyFont="1"/>
    <xf numFmtId="0" fontId="18" fillId="0" borderId="0" xfId="0" applyFont="1" applyFill="1" applyAlignment="1">
      <alignment vertical="center"/>
    </xf>
    <xf numFmtId="0" fontId="18" fillId="0" borderId="0" xfId="0" applyFont="1" applyFill="1" applyBorder="1" applyAlignment="1">
      <alignment horizontal="right" vertical="center"/>
    </xf>
    <xf numFmtId="0" fontId="18" fillId="0" borderId="0" xfId="0" applyFont="1" applyFill="1" applyBorder="1" applyAlignment="1">
      <alignment vertical="center"/>
    </xf>
    <xf numFmtId="0" fontId="18" fillId="3" borderId="0" xfId="0" applyFont="1" applyFill="1" applyAlignment="1">
      <alignment vertical="center"/>
    </xf>
    <xf numFmtId="0" fontId="18" fillId="3" borderId="0" xfId="0" applyFont="1" applyFill="1" applyBorder="1" applyAlignment="1">
      <alignment horizontal="right" vertical="center"/>
    </xf>
    <xf numFmtId="0" fontId="18" fillId="3" borderId="0" xfId="0" applyFont="1" applyFill="1" applyBorder="1" applyAlignment="1">
      <alignment vertical="center"/>
    </xf>
    <xf numFmtId="0" fontId="18" fillId="3" borderId="0" xfId="0" applyFont="1" applyFill="1"/>
    <xf numFmtId="0" fontId="31" fillId="8" borderId="6" xfId="0" applyFont="1" applyFill="1" applyBorder="1" applyAlignment="1">
      <alignment vertical="center" wrapText="1"/>
    </xf>
    <xf numFmtId="0" fontId="31" fillId="8" borderId="4" xfId="0" applyFont="1" applyFill="1" applyBorder="1" applyAlignment="1">
      <alignment vertical="center" wrapText="1"/>
    </xf>
    <xf numFmtId="0" fontId="31" fillId="8" borderId="5" xfId="0" applyFont="1" applyFill="1" applyBorder="1" applyAlignment="1">
      <alignment vertical="center" wrapText="1"/>
    </xf>
    <xf numFmtId="0" fontId="31" fillId="8" borderId="11" xfId="0" applyFont="1" applyFill="1" applyBorder="1" applyAlignment="1">
      <alignment vertical="center" wrapText="1"/>
    </xf>
    <xf numFmtId="169" fontId="18" fillId="11" borderId="0" xfId="0" applyNumberFormat="1" applyFont="1" applyFill="1" applyBorder="1" applyAlignment="1">
      <alignment horizontal="right" vertical="center"/>
    </xf>
    <xf numFmtId="171" fontId="18" fillId="11" borderId="0"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171" fontId="18" fillId="11" borderId="10" xfId="0" applyNumberFormat="1" applyFont="1" applyFill="1" applyBorder="1" applyAlignment="1">
      <alignment horizontal="right" vertical="center"/>
    </xf>
    <xf numFmtId="167" fontId="31" fillId="8" borderId="5" xfId="2" applyNumberFormat="1" applyFont="1" applyFill="1" applyBorder="1" applyAlignment="1">
      <alignment vertical="center" wrapText="1"/>
    </xf>
    <xf numFmtId="167" fontId="31" fillId="8" borderId="18" xfId="2" applyNumberFormat="1" applyFont="1" applyFill="1" applyBorder="1" applyAlignment="1">
      <alignment vertical="center" wrapText="1"/>
    </xf>
    <xf numFmtId="167" fontId="31" fillId="12" borderId="19" xfId="2" applyNumberFormat="1" applyFont="1" applyFill="1" applyBorder="1" applyAlignment="1">
      <alignment vertical="center" wrapText="1"/>
    </xf>
    <xf numFmtId="167" fontId="31" fillId="12" borderId="18" xfId="2" applyNumberFormat="1" applyFont="1" applyFill="1" applyBorder="1" applyAlignment="1">
      <alignment vertical="center" wrapText="1"/>
    </xf>
    <xf numFmtId="168" fontId="31" fillId="12" borderId="11" xfId="0" applyNumberFormat="1" applyFont="1" applyFill="1" applyBorder="1" applyAlignment="1">
      <alignment vertical="center" wrapText="1"/>
    </xf>
    <xf numFmtId="0" fontId="30" fillId="6" borderId="2" xfId="0" applyFont="1" applyFill="1" applyBorder="1" applyAlignment="1">
      <alignment horizontal="right" vertical="center"/>
    </xf>
    <xf numFmtId="0" fontId="30" fillId="10" borderId="2" xfId="0" applyFont="1" applyFill="1" applyBorder="1" applyAlignment="1">
      <alignment horizontal="right" vertical="center"/>
    </xf>
    <xf numFmtId="0" fontId="30" fillId="6" borderId="15" xfId="0" applyFont="1" applyFill="1" applyBorder="1" applyAlignment="1">
      <alignment horizontal="right" vertical="center"/>
    </xf>
    <xf numFmtId="0" fontId="30" fillId="10" borderId="16" xfId="0" applyFont="1" applyFill="1" applyBorder="1" applyAlignment="1">
      <alignment horizontal="right" vertical="center"/>
    </xf>
    <xf numFmtId="169" fontId="30" fillId="8" borderId="7" xfId="0" applyNumberFormat="1" applyFont="1" applyFill="1" applyBorder="1" applyAlignment="1">
      <alignment vertical="center"/>
    </xf>
    <xf numFmtId="169" fontId="30" fillId="11" borderId="7" xfId="0" applyNumberFormat="1" applyFont="1" applyFill="1" applyBorder="1" applyAlignment="1">
      <alignment horizontal="right" vertical="center"/>
    </xf>
    <xf numFmtId="169" fontId="30" fillId="8" borderId="6" xfId="0" applyNumberFormat="1" applyFont="1" applyFill="1" applyBorder="1" applyAlignment="1">
      <alignment vertical="center"/>
    </xf>
    <xf numFmtId="169" fontId="30" fillId="11" borderId="8" xfId="0" applyNumberFormat="1" applyFont="1" applyFill="1" applyBorder="1" applyAlignment="1">
      <alignment horizontal="right" vertical="center"/>
    </xf>
    <xf numFmtId="171" fontId="30" fillId="8" borderId="7" xfId="0" applyNumberFormat="1" applyFont="1" applyFill="1" applyBorder="1" applyAlignment="1">
      <alignment vertical="center"/>
    </xf>
    <xf numFmtId="171" fontId="30" fillId="9" borderId="7" xfId="0" applyNumberFormat="1" applyFont="1" applyFill="1" applyBorder="1" applyAlignment="1">
      <alignment vertical="center"/>
    </xf>
    <xf numFmtId="171" fontId="30" fillId="8" borderId="6" xfId="0" applyNumberFormat="1" applyFont="1" applyFill="1" applyBorder="1" applyAlignment="1">
      <alignment vertical="center"/>
    </xf>
    <xf numFmtId="171" fontId="30" fillId="9" borderId="8" xfId="0" applyNumberFormat="1" applyFont="1" applyFill="1" applyBorder="1" applyAlignment="1">
      <alignment vertical="center"/>
    </xf>
    <xf numFmtId="169" fontId="30" fillId="9" borderId="7" xfId="0" applyNumberFormat="1" applyFont="1" applyFill="1" applyBorder="1" applyAlignment="1">
      <alignment horizontal="right" vertical="center"/>
    </xf>
    <xf numFmtId="169" fontId="30" fillId="9" borderId="8" xfId="0" applyNumberFormat="1" applyFont="1" applyFill="1" applyBorder="1" applyAlignment="1">
      <alignment horizontal="right" vertical="center"/>
    </xf>
    <xf numFmtId="169" fontId="18" fillId="3" borderId="0" xfId="0" applyNumberFormat="1" applyFont="1" applyFill="1" applyBorder="1" applyAlignment="1">
      <alignment horizontal="right" vertical="center"/>
    </xf>
    <xf numFmtId="171" fontId="18" fillId="3" borderId="0" xfId="0" applyNumberFormat="1" applyFont="1" applyFill="1" applyBorder="1" applyAlignment="1">
      <alignment horizontal="right" vertical="center"/>
    </xf>
    <xf numFmtId="169" fontId="18" fillId="3" borderId="3" xfId="0" applyNumberFormat="1" applyFont="1" applyFill="1" applyBorder="1" applyAlignment="1">
      <alignment horizontal="right" vertical="center"/>
    </xf>
    <xf numFmtId="171" fontId="18" fillId="3" borderId="3" xfId="0" applyNumberFormat="1" applyFont="1" applyFill="1" applyBorder="1" applyAlignment="1">
      <alignment horizontal="right" vertical="center"/>
    </xf>
    <xf numFmtId="0" fontId="0" fillId="3" borderId="0" xfId="0" applyFill="1"/>
    <xf numFmtId="0" fontId="11"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4" fillId="13" borderId="18" xfId="0" applyFont="1" applyFill="1" applyBorder="1" applyAlignment="1">
      <alignment horizontal="right" vertical="center"/>
    </xf>
    <xf numFmtId="0" fontId="29" fillId="5" borderId="18" xfId="0" applyFont="1" applyFill="1" applyBorder="1" applyAlignment="1">
      <alignment horizontal="right" vertical="center" wrapText="1"/>
    </xf>
    <xf numFmtId="0" fontId="35" fillId="5" borderId="19" xfId="0" applyFont="1" applyFill="1" applyBorder="1" applyAlignment="1">
      <alignment horizontal="right" vertical="center" wrapText="1"/>
    </xf>
    <xf numFmtId="0" fontId="37" fillId="3" borderId="0" xfId="0" applyFont="1" applyFill="1" applyBorder="1" applyAlignment="1">
      <alignment vertical="center"/>
    </xf>
    <xf numFmtId="0" fontId="37" fillId="3" borderId="0" xfId="0" applyFont="1" applyFill="1" applyAlignment="1">
      <alignment vertical="center"/>
    </xf>
    <xf numFmtId="0" fontId="37" fillId="0" borderId="0" xfId="0" applyFont="1" applyAlignment="1">
      <alignment vertical="center"/>
    </xf>
    <xf numFmtId="41" fontId="11" fillId="3" borderId="0"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0" fontId="11" fillId="3" borderId="23" xfId="0" applyFont="1" applyFill="1" applyBorder="1" applyAlignment="1">
      <alignment vertical="center" wrapText="1"/>
    </xf>
    <xf numFmtId="0" fontId="21" fillId="3" borderId="23" xfId="0" applyFont="1" applyFill="1" applyBorder="1" applyAlignment="1">
      <alignment vertical="center" wrapText="1"/>
    </xf>
    <xf numFmtId="3" fontId="21" fillId="3" borderId="0" xfId="0" applyNumberFormat="1" applyFont="1" applyFill="1" applyBorder="1" applyAlignment="1">
      <alignment horizontal="right" vertical="center" wrapText="1"/>
    </xf>
    <xf numFmtId="0" fontId="11" fillId="3" borderId="5" xfId="0" applyFont="1" applyFill="1" applyBorder="1" applyAlignment="1">
      <alignment vertical="center" wrapText="1"/>
    </xf>
    <xf numFmtId="0" fontId="42" fillId="3" borderId="0" xfId="0" applyFont="1" applyFill="1"/>
    <xf numFmtId="0" fontId="11" fillId="3" borderId="0" xfId="0" applyFont="1" applyFill="1"/>
    <xf numFmtId="3" fontId="36" fillId="3" borderId="0" xfId="0" applyNumberFormat="1" applyFont="1" applyFill="1" applyAlignment="1">
      <alignment horizontal="right"/>
    </xf>
    <xf numFmtId="0" fontId="42" fillId="3" borderId="0" xfId="0" applyFont="1" applyFill="1" applyAlignment="1"/>
    <xf numFmtId="0" fontId="42" fillId="3" borderId="0" xfId="0" applyFont="1" applyFill="1" applyAlignment="1">
      <alignment horizontal="left"/>
    </xf>
    <xf numFmtId="3" fontId="31" fillId="3" borderId="0" xfId="0" applyNumberFormat="1" applyFont="1" applyFill="1" applyBorder="1" applyAlignment="1">
      <alignment horizontal="right"/>
    </xf>
    <xf numFmtId="3" fontId="36" fillId="3" borderId="0" xfId="0" applyNumberFormat="1" applyFont="1" applyFill="1" applyBorder="1" applyAlignment="1">
      <alignment horizontal="right"/>
    </xf>
    <xf numFmtId="168" fontId="18" fillId="3" borderId="0" xfId="0" applyNumberFormat="1" applyFont="1" applyFill="1" applyAlignment="1">
      <alignment vertical="center"/>
    </xf>
    <xf numFmtId="0" fontId="30" fillId="6" borderId="26"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30" fillId="6" borderId="27" xfId="0" applyFont="1" applyFill="1" applyBorder="1" applyAlignment="1">
      <alignment horizontal="center" vertical="center" wrapText="1"/>
    </xf>
    <xf numFmtId="0" fontId="29" fillId="3" borderId="22" xfId="0" applyFont="1" applyFill="1" applyBorder="1" applyAlignment="1">
      <alignment vertical="center" wrapText="1"/>
    </xf>
    <xf numFmtId="0" fontId="29" fillId="3" borderId="24" xfId="0" applyFont="1" applyFill="1" applyBorder="1" applyAlignment="1">
      <alignment vertical="center" wrapText="1"/>
    </xf>
    <xf numFmtId="0" fontId="29" fillId="3" borderId="9" xfId="0" applyFont="1" applyFill="1" applyBorder="1" applyAlignment="1">
      <alignment vertical="center"/>
    </xf>
    <xf numFmtId="0" fontId="18" fillId="3" borderId="23" xfId="0" applyFont="1" applyFill="1" applyBorder="1" applyAlignment="1">
      <alignment vertical="center"/>
    </xf>
    <xf numFmtId="0" fontId="31" fillId="8" borderId="9" xfId="0" applyFont="1" applyFill="1" applyBorder="1" applyAlignment="1">
      <alignment vertical="center" wrapText="1"/>
    </xf>
    <xf numFmtId="0" fontId="30" fillId="3" borderId="28" xfId="0" applyFont="1" applyFill="1" applyBorder="1" applyAlignment="1">
      <alignment vertical="center"/>
    </xf>
    <xf numFmtId="0" fontId="30" fillId="17" borderId="26" xfId="0" applyFont="1" applyFill="1" applyBorder="1" applyAlignment="1">
      <alignment horizontal="center" vertical="center" wrapText="1"/>
    </xf>
    <xf numFmtId="0" fontId="47" fillId="3" borderId="9" xfId="0" applyFont="1" applyFill="1" applyBorder="1" applyAlignment="1">
      <alignment horizontal="left" vertical="center" wrapText="1"/>
    </xf>
    <xf numFmtId="3" fontId="47" fillId="18" borderId="6" xfId="0" applyNumberFormat="1" applyFont="1" applyFill="1" applyBorder="1" applyAlignment="1">
      <alignment horizontal="center" vertical="center" wrapText="1"/>
    </xf>
    <xf numFmtId="3" fontId="47" fillId="18" borderId="7" xfId="0" applyNumberFormat="1" applyFont="1" applyFill="1" applyBorder="1" applyAlignment="1">
      <alignment horizontal="center" vertical="center" wrapText="1"/>
    </xf>
    <xf numFmtId="3" fontId="47" fillId="19" borderId="8" xfId="0" applyNumberFormat="1" applyFont="1" applyFill="1" applyBorder="1" applyAlignment="1">
      <alignment horizontal="center" vertical="center" wrapText="1"/>
    </xf>
    <xf numFmtId="3" fontId="47" fillId="3" borderId="6" xfId="0" applyNumberFormat="1" applyFont="1" applyFill="1" applyBorder="1" applyAlignment="1">
      <alignment horizontal="right" vertical="center" wrapText="1"/>
    </xf>
    <xf numFmtId="3" fontId="47" fillId="3" borderId="7" xfId="0" applyNumberFormat="1" applyFont="1" applyFill="1" applyBorder="1" applyAlignment="1">
      <alignment horizontal="right" vertical="center" wrapText="1"/>
    </xf>
    <xf numFmtId="3" fontId="27" fillId="2" borderId="3" xfId="0" applyNumberFormat="1" applyFont="1" applyFill="1" applyBorder="1" applyAlignment="1">
      <alignment horizontal="right" vertical="center" wrapText="1"/>
    </xf>
    <xf numFmtId="3" fontId="27" fillId="2" borderId="0" xfId="0" applyNumberFormat="1" applyFont="1" applyFill="1" applyBorder="1" applyAlignment="1">
      <alignment horizontal="right" vertical="center" wrapText="1"/>
    </xf>
    <xf numFmtId="3" fontId="27" fillId="20" borderId="0" xfId="0" applyNumberFormat="1" applyFont="1" applyFill="1" applyBorder="1" applyAlignment="1">
      <alignment horizontal="right" vertical="center" wrapText="1"/>
    </xf>
    <xf numFmtId="3" fontId="27" fillId="2" borderId="4" xfId="0" applyNumberFormat="1" applyFont="1" applyFill="1" applyBorder="1" applyAlignment="1">
      <alignment horizontal="right" vertical="center" wrapText="1"/>
    </xf>
    <xf numFmtId="3" fontId="27" fillId="20" borderId="10" xfId="0" applyNumberFormat="1" applyFont="1" applyFill="1" applyBorder="1" applyAlignment="1">
      <alignment horizontal="right" vertical="center" wrapText="1"/>
    </xf>
    <xf numFmtId="0" fontId="25" fillId="3" borderId="3" xfId="0" applyFont="1" applyFill="1" applyBorder="1" applyAlignment="1">
      <alignment horizontal="left" vertical="center" wrapText="1"/>
    </xf>
    <xf numFmtId="3" fontId="47" fillId="3" borderId="3" xfId="0" applyNumberFormat="1" applyFont="1" applyFill="1" applyBorder="1" applyAlignment="1">
      <alignment horizontal="right" vertical="center" wrapText="1"/>
    </xf>
    <xf numFmtId="3" fontId="47" fillId="3" borderId="0" xfId="0" applyNumberFormat="1" applyFont="1" applyFill="1" applyBorder="1" applyAlignment="1">
      <alignment horizontal="right" vertical="center" wrapText="1"/>
    </xf>
    <xf numFmtId="3" fontId="47" fillId="19" borderId="0" xfId="0" applyNumberFormat="1" applyFont="1" applyFill="1" applyBorder="1" applyAlignment="1">
      <alignment horizontal="right" vertical="center" wrapText="1"/>
    </xf>
    <xf numFmtId="3" fontId="47" fillId="19"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1"/>
    </xf>
    <xf numFmtId="3" fontId="27" fillId="3" borderId="3" xfId="0" applyNumberFormat="1" applyFont="1" applyFill="1" applyBorder="1" applyAlignment="1">
      <alignment horizontal="right" vertical="center" wrapText="1"/>
    </xf>
    <xf numFmtId="3" fontId="27" fillId="3" borderId="0" xfId="0" applyNumberFormat="1" applyFont="1" applyFill="1" applyBorder="1" applyAlignment="1">
      <alignment horizontal="right" vertical="center" wrapText="1"/>
    </xf>
    <xf numFmtId="3" fontId="27" fillId="19" borderId="0" xfId="0" applyNumberFormat="1" applyFont="1" applyFill="1" applyBorder="1" applyAlignment="1">
      <alignment horizontal="right" vertical="center" wrapText="1"/>
    </xf>
    <xf numFmtId="3" fontId="42" fillId="3" borderId="0" xfId="0" applyNumberFormat="1" applyFont="1" applyFill="1" applyBorder="1" applyAlignment="1">
      <alignment horizontal="right" vertical="center" wrapText="1"/>
    </xf>
    <xf numFmtId="3" fontId="27" fillId="19" borderId="10" xfId="0" applyNumberFormat="1" applyFont="1" applyFill="1" applyBorder="1" applyAlignment="1">
      <alignment horizontal="right" vertical="center" wrapText="1"/>
    </xf>
    <xf numFmtId="0" fontId="50" fillId="3" borderId="3" xfId="0" applyFont="1" applyFill="1" applyBorder="1" applyAlignment="1">
      <alignment horizontal="left" vertical="center" wrapText="1" indent="3"/>
    </xf>
    <xf numFmtId="3" fontId="51" fillId="3" borderId="3" xfId="0" applyNumberFormat="1" applyFont="1" applyFill="1" applyBorder="1" applyAlignment="1">
      <alignment horizontal="right" vertical="center" wrapText="1"/>
    </xf>
    <xf numFmtId="3" fontId="51" fillId="3" borderId="0" xfId="0" applyNumberFormat="1" applyFont="1" applyFill="1" applyBorder="1" applyAlignment="1">
      <alignment horizontal="right" vertical="center" wrapText="1"/>
    </xf>
    <xf numFmtId="3" fontId="51" fillId="19"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xf>
    <xf numFmtId="3" fontId="51" fillId="19" borderId="1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27" fillId="3" borderId="29" xfId="0" applyNumberFormat="1" applyFont="1" applyFill="1" applyBorder="1" applyAlignment="1">
      <alignment horizontal="right" vertical="center" wrapText="1"/>
    </xf>
    <xf numFmtId="3" fontId="27" fillId="3" borderId="30" xfId="0" applyNumberFormat="1" applyFont="1" applyFill="1" applyBorder="1" applyAlignment="1">
      <alignment horizontal="right" vertical="center" wrapText="1"/>
    </xf>
    <xf numFmtId="3" fontId="47" fillId="3" borderId="31" xfId="0" applyNumberFormat="1" applyFont="1" applyFill="1" applyBorder="1" applyAlignment="1">
      <alignment horizontal="right" vertical="center" wrapText="1"/>
    </xf>
    <xf numFmtId="3" fontId="47" fillId="3" borderId="32" xfId="0" applyNumberFormat="1" applyFont="1" applyFill="1" applyBorder="1" applyAlignment="1">
      <alignment horizontal="right" vertical="center" wrapText="1"/>
    </xf>
    <xf numFmtId="3" fontId="47" fillId="19" borderId="32" xfId="0" applyNumberFormat="1" applyFont="1" applyFill="1" applyBorder="1" applyAlignment="1">
      <alignment horizontal="right" vertical="center" wrapText="1"/>
    </xf>
    <xf numFmtId="3" fontId="26" fillId="3" borderId="32" xfId="0" applyNumberFormat="1" applyFont="1" applyFill="1" applyBorder="1" applyAlignment="1">
      <alignment horizontal="right" vertical="center" wrapText="1"/>
    </xf>
    <xf numFmtId="3" fontId="47" fillId="19" borderId="33" xfId="0" applyNumberFormat="1" applyFont="1" applyFill="1" applyBorder="1" applyAlignment="1">
      <alignment horizontal="right" vertical="center" wrapText="1"/>
    </xf>
    <xf numFmtId="0" fontId="49" fillId="3" borderId="4" xfId="0" applyFont="1" applyFill="1" applyBorder="1" applyAlignment="1">
      <alignment horizontal="left" vertical="center"/>
    </xf>
    <xf numFmtId="165" fontId="27" fillId="3" borderId="4" xfId="0" applyNumberFormat="1" applyFont="1" applyFill="1" applyBorder="1" applyAlignment="1">
      <alignment horizontal="right" vertical="center" wrapText="1"/>
    </xf>
    <xf numFmtId="165" fontId="27" fillId="3" borderId="11" xfId="0" applyNumberFormat="1" applyFont="1" applyFill="1" applyBorder="1" applyAlignment="1">
      <alignment horizontal="right" vertical="center" wrapText="1"/>
    </xf>
    <xf numFmtId="165" fontId="27" fillId="19" borderId="11" xfId="0" applyNumberFormat="1" applyFont="1" applyFill="1" applyBorder="1" applyAlignment="1">
      <alignment horizontal="right" vertical="center" wrapText="1"/>
    </xf>
    <xf numFmtId="168" fontId="42" fillId="3" borderId="0" xfId="0" applyNumberFormat="1" applyFont="1" applyFill="1" applyBorder="1" applyAlignment="1">
      <alignment horizontal="right" vertical="center" wrapText="1"/>
    </xf>
    <xf numFmtId="165" fontId="27" fillId="19" borderId="12" xfId="0" applyNumberFormat="1" applyFont="1" applyFill="1" applyBorder="1" applyAlignment="1">
      <alignment horizontal="right" vertical="center" wrapText="1"/>
    </xf>
    <xf numFmtId="0" fontId="49" fillId="3" borderId="3" xfId="0" applyFont="1" applyFill="1" applyBorder="1" applyAlignment="1">
      <alignment horizontal="left" vertical="center" wrapText="1"/>
    </xf>
    <xf numFmtId="3" fontId="27" fillId="18" borderId="3" xfId="0" applyNumberFormat="1" applyFont="1" applyFill="1" applyBorder="1" applyAlignment="1">
      <alignment horizontal="right" vertical="center" wrapText="1"/>
    </xf>
    <xf numFmtId="3" fontId="27" fillId="18" borderId="0" xfId="0" applyNumberFormat="1" applyFont="1" applyFill="1" applyBorder="1" applyAlignment="1">
      <alignment horizontal="right" vertical="center" wrapText="1"/>
    </xf>
    <xf numFmtId="167" fontId="27" fillId="3" borderId="0" xfId="0" applyNumberFormat="1" applyFont="1" applyFill="1" applyBorder="1" applyAlignment="1">
      <alignment horizontal="right" vertical="center" wrapText="1"/>
    </xf>
    <xf numFmtId="167" fontId="27" fillId="19" borderId="0" xfId="0" applyNumberFormat="1" applyFont="1" applyFill="1" applyBorder="1" applyAlignment="1">
      <alignment horizontal="right" vertical="center" wrapText="1"/>
    </xf>
    <xf numFmtId="167" fontId="27" fillId="3" borderId="3" xfId="0" applyNumberFormat="1" applyFont="1" applyFill="1" applyBorder="1" applyAlignment="1">
      <alignment horizontal="right" vertical="center" wrapText="1"/>
    </xf>
    <xf numFmtId="167" fontId="42" fillId="3" borderId="0" xfId="0" applyNumberFormat="1" applyFont="1" applyFill="1" applyBorder="1" applyAlignment="1">
      <alignment horizontal="right" vertical="center" wrapText="1"/>
    </xf>
    <xf numFmtId="167" fontId="27" fillId="19" borderId="10" xfId="0" applyNumberFormat="1" applyFont="1" applyFill="1" applyBorder="1" applyAlignment="1">
      <alignment horizontal="right" vertical="center" wrapText="1"/>
    </xf>
    <xf numFmtId="2" fontId="27" fillId="3" borderId="5" xfId="0" applyNumberFormat="1" applyFont="1" applyFill="1" applyBorder="1" applyAlignment="1">
      <alignment horizontal="right" vertical="center" wrapText="1"/>
    </xf>
    <xf numFmtId="2" fontId="27" fillId="3" borderId="18" xfId="0" applyNumberFormat="1" applyFont="1" applyFill="1" applyBorder="1" applyAlignment="1">
      <alignment horizontal="right" vertical="center" wrapText="1"/>
    </xf>
    <xf numFmtId="2" fontId="27" fillId="19" borderId="19" xfId="0" applyNumberFormat="1" applyFont="1" applyFill="1" applyBorder="1" applyAlignment="1">
      <alignment horizontal="right" vertical="center" wrapText="1"/>
    </xf>
    <xf numFmtId="4" fontId="42" fillId="3" borderId="18" xfId="0" applyNumberFormat="1" applyFont="1" applyFill="1" applyBorder="1" applyAlignment="1">
      <alignment horizontal="right" vertical="center" wrapText="1"/>
    </xf>
    <xf numFmtId="0" fontId="25" fillId="3" borderId="4" xfId="0" applyFont="1" applyFill="1" applyBorder="1" applyAlignment="1">
      <alignment horizontal="left" vertical="center"/>
    </xf>
    <xf numFmtId="3" fontId="47" fillId="3" borderId="4" xfId="0" applyNumberFormat="1" applyFont="1" applyFill="1" applyBorder="1" applyAlignment="1">
      <alignment horizontal="right" vertical="center" wrapText="1"/>
    </xf>
    <xf numFmtId="3" fontId="47" fillId="3" borderId="11" xfId="0" applyNumberFormat="1" applyFont="1" applyFill="1" applyBorder="1" applyAlignment="1">
      <alignment horizontal="right" vertical="center" wrapText="1"/>
    </xf>
    <xf numFmtId="0" fontId="25" fillId="3" borderId="34" xfId="0" applyFont="1" applyFill="1" applyBorder="1" applyAlignment="1">
      <alignment horizontal="left" vertical="center" wrapText="1"/>
    </xf>
    <xf numFmtId="3" fontId="15" fillId="3" borderId="34" xfId="0" applyNumberFormat="1" applyFont="1" applyFill="1" applyBorder="1" applyAlignment="1">
      <alignment vertical="center"/>
    </xf>
    <xf numFmtId="3" fontId="15" fillId="3" borderId="32" xfId="0" applyNumberFormat="1" applyFont="1" applyFill="1" applyBorder="1" applyAlignment="1">
      <alignment vertical="center"/>
    </xf>
    <xf numFmtId="3" fontId="15" fillId="19" borderId="32" xfId="0" applyNumberFormat="1" applyFont="1" applyFill="1" applyBorder="1" applyAlignment="1">
      <alignment vertical="center"/>
    </xf>
    <xf numFmtId="3" fontId="15" fillId="3" borderId="31" xfId="0" applyNumberFormat="1" applyFont="1" applyFill="1" applyBorder="1" applyAlignment="1">
      <alignment vertical="center"/>
    </xf>
    <xf numFmtId="3" fontId="15" fillId="19" borderId="33" xfId="0" applyNumberFormat="1" applyFont="1" applyFill="1" applyBorder="1" applyAlignment="1">
      <alignment vertical="center"/>
    </xf>
    <xf numFmtId="0" fontId="24" fillId="2" borderId="4" xfId="0" applyFont="1" applyFill="1" applyBorder="1" applyAlignment="1">
      <alignment horizontal="left" vertical="center" wrapText="1"/>
    </xf>
    <xf numFmtId="3" fontId="24" fillId="21" borderId="4" xfId="0" applyNumberFormat="1" applyFont="1" applyFill="1" applyBorder="1" applyAlignment="1">
      <alignment horizontal="right" vertical="center" wrapText="1"/>
    </xf>
    <xf numFmtId="3" fontId="24" fillId="21" borderId="11" xfId="0" applyNumberFormat="1" applyFont="1" applyFill="1" applyBorder="1" applyAlignment="1">
      <alignment horizontal="right" vertical="center" wrapText="1"/>
    </xf>
    <xf numFmtId="3" fontId="24" fillId="20" borderId="12" xfId="0" applyNumberFormat="1" applyFont="1" applyFill="1" applyBorder="1" applyAlignment="1">
      <alignment horizontal="right" vertical="center" wrapText="1"/>
    </xf>
    <xf numFmtId="165" fontId="53" fillId="2" borderId="4" xfId="0" applyNumberFormat="1" applyFont="1" applyFill="1" applyBorder="1" applyAlignment="1">
      <alignment horizontal="right" vertical="center" wrapText="1"/>
    </xf>
    <xf numFmtId="165" fontId="53" fillId="2" borderId="11" xfId="0" applyNumberFormat="1" applyFont="1" applyFill="1" applyBorder="1" applyAlignment="1">
      <alignment horizontal="right" vertical="center" wrapText="1"/>
    </xf>
    <xf numFmtId="165" fontId="24" fillId="2" borderId="0" xfId="0" applyNumberFormat="1" applyFont="1" applyFill="1" applyBorder="1" applyAlignment="1">
      <alignment horizontal="right" vertical="center" wrapText="1"/>
    </xf>
    <xf numFmtId="3" fontId="47" fillId="18" borderId="3" xfId="0" applyNumberFormat="1" applyFont="1" applyFill="1" applyBorder="1" applyAlignment="1">
      <alignment horizontal="right" vertical="center" wrapText="1"/>
    </xf>
    <xf numFmtId="3" fontId="47" fillId="18" borderId="0" xfId="0" applyNumberFormat="1" applyFont="1" applyFill="1" applyBorder="1" applyAlignment="1">
      <alignment horizontal="right" vertical="center" wrapText="1"/>
    </xf>
    <xf numFmtId="3" fontId="27" fillId="18" borderId="5" xfId="0" applyNumberFormat="1" applyFont="1" applyFill="1" applyBorder="1" applyAlignment="1">
      <alignment horizontal="right" vertical="center" wrapText="1"/>
    </xf>
    <xf numFmtId="3" fontId="27" fillId="18" borderId="18" xfId="0" applyNumberFormat="1" applyFont="1" applyFill="1" applyBorder="1" applyAlignment="1">
      <alignment horizontal="right" vertical="center" wrapText="1"/>
    </xf>
    <xf numFmtId="3" fontId="27" fillId="18" borderId="6" xfId="0" applyNumberFormat="1" applyFont="1" applyFill="1" applyBorder="1" applyAlignment="1">
      <alignment horizontal="right" vertical="center" wrapText="1"/>
    </xf>
    <xf numFmtId="3" fontId="27" fillId="18" borderId="7" xfId="0" applyNumberFormat="1" applyFont="1" applyFill="1" applyBorder="1" applyAlignment="1">
      <alignment horizontal="right" vertical="center" wrapText="1"/>
    </xf>
    <xf numFmtId="165" fontId="27" fillId="3" borderId="6" xfId="0" applyNumberFormat="1" applyFont="1" applyFill="1" applyBorder="1" applyAlignment="1">
      <alignment horizontal="right" vertical="center" wrapText="1"/>
    </xf>
    <xf numFmtId="165" fontId="27" fillId="3" borderId="7" xfId="0" applyNumberFormat="1" applyFont="1" applyFill="1" applyBorder="1" applyAlignment="1">
      <alignment horizontal="right" vertical="center" wrapText="1"/>
    </xf>
    <xf numFmtId="168" fontId="27" fillId="19" borderId="8" xfId="0" applyNumberFormat="1" applyFont="1" applyFill="1" applyBorder="1" applyAlignment="1">
      <alignment horizontal="right" vertical="center" wrapText="1"/>
    </xf>
    <xf numFmtId="0" fontId="27" fillId="3" borderId="7" xfId="0" applyFont="1" applyFill="1" applyBorder="1" applyAlignment="1">
      <alignment horizontal="right" vertical="center" wrapText="1"/>
    </xf>
    <xf numFmtId="0" fontId="25" fillId="3" borderId="4" xfId="0" applyFont="1" applyFill="1" applyBorder="1" applyAlignment="1">
      <alignment horizontal="left" vertical="center" wrapText="1"/>
    </xf>
    <xf numFmtId="3" fontId="47" fillId="18" borderId="4" xfId="0" applyNumberFormat="1" applyFont="1" applyFill="1" applyBorder="1" applyAlignment="1">
      <alignment horizontal="right" vertical="center" wrapText="1"/>
    </xf>
    <xf numFmtId="3" fontId="47" fillId="19" borderId="12" xfId="0" applyNumberFormat="1" applyFont="1" applyFill="1" applyBorder="1" applyAlignment="1">
      <alignment horizontal="right" vertical="center" wrapText="1"/>
    </xf>
    <xf numFmtId="0" fontId="49" fillId="3" borderId="5" xfId="0" applyFont="1" applyFill="1" applyBorder="1" applyAlignment="1">
      <alignment horizontal="left" vertical="center" wrapText="1" indent="1"/>
    </xf>
    <xf numFmtId="3" fontId="27" fillId="19" borderId="19" xfId="0" applyNumberFormat="1" applyFont="1" applyFill="1" applyBorder="1" applyAlignment="1">
      <alignment horizontal="right" vertical="center" wrapText="1"/>
    </xf>
    <xf numFmtId="3" fontId="27" fillId="3" borderId="5" xfId="0" applyNumberFormat="1" applyFont="1" applyFill="1" applyBorder="1" applyAlignment="1">
      <alignment horizontal="right" vertical="center" wrapText="1"/>
    </xf>
    <xf numFmtId="3" fontId="27" fillId="3" borderId="18" xfId="0" applyNumberFormat="1" applyFont="1" applyFill="1" applyBorder="1" applyAlignment="1">
      <alignment horizontal="right" vertical="center" wrapText="1"/>
    </xf>
    <xf numFmtId="3" fontId="42" fillId="3" borderId="18" xfId="0" applyNumberFormat="1" applyFont="1" applyFill="1" applyBorder="1" applyAlignment="1">
      <alignment horizontal="right" vertical="center" wrapText="1"/>
    </xf>
    <xf numFmtId="0" fontId="0" fillId="3" borderId="0" xfId="0" applyFill="1" applyBorder="1"/>
    <xf numFmtId="0" fontId="21" fillId="3" borderId="22" xfId="0" applyFont="1" applyFill="1" applyBorder="1" applyAlignment="1">
      <alignment vertical="center" wrapText="1"/>
    </xf>
    <xf numFmtId="10" fontId="21" fillId="2" borderId="0" xfId="0" applyNumberFormat="1" applyFont="1" applyFill="1" applyAlignment="1">
      <alignment horizontal="right" vertical="center" wrapText="1" indent="1"/>
    </xf>
    <xf numFmtId="0" fontId="23" fillId="3" borderId="23" xfId="0" applyFont="1" applyFill="1" applyBorder="1" applyAlignment="1">
      <alignment vertical="center" wrapText="1"/>
    </xf>
    <xf numFmtId="0" fontId="0" fillId="3" borderId="0" xfId="0" applyFill="1" applyAlignment="1">
      <alignment wrapText="1"/>
    </xf>
    <xf numFmtId="0" fontId="43" fillId="3" borderId="0" xfId="0" applyFont="1" applyFill="1" applyAlignment="1">
      <alignment horizontal="left"/>
    </xf>
    <xf numFmtId="0" fontId="43" fillId="3" borderId="0" xfId="0" applyFont="1" applyFill="1" applyAlignment="1"/>
    <xf numFmtId="167" fontId="27" fillId="2" borderId="3" xfId="3" applyNumberFormat="1" applyFont="1" applyFill="1" applyBorder="1" applyAlignment="1">
      <alignment horizontal="right" vertical="center" wrapText="1"/>
    </xf>
    <xf numFmtId="0" fontId="25" fillId="3" borderId="3" xfId="0" applyFont="1" applyFill="1" applyBorder="1" applyAlignment="1">
      <alignment horizontal="left" vertical="center"/>
    </xf>
    <xf numFmtId="3" fontId="51" fillId="3" borderId="3" xfId="3" applyNumberFormat="1" applyFont="1" applyFill="1" applyBorder="1" applyAlignment="1">
      <alignment horizontal="right" vertical="center" wrapText="1"/>
    </xf>
    <xf numFmtId="3" fontId="27" fillId="3" borderId="3" xfId="3" applyNumberFormat="1" applyFont="1" applyFill="1" applyBorder="1" applyAlignment="1">
      <alignment horizontal="right" vertical="center" wrapText="1"/>
    </xf>
    <xf numFmtId="3" fontId="47" fillId="19" borderId="10" xfId="0" applyNumberFormat="1" applyFont="1" applyFill="1" applyBorder="1" applyAlignment="1">
      <alignment horizontal="center" vertical="center" wrapText="1"/>
    </xf>
    <xf numFmtId="3" fontId="27" fillId="19" borderId="10" xfId="0" applyNumberFormat="1" applyFont="1" applyFill="1" applyBorder="1" applyAlignment="1">
      <alignment horizontal="center" vertical="center" wrapText="1"/>
    </xf>
    <xf numFmtId="0" fontId="49" fillId="3" borderId="5" xfId="0" applyFont="1" applyFill="1" applyBorder="1" applyAlignment="1">
      <alignment horizontal="left" vertical="center" wrapText="1"/>
    </xf>
    <xf numFmtId="3" fontId="27" fillId="19" borderId="8" xfId="0" applyNumberFormat="1" applyFont="1" applyFill="1" applyBorder="1" applyAlignment="1">
      <alignment horizontal="center" vertical="center" wrapText="1"/>
    </xf>
    <xf numFmtId="3" fontId="27" fillId="18" borderId="11" xfId="0" applyNumberFormat="1" applyFont="1" applyFill="1" applyBorder="1" applyAlignment="1">
      <alignment horizontal="right" vertical="center" wrapText="1"/>
    </xf>
    <xf numFmtId="3" fontId="27" fillId="19" borderId="12" xfId="0" applyNumberFormat="1" applyFont="1" applyFill="1" applyBorder="1" applyAlignment="1">
      <alignment horizontal="center" vertical="center" wrapText="1"/>
    </xf>
    <xf numFmtId="3" fontId="27" fillId="19" borderId="19" xfId="0" applyNumberFormat="1" applyFont="1" applyFill="1" applyBorder="1" applyAlignment="1">
      <alignment horizontal="center" vertical="center" wrapText="1"/>
    </xf>
    <xf numFmtId="0" fontId="11" fillId="3" borderId="24" xfId="0" applyFont="1" applyFill="1" applyBorder="1" applyAlignment="1">
      <alignment vertical="center" wrapText="1"/>
    </xf>
    <xf numFmtId="0" fontId="21" fillId="4" borderId="4" xfId="0" applyFont="1" applyFill="1" applyBorder="1" applyAlignment="1">
      <alignment vertical="center" wrapText="1"/>
    </xf>
    <xf numFmtId="0" fontId="58" fillId="3" borderId="4" xfId="0" applyFont="1" applyFill="1" applyBorder="1" applyAlignment="1">
      <alignment vertical="center" wrapText="1"/>
    </xf>
    <xf numFmtId="0" fontId="58" fillId="3" borderId="3" xfId="0" applyFont="1" applyFill="1" applyBorder="1" applyAlignment="1">
      <alignment vertical="center" wrapText="1"/>
    </xf>
    <xf numFmtId="0" fontId="21" fillId="4" borderId="3" xfId="0" applyFont="1" applyFill="1" applyBorder="1" applyAlignment="1">
      <alignment vertical="center" wrapText="1"/>
    </xf>
    <xf numFmtId="0" fontId="58" fillId="3" borderId="6" xfId="0" applyFont="1" applyFill="1" applyBorder="1" applyAlignment="1">
      <alignment vertical="center" wrapText="1"/>
    </xf>
    <xf numFmtId="0" fontId="21" fillId="4" borderId="5" xfId="0" applyFont="1" applyFill="1" applyBorder="1" applyAlignment="1">
      <alignment vertical="center" wrapText="1"/>
    </xf>
    <xf numFmtId="0" fontId="11" fillId="3" borderId="3" xfId="0" applyFont="1" applyFill="1" applyBorder="1" applyAlignment="1">
      <alignment vertical="center" wrapText="1"/>
    </xf>
    <xf numFmtId="0" fontId="11" fillId="3" borderId="3" xfId="0" applyFont="1" applyFill="1" applyBorder="1" applyAlignment="1">
      <alignment horizontal="left" vertical="center" wrapText="1"/>
    </xf>
    <xf numFmtId="0" fontId="11" fillId="3" borderId="3" xfId="0" applyFont="1" applyFill="1" applyBorder="1" applyAlignment="1">
      <alignment wrapText="1"/>
    </xf>
    <xf numFmtId="0" fontId="23" fillId="5" borderId="18" xfId="0" applyFont="1" applyFill="1" applyBorder="1" applyAlignment="1">
      <alignment horizontal="right" vertical="center" wrapText="1"/>
    </xf>
    <xf numFmtId="0" fontId="38" fillId="3" borderId="22" xfId="0" applyFont="1" applyFill="1" applyBorder="1" applyAlignment="1">
      <alignment vertical="center"/>
    </xf>
    <xf numFmtId="0" fontId="36" fillId="3" borderId="3" xfId="0" applyFont="1" applyFill="1" applyBorder="1" applyAlignment="1">
      <alignment vertical="center"/>
    </xf>
    <xf numFmtId="0" fontId="44" fillId="3" borderId="3" xfId="0" applyFont="1" applyFill="1" applyBorder="1" applyAlignment="1">
      <alignment horizontal="left" vertical="center" indent="3"/>
    </xf>
    <xf numFmtId="0" fontId="36" fillId="3" borderId="0" xfId="0" applyFont="1" applyFill="1"/>
    <xf numFmtId="0" fontId="36" fillId="0" borderId="0" xfId="0" applyFont="1"/>
    <xf numFmtId="0" fontId="34" fillId="6" borderId="26" xfId="0" applyFont="1" applyFill="1" applyBorder="1" applyAlignment="1">
      <alignment horizontal="right" vertical="center"/>
    </xf>
    <xf numFmtId="0" fontId="34" fillId="15" borderId="27" xfId="0" applyFont="1" applyFill="1" applyBorder="1" applyAlignment="1">
      <alignment horizontal="right" vertical="center"/>
    </xf>
    <xf numFmtId="0" fontId="34" fillId="15" borderId="27" xfId="0" applyFont="1" applyFill="1" applyBorder="1" applyAlignment="1">
      <alignment horizontal="right" vertical="center" wrapText="1"/>
    </xf>
    <xf numFmtId="0" fontId="60" fillId="3" borderId="0" xfId="0" applyFont="1" applyFill="1"/>
    <xf numFmtId="0" fontId="60" fillId="0" borderId="0" xfId="0" applyFont="1"/>
    <xf numFmtId="166" fontId="60" fillId="3" borderId="0" xfId="0" applyNumberFormat="1" applyFont="1" applyFill="1" applyBorder="1" applyAlignment="1">
      <alignment horizontal="right" vertical="center"/>
    </xf>
    <xf numFmtId="0" fontId="60" fillId="3" borderId="3" xfId="0" applyFont="1" applyFill="1" applyBorder="1" applyAlignment="1">
      <alignment horizontal="left" vertical="center"/>
    </xf>
    <xf numFmtId="0" fontId="61" fillId="3" borderId="0" xfId="0" applyFont="1" applyFill="1"/>
    <xf numFmtId="0" fontId="34" fillId="3" borderId="0" xfId="0" applyFont="1" applyFill="1"/>
    <xf numFmtId="0" fontId="34" fillId="6" borderId="25" xfId="0" applyFont="1" applyFill="1" applyBorder="1" applyAlignment="1">
      <alignment horizontal="left" vertical="center"/>
    </xf>
    <xf numFmtId="0" fontId="34" fillId="3" borderId="3" xfId="0" applyFont="1" applyFill="1" applyBorder="1" applyAlignment="1">
      <alignment horizontal="left" vertical="center"/>
    </xf>
    <xf numFmtId="0" fontId="60" fillId="3" borderId="0" xfId="0" applyFont="1" applyFill="1" applyAlignment="1">
      <alignment horizontal="left" vertical="center"/>
    </xf>
    <xf numFmtId="0" fontId="60" fillId="3" borderId="0" xfId="0" applyFont="1" applyFill="1" applyBorder="1"/>
    <xf numFmtId="0" fontId="60" fillId="3" borderId="0" xfId="0" applyFont="1" applyFill="1" applyAlignment="1">
      <alignment vertical="center"/>
    </xf>
    <xf numFmtId="0" fontId="60" fillId="0" borderId="0" xfId="0" applyFont="1" applyAlignment="1">
      <alignment vertical="center"/>
    </xf>
    <xf numFmtId="0" fontId="60" fillId="0" borderId="0" xfId="0" applyFont="1" applyBorder="1"/>
    <xf numFmtId="0" fontId="54" fillId="7" borderId="6" xfId="0" applyFont="1" applyFill="1" applyBorder="1" applyAlignment="1">
      <alignment horizontal="right" vertical="center"/>
    </xf>
    <xf numFmtId="0" fontId="23" fillId="6" borderId="7" xfId="0" applyFont="1" applyFill="1" applyBorder="1" applyAlignment="1">
      <alignment horizontal="right" vertical="center" wrapText="1"/>
    </xf>
    <xf numFmtId="0" fontId="55" fillId="6" borderId="8" xfId="0" applyFont="1" applyFill="1" applyBorder="1" applyAlignment="1">
      <alignment horizontal="right" vertical="center" wrapText="1"/>
    </xf>
    <xf numFmtId="0" fontId="46" fillId="7" borderId="13"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11" xfId="0" applyFont="1" applyFill="1" applyBorder="1" applyAlignment="1">
      <alignment horizontal="center" vertical="center"/>
    </xf>
    <xf numFmtId="0" fontId="46" fillId="7" borderId="6" xfId="0" applyFont="1" applyFill="1" applyBorder="1" applyAlignment="1">
      <alignment horizontal="center" vertical="center"/>
    </xf>
    <xf numFmtId="0" fontId="46" fillId="7" borderId="7" xfId="0" applyFont="1" applyFill="1" applyBorder="1" applyAlignment="1">
      <alignment horizontal="center" vertical="center"/>
    </xf>
    <xf numFmtId="165" fontId="31" fillId="8" borderId="4" xfId="0" applyNumberFormat="1" applyFont="1" applyFill="1" applyBorder="1" applyAlignment="1">
      <alignment vertical="center" wrapText="1"/>
    </xf>
    <xf numFmtId="0" fontId="18" fillId="3" borderId="23" xfId="0" applyFont="1" applyFill="1" applyBorder="1" applyAlignment="1">
      <alignment vertical="center" wrapText="1"/>
    </xf>
    <xf numFmtId="165" fontId="31" fillId="8" borderId="11" xfId="0" applyNumberFormat="1" applyFont="1" applyFill="1" applyBorder="1" applyAlignment="1">
      <alignment vertical="center" wrapText="1"/>
    </xf>
    <xf numFmtId="174" fontId="64" fillId="3" borderId="0" xfId="0" applyNumberFormat="1" applyFont="1" applyFill="1" applyAlignment="1">
      <alignment horizontal="right" vertical="center"/>
    </xf>
    <xf numFmtId="170" fontId="64" fillId="3" borderId="0" xfId="0" applyNumberFormat="1" applyFont="1" applyFill="1" applyAlignment="1">
      <alignment horizontal="right" vertical="center"/>
    </xf>
    <xf numFmtId="173" fontId="30" fillId="3" borderId="0" xfId="0" applyNumberFormat="1" applyFont="1" applyFill="1" applyBorder="1" applyAlignment="1">
      <alignment vertical="center"/>
    </xf>
    <xf numFmtId="173" fontId="30" fillId="11" borderId="10" xfId="0" applyNumberFormat="1" applyFont="1" applyFill="1" applyBorder="1" applyAlignment="1">
      <alignment horizontal="right" vertical="center"/>
    </xf>
    <xf numFmtId="167" fontId="31" fillId="8" borderId="18" xfId="3" applyNumberFormat="1" applyFont="1" applyFill="1" applyBorder="1" applyAlignment="1">
      <alignment vertical="center" wrapText="1"/>
    </xf>
    <xf numFmtId="167" fontId="31" fillId="12" borderId="19" xfId="3" applyNumberFormat="1" applyFont="1" applyFill="1" applyBorder="1" applyAlignment="1">
      <alignment vertical="center" wrapText="1"/>
    </xf>
    <xf numFmtId="0" fontId="30" fillId="0" borderId="0" xfId="0" applyFont="1" applyFill="1" applyBorder="1"/>
    <xf numFmtId="0" fontId="21" fillId="3" borderId="3" xfId="0" applyFont="1" applyFill="1" applyBorder="1" applyAlignment="1">
      <alignment vertical="center"/>
    </xf>
    <xf numFmtId="173" fontId="30" fillId="11" borderId="0" xfId="0" applyNumberFormat="1" applyFont="1" applyFill="1" applyBorder="1" applyAlignment="1">
      <alignment horizontal="right" vertical="center"/>
    </xf>
    <xf numFmtId="173" fontId="30" fillId="3" borderId="3" xfId="0" applyNumberFormat="1" applyFont="1" applyFill="1" applyBorder="1" applyAlignment="1">
      <alignment vertical="center"/>
    </xf>
    <xf numFmtId="0" fontId="30" fillId="0" borderId="0" xfId="0" applyFont="1" applyBorder="1"/>
    <xf numFmtId="168" fontId="31" fillId="12" borderId="12" xfId="0" applyNumberFormat="1" applyFont="1" applyFill="1" applyBorder="1" applyAlignment="1">
      <alignment vertical="center" wrapText="1"/>
    </xf>
    <xf numFmtId="0" fontId="30" fillId="17" borderId="27" xfId="0" applyFont="1" applyFill="1" applyBorder="1" applyAlignment="1">
      <alignment horizontal="center" vertical="center" wrapText="1"/>
    </xf>
    <xf numFmtId="0" fontId="13" fillId="3" borderId="0" xfId="0" applyFont="1" applyFill="1" applyAlignment="1">
      <alignment vertical="center"/>
    </xf>
    <xf numFmtId="0" fontId="13" fillId="3" borderId="0" xfId="0" applyFont="1" applyFill="1" applyAlignment="1">
      <alignment vertical="top"/>
    </xf>
    <xf numFmtId="0" fontId="13" fillId="3" borderId="0" xfId="0" applyFont="1" applyFill="1" applyBorder="1" applyAlignment="1">
      <alignment vertical="center"/>
    </xf>
    <xf numFmtId="10" fontId="21" fillId="2" borderId="35" xfId="0" applyNumberFormat="1" applyFont="1" applyFill="1" applyBorder="1" applyAlignment="1">
      <alignment horizontal="right" vertical="center" wrapText="1" indent="1"/>
    </xf>
    <xf numFmtId="10" fontId="21" fillId="3" borderId="36" xfId="0" applyNumberFormat="1" applyFont="1" applyFill="1" applyBorder="1" applyAlignment="1">
      <alignment horizontal="right" vertical="center" wrapText="1" indent="1"/>
    </xf>
    <xf numFmtId="175" fontId="60" fillId="3" borderId="0" xfId="0" applyNumberFormat="1" applyFont="1" applyFill="1" applyBorder="1" applyAlignment="1">
      <alignment vertical="center"/>
    </xf>
    <xf numFmtId="175" fontId="60" fillId="16" borderId="10" xfId="0" applyNumberFormat="1" applyFont="1" applyFill="1" applyBorder="1" applyAlignment="1">
      <alignment vertical="center"/>
    </xf>
    <xf numFmtId="175" fontId="32" fillId="3" borderId="0" xfId="1" applyNumberFormat="1" applyFont="1" applyFill="1" applyBorder="1" applyAlignment="1">
      <alignment horizontal="right" vertical="center"/>
    </xf>
    <xf numFmtId="175" fontId="61" fillId="3" borderId="0" xfId="0" applyNumberFormat="1" applyFont="1" applyFill="1" applyBorder="1" applyAlignment="1">
      <alignment vertical="center"/>
    </xf>
    <xf numFmtId="175" fontId="61" fillId="16" borderId="10" xfId="0" applyNumberFormat="1" applyFont="1" applyFill="1" applyBorder="1" applyAlignment="1">
      <alignment vertical="center"/>
    </xf>
    <xf numFmtId="175" fontId="60" fillId="3" borderId="18" xfId="0" applyNumberFormat="1" applyFont="1" applyFill="1" applyBorder="1" applyAlignment="1">
      <alignment vertical="center"/>
    </xf>
    <xf numFmtId="175" fontId="60" fillId="16" borderId="19" xfId="0" applyNumberFormat="1" applyFont="1" applyFill="1" applyBorder="1" applyAlignment="1">
      <alignment vertical="center"/>
    </xf>
    <xf numFmtId="175" fontId="34" fillId="14" borderId="7" xfId="0" applyNumberFormat="1" applyFont="1" applyFill="1" applyBorder="1" applyAlignment="1">
      <alignment vertical="center"/>
    </xf>
    <xf numFmtId="175" fontId="34" fillId="14" borderId="8" xfId="0" applyNumberFormat="1" applyFont="1" applyFill="1" applyBorder="1" applyAlignment="1">
      <alignment vertical="center"/>
    </xf>
    <xf numFmtId="175" fontId="60" fillId="3" borderId="11" xfId="0" applyNumberFormat="1" applyFont="1" applyFill="1" applyBorder="1" applyAlignment="1">
      <alignment vertical="center"/>
    </xf>
    <xf numFmtId="175" fontId="60" fillId="16" borderId="12" xfId="0" applyNumberFormat="1" applyFont="1" applyFill="1" applyBorder="1" applyAlignment="1">
      <alignment vertical="center"/>
    </xf>
    <xf numFmtId="175" fontId="32" fillId="3" borderId="0" xfId="0" applyNumberFormat="1" applyFont="1" applyFill="1" applyBorder="1" applyAlignment="1">
      <alignment horizontal="right" vertical="center"/>
    </xf>
    <xf numFmtId="175" fontId="34" fillId="6" borderId="26" xfId="0" applyNumberFormat="1" applyFont="1" applyFill="1" applyBorder="1" applyAlignment="1">
      <alignment vertical="center"/>
    </xf>
    <xf numFmtId="175" fontId="34" fillId="15" borderId="27" xfId="0" applyNumberFormat="1" applyFont="1" applyFill="1" applyBorder="1" applyAlignment="1">
      <alignment vertical="center"/>
    </xf>
    <xf numFmtId="175" fontId="30" fillId="6" borderId="27" xfId="0" applyNumberFormat="1" applyFont="1" applyFill="1" applyBorder="1" applyAlignment="1">
      <alignment vertical="center"/>
    </xf>
    <xf numFmtId="175" fontId="32" fillId="16" borderId="10" xfId="0" applyNumberFormat="1" applyFont="1" applyFill="1" applyBorder="1" applyAlignment="1">
      <alignment horizontal="right" vertical="center"/>
    </xf>
    <xf numFmtId="175" fontId="60" fillId="3" borderId="0" xfId="0" applyNumberFormat="1" applyFont="1" applyFill="1" applyBorder="1" applyAlignment="1">
      <alignment horizontal="right" vertical="center"/>
    </xf>
    <xf numFmtId="175" fontId="18" fillId="16" borderId="10" xfId="0" applyNumberFormat="1" applyFont="1" applyFill="1" applyBorder="1" applyAlignment="1">
      <alignment vertical="center"/>
    </xf>
    <xf numFmtId="175" fontId="62" fillId="3" borderId="0" xfId="0" applyNumberFormat="1" applyFont="1" applyFill="1" applyBorder="1" applyAlignment="1">
      <alignment horizontal="right" vertical="center"/>
    </xf>
    <xf numFmtId="175" fontId="63" fillId="3" borderId="0" xfId="0" applyNumberFormat="1" applyFont="1" applyFill="1" applyBorder="1" applyAlignment="1">
      <alignment horizontal="right" vertical="center"/>
    </xf>
    <xf numFmtId="175" fontId="33" fillId="16" borderId="10" xfId="0" applyNumberFormat="1" applyFont="1" applyFill="1" applyBorder="1" applyAlignment="1">
      <alignment horizontal="right" vertical="center"/>
    </xf>
    <xf numFmtId="176" fontId="34" fillId="3" borderId="0" xfId="0" applyNumberFormat="1" applyFont="1" applyFill="1" applyBorder="1" applyAlignment="1">
      <alignment vertical="center"/>
    </xf>
    <xf numFmtId="176" fontId="34" fillId="16" borderId="0" xfId="0" applyNumberFormat="1" applyFont="1" applyFill="1" applyBorder="1" applyAlignment="1">
      <alignment vertical="center"/>
    </xf>
    <xf numFmtId="176" fontId="34" fillId="3" borderId="3" xfId="0" applyNumberFormat="1" applyFont="1" applyFill="1" applyBorder="1" applyAlignment="1">
      <alignment vertical="center"/>
    </xf>
    <xf numFmtId="175" fontId="30" fillId="3" borderId="7" xfId="0" applyNumberFormat="1" applyFont="1" applyFill="1" applyBorder="1" applyAlignment="1">
      <alignment vertical="center"/>
    </xf>
    <xf numFmtId="175" fontId="30" fillId="2" borderId="7" xfId="0" applyNumberFormat="1" applyFont="1" applyFill="1" applyBorder="1" applyAlignment="1">
      <alignment vertical="center"/>
    </xf>
    <xf numFmtId="175" fontId="30" fillId="3" borderId="6" xfId="0" applyNumberFormat="1" applyFont="1" applyFill="1" applyBorder="1" applyAlignment="1">
      <alignment vertical="center"/>
    </xf>
    <xf numFmtId="175" fontId="30" fillId="2" borderId="8" xfId="0" applyNumberFormat="1" applyFont="1" applyFill="1" applyBorder="1" applyAlignment="1">
      <alignment vertical="center"/>
    </xf>
    <xf numFmtId="175" fontId="18" fillId="3" borderId="0" xfId="0" applyNumberFormat="1" applyFont="1" applyFill="1" applyAlignment="1">
      <alignment vertical="center"/>
    </xf>
    <xf numFmtId="175" fontId="18" fillId="2" borderId="0" xfId="0" applyNumberFormat="1" applyFont="1" applyFill="1" applyAlignment="1">
      <alignment vertical="center"/>
    </xf>
    <xf numFmtId="175" fontId="18" fillId="3" borderId="3" xfId="0" applyNumberFormat="1" applyFont="1" applyFill="1" applyBorder="1" applyAlignment="1">
      <alignment vertical="center"/>
    </xf>
    <xf numFmtId="175" fontId="18" fillId="3" borderId="0" xfId="0" applyNumberFormat="1" applyFont="1" applyFill="1" applyBorder="1" applyAlignment="1">
      <alignment vertical="center"/>
    </xf>
    <xf numFmtId="175" fontId="18" fillId="2" borderId="10" xfId="0" applyNumberFormat="1" applyFont="1" applyFill="1" applyBorder="1" applyAlignment="1">
      <alignment vertical="center"/>
    </xf>
    <xf numFmtId="175" fontId="30" fillId="14" borderId="7" xfId="0" applyNumberFormat="1" applyFont="1" applyFill="1" applyBorder="1" applyAlignment="1">
      <alignment vertical="center"/>
    </xf>
    <xf numFmtId="175" fontId="30" fillId="9" borderId="7" xfId="0" applyNumberFormat="1" applyFont="1" applyFill="1" applyBorder="1" applyAlignment="1">
      <alignment vertical="center"/>
    </xf>
    <xf numFmtId="175" fontId="30" fillId="14" borderId="6" xfId="0" applyNumberFormat="1" applyFont="1" applyFill="1" applyBorder="1" applyAlignment="1">
      <alignment vertical="center"/>
    </xf>
    <xf numFmtId="175" fontId="30" fillId="9" borderId="8" xfId="0" applyNumberFormat="1" applyFont="1" applyFill="1" applyBorder="1" applyAlignment="1">
      <alignment vertical="center"/>
    </xf>
    <xf numFmtId="175" fontId="30" fillId="3" borderId="2" xfId="0" applyNumberFormat="1" applyFont="1" applyFill="1" applyBorder="1" applyAlignment="1">
      <alignment vertical="center"/>
    </xf>
    <xf numFmtId="175" fontId="30" fillId="2" borderId="2" xfId="0" applyNumberFormat="1" applyFont="1" applyFill="1" applyBorder="1" applyAlignment="1">
      <alignment vertical="center"/>
    </xf>
    <xf numFmtId="175" fontId="30" fillId="3" borderId="15" xfId="0" applyNumberFormat="1" applyFont="1" applyFill="1" applyBorder="1" applyAlignment="1">
      <alignment vertical="center"/>
    </xf>
    <xf numFmtId="175" fontId="30" fillId="2" borderId="16" xfId="0" applyNumberFormat="1" applyFont="1" applyFill="1" applyBorder="1" applyAlignment="1">
      <alignment vertical="center"/>
    </xf>
    <xf numFmtId="175" fontId="18" fillId="2" borderId="0" xfId="0" applyNumberFormat="1" applyFont="1" applyFill="1" applyBorder="1" applyAlignment="1">
      <alignment vertical="center"/>
    </xf>
    <xf numFmtId="176" fontId="18" fillId="3" borderId="3" xfId="0" applyNumberFormat="1" applyFont="1" applyFill="1" applyBorder="1" applyAlignment="1">
      <alignment vertical="center"/>
    </xf>
    <xf numFmtId="176" fontId="18" fillId="3" borderId="0" xfId="0" applyNumberFormat="1" applyFont="1" applyFill="1" applyBorder="1" applyAlignment="1">
      <alignment vertical="center"/>
    </xf>
    <xf numFmtId="176" fontId="18" fillId="3" borderId="10" xfId="0" applyNumberFormat="1" applyFont="1" applyFill="1" applyBorder="1" applyAlignment="1">
      <alignment vertical="center"/>
    </xf>
    <xf numFmtId="176" fontId="18" fillId="3" borderId="0" xfId="0" applyNumberFormat="1" applyFont="1" applyFill="1" applyAlignment="1">
      <alignment vertical="center"/>
    </xf>
    <xf numFmtId="175" fontId="11" fillId="3" borderId="0" xfId="0" applyNumberFormat="1" applyFont="1" applyFill="1" applyBorder="1" applyAlignment="1">
      <alignment horizontal="right" vertical="center"/>
    </xf>
    <xf numFmtId="175" fontId="11" fillId="3" borderId="11" xfId="0" applyNumberFormat="1" applyFont="1" applyFill="1" applyBorder="1" applyAlignment="1">
      <alignment horizontal="right" vertical="center"/>
    </xf>
    <xf numFmtId="175" fontId="38" fillId="3" borderId="12" xfId="0" applyNumberFormat="1" applyFont="1" applyFill="1" applyBorder="1" applyAlignment="1">
      <alignment horizontal="right" vertical="center"/>
    </xf>
    <xf numFmtId="175" fontId="11" fillId="2" borderId="3" xfId="0" applyNumberFormat="1" applyFont="1" applyFill="1" applyBorder="1" applyAlignment="1">
      <alignment horizontal="right" vertical="center" wrapText="1"/>
    </xf>
    <xf numFmtId="175" fontId="11" fillId="2" borderId="0" xfId="0" applyNumberFormat="1" applyFont="1" applyFill="1" applyBorder="1" applyAlignment="1">
      <alignment horizontal="right" vertical="center" wrapText="1"/>
    </xf>
    <xf numFmtId="175" fontId="11" fillId="3" borderId="0" xfId="0" applyNumberFormat="1" applyFont="1" applyFill="1" applyBorder="1" applyAlignment="1">
      <alignment horizontal="right" vertical="center" wrapText="1"/>
    </xf>
    <xf numFmtId="175" fontId="38" fillId="3" borderId="10" xfId="0" applyNumberFormat="1" applyFont="1" applyFill="1" applyBorder="1" applyAlignment="1">
      <alignment horizontal="right" vertical="center" wrapText="1"/>
    </xf>
    <xf numFmtId="175" fontId="11" fillId="2" borderId="11" xfId="0" applyNumberFormat="1" applyFont="1" applyFill="1" applyBorder="1" applyAlignment="1">
      <alignment horizontal="right" vertical="center" wrapText="1"/>
    </xf>
    <xf numFmtId="175" fontId="11" fillId="3" borderId="11" xfId="0" applyNumberFormat="1" applyFont="1" applyFill="1" applyBorder="1" applyAlignment="1">
      <alignment horizontal="right" vertical="center" wrapText="1"/>
    </xf>
    <xf numFmtId="175" fontId="38" fillId="3" borderId="12" xfId="0" applyNumberFormat="1" applyFont="1" applyFill="1" applyBorder="1" applyAlignment="1">
      <alignment horizontal="right" vertical="center" wrapText="1"/>
    </xf>
    <xf numFmtId="175" fontId="38" fillId="3" borderId="10" xfId="0" applyNumberFormat="1" applyFont="1" applyFill="1" applyBorder="1" applyAlignment="1">
      <alignment horizontal="right" vertical="center"/>
    </xf>
    <xf numFmtId="175" fontId="38" fillId="3" borderId="0" xfId="0" applyNumberFormat="1" applyFont="1" applyFill="1" applyBorder="1" applyAlignment="1">
      <alignment horizontal="right" vertical="center"/>
    </xf>
    <xf numFmtId="175" fontId="21" fillId="2" borderId="3" xfId="0" applyNumberFormat="1" applyFont="1" applyFill="1" applyBorder="1" applyAlignment="1">
      <alignment horizontal="right" vertical="center" wrapText="1"/>
    </xf>
    <xf numFmtId="175" fontId="21" fillId="2" borderId="3" xfId="0" applyNumberFormat="1" applyFont="1" applyFill="1" applyBorder="1" applyAlignment="1">
      <alignment horizontal="right" vertical="center"/>
    </xf>
    <xf numFmtId="175" fontId="21" fillId="2" borderId="0" xfId="0" applyNumberFormat="1" applyFont="1" applyFill="1" applyBorder="1" applyAlignment="1">
      <alignment horizontal="right" vertical="center"/>
    </xf>
    <xf numFmtId="175" fontId="21" fillId="3" borderId="0" xfId="0" applyNumberFormat="1" applyFont="1" applyFill="1" applyBorder="1" applyAlignment="1">
      <alignment horizontal="right" vertical="center"/>
    </xf>
    <xf numFmtId="175" fontId="39" fillId="3" borderId="10" xfId="0" applyNumberFormat="1" applyFont="1" applyFill="1" applyBorder="1" applyAlignment="1">
      <alignment horizontal="right" vertical="center"/>
    </xf>
    <xf numFmtId="175" fontId="39" fillId="3" borderId="0" xfId="0" applyNumberFormat="1" applyFont="1" applyFill="1" applyBorder="1" applyAlignment="1">
      <alignment horizontal="right" vertical="center"/>
    </xf>
    <xf numFmtId="175" fontId="39" fillId="3" borderId="10" xfId="0" applyNumberFormat="1" applyFont="1" applyFill="1" applyBorder="1" applyAlignment="1">
      <alignment horizontal="right" vertical="center" wrapText="1"/>
    </xf>
    <xf numFmtId="175" fontId="21" fillId="2" borderId="0" xfId="0" applyNumberFormat="1" applyFont="1" applyFill="1" applyBorder="1" applyAlignment="1">
      <alignment horizontal="right" vertical="center" wrapText="1"/>
    </xf>
    <xf numFmtId="175" fontId="21" fillId="3" borderId="0" xfId="0" applyNumberFormat="1" applyFont="1" applyFill="1" applyBorder="1" applyAlignment="1">
      <alignment horizontal="right" vertical="center" wrapText="1"/>
    </xf>
    <xf numFmtId="175" fontId="21" fillId="2" borderId="1" xfId="0" applyNumberFormat="1" applyFont="1" applyFill="1" applyBorder="1" applyAlignment="1">
      <alignment horizontal="right" vertical="center"/>
    </xf>
    <xf numFmtId="175" fontId="21" fillId="3" borderId="1" xfId="0" applyNumberFormat="1" applyFont="1" applyFill="1" applyBorder="1" applyAlignment="1">
      <alignment horizontal="right" vertical="center"/>
    </xf>
    <xf numFmtId="175" fontId="11" fillId="3" borderId="26" xfId="0" applyNumberFormat="1" applyFont="1" applyFill="1" applyBorder="1" applyAlignment="1">
      <alignment horizontal="right" vertical="center"/>
    </xf>
    <xf numFmtId="175" fontId="38" fillId="3" borderId="27" xfId="0" applyNumberFormat="1" applyFont="1" applyFill="1" applyBorder="1" applyAlignment="1">
      <alignment horizontal="right" vertical="center"/>
    </xf>
    <xf numFmtId="175" fontId="38" fillId="3" borderId="26" xfId="0" applyNumberFormat="1" applyFont="1" applyFill="1" applyBorder="1" applyAlignment="1">
      <alignment horizontal="right" vertical="center"/>
    </xf>
    <xf numFmtId="175" fontId="11" fillId="2" borderId="26" xfId="0" applyNumberFormat="1" applyFont="1" applyFill="1" applyBorder="1" applyAlignment="1">
      <alignment horizontal="right" vertical="center" wrapText="1"/>
    </xf>
    <xf numFmtId="175" fontId="11" fillId="3" borderId="26" xfId="0" applyNumberFormat="1" applyFont="1" applyFill="1" applyBorder="1" applyAlignment="1">
      <alignment horizontal="right" vertical="center" wrapText="1"/>
    </xf>
    <xf numFmtId="175" fontId="11" fillId="3" borderId="2" xfId="0" applyNumberFormat="1" applyFont="1" applyFill="1" applyBorder="1" applyAlignment="1">
      <alignment horizontal="right" vertical="center" wrapText="1"/>
    </xf>
    <xf numFmtId="175" fontId="38" fillId="3" borderId="16" xfId="0" applyNumberFormat="1" applyFont="1" applyFill="1" applyBorder="1" applyAlignment="1">
      <alignment horizontal="right" vertical="center" wrapText="1"/>
    </xf>
    <xf numFmtId="175" fontId="38" fillId="3" borderId="27" xfId="0" applyNumberFormat="1" applyFont="1" applyFill="1" applyBorder="1" applyAlignment="1">
      <alignment horizontal="right" vertical="center" wrapText="1"/>
    </xf>
    <xf numFmtId="175" fontId="0" fillId="2" borderId="4" xfId="0" applyNumberFormat="1" applyFill="1" applyBorder="1" applyAlignment="1">
      <alignment vertical="center"/>
    </xf>
    <xf numFmtId="175" fontId="0" fillId="2" borderId="11" xfId="0" applyNumberFormat="1" applyFill="1" applyBorder="1" applyAlignment="1">
      <alignment vertical="center"/>
    </xf>
    <xf numFmtId="175" fontId="0" fillId="3" borderId="11" xfId="0" applyNumberFormat="1" applyFill="1" applyBorder="1" applyAlignment="1">
      <alignment vertical="center"/>
    </xf>
    <xf numFmtId="175" fontId="41" fillId="3" borderId="12" xfId="0" applyNumberFormat="1" applyFont="1" applyFill="1" applyBorder="1" applyAlignment="1">
      <alignment vertical="center"/>
    </xf>
    <xf numFmtId="175" fontId="41" fillId="3" borderId="11" xfId="0" applyNumberFormat="1" applyFont="1" applyFill="1" applyBorder="1" applyAlignment="1">
      <alignment vertical="center"/>
    </xf>
    <xf numFmtId="175" fontId="0" fillId="0" borderId="0" xfId="0" applyNumberFormat="1" applyAlignment="1">
      <alignment vertical="center"/>
    </xf>
    <xf numFmtId="175" fontId="40" fillId="2" borderId="0" xfId="0" applyNumberFormat="1" applyFont="1" applyFill="1" applyBorder="1" applyAlignment="1">
      <alignment vertical="center"/>
    </xf>
    <xf numFmtId="175" fontId="40" fillId="3" borderId="0" xfId="0" applyNumberFormat="1" applyFont="1" applyFill="1" applyBorder="1" applyAlignment="1">
      <alignment vertical="center"/>
    </xf>
    <xf numFmtId="175" fontId="11" fillId="2" borderId="18" xfId="0" applyNumberFormat="1" applyFont="1" applyFill="1" applyBorder="1" applyAlignment="1">
      <alignment vertical="center"/>
    </xf>
    <xf numFmtId="175" fontId="11" fillId="3" borderId="18" xfId="0" applyNumberFormat="1" applyFont="1" applyFill="1" applyBorder="1" applyAlignment="1">
      <alignment vertical="center"/>
    </xf>
    <xf numFmtId="175" fontId="38" fillId="3" borderId="19" xfId="0" applyNumberFormat="1" applyFont="1" applyFill="1" applyBorder="1" applyAlignment="1">
      <alignment vertical="center"/>
    </xf>
    <xf numFmtId="175" fontId="38" fillId="3" borderId="19" xfId="0" applyNumberFormat="1" applyFont="1" applyFill="1" applyBorder="1" applyAlignment="1">
      <alignment horizontal="right" vertical="center"/>
    </xf>
    <xf numFmtId="175" fontId="38" fillId="3" borderId="19" xfId="0" applyNumberFormat="1" applyFont="1" applyFill="1" applyBorder="1" applyAlignment="1">
      <alignment horizontal="right" vertical="center" wrapText="1"/>
    </xf>
    <xf numFmtId="175" fontId="11" fillId="2" borderId="18" xfId="0" applyNumberFormat="1" applyFont="1" applyFill="1" applyBorder="1" applyAlignment="1">
      <alignment horizontal="right" vertical="center" wrapText="1"/>
    </xf>
    <xf numFmtId="175" fontId="11" fillId="3" borderId="18" xfId="0" applyNumberFormat="1" applyFont="1" applyFill="1" applyBorder="1" applyAlignment="1">
      <alignment horizontal="right" vertical="center" wrapText="1"/>
    </xf>
    <xf numFmtId="177" fontId="40" fillId="3" borderId="0" xfId="0" applyNumberFormat="1" applyFont="1" applyFill="1" applyBorder="1" applyAlignment="1">
      <alignment vertical="center"/>
    </xf>
    <xf numFmtId="177" fontId="40" fillId="3" borderId="26" xfId="0" applyNumberFormat="1" applyFont="1" applyFill="1" applyBorder="1" applyAlignment="1">
      <alignment horizontal="right" vertical="center"/>
    </xf>
    <xf numFmtId="177" fontId="40" fillId="2" borderId="26" xfId="0" applyNumberFormat="1" applyFont="1" applyFill="1" applyBorder="1" applyAlignment="1">
      <alignment horizontal="right" vertical="center"/>
    </xf>
    <xf numFmtId="0" fontId="46" fillId="13" borderId="14" xfId="0" applyFont="1" applyFill="1" applyBorder="1" applyAlignment="1">
      <alignment horizontal="center" vertical="center"/>
    </xf>
    <xf numFmtId="167" fontId="27" fillId="2" borderId="3" xfId="7" applyNumberFormat="1" applyFont="1" applyFill="1" applyBorder="1" applyAlignment="1">
      <alignment horizontal="right" vertical="center" wrapText="1"/>
    </xf>
    <xf numFmtId="3" fontId="51" fillId="3" borderId="3" xfId="7" applyNumberFormat="1" applyFont="1" applyFill="1" applyBorder="1" applyAlignment="1">
      <alignment horizontal="right" vertical="center" wrapText="1"/>
    </xf>
    <xf numFmtId="3" fontId="27" fillId="3" borderId="3" xfId="7" applyNumberFormat="1" applyFont="1" applyFill="1" applyBorder="1" applyAlignment="1">
      <alignment horizontal="right" vertical="center" wrapText="1"/>
    </xf>
    <xf numFmtId="0" fontId="10" fillId="3" borderId="4" xfId="0" applyFont="1" applyFill="1" applyBorder="1" applyAlignment="1">
      <alignment vertical="center" wrapText="1"/>
    </xf>
    <xf numFmtId="171" fontId="18" fillId="3" borderId="11" xfId="0" applyNumberFormat="1" applyFont="1" applyFill="1" applyBorder="1" applyAlignment="1">
      <alignment horizontal="right" vertical="center"/>
    </xf>
    <xf numFmtId="175" fontId="60" fillId="16" borderId="10" xfId="0" applyNumberFormat="1" applyFont="1" applyFill="1" applyBorder="1" applyAlignment="1">
      <alignment horizontal="right" vertical="center"/>
    </xf>
    <xf numFmtId="175" fontId="60" fillId="16" borderId="0" xfId="0" applyNumberFormat="1" applyFont="1" applyFill="1" applyBorder="1" applyAlignment="1">
      <alignment horizontal="right" vertical="center"/>
    </xf>
    <xf numFmtId="175" fontId="60" fillId="3" borderId="3" xfId="0" applyNumberFormat="1" applyFont="1" applyFill="1" applyBorder="1" applyAlignment="1">
      <alignment horizontal="right" vertical="center"/>
    </xf>
    <xf numFmtId="175" fontId="60" fillId="16" borderId="0" xfId="0" applyNumberFormat="1" applyFont="1" applyFill="1" applyBorder="1" applyAlignment="1">
      <alignment vertical="center"/>
    </xf>
    <xf numFmtId="175" fontId="32" fillId="3" borderId="3" xfId="1" applyNumberFormat="1" applyFont="1" applyFill="1" applyBorder="1" applyAlignment="1">
      <alignment horizontal="right" vertical="center"/>
    </xf>
    <xf numFmtId="175" fontId="61" fillId="16" borderId="0" xfId="0" applyNumberFormat="1" applyFont="1" applyFill="1" applyBorder="1" applyAlignment="1">
      <alignment vertical="center"/>
    </xf>
    <xf numFmtId="175" fontId="61" fillId="3" borderId="3" xfId="0" applyNumberFormat="1" applyFont="1" applyFill="1" applyBorder="1" applyAlignment="1">
      <alignment vertical="center"/>
    </xf>
    <xf numFmtId="175" fontId="34" fillId="14" borderId="6" xfId="0" applyNumberFormat="1" applyFont="1" applyFill="1" applyBorder="1" applyAlignment="1">
      <alignment vertical="center"/>
    </xf>
    <xf numFmtId="175" fontId="32" fillId="16" borderId="10" xfId="1" applyNumberFormat="1" applyFont="1" applyFill="1" applyBorder="1" applyAlignment="1">
      <alignment horizontal="right" vertical="center"/>
    </xf>
    <xf numFmtId="175" fontId="32" fillId="16" borderId="0" xfId="1" applyNumberFormat="1" applyFont="1" applyFill="1" applyBorder="1" applyAlignment="1">
      <alignment horizontal="right" vertical="center"/>
    </xf>
    <xf numFmtId="175" fontId="34" fillId="15" borderId="26" xfId="0" applyNumberFormat="1" applyFont="1" applyFill="1" applyBorder="1" applyAlignment="1">
      <alignment vertical="center"/>
    </xf>
    <xf numFmtId="175" fontId="34" fillId="6" borderId="25" xfId="0" applyNumberFormat="1" applyFont="1" applyFill="1" applyBorder="1" applyAlignment="1">
      <alignment vertical="center"/>
    </xf>
    <xf numFmtId="175" fontId="60" fillId="3" borderId="11" xfId="0" applyNumberFormat="1" applyFont="1" applyFill="1" applyBorder="1" applyAlignment="1">
      <alignment horizontal="right" vertical="center"/>
    </xf>
    <xf numFmtId="175" fontId="60" fillId="16" borderId="12" xfId="0" applyNumberFormat="1" applyFont="1" applyFill="1" applyBorder="1" applyAlignment="1">
      <alignment horizontal="right" vertical="center"/>
    </xf>
    <xf numFmtId="175" fontId="60" fillId="16" borderId="11" xfId="0" applyNumberFormat="1" applyFont="1" applyFill="1" applyBorder="1" applyAlignment="1">
      <alignment horizontal="right" vertical="center"/>
    </xf>
    <xf numFmtId="175" fontId="60" fillId="3" borderId="4" xfId="0" applyNumberFormat="1" applyFont="1" applyFill="1" applyBorder="1" applyAlignment="1">
      <alignment horizontal="right" vertical="center"/>
    </xf>
    <xf numFmtId="175" fontId="32" fillId="16" borderId="0" xfId="0" applyNumberFormat="1" applyFont="1" applyFill="1" applyBorder="1" applyAlignment="1">
      <alignment horizontal="right" vertical="center"/>
    </xf>
    <xf numFmtId="175" fontId="32" fillId="3" borderId="3" xfId="0" applyNumberFormat="1" applyFont="1" applyFill="1" applyBorder="1" applyAlignment="1">
      <alignment horizontal="right" vertical="center"/>
    </xf>
    <xf numFmtId="175" fontId="60" fillId="3" borderId="3" xfId="0" applyNumberFormat="1" applyFont="1" applyFill="1" applyBorder="1" applyAlignment="1">
      <alignment vertical="center"/>
    </xf>
    <xf numFmtId="175" fontId="30" fillId="3" borderId="8" xfId="0" applyNumberFormat="1" applyFont="1" applyFill="1" applyBorder="1" applyAlignment="1">
      <alignment vertical="center"/>
    </xf>
    <xf numFmtId="175" fontId="30" fillId="3" borderId="6" xfId="0" applyNumberFormat="1" applyFont="1" applyFill="1" applyBorder="1" applyAlignment="1">
      <alignment horizontal="right" vertical="center"/>
    </xf>
    <xf numFmtId="175" fontId="30" fillId="3" borderId="7" xfId="0" applyNumberFormat="1" applyFont="1" applyFill="1" applyBorder="1" applyAlignment="1">
      <alignment horizontal="right" vertical="center"/>
    </xf>
    <xf numFmtId="175" fontId="18" fillId="3" borderId="10" xfId="0" applyNumberFormat="1" applyFont="1" applyFill="1" applyBorder="1" applyAlignment="1">
      <alignment vertical="center"/>
    </xf>
    <xf numFmtId="175" fontId="30" fillId="14" borderId="8" xfId="0" applyNumberFormat="1" applyFont="1" applyFill="1" applyBorder="1" applyAlignment="1">
      <alignment vertical="center"/>
    </xf>
    <xf numFmtId="175" fontId="18" fillId="3" borderId="5" xfId="0" applyNumberFormat="1" applyFont="1" applyFill="1" applyBorder="1" applyAlignment="1">
      <alignment vertical="center"/>
    </xf>
    <xf numFmtId="175" fontId="18" fillId="3" borderId="18" xfId="0" applyNumberFormat="1" applyFont="1" applyFill="1" applyBorder="1" applyAlignment="1">
      <alignment vertical="center"/>
    </xf>
    <xf numFmtId="175" fontId="30" fillId="3" borderId="16" xfId="0" applyNumberFormat="1" applyFont="1" applyFill="1" applyBorder="1" applyAlignment="1">
      <alignment vertical="center"/>
    </xf>
    <xf numFmtId="0" fontId="46" fillId="13" borderId="20" xfId="0" applyFont="1" applyFill="1" applyBorder="1" applyAlignment="1">
      <alignment horizontal="center" vertical="center"/>
    </xf>
    <xf numFmtId="167" fontId="27" fillId="2" borderId="0" xfId="7" applyNumberFormat="1" applyFont="1" applyFill="1" applyBorder="1" applyAlignment="1">
      <alignment horizontal="right" vertical="center" wrapText="1"/>
    </xf>
    <xf numFmtId="3" fontId="51" fillId="3" borderId="0" xfId="7" applyNumberFormat="1" applyFont="1" applyFill="1" applyBorder="1" applyAlignment="1">
      <alignment horizontal="right" vertical="center" wrapText="1"/>
    </xf>
    <xf numFmtId="3" fontId="27" fillId="3" borderId="0" xfId="7" applyNumberFormat="1" applyFont="1" applyFill="1" applyBorder="1" applyAlignment="1">
      <alignment horizontal="right" vertical="center" wrapText="1"/>
    </xf>
    <xf numFmtId="175" fontId="9" fillId="2" borderId="0" xfId="0" applyNumberFormat="1" applyFont="1" applyFill="1" applyBorder="1" applyAlignment="1">
      <alignment horizontal="right" vertical="center" wrapText="1"/>
    </xf>
    <xf numFmtId="175" fontId="9" fillId="3" borderId="0" xfId="0" applyNumberFormat="1" applyFont="1" applyFill="1" applyBorder="1" applyAlignment="1">
      <alignment horizontal="right" vertical="center" wrapText="1"/>
    </xf>
    <xf numFmtId="175" fontId="9" fillId="2" borderId="26" xfId="0" applyNumberFormat="1" applyFont="1" applyFill="1" applyBorder="1" applyAlignment="1">
      <alignment horizontal="right" vertical="center" wrapText="1"/>
    </xf>
    <xf numFmtId="175" fontId="9" fillId="3" borderId="26" xfId="0" applyNumberFormat="1" applyFont="1" applyFill="1" applyBorder="1" applyAlignment="1">
      <alignment horizontal="right" vertical="center" wrapText="1"/>
    </xf>
    <xf numFmtId="0" fontId="8" fillId="3" borderId="3" xfId="0" applyFont="1" applyFill="1" applyBorder="1" applyAlignment="1">
      <alignment vertical="center" wrapText="1"/>
    </xf>
    <xf numFmtId="175" fontId="33" fillId="3" borderId="3" xfId="0" applyNumberFormat="1" applyFont="1" applyFill="1" applyBorder="1" applyAlignment="1">
      <alignment horizontal="right" vertical="center"/>
    </xf>
    <xf numFmtId="175" fontId="33" fillId="3" borderId="0" xfId="0" applyNumberFormat="1" applyFont="1" applyFill="1" applyBorder="1" applyAlignment="1">
      <alignment horizontal="right" vertical="center"/>
    </xf>
    <xf numFmtId="175" fontId="18" fillId="3" borderId="0" xfId="0" applyNumberFormat="1" applyFont="1" applyFill="1" applyBorder="1" applyAlignment="1">
      <alignment horizontal="right" vertical="center"/>
    </xf>
    <xf numFmtId="177" fontId="40" fillId="3" borderId="18" xfId="0" applyNumberFormat="1" applyFont="1" applyFill="1" applyBorder="1" applyAlignment="1">
      <alignment vertical="center"/>
    </xf>
    <xf numFmtId="0" fontId="46" fillId="13" borderId="7" xfId="0" applyFont="1" applyFill="1" applyBorder="1" applyAlignment="1">
      <alignment horizontal="center" vertical="center"/>
    </xf>
    <xf numFmtId="3" fontId="47" fillId="19" borderId="8" xfId="0" applyNumberFormat="1" applyFont="1" applyFill="1" applyBorder="1" applyAlignment="1">
      <alignment horizontal="right" vertical="center" wrapText="1"/>
    </xf>
    <xf numFmtId="175" fontId="33" fillId="2" borderId="10" xfId="0" applyNumberFormat="1" applyFont="1" applyFill="1" applyBorder="1" applyAlignment="1">
      <alignment horizontal="right" vertical="center"/>
    </xf>
    <xf numFmtId="171" fontId="30" fillId="14" borderId="7" xfId="0" applyNumberFormat="1" applyFont="1" applyFill="1" applyBorder="1" applyAlignment="1">
      <alignment vertical="center"/>
    </xf>
    <xf numFmtId="171" fontId="30" fillId="9" borderId="7" xfId="0" applyNumberFormat="1" applyFont="1" applyFill="1" applyBorder="1" applyAlignment="1">
      <alignment horizontal="right" vertical="center"/>
    </xf>
    <xf numFmtId="171" fontId="30" fillId="14" borderId="6" xfId="0" applyNumberFormat="1" applyFont="1" applyFill="1" applyBorder="1" applyAlignment="1">
      <alignment vertical="center"/>
    </xf>
    <xf numFmtId="171" fontId="30" fillId="9" borderId="8" xfId="0" applyNumberFormat="1" applyFont="1" applyFill="1" applyBorder="1" applyAlignment="1">
      <alignment horizontal="right" vertical="center"/>
    </xf>
    <xf numFmtId="175" fontId="66" fillId="16" borderId="10" xfId="0" applyNumberFormat="1" applyFont="1" applyFill="1" applyBorder="1" applyAlignment="1">
      <alignment vertical="center"/>
    </xf>
    <xf numFmtId="0" fontId="67" fillId="3" borderId="0" xfId="0" applyFont="1" applyFill="1"/>
    <xf numFmtId="0" fontId="7" fillId="3" borderId="0" xfId="0" applyFont="1" applyFill="1"/>
    <xf numFmtId="0" fontId="34" fillId="6" borderId="2" xfId="0" applyFont="1" applyFill="1" applyBorder="1" applyAlignment="1">
      <alignment horizontal="right" vertical="center"/>
    </xf>
    <xf numFmtId="169" fontId="34" fillId="8" borderId="7" xfId="0" applyNumberFormat="1" applyFont="1" applyFill="1" applyBorder="1" applyAlignment="1">
      <alignment vertical="center"/>
    </xf>
    <xf numFmtId="169" fontId="60" fillId="3" borderId="0" xfId="0" applyNumberFormat="1" applyFont="1" applyFill="1" applyBorder="1" applyAlignment="1">
      <alignment horizontal="right" vertical="center"/>
    </xf>
    <xf numFmtId="171" fontId="34" fillId="8" borderId="7" xfId="0" applyNumberFormat="1" applyFont="1" applyFill="1" applyBorder="1" applyAlignment="1">
      <alignment vertical="center"/>
    </xf>
    <xf numFmtId="171" fontId="60" fillId="3" borderId="0" xfId="0" applyNumberFormat="1" applyFont="1" applyFill="1" applyBorder="1" applyAlignment="1">
      <alignment horizontal="right" vertical="center"/>
    </xf>
    <xf numFmtId="175" fontId="18" fillId="11" borderId="10" xfId="0" applyNumberFormat="1" applyFont="1" applyFill="1" applyBorder="1" applyAlignment="1">
      <alignment horizontal="right" vertical="center"/>
    </xf>
    <xf numFmtId="173" fontId="30" fillId="3" borderId="0" xfId="0" applyNumberFormat="1" applyFont="1" applyFill="1" applyBorder="1" applyAlignment="1">
      <alignment horizontal="right" vertical="center"/>
    </xf>
    <xf numFmtId="173" fontId="34" fillId="3" borderId="0" xfId="0" applyNumberFormat="1" applyFont="1" applyFill="1" applyBorder="1" applyAlignment="1">
      <alignment vertical="center"/>
    </xf>
    <xf numFmtId="0" fontId="70" fillId="8" borderId="4" xfId="0" applyFont="1" applyFill="1" applyBorder="1" applyAlignment="1">
      <alignment vertical="center" wrapText="1"/>
    </xf>
    <xf numFmtId="168" fontId="70" fillId="12" borderId="12" xfId="0" applyNumberFormat="1" applyFont="1" applyFill="1" applyBorder="1" applyAlignment="1">
      <alignment vertical="center" wrapText="1"/>
    </xf>
    <xf numFmtId="167" fontId="70" fillId="8" borderId="18" xfId="3" applyNumberFormat="1" applyFont="1" applyFill="1" applyBorder="1" applyAlignment="1">
      <alignment vertical="center" wrapText="1"/>
    </xf>
    <xf numFmtId="167" fontId="70" fillId="12" borderId="19" xfId="3" applyNumberFormat="1" applyFont="1" applyFill="1" applyBorder="1" applyAlignment="1">
      <alignment vertical="center" wrapText="1"/>
    </xf>
    <xf numFmtId="175" fontId="18" fillId="11" borderId="0" xfId="0" applyNumberFormat="1" applyFont="1" applyFill="1" applyBorder="1" applyAlignment="1">
      <alignment horizontal="right" vertical="center"/>
    </xf>
    <xf numFmtId="175" fontId="18" fillId="3" borderId="3" xfId="0" applyNumberFormat="1" applyFont="1" applyFill="1" applyBorder="1" applyAlignment="1">
      <alignment horizontal="right" vertical="center"/>
    </xf>
    <xf numFmtId="0" fontId="37" fillId="3" borderId="0" xfId="0" applyFont="1" applyFill="1"/>
    <xf numFmtId="178" fontId="18" fillId="3" borderId="0" xfId="0" applyNumberFormat="1" applyFont="1" applyFill="1" applyBorder="1" applyAlignment="1">
      <alignment vertical="center"/>
    </xf>
    <xf numFmtId="178" fontId="18" fillId="16" borderId="10" xfId="0" applyNumberFormat="1" applyFont="1" applyFill="1" applyBorder="1" applyAlignment="1">
      <alignment vertical="center"/>
    </xf>
    <xf numFmtId="178" fontId="69" fillId="3" borderId="0" xfId="1" applyNumberFormat="1" applyFont="1" applyFill="1" applyBorder="1" applyAlignment="1">
      <alignment horizontal="right" vertical="center"/>
    </xf>
    <xf numFmtId="178" fontId="66" fillId="3" borderId="0" xfId="0" applyNumberFormat="1" applyFont="1" applyFill="1" applyBorder="1" applyAlignment="1">
      <alignment vertical="center"/>
    </xf>
    <xf numFmtId="178" fontId="66" fillId="16" borderId="10" xfId="0" applyNumberFormat="1" applyFont="1" applyFill="1" applyBorder="1" applyAlignment="1">
      <alignment vertical="center"/>
    </xf>
    <xf numFmtId="178" fontId="18" fillId="3" borderId="18" xfId="0" applyNumberFormat="1" applyFont="1" applyFill="1" applyBorder="1" applyAlignment="1">
      <alignment vertical="center"/>
    </xf>
    <xf numFmtId="178" fontId="30" fillId="14" borderId="7" xfId="0" applyNumberFormat="1" applyFont="1" applyFill="1" applyBorder="1" applyAlignment="1">
      <alignment vertical="center"/>
    </xf>
    <xf numFmtId="178" fontId="30" fillId="14" borderId="8" xfId="0" applyNumberFormat="1" applyFont="1" applyFill="1" applyBorder="1" applyAlignment="1">
      <alignment vertical="center"/>
    </xf>
    <xf numFmtId="178" fontId="18" fillId="3" borderId="11" xfId="0" applyNumberFormat="1" applyFont="1" applyFill="1" applyBorder="1" applyAlignment="1">
      <alignment vertical="center"/>
    </xf>
    <xf numFmtId="178" fontId="30" fillId="6" borderId="26" xfId="0" applyNumberFormat="1" applyFont="1" applyFill="1" applyBorder="1" applyAlignment="1">
      <alignment vertical="center"/>
    </xf>
    <xf numFmtId="178" fontId="30" fillId="6" borderId="27" xfId="0" applyNumberFormat="1" applyFont="1" applyFill="1" applyBorder="1" applyAlignment="1">
      <alignment vertical="center"/>
    </xf>
    <xf numFmtId="178" fontId="18" fillId="16" borderId="12" xfId="0" applyNumberFormat="1" applyFont="1" applyFill="1" applyBorder="1" applyAlignment="1">
      <alignment vertical="center"/>
    </xf>
    <xf numFmtId="178" fontId="69" fillId="3" borderId="0" xfId="0" applyNumberFormat="1" applyFont="1" applyFill="1" applyBorder="1" applyAlignment="1">
      <alignment horizontal="right" vertical="center"/>
    </xf>
    <xf numFmtId="178" fontId="18" fillId="3" borderId="0" xfId="0" applyNumberFormat="1" applyFont="1" applyFill="1" applyBorder="1" applyAlignment="1">
      <alignment horizontal="right" vertical="center"/>
    </xf>
    <xf numFmtId="178" fontId="71" fillId="3" borderId="0" xfId="0" applyNumberFormat="1" applyFont="1" applyFill="1" applyBorder="1" applyAlignment="1">
      <alignment horizontal="right" vertical="center"/>
    </xf>
    <xf numFmtId="178" fontId="33" fillId="3" borderId="0" xfId="0" applyNumberFormat="1" applyFont="1" applyFill="1" applyBorder="1" applyAlignment="1">
      <alignment horizontal="right" vertical="center"/>
    </xf>
    <xf numFmtId="0" fontId="46" fillId="13" borderId="11" xfId="0" applyFont="1" applyFill="1" applyBorder="1" applyAlignment="1">
      <alignment horizontal="center" vertical="center"/>
    </xf>
    <xf numFmtId="175" fontId="6" fillId="2" borderId="5" xfId="0" applyNumberFormat="1" applyFont="1" applyFill="1" applyBorder="1" applyAlignment="1">
      <alignment vertical="center"/>
    </xf>
    <xf numFmtId="175" fontId="6" fillId="2" borderId="3" xfId="0" applyNumberFormat="1" applyFont="1" applyFill="1" applyBorder="1" applyAlignment="1">
      <alignment horizontal="right" vertical="center" wrapText="1"/>
    </xf>
    <xf numFmtId="175" fontId="6" fillId="2" borderId="25" xfId="0" applyNumberFormat="1" applyFont="1" applyFill="1" applyBorder="1" applyAlignment="1">
      <alignment horizontal="right" vertical="center" wrapText="1"/>
    </xf>
    <xf numFmtId="168" fontId="21" fillId="2" borderId="0" xfId="0" applyNumberFormat="1" applyFont="1" applyFill="1" applyBorder="1" applyAlignment="1">
      <alignment horizontal="right" vertical="center"/>
    </xf>
    <xf numFmtId="179" fontId="39" fillId="22" borderId="10" xfId="0" applyNumberFormat="1" applyFont="1" applyFill="1" applyBorder="1" applyAlignment="1">
      <alignment horizontal="right" vertical="center" wrapText="1" indent="1"/>
    </xf>
    <xf numFmtId="179" fontId="39" fillId="22" borderId="37" xfId="0" applyNumberFormat="1" applyFont="1" applyFill="1" applyBorder="1" applyAlignment="1">
      <alignment horizontal="right" vertical="center" wrapText="1" indent="1"/>
    </xf>
    <xf numFmtId="179" fontId="38" fillId="22" borderId="10" xfId="0" applyNumberFormat="1" applyFont="1" applyFill="1" applyBorder="1" applyAlignment="1">
      <alignment horizontal="right" vertical="center" wrapText="1" indent="1"/>
    </xf>
    <xf numFmtId="0" fontId="0" fillId="0" borderId="0" xfId="0" applyFill="1"/>
    <xf numFmtId="0" fontId="0" fillId="0" borderId="0" xfId="0" applyFill="1" applyBorder="1"/>
    <xf numFmtId="180" fontId="38" fillId="22" borderId="10" xfId="0" applyNumberFormat="1" applyFont="1" applyFill="1" applyBorder="1" applyAlignment="1">
      <alignment horizontal="right" vertical="center" wrapText="1" indent="1"/>
    </xf>
    <xf numFmtId="180" fontId="38" fillId="22" borderId="19" xfId="0" applyNumberFormat="1" applyFont="1" applyFill="1" applyBorder="1" applyAlignment="1">
      <alignment horizontal="right" vertical="center" wrapText="1" indent="1"/>
    </xf>
    <xf numFmtId="0" fontId="57" fillId="0" borderId="6" xfId="0" applyFont="1" applyFill="1" applyBorder="1" applyAlignment="1">
      <alignment wrapText="1"/>
    </xf>
    <xf numFmtId="167" fontId="21" fillId="0" borderId="7" xfId="0" applyNumberFormat="1" applyFont="1" applyFill="1" applyBorder="1" applyAlignment="1">
      <alignment horizontal="right" vertical="center" wrapText="1" indent="1"/>
    </xf>
    <xf numFmtId="179" fontId="39" fillId="0" borderId="8" xfId="0" applyNumberFormat="1" applyFont="1" applyFill="1" applyBorder="1" applyAlignment="1">
      <alignment horizontal="right" vertical="center" wrapText="1" indent="1"/>
    </xf>
    <xf numFmtId="175" fontId="5" fillId="2" borderId="11" xfId="0" applyNumberFormat="1" applyFont="1" applyFill="1" applyBorder="1" applyAlignment="1">
      <alignment horizontal="right" vertical="center" wrapText="1"/>
    </xf>
    <xf numFmtId="175" fontId="5" fillId="3" borderId="11" xfId="0" applyNumberFormat="1" applyFont="1" applyFill="1" applyBorder="1" applyAlignment="1">
      <alignment horizontal="right" vertical="center" wrapText="1"/>
    </xf>
    <xf numFmtId="175" fontId="5" fillId="2" borderId="0" xfId="0" applyNumberFormat="1" applyFont="1" applyFill="1" applyBorder="1" applyAlignment="1">
      <alignment horizontal="right" vertical="center" wrapText="1"/>
    </xf>
    <xf numFmtId="0" fontId="5" fillId="3" borderId="38" xfId="0" applyFont="1" applyFill="1" applyBorder="1" applyAlignment="1">
      <alignment vertical="center" wrapText="1"/>
    </xf>
    <xf numFmtId="175" fontId="5" fillId="2" borderId="0" xfId="0" applyNumberFormat="1" applyFont="1" applyFill="1" applyBorder="1" applyAlignment="1">
      <alignment vertical="center"/>
    </xf>
    <xf numFmtId="0" fontId="40" fillId="2" borderId="0" xfId="0" applyFont="1" applyFill="1" applyBorder="1" applyAlignment="1">
      <alignment vertical="center"/>
    </xf>
    <xf numFmtId="175" fontId="5" fillId="2" borderId="18" xfId="0" applyNumberFormat="1" applyFont="1" applyFill="1" applyBorder="1" applyAlignment="1">
      <alignment horizontal="right" vertical="center" wrapText="1"/>
    </xf>
    <xf numFmtId="0" fontId="5" fillId="2" borderId="18" xfId="0" applyFont="1" applyFill="1" applyBorder="1" applyAlignment="1">
      <alignment vertical="center"/>
    </xf>
    <xf numFmtId="175" fontId="5" fillId="2" borderId="18" xfId="0" applyNumberFormat="1" applyFont="1" applyFill="1" applyBorder="1" applyAlignment="1">
      <alignment vertical="center"/>
    </xf>
    <xf numFmtId="175" fontId="5" fillId="3" borderId="18" xfId="0" applyNumberFormat="1" applyFont="1" applyFill="1" applyBorder="1" applyAlignment="1">
      <alignment vertical="center"/>
    </xf>
    <xf numFmtId="181" fontId="66" fillId="3" borderId="0" xfId="0" applyNumberFormat="1" applyFont="1" applyFill="1" applyBorder="1" applyAlignment="1">
      <alignment vertical="center"/>
    </xf>
    <xf numFmtId="181" fontId="66" fillId="16" borderId="10" xfId="0" applyNumberFormat="1" applyFont="1" applyFill="1" applyBorder="1" applyAlignment="1">
      <alignment vertical="center"/>
    </xf>
    <xf numFmtId="175" fontId="30" fillId="16" borderId="10" xfId="0" applyNumberFormat="1" applyFont="1" applyFill="1" applyBorder="1" applyAlignment="1">
      <alignment vertical="center"/>
    </xf>
    <xf numFmtId="168" fontId="11" fillId="3" borderId="0" xfId="0" applyNumberFormat="1" applyFont="1" applyFill="1" applyAlignment="1">
      <alignment vertical="center"/>
    </xf>
    <xf numFmtId="0" fontId="4" fillId="0" borderId="23" xfId="0" applyFont="1" applyFill="1" applyBorder="1" applyAlignment="1">
      <alignment horizontal="left" indent="3"/>
    </xf>
    <xf numFmtId="0" fontId="57" fillId="0" borderId="23" xfId="0" applyFont="1" applyFill="1" applyBorder="1" applyAlignment="1">
      <alignment vertical="center" wrapText="1"/>
    </xf>
    <xf numFmtId="0" fontId="8" fillId="0" borderId="3" xfId="0" applyFont="1" applyFill="1" applyBorder="1" applyAlignment="1">
      <alignment vertical="center" wrapText="1"/>
    </xf>
    <xf numFmtId="175" fontId="18" fillId="11" borderId="19" xfId="0" applyNumberFormat="1" applyFont="1" applyFill="1" applyBorder="1" applyAlignment="1">
      <alignment horizontal="right" vertical="center"/>
    </xf>
    <xf numFmtId="0" fontId="44" fillId="0" borderId="3" xfId="0" applyFont="1" applyFill="1" applyBorder="1" applyAlignment="1">
      <alignment horizontal="left" vertical="center" indent="3"/>
    </xf>
    <xf numFmtId="0" fontId="18" fillId="0" borderId="23" xfId="0" applyFont="1" applyFill="1" applyBorder="1" applyAlignment="1">
      <alignment vertical="center"/>
    </xf>
    <xf numFmtId="175" fontId="18" fillId="0" borderId="3" xfId="0" applyNumberFormat="1" applyFont="1" applyFill="1" applyBorder="1" applyAlignment="1">
      <alignment vertical="center"/>
    </xf>
    <xf numFmtId="175" fontId="18" fillId="0" borderId="0" xfId="0" applyNumberFormat="1" applyFont="1" applyFill="1" applyBorder="1" applyAlignment="1">
      <alignment vertical="center"/>
    </xf>
    <xf numFmtId="175" fontId="18" fillId="0" borderId="10" xfId="0" applyNumberFormat="1" applyFont="1" applyFill="1" applyBorder="1" applyAlignment="1">
      <alignment vertical="center"/>
    </xf>
    <xf numFmtId="175" fontId="18" fillId="0" borderId="0" xfId="0" applyNumberFormat="1" applyFont="1" applyFill="1" applyAlignment="1">
      <alignment vertical="center"/>
    </xf>
    <xf numFmtId="175" fontId="33" fillId="0" borderId="3" xfId="0" applyNumberFormat="1" applyFont="1" applyFill="1" applyBorder="1" applyAlignment="1">
      <alignment horizontal="right" vertical="center"/>
    </xf>
    <xf numFmtId="175" fontId="33" fillId="0" borderId="0" xfId="0" applyNumberFormat="1" applyFont="1" applyFill="1" applyBorder="1" applyAlignment="1">
      <alignment horizontal="right" vertical="center"/>
    </xf>
    <xf numFmtId="176" fontId="18" fillId="0" borderId="3" xfId="0" applyNumberFormat="1" applyFont="1" applyFill="1" applyBorder="1" applyAlignment="1">
      <alignment vertical="center"/>
    </xf>
    <xf numFmtId="176" fontId="18" fillId="0" borderId="0" xfId="0" applyNumberFormat="1" applyFont="1" applyFill="1" applyBorder="1" applyAlignment="1">
      <alignment vertical="center"/>
    </xf>
    <xf numFmtId="176" fontId="18" fillId="0" borderId="10" xfId="0" applyNumberFormat="1" applyFont="1" applyFill="1" applyBorder="1" applyAlignment="1">
      <alignment vertical="center"/>
    </xf>
    <xf numFmtId="0" fontId="31" fillId="0" borderId="7" xfId="0" applyFont="1" applyFill="1" applyBorder="1" applyAlignment="1">
      <alignment vertical="center"/>
    </xf>
    <xf numFmtId="176" fontId="60" fillId="0" borderId="7" xfId="0" applyNumberFormat="1" applyFont="1" applyFill="1" applyBorder="1"/>
    <xf numFmtId="175" fontId="60" fillId="0" borderId="7" xfId="0" applyNumberFormat="1" applyFont="1" applyFill="1" applyBorder="1" applyAlignment="1">
      <alignment horizontal="right"/>
    </xf>
    <xf numFmtId="175" fontId="60" fillId="0" borderId="7" xfId="0" applyNumberFormat="1" applyFont="1" applyFill="1" applyBorder="1"/>
    <xf numFmtId="178" fontId="18" fillId="0" borderId="7" xfId="0" applyNumberFormat="1" applyFont="1" applyFill="1" applyBorder="1"/>
    <xf numFmtId="0" fontId="18" fillId="0" borderId="7" xfId="0" applyFont="1" applyFill="1" applyBorder="1"/>
    <xf numFmtId="0" fontId="60" fillId="0" borderId="0" xfId="0" applyFont="1" applyFill="1" applyBorder="1"/>
    <xf numFmtId="0" fontId="31" fillId="0" borderId="6" xfId="0" applyFont="1" applyFill="1" applyBorder="1" applyAlignment="1">
      <alignment vertical="center"/>
    </xf>
    <xf numFmtId="0" fontId="60" fillId="0" borderId="7" xfId="0" applyFont="1" applyFill="1" applyBorder="1"/>
    <xf numFmtId="0" fontId="60" fillId="0" borderId="7" xfId="0" applyFont="1" applyFill="1" applyBorder="1" applyAlignment="1">
      <alignment horizontal="right"/>
    </xf>
    <xf numFmtId="0" fontId="18" fillId="0" borderId="8" xfId="0" applyFont="1" applyFill="1" applyBorder="1"/>
    <xf numFmtId="0" fontId="3" fillId="0" borderId="5" xfId="0" applyFont="1" applyFill="1" applyBorder="1" applyAlignment="1">
      <alignment vertical="center" wrapText="1"/>
    </xf>
    <xf numFmtId="173" fontId="30" fillId="3" borderId="3" xfId="0" applyNumberFormat="1" applyFont="1" applyFill="1" applyBorder="1" applyAlignment="1">
      <alignment horizontal="right" vertical="center"/>
    </xf>
    <xf numFmtId="171" fontId="60" fillId="3" borderId="3" xfId="0" applyNumberFormat="1" applyFont="1" applyFill="1" applyBorder="1" applyAlignment="1">
      <alignment horizontal="right" vertical="center"/>
    </xf>
    <xf numFmtId="165" fontId="70" fillId="8" borderId="4" xfId="0" applyNumberFormat="1" applyFont="1" applyFill="1" applyBorder="1" applyAlignment="1">
      <alignment vertical="center" wrapText="1"/>
    </xf>
    <xf numFmtId="175" fontId="2" fillId="2" borderId="11" xfId="0" applyNumberFormat="1" applyFont="1" applyFill="1" applyBorder="1" applyAlignment="1">
      <alignment horizontal="right" vertical="center" wrapText="1"/>
    </xf>
    <xf numFmtId="175" fontId="2" fillId="2" borderId="11" xfId="0" applyNumberFormat="1" applyFont="1" applyFill="1" applyBorder="1" applyAlignment="1">
      <alignment horizontal="right" vertical="center"/>
    </xf>
    <xf numFmtId="175" fontId="2" fillId="3" borderId="11" xfId="0" applyNumberFormat="1" applyFont="1" applyFill="1" applyBorder="1" applyAlignment="1">
      <alignment horizontal="right" vertical="center" wrapText="1"/>
    </xf>
    <xf numFmtId="175" fontId="2" fillId="2" borderId="3" xfId="0" applyNumberFormat="1" applyFont="1" applyFill="1" applyBorder="1" applyAlignment="1">
      <alignment horizontal="right" vertical="center" wrapText="1"/>
    </xf>
    <xf numFmtId="175" fontId="2" fillId="2" borderId="0" xfId="0" applyNumberFormat="1" applyFont="1" applyFill="1" applyBorder="1" applyAlignment="1">
      <alignment horizontal="right" vertical="center"/>
    </xf>
    <xf numFmtId="175" fontId="2" fillId="3" borderId="0" xfId="0" applyNumberFormat="1" applyFont="1" applyFill="1" applyBorder="1" applyAlignment="1">
      <alignment horizontal="right" vertical="center" wrapText="1"/>
    </xf>
    <xf numFmtId="175" fontId="2" fillId="3" borderId="0" xfId="0" applyNumberFormat="1" applyFont="1" applyFill="1" applyBorder="1" applyAlignment="1">
      <alignment horizontal="right" vertical="center"/>
    </xf>
    <xf numFmtId="175" fontId="2" fillId="2" borderId="26" xfId="0" applyNumberFormat="1" applyFont="1" applyFill="1" applyBorder="1" applyAlignment="1">
      <alignment horizontal="right" vertical="center" wrapText="1"/>
    </xf>
    <xf numFmtId="175" fontId="2" fillId="2" borderId="4" xfId="0" applyNumberFormat="1" applyFont="1" applyFill="1" applyBorder="1" applyAlignment="1">
      <alignment vertical="center"/>
    </xf>
    <xf numFmtId="175" fontId="2" fillId="3" borderId="26" xfId="0" applyNumberFormat="1" applyFont="1" applyFill="1" applyBorder="1" applyAlignment="1">
      <alignment horizontal="right" vertical="center" wrapText="1"/>
    </xf>
    <xf numFmtId="175" fontId="2" fillId="3" borderId="11" xfId="0" applyNumberFormat="1" applyFont="1" applyFill="1" applyBorder="1" applyAlignment="1">
      <alignment vertical="center"/>
    </xf>
    <xf numFmtId="168" fontId="2" fillId="2" borderId="11" xfId="0" applyNumberFormat="1" applyFont="1" applyFill="1" applyBorder="1" applyAlignment="1">
      <alignment horizontal="right" vertical="center"/>
    </xf>
    <xf numFmtId="168" fontId="2" fillId="2" borderId="0" xfId="0" applyNumberFormat="1" applyFont="1" applyFill="1" applyBorder="1" applyAlignment="1">
      <alignment horizontal="right" vertical="center"/>
    </xf>
    <xf numFmtId="168" fontId="2" fillId="2" borderId="26" xfId="0" applyNumberFormat="1" applyFont="1" applyFill="1" applyBorder="1" applyAlignment="1">
      <alignment horizontal="right" vertical="center"/>
    </xf>
    <xf numFmtId="175" fontId="2" fillId="2" borderId="18" xfId="0" applyNumberFormat="1" applyFont="1" applyFill="1" applyBorder="1" applyAlignment="1">
      <alignment horizontal="right" vertical="center" wrapText="1"/>
    </xf>
    <xf numFmtId="175" fontId="2" fillId="3" borderId="18" xfId="0" applyNumberFormat="1" applyFont="1" applyFill="1" applyBorder="1" applyAlignment="1">
      <alignment horizontal="right" vertical="center" wrapText="1"/>
    </xf>
    <xf numFmtId="0" fontId="2" fillId="0" borderId="23" xfId="0" applyFont="1" applyFill="1" applyBorder="1" applyAlignment="1">
      <alignment horizontal="left" indent="3"/>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0" fontId="2" fillId="0" borderId="24" xfId="0" applyFont="1" applyFill="1" applyBorder="1" applyAlignment="1">
      <alignment horizontal="left" indent="3"/>
    </xf>
    <xf numFmtId="10" fontId="2" fillId="2" borderId="18" xfId="0" applyNumberFormat="1" applyFont="1" applyFill="1" applyBorder="1" applyAlignment="1">
      <alignment horizontal="right" vertical="center" wrapText="1" indent="1"/>
    </xf>
    <xf numFmtId="10" fontId="2" fillId="3" borderId="18" xfId="0" applyNumberFormat="1" applyFont="1" applyFill="1" applyBorder="1" applyAlignment="1">
      <alignment horizontal="right" vertical="center" wrapText="1" indent="1"/>
    </xf>
    <xf numFmtId="179" fontId="38" fillId="22" borderId="19" xfId="0" applyNumberFormat="1" applyFont="1" applyFill="1" applyBorder="1" applyAlignment="1">
      <alignment horizontal="right" vertical="center" wrapText="1" indent="1"/>
    </xf>
    <xf numFmtId="0" fontId="2" fillId="0" borderId="22" xfId="0" applyFont="1" applyFill="1" applyBorder="1"/>
    <xf numFmtId="0" fontId="2" fillId="0" borderId="23" xfId="0" applyFont="1" applyFill="1" applyBorder="1"/>
    <xf numFmtId="0" fontId="2" fillId="0" borderId="24" xfId="0" applyFont="1" applyFill="1" applyBorder="1"/>
    <xf numFmtId="167" fontId="2" fillId="2" borderId="3" xfId="0" applyNumberFormat="1" applyFont="1" applyFill="1" applyBorder="1" applyAlignment="1">
      <alignment horizontal="right" vertical="center" wrapText="1" indent="1"/>
    </xf>
    <xf numFmtId="167" fontId="2" fillId="3" borderId="0" xfId="0" applyNumberFormat="1" applyFont="1" applyFill="1" applyBorder="1" applyAlignment="1">
      <alignment horizontal="right" vertical="center" wrapText="1" indent="1"/>
    </xf>
    <xf numFmtId="167" fontId="2" fillId="2" borderId="5" xfId="0" applyNumberFormat="1" applyFont="1" applyFill="1" applyBorder="1" applyAlignment="1">
      <alignment horizontal="right" vertical="center" wrapText="1" indent="1"/>
    </xf>
    <xf numFmtId="167" fontId="2" fillId="3" borderId="18" xfId="0" applyNumberFormat="1" applyFont="1" applyFill="1" applyBorder="1" applyAlignment="1">
      <alignment horizontal="right" vertical="center" wrapText="1" indent="1"/>
    </xf>
    <xf numFmtId="180" fontId="38" fillId="22" borderId="0" xfId="0" applyNumberFormat="1" applyFont="1" applyFill="1" applyBorder="1" applyAlignment="1">
      <alignment horizontal="right" vertical="center" wrapText="1" indent="1"/>
    </xf>
    <xf numFmtId="0" fontId="2" fillId="0" borderId="0" xfId="0" applyFont="1" applyFill="1" applyBorder="1" applyAlignment="1">
      <alignment horizontal="left" indent="3"/>
    </xf>
    <xf numFmtId="0" fontId="1" fillId="3" borderId="4" xfId="0" applyFont="1" applyFill="1" applyBorder="1" applyAlignment="1">
      <alignment vertical="center" wrapText="1"/>
    </xf>
    <xf numFmtId="167" fontId="70" fillId="8" borderId="5" xfId="3" applyNumberFormat="1" applyFont="1" applyFill="1" applyBorder="1" applyAlignment="1">
      <alignment vertical="center" wrapText="1"/>
    </xf>
    <xf numFmtId="0" fontId="54" fillId="13" borderId="5" xfId="0" applyFont="1" applyFill="1" applyBorder="1" applyAlignment="1">
      <alignment horizontal="right" vertical="center" wrapText="1"/>
    </xf>
    <xf numFmtId="0" fontId="34" fillId="6" borderId="26" xfId="0" applyFont="1" applyFill="1" applyBorder="1" applyAlignment="1">
      <alignment horizontal="right" vertical="center" wrapText="1"/>
    </xf>
    <xf numFmtId="167" fontId="2" fillId="0" borderId="0" xfId="0" applyNumberFormat="1" applyFont="1" applyFill="1" applyBorder="1" applyAlignment="1">
      <alignment horizontal="right" vertical="center" wrapText="1" indent="1"/>
    </xf>
    <xf numFmtId="167" fontId="21" fillId="2" borderId="6" xfId="0" applyNumberFormat="1" applyFont="1" applyFill="1" applyBorder="1" applyAlignment="1">
      <alignment horizontal="right" vertical="center" wrapText="1" indent="1"/>
    </xf>
    <xf numFmtId="0" fontId="2" fillId="0" borderId="23" xfId="0" applyFont="1" applyFill="1" applyBorder="1" applyAlignment="1">
      <alignment horizontal="left"/>
    </xf>
    <xf numFmtId="0" fontId="2" fillId="0" borderId="24" xfId="0" applyFont="1" applyFill="1" applyBorder="1" applyAlignment="1">
      <alignment horizontal="left"/>
    </xf>
    <xf numFmtId="171" fontId="18" fillId="0" borderId="0" xfId="0" applyNumberFormat="1" applyFont="1" applyFill="1" applyBorder="1" applyAlignment="1">
      <alignment horizontal="right" vertical="center"/>
    </xf>
    <xf numFmtId="0" fontId="68" fillId="6" borderId="17" xfId="0" applyFont="1" applyFill="1" applyBorder="1" applyAlignment="1">
      <alignment horizontal="center" vertical="center" wrapText="1"/>
    </xf>
    <xf numFmtId="0" fontId="68" fillId="6" borderId="20" xfId="0" applyFont="1" applyFill="1" applyBorder="1" applyAlignment="1">
      <alignment horizontal="center" vertical="center" wrapText="1"/>
    </xf>
    <xf numFmtId="0" fontId="68" fillId="6" borderId="21" xfId="0" applyFont="1" applyFill="1" applyBorder="1" applyAlignment="1">
      <alignment horizontal="center" vertical="center" wrapText="1"/>
    </xf>
    <xf numFmtId="0" fontId="18" fillId="3" borderId="0" xfId="0" applyFont="1" applyFill="1" applyAlignment="1">
      <alignment horizontal="left" vertical="center" wrapText="1"/>
    </xf>
    <xf numFmtId="0" fontId="21" fillId="6" borderId="4"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18" fillId="3" borderId="0" xfId="0" applyFont="1" applyFill="1" applyAlignment="1">
      <alignment horizontal="left" vertical="center"/>
    </xf>
    <xf numFmtId="0" fontId="21" fillId="6" borderId="17"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18" fillId="0" borderId="0" xfId="0" applyFont="1" applyFill="1" applyAlignment="1">
      <alignment horizontal="left" vertical="center" wrapText="1"/>
    </xf>
    <xf numFmtId="0" fontId="42" fillId="3" borderId="0" xfId="0" applyFont="1" applyFill="1" applyAlignment="1">
      <alignment horizontal="left"/>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3" fillId="3" borderId="22" xfId="0" applyFont="1" applyFill="1" applyBorder="1" applyAlignment="1">
      <alignment horizontal="left" vertical="center" wrapText="1"/>
    </xf>
    <xf numFmtId="0" fontId="23" fillId="3" borderId="23"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31" fillId="6" borderId="17"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60" fillId="3" borderId="0" xfId="0" applyFont="1" applyFill="1" applyAlignment="1">
      <alignment horizontal="left" vertical="center" wrapText="1"/>
    </xf>
    <xf numFmtId="0" fontId="31"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7"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19" xfId="0" applyFont="1" applyFill="1" applyBorder="1" applyAlignment="1">
      <alignment horizontal="center" vertical="center" wrapText="1"/>
    </xf>
    <xf numFmtId="0" fontId="26" fillId="0" borderId="0" xfId="0" applyFont="1" applyFill="1" applyAlignment="1">
      <alignment horizontal="left" vertical="top" wrapText="1"/>
    </xf>
    <xf numFmtId="0" fontId="25" fillId="3" borderId="22" xfId="0" applyFont="1" applyFill="1" applyBorder="1" applyAlignment="1">
      <alignment horizontal="left" vertical="center" wrapText="1"/>
    </xf>
    <xf numFmtId="0" fontId="25" fillId="3" borderId="24" xfId="0" applyFont="1" applyFill="1" applyBorder="1" applyAlignment="1">
      <alignment horizontal="left" vertical="center" wrapText="1"/>
    </xf>
    <xf numFmtId="0" fontId="26" fillId="23" borderId="12" xfId="0" applyFont="1" applyFill="1" applyBorder="1" applyAlignment="1">
      <alignment horizontal="center" vertical="center" wrapText="1"/>
    </xf>
    <xf numFmtId="0" fontId="26" fillId="23" borderId="19" xfId="0" applyFont="1" applyFill="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43" fillId="3" borderId="0" xfId="0" applyFont="1" applyFill="1" applyAlignment="1">
      <alignment horizontal="left" wrapText="1"/>
    </xf>
    <xf numFmtId="0" fontId="23" fillId="3" borderId="22"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57" fillId="3" borderId="22" xfId="0" applyFont="1" applyFill="1" applyBorder="1" applyAlignment="1">
      <alignment horizontal="left" vertical="center" wrapText="1"/>
    </xf>
    <xf numFmtId="0" fontId="57" fillId="3" borderId="24" xfId="0" applyFont="1" applyFill="1" applyBorder="1" applyAlignment="1">
      <alignment horizontal="left" vertical="center" wrapText="1"/>
    </xf>
    <xf numFmtId="0" fontId="27" fillId="3" borderId="0" xfId="0" applyFont="1" applyFill="1" applyAlignment="1">
      <alignment horizontal="left" vertical="top" wrapText="1"/>
    </xf>
    <xf numFmtId="0" fontId="43" fillId="3" borderId="0" xfId="0" applyFont="1" applyFill="1" applyAlignment="1">
      <alignment horizontal="left"/>
    </xf>
    <xf numFmtId="0" fontId="57" fillId="0" borderId="6"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8" xfId="0" applyFont="1" applyFill="1" applyBorder="1" applyAlignment="1">
      <alignment horizontal="center" vertical="center" wrapText="1"/>
    </xf>
    <xf numFmtId="165" fontId="27" fillId="3" borderId="3" xfId="0" applyNumberFormat="1" applyFont="1" applyFill="1" applyBorder="1" applyAlignment="1">
      <alignment horizontal="right" vertical="center" wrapText="1"/>
    </xf>
    <xf numFmtId="165" fontId="27" fillId="3" borderId="0" xfId="0" applyNumberFormat="1" applyFont="1" applyFill="1" applyBorder="1" applyAlignment="1">
      <alignment horizontal="right" vertical="center" wrapText="1"/>
    </xf>
    <xf numFmtId="165" fontId="27" fillId="19" borderId="10" xfId="0" applyNumberFormat="1" applyFont="1" applyFill="1" applyBorder="1" applyAlignment="1">
      <alignment horizontal="right" vertical="center" wrapText="1"/>
    </xf>
    <xf numFmtId="0" fontId="49" fillId="3" borderId="23" xfId="0" applyFont="1" applyFill="1" applyBorder="1" applyAlignment="1">
      <alignment horizontal="left" vertical="center"/>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zoomScale="90" zoomScaleNormal="90" zoomScaleSheetLayoutView="85" workbookViewId="0">
      <pane xSplit="1" ySplit="3" topLeftCell="AC19" activePane="bottomRight" state="frozen"/>
      <selection pane="topRight" activeCell="B1" sqref="B1"/>
      <selection pane="bottomLeft" activeCell="A4" sqref="A4"/>
      <selection pane="bottomRight" activeCell="AF40" sqref="AF40"/>
    </sheetView>
  </sheetViews>
  <sheetFormatPr defaultColWidth="9" defaultRowHeight="28.5" customHeight="1"/>
  <cols>
    <col min="1" max="1" width="60.58203125" style="11" customWidth="1"/>
    <col min="2" max="7" width="9" style="7"/>
    <col min="8" max="8" width="9" style="8"/>
    <col min="9" max="9" width="9" style="9"/>
    <col min="10" max="11" width="10.08203125" style="7" bestFit="1" customWidth="1"/>
    <col min="12" max="12" width="10.08203125" style="7" customWidth="1"/>
    <col min="13" max="15" width="9.25" style="7" customWidth="1"/>
    <col min="16" max="16" width="10.08203125" style="7" bestFit="1" customWidth="1"/>
    <col min="17" max="20" width="10.08203125" style="7" customWidth="1"/>
    <col min="21" max="21" width="10.08203125" style="7" bestFit="1" customWidth="1"/>
    <col min="22" max="25" width="10.08203125" style="7" customWidth="1"/>
    <col min="26" max="26" width="10.08203125" style="7" bestFit="1" customWidth="1"/>
    <col min="27" max="28" width="10.08203125" style="7" customWidth="1"/>
    <col min="29" max="29" width="10.08203125" style="224" customWidth="1"/>
    <col min="30" max="30" width="10.08203125" style="7" customWidth="1"/>
    <col min="31" max="31" width="10.08203125" style="7" bestFit="1" customWidth="1"/>
    <col min="32" max="33" width="10.08203125" style="7" customWidth="1"/>
    <col min="34" max="34" width="10.08203125" style="224" customWidth="1"/>
    <col min="35" max="35" width="10.08203125" style="7" customWidth="1"/>
    <col min="36" max="36" width="10.08203125" style="7" bestFit="1" customWidth="1"/>
    <col min="37" max="37" width="9" style="11"/>
    <col min="38" max="39" width="10.08203125" style="7" customWidth="1"/>
    <col min="40" max="40" width="10.08203125" style="224" customWidth="1"/>
    <col min="41" max="41" width="10.08203125" style="7" customWidth="1"/>
    <col min="42" max="42" width="10.08203125" style="7" bestFit="1" customWidth="1"/>
    <col min="43" max="16384" width="9" style="11"/>
  </cols>
  <sheetData>
    <row r="1" spans="1:493" customFormat="1" ht="50.25" customHeight="1" thickBot="1">
      <c r="A1" s="3" t="s">
        <v>24</v>
      </c>
      <c r="B1" s="3"/>
      <c r="C1" s="53"/>
      <c r="D1" s="53"/>
      <c r="E1" s="53"/>
      <c r="F1" s="53"/>
      <c r="G1" s="53"/>
      <c r="H1" s="53"/>
      <c r="I1" s="53"/>
      <c r="J1" s="53"/>
      <c r="K1" s="53"/>
      <c r="L1" s="53"/>
      <c r="M1" s="53"/>
      <c r="N1" s="53"/>
      <c r="O1" s="53"/>
      <c r="P1" s="53"/>
      <c r="Q1" s="53"/>
      <c r="R1" s="53"/>
      <c r="S1" s="53"/>
      <c r="T1" s="53"/>
      <c r="U1" s="53"/>
      <c r="V1" s="53"/>
      <c r="W1" s="53"/>
      <c r="X1" s="53"/>
      <c r="Y1" s="53"/>
      <c r="Z1" s="53"/>
      <c r="AA1" s="404"/>
      <c r="AB1" s="404"/>
      <c r="AC1" s="405"/>
      <c r="AD1" s="404"/>
      <c r="AE1" s="404"/>
      <c r="AF1" s="404"/>
      <c r="AG1" s="404"/>
      <c r="AH1" s="405"/>
      <c r="AI1" s="404"/>
      <c r="AJ1" s="404"/>
      <c r="AK1" s="53"/>
      <c r="AL1" s="404"/>
      <c r="AM1" s="404"/>
      <c r="AN1" s="405"/>
      <c r="AO1" s="404"/>
      <c r="AP1" s="404"/>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row>
    <row r="2" spans="1:493" ht="28.5" customHeight="1">
      <c r="A2" s="12" t="s">
        <v>48</v>
      </c>
      <c r="B2" s="542">
        <v>2012</v>
      </c>
      <c r="C2" s="542"/>
      <c r="D2" s="542"/>
      <c r="E2" s="542"/>
      <c r="F2" s="543"/>
      <c r="G2" s="542">
        <v>2013</v>
      </c>
      <c r="H2" s="542"/>
      <c r="I2" s="542"/>
      <c r="J2" s="542"/>
      <c r="K2" s="543"/>
      <c r="L2" s="541">
        <v>2014</v>
      </c>
      <c r="M2" s="542"/>
      <c r="N2" s="542"/>
      <c r="O2" s="542"/>
      <c r="P2" s="543"/>
      <c r="Q2" s="541">
        <v>2015</v>
      </c>
      <c r="R2" s="542"/>
      <c r="S2" s="542"/>
      <c r="T2" s="542"/>
      <c r="U2" s="543"/>
      <c r="V2" s="545">
        <v>2016</v>
      </c>
      <c r="W2" s="546"/>
      <c r="X2" s="546"/>
      <c r="Y2" s="546"/>
      <c r="Z2" s="547"/>
      <c r="AA2" s="537">
        <v>2017</v>
      </c>
      <c r="AB2" s="538"/>
      <c r="AC2" s="538"/>
      <c r="AD2" s="538"/>
      <c r="AE2" s="539"/>
      <c r="AF2" s="537" t="s">
        <v>278</v>
      </c>
      <c r="AG2" s="538"/>
      <c r="AH2" s="538"/>
      <c r="AI2" s="538"/>
      <c r="AJ2" s="539"/>
      <c r="AL2" s="537" t="s">
        <v>279</v>
      </c>
      <c r="AM2" s="538"/>
      <c r="AN2" s="538"/>
      <c r="AO2" s="538"/>
      <c r="AP2" s="539"/>
    </row>
    <row r="3" spans="1:493" ht="16.5" customHeight="1" thickBot="1">
      <c r="A3" s="13" t="s">
        <v>49</v>
      </c>
      <c r="B3" s="35" t="s">
        <v>2</v>
      </c>
      <c r="C3" s="35" t="s">
        <v>3</v>
      </c>
      <c r="D3" s="35" t="s">
        <v>4</v>
      </c>
      <c r="E3" s="35" t="s">
        <v>5</v>
      </c>
      <c r="F3" s="36">
        <v>2012</v>
      </c>
      <c r="G3" s="37" t="s">
        <v>2</v>
      </c>
      <c r="H3" s="35" t="s">
        <v>3</v>
      </c>
      <c r="I3" s="35" t="s">
        <v>4</v>
      </c>
      <c r="J3" s="35" t="s">
        <v>5</v>
      </c>
      <c r="K3" s="36">
        <v>2013</v>
      </c>
      <c r="L3" s="37" t="s">
        <v>2</v>
      </c>
      <c r="M3" s="35" t="s">
        <v>3</v>
      </c>
      <c r="N3" s="35" t="s">
        <v>4</v>
      </c>
      <c r="O3" s="35" t="s">
        <v>5</v>
      </c>
      <c r="P3" s="38">
        <v>2014</v>
      </c>
      <c r="Q3" s="35" t="s">
        <v>2</v>
      </c>
      <c r="R3" s="35" t="s">
        <v>3</v>
      </c>
      <c r="S3" s="35" t="s">
        <v>4</v>
      </c>
      <c r="T3" s="35" t="s">
        <v>5</v>
      </c>
      <c r="U3" s="38">
        <v>2015</v>
      </c>
      <c r="V3" s="35" t="s">
        <v>188</v>
      </c>
      <c r="W3" s="35" t="s">
        <v>3</v>
      </c>
      <c r="X3" s="35" t="s">
        <v>4</v>
      </c>
      <c r="Y3" s="35" t="s">
        <v>5</v>
      </c>
      <c r="Z3" s="38" t="s">
        <v>211</v>
      </c>
      <c r="AA3" s="35" t="s">
        <v>2</v>
      </c>
      <c r="AB3" s="35" t="s">
        <v>3</v>
      </c>
      <c r="AC3" s="406" t="s">
        <v>4</v>
      </c>
      <c r="AD3" s="35" t="s">
        <v>5</v>
      </c>
      <c r="AE3" s="38">
        <v>2017</v>
      </c>
      <c r="AF3" s="35" t="s">
        <v>2</v>
      </c>
      <c r="AG3" s="35" t="s">
        <v>3</v>
      </c>
      <c r="AH3" s="406" t="s">
        <v>4</v>
      </c>
      <c r="AI3" s="35" t="s">
        <v>5</v>
      </c>
      <c r="AJ3" s="38" t="s">
        <v>246</v>
      </c>
      <c r="AL3" s="37" t="s">
        <v>2</v>
      </c>
      <c r="AM3" s="35" t="s">
        <v>3</v>
      </c>
      <c r="AN3" s="406" t="s">
        <v>4</v>
      </c>
      <c r="AO3" s="35" t="s">
        <v>5</v>
      </c>
      <c r="AP3" s="38" t="s">
        <v>246</v>
      </c>
    </row>
    <row r="4" spans="1:493" ht="34.5" customHeight="1" thickBot="1">
      <c r="A4" s="4" t="s">
        <v>50</v>
      </c>
      <c r="B4" s="39">
        <f>SUM(B5:B8)</f>
        <v>669.2</v>
      </c>
      <c r="C4" s="39">
        <f t="shared" ref="C4:G4" si="0">SUM(C5:C8)</f>
        <v>713.8</v>
      </c>
      <c r="D4" s="39">
        <f t="shared" si="0"/>
        <v>644.5</v>
      </c>
      <c r="E4" s="39">
        <f t="shared" si="0"/>
        <v>750.60000000000014</v>
      </c>
      <c r="F4" s="40">
        <f>SUM(F5:F8)</f>
        <v>2778.0999999999995</v>
      </c>
      <c r="G4" s="41">
        <f t="shared" si="0"/>
        <v>697.1</v>
      </c>
      <c r="H4" s="39">
        <f t="shared" ref="H4" si="1">SUM(H5:H8)</f>
        <v>735.9</v>
      </c>
      <c r="I4" s="39">
        <f t="shared" ref="I4" si="2">SUM(I5:I8)</f>
        <v>677.3</v>
      </c>
      <c r="J4" s="39">
        <f t="shared" ref="J4:M4" si="3">SUM(J5:J8)</f>
        <v>800.5</v>
      </c>
      <c r="K4" s="40">
        <f>SUM(K5:K8)</f>
        <v>2910.8</v>
      </c>
      <c r="L4" s="41">
        <f t="shared" si="3"/>
        <v>723.29999999999984</v>
      </c>
      <c r="M4" s="39">
        <f t="shared" si="3"/>
        <v>1745.9</v>
      </c>
      <c r="N4" s="39">
        <f t="shared" ref="N4" si="4">SUM(N5:N8)</f>
        <v>2419.6</v>
      </c>
      <c r="O4" s="39">
        <f t="shared" ref="O4" si="5">SUM(O5:O8)</f>
        <v>2521.1000000000004</v>
      </c>
      <c r="P4" s="42">
        <f>SUM(P5:P8)</f>
        <v>7409.9</v>
      </c>
      <c r="Q4" s="39">
        <f t="shared" ref="Q4:T4" si="6">SUM(Q5:Q8)</f>
        <v>2329</v>
      </c>
      <c r="R4" s="39">
        <f t="shared" si="6"/>
        <v>2469.1999999999998</v>
      </c>
      <c r="S4" s="39">
        <f t="shared" si="6"/>
        <v>2414.8999999999996</v>
      </c>
      <c r="T4" s="39">
        <f t="shared" si="6"/>
        <v>2609.9</v>
      </c>
      <c r="U4" s="42">
        <f>SUM(U5:U8)</f>
        <v>9823</v>
      </c>
      <c r="V4" s="39">
        <f t="shared" ref="V4:Y4" si="7">SUM(V5:V8)</f>
        <v>2364</v>
      </c>
      <c r="W4" s="39">
        <f t="shared" si="7"/>
        <v>2442.9</v>
      </c>
      <c r="X4" s="39">
        <f t="shared" si="7"/>
        <v>2387.8000000000002</v>
      </c>
      <c r="Y4" s="39">
        <f t="shared" si="7"/>
        <v>2535.1</v>
      </c>
      <c r="Z4" s="42">
        <f>SUM(Z5:Z8)</f>
        <v>9729.7999999999993</v>
      </c>
      <c r="AA4" s="39">
        <f>SUM(AA5:AA8)</f>
        <v>2388.6</v>
      </c>
      <c r="AB4" s="39">
        <f>SUM(AB5:AB8)</f>
        <v>2469.9</v>
      </c>
      <c r="AC4" s="39">
        <f>SUM(AC5:AC8)</f>
        <v>2390.9</v>
      </c>
      <c r="AD4" s="407">
        <f t="shared" ref="AD4:AE4" si="8">SUM(AD5:AD8)</f>
        <v>2579.1999999999998</v>
      </c>
      <c r="AE4" s="42">
        <f t="shared" si="8"/>
        <v>9828.6</v>
      </c>
      <c r="AF4" s="39">
        <f>SUM(AF5:AF8)</f>
        <v>2360.6999999999998</v>
      </c>
      <c r="AG4" s="39">
        <f>SUM(AG5:AG8)</f>
        <v>0</v>
      </c>
      <c r="AH4" s="39">
        <f>SUM(AH5:AH8)</f>
        <v>0</v>
      </c>
      <c r="AI4" s="407">
        <f t="shared" ref="AI4:AJ4" si="9">SUM(AI5:AI8)</f>
        <v>0</v>
      </c>
      <c r="AJ4" s="42">
        <f t="shared" si="9"/>
        <v>2360.6999999999998</v>
      </c>
      <c r="AL4" s="41">
        <f>SUM(AL5:AL8)</f>
        <v>2345.9</v>
      </c>
      <c r="AM4" s="39">
        <f>SUM(AM5:AM8)</f>
        <v>0</v>
      </c>
      <c r="AN4" s="39">
        <f>SUM(AN5:AN8)</f>
        <v>0</v>
      </c>
      <c r="AO4" s="407">
        <f t="shared" ref="AO4:AP4" si="10">SUM(AO5:AO8)</f>
        <v>0</v>
      </c>
      <c r="AP4" s="42">
        <f t="shared" si="10"/>
        <v>2345.9</v>
      </c>
    </row>
    <row r="5" spans="1:493" ht="24.75" customHeight="1">
      <c r="A5" s="528" t="s">
        <v>51</v>
      </c>
      <c r="B5" s="49">
        <v>424</v>
      </c>
      <c r="C5" s="49">
        <v>427.1</v>
      </c>
      <c r="D5" s="49">
        <v>434.4</v>
      </c>
      <c r="E5" s="49">
        <v>446.6</v>
      </c>
      <c r="F5" s="26">
        <f>SUM(B5:E5)</f>
        <v>1732.1</v>
      </c>
      <c r="G5" s="51">
        <v>451.7</v>
      </c>
      <c r="H5" s="49">
        <v>452</v>
      </c>
      <c r="I5" s="49">
        <v>460.3</v>
      </c>
      <c r="J5" s="49">
        <v>466.1</v>
      </c>
      <c r="K5" s="26">
        <f>SUM(G5:J5)</f>
        <v>1830.1</v>
      </c>
      <c r="L5" s="51">
        <v>467.79999999999995</v>
      </c>
      <c r="M5" s="49">
        <v>1204.5</v>
      </c>
      <c r="N5" s="49">
        <v>1710.7</v>
      </c>
      <c r="O5" s="49">
        <v>1701.7</v>
      </c>
      <c r="P5" s="28">
        <f>SUM(L5:O5)</f>
        <v>5084.7</v>
      </c>
      <c r="Q5" s="49">
        <v>1637.2</v>
      </c>
      <c r="R5" s="49">
        <v>1652</v>
      </c>
      <c r="S5" s="49">
        <v>1643.3</v>
      </c>
      <c r="T5" s="237">
        <v>1620.6</v>
      </c>
      <c r="U5" s="28">
        <v>6553.1</v>
      </c>
      <c r="V5" s="49">
        <v>1565.7</v>
      </c>
      <c r="W5" s="49">
        <v>1586.9</v>
      </c>
      <c r="X5" s="49">
        <v>1583.7</v>
      </c>
      <c r="Y5" s="237">
        <v>1589</v>
      </c>
      <c r="Z5" s="28">
        <f>SUM(V5:Y5)</f>
        <v>6325.3</v>
      </c>
      <c r="AA5" s="49">
        <v>1542.7</v>
      </c>
      <c r="AB5" s="49">
        <v>1533.3</v>
      </c>
      <c r="AC5" s="408">
        <v>1494</v>
      </c>
      <c r="AD5" s="408">
        <v>1497.9</v>
      </c>
      <c r="AE5" s="28">
        <f>SUM(AA5:AD5)</f>
        <v>6067.9</v>
      </c>
      <c r="AF5" s="49">
        <v>1470.2</v>
      </c>
      <c r="AG5" s="49"/>
      <c r="AH5" s="408"/>
      <c r="AI5" s="408"/>
      <c r="AJ5" s="28">
        <f>SUM(AF5:AI5)</f>
        <v>1470.2</v>
      </c>
      <c r="AL5" s="51">
        <v>1352.2</v>
      </c>
      <c r="AM5" s="49"/>
      <c r="AN5" s="408"/>
      <c r="AO5" s="408"/>
      <c r="AP5" s="28">
        <f>SUM(AL5:AO5)</f>
        <v>1352.2</v>
      </c>
    </row>
    <row r="6" spans="1:493" ht="20.149999999999999" customHeight="1">
      <c r="A6" s="201" t="s">
        <v>52</v>
      </c>
      <c r="B6" s="49">
        <v>234.6</v>
      </c>
      <c r="C6" s="49">
        <v>272.7</v>
      </c>
      <c r="D6" s="49">
        <v>198</v>
      </c>
      <c r="E6" s="49">
        <v>286.3</v>
      </c>
      <c r="F6" s="26">
        <f t="shared" ref="F6:F8" si="11">SUM(B6:E6)</f>
        <v>991.59999999999991</v>
      </c>
      <c r="G6" s="51">
        <v>223.8</v>
      </c>
      <c r="H6" s="49">
        <v>265.2</v>
      </c>
      <c r="I6" s="49">
        <v>204</v>
      </c>
      <c r="J6" s="49">
        <v>317.2</v>
      </c>
      <c r="K6" s="26">
        <f t="shared" ref="K6:K8" si="12">SUM(G6:J6)</f>
        <v>1010.2</v>
      </c>
      <c r="L6" s="51">
        <v>242.19999999999993</v>
      </c>
      <c r="M6" s="49">
        <v>479.1</v>
      </c>
      <c r="N6" s="49">
        <v>591.6</v>
      </c>
      <c r="O6" s="49">
        <v>641.1</v>
      </c>
      <c r="P6" s="28">
        <f t="shared" ref="P6:P8" si="13">SUM(L6:O6)</f>
        <v>1954</v>
      </c>
      <c r="Q6" s="49">
        <v>553.29999999999995</v>
      </c>
      <c r="R6" s="49">
        <v>688.7</v>
      </c>
      <c r="S6" s="49">
        <v>616.9</v>
      </c>
      <c r="T6" s="238">
        <v>738</v>
      </c>
      <c r="U6" s="28">
        <v>2596.9</v>
      </c>
      <c r="V6" s="49">
        <v>599.79999999999995</v>
      </c>
      <c r="W6" s="49">
        <v>645</v>
      </c>
      <c r="X6" s="49">
        <v>562.9</v>
      </c>
      <c r="Y6" s="238">
        <v>658.4</v>
      </c>
      <c r="Z6" s="28">
        <f t="shared" ref="Z6:Z27" si="14">SUM(V6:Y6)</f>
        <v>2466.1</v>
      </c>
      <c r="AA6" s="49">
        <v>562.1</v>
      </c>
      <c r="AB6" s="49">
        <v>652.29999999999995</v>
      </c>
      <c r="AC6" s="408">
        <v>588.4</v>
      </c>
      <c r="AD6" s="408">
        <v>735.8</v>
      </c>
      <c r="AE6" s="28">
        <f t="shared" ref="AE6:AE8" si="15">SUM(AA6:AD6)</f>
        <v>2538.6000000000004</v>
      </c>
      <c r="AF6" s="49">
        <v>635.9</v>
      </c>
      <c r="AG6" s="49"/>
      <c r="AH6" s="408"/>
      <c r="AI6" s="408"/>
      <c r="AJ6" s="28">
        <f t="shared" ref="AJ6:AJ8" si="16">SUM(AF6:AI6)</f>
        <v>635.9</v>
      </c>
      <c r="AL6" s="51">
        <v>635.9</v>
      </c>
      <c r="AM6" s="49"/>
      <c r="AN6" s="408"/>
      <c r="AO6" s="408"/>
      <c r="AP6" s="28">
        <f t="shared" ref="AP6:AP8" si="17">SUM(AL6:AO6)</f>
        <v>635.9</v>
      </c>
    </row>
    <row r="7" spans="1:493" ht="20.149999999999999" customHeight="1">
      <c r="A7" s="201" t="s">
        <v>53</v>
      </c>
      <c r="B7" s="49">
        <v>2.7</v>
      </c>
      <c r="C7" s="49">
        <v>6.2</v>
      </c>
      <c r="D7" s="49">
        <v>2.6</v>
      </c>
      <c r="E7" s="49">
        <v>7.2</v>
      </c>
      <c r="F7" s="26">
        <f t="shared" si="11"/>
        <v>18.7</v>
      </c>
      <c r="G7" s="51">
        <v>13.1</v>
      </c>
      <c r="H7" s="49">
        <v>11.8</v>
      </c>
      <c r="I7" s="49">
        <v>7.1</v>
      </c>
      <c r="J7" s="49">
        <v>9.6999999999999993</v>
      </c>
      <c r="K7" s="26">
        <f t="shared" si="12"/>
        <v>41.7</v>
      </c>
      <c r="L7" s="51">
        <v>7.8999999999999986</v>
      </c>
      <c r="M7" s="49">
        <v>55.4</v>
      </c>
      <c r="N7" s="49">
        <v>104.1</v>
      </c>
      <c r="O7" s="49">
        <v>159.9</v>
      </c>
      <c r="P7" s="28">
        <f t="shared" si="13"/>
        <v>327.29999999999995</v>
      </c>
      <c r="Q7" s="49">
        <v>118.4</v>
      </c>
      <c r="R7" s="49">
        <v>106.9</v>
      </c>
      <c r="S7" s="49">
        <v>131.19999999999999</v>
      </c>
      <c r="T7" s="238">
        <v>226.89999999999998</v>
      </c>
      <c r="U7" s="28">
        <v>583.4</v>
      </c>
      <c r="V7" s="49">
        <v>172.8</v>
      </c>
      <c r="W7" s="49">
        <v>191.1</v>
      </c>
      <c r="X7" s="49">
        <v>221.3</v>
      </c>
      <c r="Y7" s="238">
        <v>265.60000000000002</v>
      </c>
      <c r="Z7" s="28">
        <f t="shared" si="14"/>
        <v>850.80000000000007</v>
      </c>
      <c r="AA7" s="49">
        <v>248.6</v>
      </c>
      <c r="AB7" s="49">
        <v>243.3</v>
      </c>
      <c r="AC7" s="408">
        <v>264.5</v>
      </c>
      <c r="AD7" s="408">
        <v>298.8</v>
      </c>
      <c r="AE7" s="28">
        <f t="shared" si="15"/>
        <v>1055.2</v>
      </c>
      <c r="AF7" s="49">
        <v>208.6</v>
      </c>
      <c r="AG7" s="49"/>
      <c r="AH7" s="408"/>
      <c r="AI7" s="408"/>
      <c r="AJ7" s="28">
        <f t="shared" si="16"/>
        <v>208.6</v>
      </c>
      <c r="AL7" s="51">
        <v>317.5</v>
      </c>
      <c r="AM7" s="49"/>
      <c r="AN7" s="408"/>
      <c r="AO7" s="408"/>
      <c r="AP7" s="28">
        <f t="shared" si="17"/>
        <v>317.5</v>
      </c>
    </row>
    <row r="8" spans="1:493" ht="20.149999999999999" customHeight="1" thickBot="1">
      <c r="A8" s="69" t="s">
        <v>54</v>
      </c>
      <c r="B8" s="49">
        <v>7.9</v>
      </c>
      <c r="C8" s="49">
        <v>7.8</v>
      </c>
      <c r="D8" s="49">
        <v>9.5</v>
      </c>
      <c r="E8" s="49">
        <v>10.5</v>
      </c>
      <c r="F8" s="26">
        <f t="shared" si="11"/>
        <v>35.700000000000003</v>
      </c>
      <c r="G8" s="51">
        <v>8.5</v>
      </c>
      <c r="H8" s="49">
        <v>6.9</v>
      </c>
      <c r="I8" s="49">
        <v>5.9</v>
      </c>
      <c r="J8" s="49">
        <v>7.5</v>
      </c>
      <c r="K8" s="26">
        <f t="shared" si="12"/>
        <v>28.8</v>
      </c>
      <c r="L8" s="51">
        <v>5.4</v>
      </c>
      <c r="M8" s="49">
        <v>6.9</v>
      </c>
      <c r="N8" s="49">
        <v>13.2</v>
      </c>
      <c r="O8" s="49">
        <v>18.399999999999999</v>
      </c>
      <c r="P8" s="28">
        <f t="shared" si="13"/>
        <v>43.9</v>
      </c>
      <c r="Q8" s="49">
        <v>20.100000000000001</v>
      </c>
      <c r="R8" s="49">
        <v>21.6</v>
      </c>
      <c r="S8" s="49">
        <v>23.5</v>
      </c>
      <c r="T8" s="238">
        <v>24.399999999999991</v>
      </c>
      <c r="U8" s="28">
        <v>89.6</v>
      </c>
      <c r="V8" s="49">
        <v>25.7</v>
      </c>
      <c r="W8" s="49">
        <v>19.899999999999999</v>
      </c>
      <c r="X8" s="49">
        <v>19.899999999999999</v>
      </c>
      <c r="Y8" s="238">
        <v>22.1</v>
      </c>
      <c r="Z8" s="28">
        <f t="shared" si="14"/>
        <v>87.6</v>
      </c>
      <c r="AA8" s="49">
        <v>35.200000000000003</v>
      </c>
      <c r="AB8" s="49">
        <v>41</v>
      </c>
      <c r="AC8" s="408">
        <v>44</v>
      </c>
      <c r="AD8" s="408">
        <v>46.7</v>
      </c>
      <c r="AE8" s="28">
        <f t="shared" si="15"/>
        <v>166.9</v>
      </c>
      <c r="AF8" s="49">
        <v>46</v>
      </c>
      <c r="AG8" s="49"/>
      <c r="AH8" s="408"/>
      <c r="AI8" s="408"/>
      <c r="AJ8" s="28">
        <f t="shared" si="16"/>
        <v>46</v>
      </c>
      <c r="AL8" s="51">
        <v>40.299999999999997</v>
      </c>
      <c r="AM8" s="49"/>
      <c r="AN8" s="408"/>
      <c r="AO8" s="408"/>
      <c r="AP8" s="28">
        <f t="shared" si="17"/>
        <v>40.299999999999997</v>
      </c>
    </row>
    <row r="9" spans="1:493" s="14" customFormat="1" ht="25" customHeight="1" thickBot="1">
      <c r="A9" s="4" t="s">
        <v>55</v>
      </c>
      <c r="B9" s="43">
        <f>SUM(B10:B17)</f>
        <v>-464.5</v>
      </c>
      <c r="C9" s="43">
        <f t="shared" ref="C9:Z9" si="18">SUM(C10:C17)</f>
        <v>-499.7</v>
      </c>
      <c r="D9" s="43">
        <f t="shared" si="18"/>
        <v>-444.9</v>
      </c>
      <c r="E9" s="43">
        <f t="shared" si="18"/>
        <v>-562.4</v>
      </c>
      <c r="F9" s="44">
        <f t="shared" si="18"/>
        <v>-1971.5000000000002</v>
      </c>
      <c r="G9" s="45">
        <f t="shared" si="18"/>
        <v>-512.92000000000007</v>
      </c>
      <c r="H9" s="43">
        <f t="shared" si="18"/>
        <v>-542.4</v>
      </c>
      <c r="I9" s="43">
        <f t="shared" si="18"/>
        <v>-510.7</v>
      </c>
      <c r="J9" s="43">
        <f t="shared" si="18"/>
        <v>-591.70000000000005</v>
      </c>
      <c r="K9" s="44">
        <f t="shared" si="18"/>
        <v>-2157.7199999999998</v>
      </c>
      <c r="L9" s="45">
        <f t="shared" si="18"/>
        <v>-507.5</v>
      </c>
      <c r="M9" s="43">
        <f t="shared" si="18"/>
        <v>-1351.8000000000002</v>
      </c>
      <c r="N9" s="43">
        <f t="shared" si="18"/>
        <v>-1992.5000000000002</v>
      </c>
      <c r="O9" s="43">
        <f t="shared" si="18"/>
        <v>-2125.3999999999996</v>
      </c>
      <c r="P9" s="46">
        <f t="shared" si="18"/>
        <v>-5977.2000000000016</v>
      </c>
      <c r="Q9" s="43">
        <f t="shared" si="18"/>
        <v>-1909</v>
      </c>
      <c r="R9" s="43">
        <f t="shared" si="18"/>
        <v>-1899.4999999999998</v>
      </c>
      <c r="S9" s="43">
        <f t="shared" si="18"/>
        <v>-1900.1</v>
      </c>
      <c r="T9" s="43">
        <f t="shared" si="18"/>
        <v>-2159.2999999999997</v>
      </c>
      <c r="U9" s="46">
        <f t="shared" si="18"/>
        <v>-7867.9000000000005</v>
      </c>
      <c r="V9" s="43">
        <f t="shared" si="18"/>
        <v>-1948</v>
      </c>
      <c r="W9" s="43">
        <f t="shared" si="18"/>
        <v>-2042</v>
      </c>
      <c r="X9" s="43">
        <f t="shared" si="18"/>
        <v>-1938.6999999999998</v>
      </c>
      <c r="Y9" s="43">
        <f t="shared" si="18"/>
        <v>-2140.6</v>
      </c>
      <c r="Z9" s="46">
        <f t="shared" si="18"/>
        <v>-8069.2999999999993</v>
      </c>
      <c r="AA9" s="43">
        <f>SUM(AA10:AA17)</f>
        <v>-1938.1999999999996</v>
      </c>
      <c r="AB9" s="43">
        <f>SUM(AB10:AB17)</f>
        <v>-1962.8000000000002</v>
      </c>
      <c r="AC9" s="43">
        <f>SUM(AC10:AC17)</f>
        <v>-1975.7</v>
      </c>
      <c r="AD9" s="409">
        <f t="shared" ref="AD9:AE9" si="19">SUM(AD10:AD17)</f>
        <v>-2139.1999999999998</v>
      </c>
      <c r="AE9" s="46">
        <f t="shared" si="19"/>
        <v>-8015.9</v>
      </c>
      <c r="AF9" s="43">
        <f>SUM(AF10:AF17)</f>
        <v>-1903.1000000000001</v>
      </c>
      <c r="AG9" s="43">
        <f>SUM(AG10:AG17)</f>
        <v>0</v>
      </c>
      <c r="AH9" s="43">
        <f>SUM(AH10:AH17)</f>
        <v>0</v>
      </c>
      <c r="AI9" s="409">
        <f t="shared" ref="AI9:AJ9" si="20">SUM(AI10:AI17)</f>
        <v>0</v>
      </c>
      <c r="AJ9" s="46">
        <f t="shared" si="20"/>
        <v>-1903.1000000000001</v>
      </c>
      <c r="AL9" s="45">
        <f>SUM(AL10:AL17)</f>
        <v>-1917.1000000000001</v>
      </c>
      <c r="AM9" s="43">
        <f>SUM(AM10:AM17)</f>
        <v>0</v>
      </c>
      <c r="AN9" s="43">
        <f>SUM(AN10:AN17)</f>
        <v>0</v>
      </c>
      <c r="AO9" s="409">
        <f t="shared" ref="AO9:AP9" si="21">SUM(AO10:AO17)</f>
        <v>0</v>
      </c>
      <c r="AP9" s="46">
        <f t="shared" si="21"/>
        <v>-1917.1000000000001</v>
      </c>
    </row>
    <row r="10" spans="1:493" ht="20.149999999999999" customHeight="1">
      <c r="A10" s="203" t="s">
        <v>59</v>
      </c>
      <c r="B10" s="50">
        <v>-49.7</v>
      </c>
      <c r="C10" s="50">
        <v>-55.1</v>
      </c>
      <c r="D10" s="50">
        <v>-58.6</v>
      </c>
      <c r="E10" s="50">
        <v>-59.3</v>
      </c>
      <c r="F10" s="27">
        <f t="shared" ref="F10:F12" si="22">SUM(B10:E10)</f>
        <v>-222.7</v>
      </c>
      <c r="G10" s="52">
        <v>-60.7</v>
      </c>
      <c r="H10" s="50">
        <v>-62</v>
      </c>
      <c r="I10" s="50">
        <v>-62.2</v>
      </c>
      <c r="J10" s="50">
        <v>-71.400000000000006</v>
      </c>
      <c r="K10" s="27">
        <f t="shared" ref="K10:K12" si="23">SUM(G10:J10)</f>
        <v>-256.3</v>
      </c>
      <c r="L10" s="52">
        <v>-71.400000000000006</v>
      </c>
      <c r="M10" s="50">
        <v>-288</v>
      </c>
      <c r="N10" s="50">
        <v>-495.9</v>
      </c>
      <c r="O10" s="50">
        <v>-557.20000000000005</v>
      </c>
      <c r="P10" s="29">
        <f t="shared" ref="P10:P12" si="24">SUM(L10:O10)</f>
        <v>-1412.5</v>
      </c>
      <c r="Q10" s="50">
        <v>-482.3</v>
      </c>
      <c r="R10" s="50">
        <v>-522.4</v>
      </c>
      <c r="S10" s="50">
        <v>-551.20000000000005</v>
      </c>
      <c r="T10" s="238">
        <v>-585.09999999999991</v>
      </c>
      <c r="U10" s="29">
        <v>-2141</v>
      </c>
      <c r="V10" s="50">
        <v>-550.29999999999995</v>
      </c>
      <c r="W10" s="50">
        <v>-456.6</v>
      </c>
      <c r="X10" s="50">
        <v>-459.2</v>
      </c>
      <c r="Y10" s="238">
        <v>-472.6</v>
      </c>
      <c r="Z10" s="29">
        <f t="shared" ref="Z10:Z11" si="25">SUM(V10:Y10)</f>
        <v>-1938.6999999999998</v>
      </c>
      <c r="AA10" s="50">
        <v>-468.2</v>
      </c>
      <c r="AB10" s="50">
        <v>-483.5</v>
      </c>
      <c r="AC10" s="410">
        <v>-528.5</v>
      </c>
      <c r="AD10" s="410">
        <v>-533.79999999999995</v>
      </c>
      <c r="AE10" s="29">
        <f t="shared" ref="AE10:AE18" si="26">SUM(AA10:AD10)</f>
        <v>-2014</v>
      </c>
      <c r="AF10" s="50">
        <v>-504.5</v>
      </c>
      <c r="AG10" s="50"/>
      <c r="AH10" s="410"/>
      <c r="AI10" s="410"/>
      <c r="AJ10" s="29">
        <f t="shared" ref="AJ10:AJ18" si="27">SUM(AF10:AI10)</f>
        <v>-504.5</v>
      </c>
      <c r="AL10" s="52">
        <v>-504.5</v>
      </c>
      <c r="AM10" s="50"/>
      <c r="AN10" s="410"/>
      <c r="AO10" s="410"/>
      <c r="AP10" s="29">
        <f t="shared" ref="AP10:AP18" si="28">SUM(AL10:AO10)</f>
        <v>-504.5</v>
      </c>
    </row>
    <row r="11" spans="1:493" ht="20.149999999999999" customHeight="1">
      <c r="A11" s="201" t="s">
        <v>58</v>
      </c>
      <c r="B11" s="50">
        <v>-54.4</v>
      </c>
      <c r="C11" s="50">
        <v>-56.7</v>
      </c>
      <c r="D11" s="50">
        <v>-60.2</v>
      </c>
      <c r="E11" s="50">
        <v>-71.7</v>
      </c>
      <c r="F11" s="27">
        <f t="shared" si="22"/>
        <v>-243</v>
      </c>
      <c r="G11" s="52">
        <v>-60.7</v>
      </c>
      <c r="H11" s="50">
        <v>-62.3</v>
      </c>
      <c r="I11" s="50">
        <v>-64.8</v>
      </c>
      <c r="J11" s="50">
        <v>-68.599999999999994</v>
      </c>
      <c r="K11" s="27">
        <f t="shared" si="23"/>
        <v>-256.39999999999998</v>
      </c>
      <c r="L11" s="52">
        <v>-62.4</v>
      </c>
      <c r="M11" s="50">
        <v>-311.3</v>
      </c>
      <c r="N11" s="50">
        <v>-478.3</v>
      </c>
      <c r="O11" s="50">
        <v>-443.8</v>
      </c>
      <c r="P11" s="29">
        <f t="shared" si="24"/>
        <v>-1295.8</v>
      </c>
      <c r="Q11" s="50">
        <v>-467.9</v>
      </c>
      <c r="R11" s="50">
        <v>-393.5</v>
      </c>
      <c r="S11" s="50">
        <v>-401.2</v>
      </c>
      <c r="T11" s="238">
        <v>-436.70000000000005</v>
      </c>
      <c r="U11" s="29">
        <v>-1699.3</v>
      </c>
      <c r="V11" s="50">
        <v>-423.7</v>
      </c>
      <c r="W11" s="50">
        <v>-527.5</v>
      </c>
      <c r="X11" s="50">
        <v>-507.9</v>
      </c>
      <c r="Y11" s="238">
        <v>-512.4</v>
      </c>
      <c r="Z11" s="29">
        <f t="shared" si="25"/>
        <v>-1971.5</v>
      </c>
      <c r="AA11" s="50">
        <v>-472.3</v>
      </c>
      <c r="AB11" s="50">
        <v>-446.7</v>
      </c>
      <c r="AC11" s="410">
        <v>-429.2</v>
      </c>
      <c r="AD11" s="410">
        <v>-434.8</v>
      </c>
      <c r="AE11" s="29">
        <f t="shared" si="26"/>
        <v>-1783</v>
      </c>
      <c r="AF11" s="50">
        <v>-454.5</v>
      </c>
      <c r="AG11" s="50"/>
      <c r="AH11" s="410"/>
      <c r="AI11" s="410"/>
      <c r="AJ11" s="29">
        <f t="shared" si="27"/>
        <v>-454.5</v>
      </c>
      <c r="AL11" s="52">
        <v>-454.5</v>
      </c>
      <c r="AM11" s="50"/>
      <c r="AN11" s="410"/>
      <c r="AO11" s="410"/>
      <c r="AP11" s="29">
        <f t="shared" si="28"/>
        <v>-454.5</v>
      </c>
    </row>
    <row r="12" spans="1:493" ht="20.149999999999999" customHeight="1">
      <c r="A12" s="201" t="s">
        <v>61</v>
      </c>
      <c r="B12" s="50">
        <v>-5.5</v>
      </c>
      <c r="C12" s="50">
        <v>-7.6</v>
      </c>
      <c r="D12" s="50">
        <v>-7</v>
      </c>
      <c r="E12" s="50">
        <v>-16.100000000000001</v>
      </c>
      <c r="F12" s="27">
        <f t="shared" si="22"/>
        <v>-36.200000000000003</v>
      </c>
      <c r="G12" s="52">
        <v>-25.8</v>
      </c>
      <c r="H12" s="50">
        <v>-16.8</v>
      </c>
      <c r="I12" s="50">
        <v>-10.7</v>
      </c>
      <c r="J12" s="50">
        <v>-10.6</v>
      </c>
      <c r="K12" s="27">
        <f t="shared" si="23"/>
        <v>-63.9</v>
      </c>
      <c r="L12" s="52">
        <v>-10.300000000000011</v>
      </c>
      <c r="M12" s="50">
        <v>-189.7</v>
      </c>
      <c r="N12" s="50">
        <v>-348.6</v>
      </c>
      <c r="O12" s="50">
        <v>-376.6</v>
      </c>
      <c r="P12" s="29">
        <f t="shared" si="24"/>
        <v>-925.2</v>
      </c>
      <c r="Q12" s="50">
        <v>-332.5</v>
      </c>
      <c r="R12" s="50">
        <v>-291.7</v>
      </c>
      <c r="S12" s="50">
        <v>-314.89999999999998</v>
      </c>
      <c r="T12" s="238">
        <v>-393.59999999999991</v>
      </c>
      <c r="U12" s="29">
        <v>-1332.8</v>
      </c>
      <c r="V12" s="50">
        <v>-326.8</v>
      </c>
      <c r="W12" s="50">
        <v>-317.3</v>
      </c>
      <c r="X12" s="50">
        <v>-330.5</v>
      </c>
      <c r="Y12" s="238">
        <v>-380.1</v>
      </c>
      <c r="Z12" s="29">
        <f>SUM(V12:Y12)</f>
        <v>-1354.7</v>
      </c>
      <c r="AA12" s="50">
        <v>-323.60000000000002</v>
      </c>
      <c r="AB12" s="50">
        <v>-318.8</v>
      </c>
      <c r="AC12" s="410">
        <v>-323.3</v>
      </c>
      <c r="AD12" s="410">
        <v>-357.9</v>
      </c>
      <c r="AE12" s="29">
        <f t="shared" si="26"/>
        <v>-1323.6</v>
      </c>
      <c r="AF12" s="50">
        <v>-258.5</v>
      </c>
      <c r="AG12" s="50"/>
      <c r="AH12" s="410"/>
      <c r="AI12" s="410"/>
      <c r="AJ12" s="29">
        <f t="shared" si="27"/>
        <v>-258.5</v>
      </c>
      <c r="AL12" s="52">
        <v>-272.5</v>
      </c>
      <c r="AM12" s="50"/>
      <c r="AN12" s="410"/>
      <c r="AO12" s="410"/>
      <c r="AP12" s="29">
        <f t="shared" si="28"/>
        <v>-272.5</v>
      </c>
    </row>
    <row r="13" spans="1:493" ht="20.149999999999999" customHeight="1">
      <c r="A13" s="201" t="s">
        <v>56</v>
      </c>
      <c r="B13" s="50">
        <v>-206.8</v>
      </c>
      <c r="C13" s="50">
        <v>-226.6</v>
      </c>
      <c r="D13" s="50">
        <v>-171.5</v>
      </c>
      <c r="E13" s="50">
        <v>-219</v>
      </c>
      <c r="F13" s="27">
        <f>SUM(B13:E13)</f>
        <v>-823.9</v>
      </c>
      <c r="G13" s="52">
        <v>-207.5</v>
      </c>
      <c r="H13" s="50">
        <v>-239.5</v>
      </c>
      <c r="I13" s="50">
        <v>-219.3</v>
      </c>
      <c r="J13" s="50">
        <v>-260.7</v>
      </c>
      <c r="K13" s="27">
        <f>SUM(G13:J13)</f>
        <v>-927</v>
      </c>
      <c r="L13" s="52">
        <v>-210.7</v>
      </c>
      <c r="M13" s="50">
        <v>-260.89999999999998</v>
      </c>
      <c r="N13" s="50">
        <v>-262.39999999999998</v>
      </c>
      <c r="O13" s="50">
        <v>-295.60000000000002</v>
      </c>
      <c r="P13" s="29">
        <f>SUM(L13:O13)</f>
        <v>-1029.5999999999999</v>
      </c>
      <c r="Q13" s="50">
        <v>-235.5</v>
      </c>
      <c r="R13" s="50">
        <v>-274</v>
      </c>
      <c r="S13" s="50">
        <v>-257.3</v>
      </c>
      <c r="T13" s="238">
        <v>-299.10000000000014</v>
      </c>
      <c r="U13" s="29">
        <v>-1065.9000000000001</v>
      </c>
      <c r="V13" s="50">
        <v>-248.5</v>
      </c>
      <c r="W13" s="50">
        <v>-316.3</v>
      </c>
      <c r="X13" s="50">
        <v>-252.1</v>
      </c>
      <c r="Y13" s="238">
        <v>-297.3</v>
      </c>
      <c r="Z13" s="29">
        <f t="shared" si="14"/>
        <v>-1114.2</v>
      </c>
      <c r="AA13" s="50">
        <v>-264.3</v>
      </c>
      <c r="AB13" s="50">
        <v>-298.39999999999998</v>
      </c>
      <c r="AC13" s="410">
        <v>-269.7</v>
      </c>
      <c r="AD13" s="410">
        <v>-321.2</v>
      </c>
      <c r="AE13" s="29">
        <f t="shared" si="26"/>
        <v>-1153.6000000000001</v>
      </c>
      <c r="AF13" s="50">
        <v>-269.39999999999998</v>
      </c>
      <c r="AG13" s="50"/>
      <c r="AH13" s="410"/>
      <c r="AI13" s="410"/>
      <c r="AJ13" s="29">
        <f t="shared" si="27"/>
        <v>-269.39999999999998</v>
      </c>
      <c r="AL13" s="52">
        <v>-269.39999999999998</v>
      </c>
      <c r="AM13" s="50"/>
      <c r="AN13" s="410"/>
      <c r="AO13" s="410"/>
      <c r="AP13" s="29">
        <f t="shared" si="28"/>
        <v>-269.39999999999998</v>
      </c>
    </row>
    <row r="14" spans="1:493" ht="20.149999999999999" customHeight="1">
      <c r="A14" s="202" t="s">
        <v>57</v>
      </c>
      <c r="B14" s="50">
        <v>-71.5</v>
      </c>
      <c r="C14" s="50">
        <v>-71.8</v>
      </c>
      <c r="D14" s="50">
        <v>-73.7</v>
      </c>
      <c r="E14" s="50">
        <v>-95.7</v>
      </c>
      <c r="F14" s="27">
        <f t="shared" ref="F14:F18" si="29">SUM(B14:E14)</f>
        <v>-312.7</v>
      </c>
      <c r="G14" s="52">
        <v>-79</v>
      </c>
      <c r="H14" s="50">
        <v>-81.3</v>
      </c>
      <c r="I14" s="50">
        <v>-79.3</v>
      </c>
      <c r="J14" s="50">
        <v>-92.4</v>
      </c>
      <c r="K14" s="27">
        <f t="shared" ref="K14:K18" si="30">SUM(G14:J14)</f>
        <v>-332</v>
      </c>
      <c r="L14" s="52">
        <v>-75.3</v>
      </c>
      <c r="M14" s="50">
        <v>-132.19999999999999</v>
      </c>
      <c r="N14" s="50">
        <v>-186.8</v>
      </c>
      <c r="O14" s="50">
        <v>-218.3</v>
      </c>
      <c r="P14" s="29">
        <f t="shared" ref="P14:P18" si="31">SUM(L14:O14)</f>
        <v>-612.6</v>
      </c>
      <c r="Q14" s="50">
        <v>-189.2</v>
      </c>
      <c r="R14" s="50">
        <v>-193.2</v>
      </c>
      <c r="S14" s="50">
        <v>-200.1</v>
      </c>
      <c r="T14" s="238">
        <v>-220.1</v>
      </c>
      <c r="U14" s="29">
        <v>-802.6</v>
      </c>
      <c r="V14" s="50">
        <v>-200.5</v>
      </c>
      <c r="W14" s="50">
        <v>-202.2</v>
      </c>
      <c r="X14" s="50">
        <v>-202.6</v>
      </c>
      <c r="Y14" s="238">
        <v>-222.5</v>
      </c>
      <c r="Z14" s="29">
        <f t="shared" si="14"/>
        <v>-827.8</v>
      </c>
      <c r="AA14" s="50">
        <v>-211.1</v>
      </c>
      <c r="AB14" s="50">
        <v>-215.9</v>
      </c>
      <c r="AC14" s="410">
        <v>-224</v>
      </c>
      <c r="AD14" s="410">
        <v>-243.3</v>
      </c>
      <c r="AE14" s="29">
        <f t="shared" si="26"/>
        <v>-894.3</v>
      </c>
      <c r="AF14" s="50">
        <v>-205.2</v>
      </c>
      <c r="AG14" s="50"/>
      <c r="AH14" s="410"/>
      <c r="AI14" s="410"/>
      <c r="AJ14" s="29">
        <f t="shared" si="27"/>
        <v>-205.2</v>
      </c>
      <c r="AL14" s="52">
        <v>-205.2</v>
      </c>
      <c r="AM14" s="50"/>
      <c r="AN14" s="410"/>
      <c r="AO14" s="410"/>
      <c r="AP14" s="29">
        <f t="shared" si="28"/>
        <v>-205.2</v>
      </c>
    </row>
    <row r="15" spans="1:493" ht="20.149999999999999" customHeight="1">
      <c r="A15" s="201" t="s">
        <v>60</v>
      </c>
      <c r="B15" s="50">
        <v>-40.6</v>
      </c>
      <c r="C15" s="50">
        <v>-40.299999999999997</v>
      </c>
      <c r="D15" s="50">
        <v>-38.9</v>
      </c>
      <c r="E15" s="50">
        <v>-58.6</v>
      </c>
      <c r="F15" s="27">
        <f t="shared" si="29"/>
        <v>-178.4</v>
      </c>
      <c r="G15" s="52">
        <v>-43.1</v>
      </c>
      <c r="H15" s="50">
        <v>-41.9</v>
      </c>
      <c r="I15" s="50">
        <v>-40.4</v>
      </c>
      <c r="J15" s="50">
        <v>-53.2</v>
      </c>
      <c r="K15" s="27">
        <f t="shared" si="30"/>
        <v>-178.60000000000002</v>
      </c>
      <c r="L15" s="52">
        <v>-44.7</v>
      </c>
      <c r="M15" s="50">
        <v>-108.2</v>
      </c>
      <c r="N15" s="50">
        <v>-118</v>
      </c>
      <c r="O15" s="50">
        <v>-150.9</v>
      </c>
      <c r="P15" s="29">
        <f t="shared" si="31"/>
        <v>-421.79999999999995</v>
      </c>
      <c r="Q15" s="50">
        <v>-129.1</v>
      </c>
      <c r="R15" s="50">
        <v>-140.80000000000001</v>
      </c>
      <c r="S15" s="50">
        <v>-122.3</v>
      </c>
      <c r="T15" s="238">
        <v>-158.00000000000006</v>
      </c>
      <c r="U15" s="29">
        <v>-550.20000000000005</v>
      </c>
      <c r="V15" s="50">
        <v>-137.9</v>
      </c>
      <c r="W15" s="50">
        <v>-138.19999999999999</v>
      </c>
      <c r="X15" s="50">
        <v>-130.5</v>
      </c>
      <c r="Y15" s="238">
        <v>-163.9</v>
      </c>
      <c r="Z15" s="29">
        <f t="shared" si="14"/>
        <v>-570.5</v>
      </c>
      <c r="AA15" s="50">
        <v>-127.8</v>
      </c>
      <c r="AB15" s="50">
        <v>-133.69999999999999</v>
      </c>
      <c r="AC15" s="410">
        <v>-127.4</v>
      </c>
      <c r="AD15" s="410">
        <v>-164.2</v>
      </c>
      <c r="AE15" s="29">
        <f t="shared" si="26"/>
        <v>-553.09999999999991</v>
      </c>
      <c r="AF15" s="50">
        <v>-143.80000000000001</v>
      </c>
      <c r="AG15" s="50"/>
      <c r="AH15" s="410"/>
      <c r="AI15" s="410"/>
      <c r="AJ15" s="29">
        <f t="shared" si="27"/>
        <v>-143.80000000000001</v>
      </c>
      <c r="AL15" s="52">
        <v>-143.80000000000001</v>
      </c>
      <c r="AM15" s="50"/>
      <c r="AN15" s="410"/>
      <c r="AO15" s="410"/>
      <c r="AP15" s="29">
        <f t="shared" si="28"/>
        <v>-143.80000000000001</v>
      </c>
    </row>
    <row r="16" spans="1:493" ht="29">
      <c r="A16" s="201" t="s">
        <v>62</v>
      </c>
      <c r="B16" s="50">
        <v>-5.9</v>
      </c>
      <c r="C16" s="50">
        <v>-8.4</v>
      </c>
      <c r="D16" s="50">
        <v>-5.3</v>
      </c>
      <c r="E16" s="50">
        <v>-7.8</v>
      </c>
      <c r="F16" s="27">
        <f t="shared" si="29"/>
        <v>-27.400000000000002</v>
      </c>
      <c r="G16" s="52">
        <v>-6.42</v>
      </c>
      <c r="H16" s="50">
        <v>-9.3000000000000007</v>
      </c>
      <c r="I16" s="50">
        <v>-5.3</v>
      </c>
      <c r="J16" s="50">
        <v>-7.2</v>
      </c>
      <c r="K16" s="27">
        <f t="shared" si="30"/>
        <v>-28.22</v>
      </c>
      <c r="L16" s="52">
        <v>-6.6999999999999993</v>
      </c>
      <c r="M16" s="50">
        <v>-18.100000000000001</v>
      </c>
      <c r="N16" s="50">
        <v>-15.3</v>
      </c>
      <c r="O16" s="50">
        <v>-27.5</v>
      </c>
      <c r="P16" s="29">
        <f t="shared" si="31"/>
        <v>-67.599999999999994</v>
      </c>
      <c r="Q16" s="50">
        <v>-18.7</v>
      </c>
      <c r="R16" s="50">
        <v>-27.8</v>
      </c>
      <c r="S16" s="50">
        <v>-8.5</v>
      </c>
      <c r="T16" s="238">
        <v>-7.6000000000000014</v>
      </c>
      <c r="U16" s="29">
        <v>-62.6</v>
      </c>
      <c r="V16" s="50">
        <v>-9.6</v>
      </c>
      <c r="W16" s="50">
        <v>-16.3</v>
      </c>
      <c r="X16" s="50">
        <v>-5.7</v>
      </c>
      <c r="Y16" s="238">
        <v>-15.3</v>
      </c>
      <c r="Z16" s="29">
        <f t="shared" si="14"/>
        <v>-46.9</v>
      </c>
      <c r="AA16" s="50">
        <v>-19.3</v>
      </c>
      <c r="AB16" s="50">
        <v>-16.3</v>
      </c>
      <c r="AC16" s="410">
        <v>-21.3</v>
      </c>
      <c r="AD16" s="410">
        <v>-10.5</v>
      </c>
      <c r="AE16" s="29">
        <f t="shared" si="26"/>
        <v>-67.400000000000006</v>
      </c>
      <c r="AF16" s="50">
        <v>-11.9</v>
      </c>
      <c r="AG16" s="50"/>
      <c r="AH16" s="410"/>
      <c r="AI16" s="410"/>
      <c r="AJ16" s="29">
        <f t="shared" si="27"/>
        <v>-11.9</v>
      </c>
      <c r="AL16" s="52">
        <v>-11.9</v>
      </c>
      <c r="AM16" s="50"/>
      <c r="AN16" s="410"/>
      <c r="AO16" s="410"/>
      <c r="AP16" s="29">
        <f t="shared" si="28"/>
        <v>-11.9</v>
      </c>
    </row>
    <row r="17" spans="1:42" ht="20.149999999999999" customHeight="1" thickBot="1">
      <c r="A17" s="201" t="s">
        <v>63</v>
      </c>
      <c r="B17" s="50">
        <v>-30.1</v>
      </c>
      <c r="C17" s="50">
        <v>-33.200000000000003</v>
      </c>
      <c r="D17" s="50">
        <v>-29.7</v>
      </c>
      <c r="E17" s="50">
        <v>-34.200000000000003</v>
      </c>
      <c r="F17" s="27">
        <f t="shared" si="29"/>
        <v>-127.2</v>
      </c>
      <c r="G17" s="52">
        <v>-29.7</v>
      </c>
      <c r="H17" s="50">
        <v>-29.3</v>
      </c>
      <c r="I17" s="50">
        <v>-28.7</v>
      </c>
      <c r="J17" s="50">
        <v>-27.6</v>
      </c>
      <c r="K17" s="27">
        <f t="shared" si="30"/>
        <v>-115.30000000000001</v>
      </c>
      <c r="L17" s="52">
        <v>-26.000000000000007</v>
      </c>
      <c r="M17" s="50">
        <v>-43.4</v>
      </c>
      <c r="N17" s="50">
        <v>-87.2</v>
      </c>
      <c r="O17" s="50">
        <v>-55.5</v>
      </c>
      <c r="P17" s="29">
        <f t="shared" si="31"/>
        <v>-212.10000000000002</v>
      </c>
      <c r="Q17" s="50">
        <v>-53.8</v>
      </c>
      <c r="R17" s="50">
        <v>-56.1</v>
      </c>
      <c r="S17" s="50">
        <v>-44.6</v>
      </c>
      <c r="T17" s="238">
        <v>-59.099999999999994</v>
      </c>
      <c r="U17" s="29">
        <v>-213.5</v>
      </c>
      <c r="V17" s="50">
        <v>-50.7</v>
      </c>
      <c r="W17" s="50">
        <v>-67.599999999999994</v>
      </c>
      <c r="X17" s="50">
        <v>-50.2</v>
      </c>
      <c r="Y17" s="238">
        <v>-76.5</v>
      </c>
      <c r="Z17" s="29">
        <f t="shared" si="14"/>
        <v>-245</v>
      </c>
      <c r="AA17" s="50">
        <v>-51.6</v>
      </c>
      <c r="AB17" s="50">
        <v>-49.5</v>
      </c>
      <c r="AC17" s="410">
        <v>-52.3</v>
      </c>
      <c r="AD17" s="410">
        <v>-73.5</v>
      </c>
      <c r="AE17" s="29">
        <f t="shared" si="26"/>
        <v>-226.89999999999998</v>
      </c>
      <c r="AF17" s="50">
        <v>-55.3</v>
      </c>
      <c r="AG17" s="50"/>
      <c r="AH17" s="410"/>
      <c r="AI17" s="410"/>
      <c r="AJ17" s="29">
        <f t="shared" si="27"/>
        <v>-55.3</v>
      </c>
      <c r="AL17" s="52">
        <v>-55.3</v>
      </c>
      <c r="AM17" s="50"/>
      <c r="AN17" s="410"/>
      <c r="AO17" s="410"/>
      <c r="AP17" s="29">
        <f t="shared" si="28"/>
        <v>-55.3</v>
      </c>
    </row>
    <row r="18" spans="1:42" s="243" customFormat="1" ht="20.149999999999999" customHeight="1" thickBot="1">
      <c r="A18" s="195" t="s">
        <v>64</v>
      </c>
      <c r="B18" s="399">
        <v>-1.7</v>
      </c>
      <c r="C18" s="399">
        <v>-1.1000000000000001</v>
      </c>
      <c r="D18" s="399">
        <v>-2</v>
      </c>
      <c r="E18" s="399">
        <v>-12.7</v>
      </c>
      <c r="F18" s="400">
        <f t="shared" si="29"/>
        <v>-17.5</v>
      </c>
      <c r="G18" s="401">
        <v>0.5</v>
      </c>
      <c r="H18" s="399">
        <v>1.5</v>
      </c>
      <c r="I18" s="399">
        <v>36.799999999999997</v>
      </c>
      <c r="J18" s="399">
        <v>-2</v>
      </c>
      <c r="K18" s="400">
        <f t="shared" si="30"/>
        <v>36.799999999999997</v>
      </c>
      <c r="L18" s="401">
        <v>3.6</v>
      </c>
      <c r="M18" s="399">
        <v>3.5</v>
      </c>
      <c r="N18" s="399">
        <v>4.7</v>
      </c>
      <c r="O18" s="399">
        <v>-2.2000000000000002</v>
      </c>
      <c r="P18" s="402">
        <f t="shared" si="31"/>
        <v>9.6000000000000014</v>
      </c>
      <c r="Q18" s="399">
        <v>8.6999999999999993</v>
      </c>
      <c r="R18" s="399">
        <v>13.8</v>
      </c>
      <c r="S18" s="399">
        <v>14.4</v>
      </c>
      <c r="T18" s="399">
        <v>-6.2</v>
      </c>
      <c r="U18" s="402">
        <v>30.7</v>
      </c>
      <c r="V18" s="399">
        <v>6.8</v>
      </c>
      <c r="W18" s="399">
        <v>6.6</v>
      </c>
      <c r="X18" s="288">
        <v>0</v>
      </c>
      <c r="Y18" s="399">
        <v>-4.5999999999999996</v>
      </c>
      <c r="Z18" s="402">
        <f t="shared" si="14"/>
        <v>8.7999999999999989</v>
      </c>
      <c r="AA18" s="399">
        <v>6.8</v>
      </c>
      <c r="AB18" s="399">
        <v>9.9</v>
      </c>
      <c r="AC18" s="262">
        <v>6.7</v>
      </c>
      <c r="AD18" s="43">
        <v>-2.1</v>
      </c>
      <c r="AE18" s="402">
        <f t="shared" si="26"/>
        <v>21.299999999999997</v>
      </c>
      <c r="AF18" s="399">
        <v>6.7</v>
      </c>
      <c r="AG18" s="399"/>
      <c r="AH18" s="262"/>
      <c r="AI18" s="43"/>
      <c r="AJ18" s="402">
        <f t="shared" si="27"/>
        <v>6.7</v>
      </c>
      <c r="AL18" s="401">
        <v>6.7</v>
      </c>
      <c r="AM18" s="399"/>
      <c r="AN18" s="262"/>
      <c r="AO18" s="43"/>
      <c r="AP18" s="402">
        <f t="shared" si="28"/>
        <v>6.7</v>
      </c>
    </row>
    <row r="19" spans="1:42" s="14" customFormat="1" ht="25" customHeight="1" thickBot="1">
      <c r="A19" s="195" t="s">
        <v>65</v>
      </c>
      <c r="B19" s="43">
        <f t="shared" ref="B19:AA19" si="32">B4+B9+B18</f>
        <v>203.00000000000006</v>
      </c>
      <c r="C19" s="43">
        <f t="shared" si="32"/>
        <v>212.99999999999997</v>
      </c>
      <c r="D19" s="43">
        <f t="shared" si="32"/>
        <v>197.60000000000002</v>
      </c>
      <c r="E19" s="43">
        <f t="shared" si="32"/>
        <v>175.50000000000017</v>
      </c>
      <c r="F19" s="47">
        <f t="shared" si="32"/>
        <v>789.09999999999923</v>
      </c>
      <c r="G19" s="41">
        <f t="shared" si="32"/>
        <v>184.67999999999995</v>
      </c>
      <c r="H19" s="39">
        <f t="shared" si="32"/>
        <v>195</v>
      </c>
      <c r="I19" s="39">
        <f t="shared" si="32"/>
        <v>203.39999999999998</v>
      </c>
      <c r="J19" s="39">
        <f t="shared" si="32"/>
        <v>206.79999999999995</v>
      </c>
      <c r="K19" s="47">
        <f t="shared" si="32"/>
        <v>789.88000000000034</v>
      </c>
      <c r="L19" s="41">
        <f t="shared" si="32"/>
        <v>219.39999999999984</v>
      </c>
      <c r="M19" s="39">
        <f t="shared" si="32"/>
        <v>397.59999999999991</v>
      </c>
      <c r="N19" s="39">
        <f t="shared" si="32"/>
        <v>431.79999999999967</v>
      </c>
      <c r="O19" s="39">
        <f t="shared" si="32"/>
        <v>393.50000000000074</v>
      </c>
      <c r="P19" s="48">
        <f t="shared" si="32"/>
        <v>1442.2999999999979</v>
      </c>
      <c r="Q19" s="39">
        <f t="shared" si="32"/>
        <v>428.7</v>
      </c>
      <c r="R19" s="39">
        <f t="shared" si="32"/>
        <v>583.5</v>
      </c>
      <c r="S19" s="39">
        <f t="shared" si="32"/>
        <v>529.1999999999997</v>
      </c>
      <c r="T19" s="39">
        <f t="shared" si="32"/>
        <v>444.40000000000038</v>
      </c>
      <c r="U19" s="48">
        <f t="shared" si="32"/>
        <v>1985.7999999999995</v>
      </c>
      <c r="V19" s="39">
        <f t="shared" si="32"/>
        <v>422.8</v>
      </c>
      <c r="W19" s="39">
        <f t="shared" si="32"/>
        <v>407.50000000000011</v>
      </c>
      <c r="X19" s="39">
        <f t="shared" si="32"/>
        <v>449.10000000000036</v>
      </c>
      <c r="Y19" s="39">
        <f t="shared" si="32"/>
        <v>389.9</v>
      </c>
      <c r="Z19" s="48">
        <f t="shared" si="32"/>
        <v>1669.3</v>
      </c>
      <c r="AA19" s="39">
        <f t="shared" si="32"/>
        <v>457.20000000000033</v>
      </c>
      <c r="AB19" s="39">
        <f>AB4+AB9+AB18</f>
        <v>516.99999999999989</v>
      </c>
      <c r="AC19" s="39">
        <f>AC4+AC9+AC18</f>
        <v>421.90000000000003</v>
      </c>
      <c r="AD19" s="407">
        <f t="shared" ref="AD19:AF19" si="33">AD4+AD9+AD18</f>
        <v>437.9</v>
      </c>
      <c r="AE19" s="48">
        <f t="shared" si="33"/>
        <v>1834.0000000000007</v>
      </c>
      <c r="AF19" s="39">
        <f t="shared" si="33"/>
        <v>464.29999999999967</v>
      </c>
      <c r="AG19" s="39">
        <f>AG4+AG9+AG18</f>
        <v>0</v>
      </c>
      <c r="AH19" s="39">
        <f>AH4+AH9+AH18</f>
        <v>0</v>
      </c>
      <c r="AI19" s="407">
        <f t="shared" ref="AI19:AJ19" si="34">AI4+AI9+AI18</f>
        <v>0</v>
      </c>
      <c r="AJ19" s="48">
        <f t="shared" si="34"/>
        <v>464.29999999999967</v>
      </c>
      <c r="AL19" s="41">
        <f t="shared" ref="AL19" si="35">AL4+AL9+AL18</f>
        <v>435.49999999999994</v>
      </c>
      <c r="AM19" s="39">
        <f>AM4+AM9+AM18</f>
        <v>0</v>
      </c>
      <c r="AN19" s="39">
        <f>AN4+AN9+AN18</f>
        <v>0</v>
      </c>
      <c r="AO19" s="407">
        <f t="shared" ref="AO19:AP19" si="36">AO4+AO9+AO18</f>
        <v>0</v>
      </c>
      <c r="AP19" s="48">
        <f t="shared" si="36"/>
        <v>435.49999999999994</v>
      </c>
    </row>
    <row r="20" spans="1:42" ht="20.149999999999999" customHeight="1">
      <c r="A20" s="196" t="s">
        <v>66</v>
      </c>
      <c r="B20" s="50">
        <v>12.5</v>
      </c>
      <c r="C20" s="50">
        <v>-8.5</v>
      </c>
      <c r="D20" s="50">
        <v>5.3</v>
      </c>
      <c r="E20" s="50">
        <v>5</v>
      </c>
      <c r="F20" s="27">
        <f>SUM(B20:E20)</f>
        <v>14.3</v>
      </c>
      <c r="G20" s="52">
        <v>3.9</v>
      </c>
      <c r="H20" s="50">
        <v>0.7</v>
      </c>
      <c r="I20" s="50">
        <v>7.4</v>
      </c>
      <c r="J20" s="50">
        <v>4.0999999999999996</v>
      </c>
      <c r="K20" s="27">
        <f>SUM(G20:J20)</f>
        <v>16.100000000000001</v>
      </c>
      <c r="L20" s="52">
        <v>1.3</v>
      </c>
      <c r="M20" s="50">
        <v>23.9</v>
      </c>
      <c r="N20" s="50">
        <v>1.5</v>
      </c>
      <c r="O20" s="50">
        <v>-11.4</v>
      </c>
      <c r="P20" s="29">
        <f>SUM(L20:O20)</f>
        <v>15.299999999999999</v>
      </c>
      <c r="Q20" s="50">
        <v>28.9</v>
      </c>
      <c r="R20" s="50">
        <v>-11.9</v>
      </c>
      <c r="S20" s="50">
        <v>-5.2</v>
      </c>
      <c r="T20" s="238">
        <v>-3.2</v>
      </c>
      <c r="U20" s="29">
        <f>SUM(Q20:T20)</f>
        <v>8.6000000000000014</v>
      </c>
      <c r="V20" s="50">
        <v>-35.200000000000003</v>
      </c>
      <c r="W20" s="50">
        <v>-21.4</v>
      </c>
      <c r="X20" s="50">
        <v>13.1</v>
      </c>
      <c r="Y20" s="238">
        <v>-26.3</v>
      </c>
      <c r="Z20" s="29">
        <f t="shared" si="14"/>
        <v>-69.8</v>
      </c>
      <c r="AA20" s="50">
        <v>30.5</v>
      </c>
      <c r="AB20" s="50">
        <v>-14.4</v>
      </c>
      <c r="AC20" s="410">
        <v>-28</v>
      </c>
      <c r="AD20" s="410">
        <v>19.100000000000001</v>
      </c>
      <c r="AE20" s="29">
        <f t="shared" ref="AE20:AE23" si="37">SUM(AA20:AD20)</f>
        <v>7.2000000000000028</v>
      </c>
      <c r="AF20" s="50">
        <v>-3.4</v>
      </c>
      <c r="AG20" s="50"/>
      <c r="AH20" s="410"/>
      <c r="AI20" s="410"/>
      <c r="AJ20" s="29">
        <f t="shared" ref="AJ20:AJ21" si="38">SUM(AF20:AI20)</f>
        <v>-3.4</v>
      </c>
      <c r="AL20" s="52">
        <v>-3.4</v>
      </c>
      <c r="AM20" s="50"/>
      <c r="AN20" s="410"/>
      <c r="AO20" s="410"/>
      <c r="AP20" s="29">
        <f t="shared" ref="AP20:AP21" si="39">SUM(AL20:AO20)</f>
        <v>-3.4</v>
      </c>
    </row>
    <row r="21" spans="1:42" ht="20.149999999999999" customHeight="1">
      <c r="A21" s="197" t="s">
        <v>67</v>
      </c>
      <c r="B21" s="50">
        <v>30.1</v>
      </c>
      <c r="C21" s="50">
        <v>-92.4</v>
      </c>
      <c r="D21" s="50">
        <v>-5.2</v>
      </c>
      <c r="E21" s="50">
        <v>-43.1</v>
      </c>
      <c r="F21" s="27">
        <f t="shared" ref="F21" si="40">SUM(B21:E21)</f>
        <v>-110.6</v>
      </c>
      <c r="G21" s="52">
        <v>-80.099999999999994</v>
      </c>
      <c r="H21" s="50">
        <v>-102.4</v>
      </c>
      <c r="I21" s="50">
        <v>-10.7</v>
      </c>
      <c r="J21" s="50">
        <v>-22.8</v>
      </c>
      <c r="K21" s="27">
        <f t="shared" ref="K21" si="41">SUM(G21:J21)</f>
        <v>-216</v>
      </c>
      <c r="L21" s="52">
        <v>-108.8</v>
      </c>
      <c r="M21" s="50">
        <v>-273.39999999999998</v>
      </c>
      <c r="N21" s="50">
        <v>-384.7</v>
      </c>
      <c r="O21" s="50">
        <v>-379.2</v>
      </c>
      <c r="P21" s="29">
        <f t="shared" ref="P21" si="42">SUM(L21:O21)</f>
        <v>-1146.0999999999999</v>
      </c>
      <c r="Q21" s="50">
        <v>-261.3</v>
      </c>
      <c r="R21" s="50">
        <v>-222.1</v>
      </c>
      <c r="S21" s="50">
        <v>88.8</v>
      </c>
      <c r="T21" s="238">
        <v>-270</v>
      </c>
      <c r="U21" s="29">
        <f t="shared" ref="U21" si="43">SUM(Q21:T21)</f>
        <v>-664.59999999999991</v>
      </c>
      <c r="V21" s="50">
        <v>-182.7</v>
      </c>
      <c r="W21" s="50">
        <v>-133.19999999999999</v>
      </c>
      <c r="X21" s="50">
        <v>-127.3</v>
      </c>
      <c r="Y21" s="238">
        <v>-122.9</v>
      </c>
      <c r="Z21" s="29">
        <f t="shared" si="14"/>
        <v>-566.1</v>
      </c>
      <c r="AA21" s="50">
        <v>-185.5</v>
      </c>
      <c r="AB21" s="50">
        <v>-113.3</v>
      </c>
      <c r="AC21" s="410">
        <v>-104.8</v>
      </c>
      <c r="AD21" s="410">
        <v>-105.4</v>
      </c>
      <c r="AE21" s="29">
        <f t="shared" si="37"/>
        <v>-509</v>
      </c>
      <c r="AF21" s="50">
        <v>-72.599999999999994</v>
      </c>
      <c r="AG21" s="50"/>
      <c r="AH21" s="410"/>
      <c r="AI21" s="410"/>
      <c r="AJ21" s="29">
        <f t="shared" si="38"/>
        <v>-72.599999999999994</v>
      </c>
      <c r="AL21" s="52">
        <v>-72.599999999999994</v>
      </c>
      <c r="AM21" s="50"/>
      <c r="AN21" s="410"/>
      <c r="AO21" s="410"/>
      <c r="AP21" s="29">
        <f t="shared" si="39"/>
        <v>-72.599999999999994</v>
      </c>
    </row>
    <row r="22" spans="1:42" ht="29">
      <c r="A22" s="468" t="s">
        <v>191</v>
      </c>
      <c r="B22" s="50">
        <v>0.7</v>
      </c>
      <c r="C22" s="50">
        <v>0.8</v>
      </c>
      <c r="D22" s="50">
        <v>0.5</v>
      </c>
      <c r="E22" s="50">
        <v>0.8</v>
      </c>
      <c r="F22" s="27">
        <f t="shared" ref="F22" si="44">SUM(B22:E22)</f>
        <v>2.8</v>
      </c>
      <c r="G22" s="52">
        <v>0.8</v>
      </c>
      <c r="H22" s="50">
        <v>0.8</v>
      </c>
      <c r="I22" s="50">
        <v>0.7</v>
      </c>
      <c r="J22" s="50">
        <v>0.6</v>
      </c>
      <c r="K22" s="27">
        <f t="shared" ref="K22" si="45">SUM(G22:J22)</f>
        <v>2.9</v>
      </c>
      <c r="L22" s="52">
        <v>0.7</v>
      </c>
      <c r="M22" s="50">
        <v>0.7</v>
      </c>
      <c r="N22" s="50">
        <v>0.7</v>
      </c>
      <c r="O22" s="50">
        <v>0.6</v>
      </c>
      <c r="P22" s="29">
        <f t="shared" ref="P22" si="46">SUM(L22:O22)</f>
        <v>2.6999999999999997</v>
      </c>
      <c r="Q22" s="50">
        <v>0.5</v>
      </c>
      <c r="R22" s="50">
        <v>0.9</v>
      </c>
      <c r="S22" s="50">
        <v>0.5</v>
      </c>
      <c r="T22" s="238">
        <v>0.70000000000000018</v>
      </c>
      <c r="U22" s="29">
        <f t="shared" ref="U22" si="47">SUM(Q22:T22)</f>
        <v>2.6</v>
      </c>
      <c r="V22" s="50">
        <v>0.8</v>
      </c>
      <c r="W22" s="50">
        <v>-0.8</v>
      </c>
      <c r="X22" s="394">
        <v>0</v>
      </c>
      <c r="Y22" s="394">
        <v>0</v>
      </c>
      <c r="Z22" s="411">
        <f t="shared" ref="Z22" si="48">SUM(V22:Y22)</f>
        <v>0</v>
      </c>
      <c r="AA22" s="271">
        <v>0</v>
      </c>
      <c r="AB22" s="271">
        <v>0</v>
      </c>
      <c r="AC22" s="271">
        <v>0</v>
      </c>
      <c r="AD22" s="271">
        <v>0</v>
      </c>
      <c r="AE22" s="411">
        <v>0</v>
      </c>
      <c r="AF22" s="271">
        <v>0</v>
      </c>
      <c r="AG22" s="271"/>
      <c r="AH22" s="271"/>
      <c r="AI22" s="271"/>
      <c r="AJ22" s="411">
        <v>0</v>
      </c>
      <c r="AL22" s="358">
        <v>0</v>
      </c>
      <c r="AM22" s="271"/>
      <c r="AN22" s="271"/>
      <c r="AO22" s="271"/>
      <c r="AP22" s="411">
        <v>0</v>
      </c>
    </row>
    <row r="23" spans="1:42" ht="20.149999999999999" customHeight="1" thickBot="1">
      <c r="A23" s="492" t="s">
        <v>242</v>
      </c>
      <c r="B23" s="50"/>
      <c r="C23" s="50"/>
      <c r="D23" s="50"/>
      <c r="E23" s="50"/>
      <c r="F23" s="27"/>
      <c r="G23" s="52"/>
      <c r="H23" s="50"/>
      <c r="I23" s="50"/>
      <c r="J23" s="50"/>
      <c r="K23" s="27"/>
      <c r="L23" s="52"/>
      <c r="M23" s="50"/>
      <c r="N23" s="50"/>
      <c r="O23" s="50"/>
      <c r="P23" s="29"/>
      <c r="Q23" s="50"/>
      <c r="R23" s="50"/>
      <c r="S23" s="50"/>
      <c r="T23" s="238"/>
      <c r="U23" s="29"/>
      <c r="V23" s="50"/>
      <c r="W23" s="50"/>
      <c r="X23" s="394"/>
      <c r="Y23" s="394">
        <v>0</v>
      </c>
      <c r="Z23" s="469">
        <f t="shared" si="14"/>
        <v>0</v>
      </c>
      <c r="AA23" s="271"/>
      <c r="AB23" s="271"/>
      <c r="AC23" s="271"/>
      <c r="AD23" s="271">
        <v>2.8</v>
      </c>
      <c r="AE23" s="411">
        <f t="shared" si="37"/>
        <v>2.8</v>
      </c>
      <c r="AF23" s="271">
        <v>5.2</v>
      </c>
      <c r="AG23" s="271"/>
      <c r="AH23" s="271"/>
      <c r="AI23" s="271"/>
      <c r="AJ23" s="411">
        <f t="shared" ref="AJ23" si="49">SUM(AF23:AI23)</f>
        <v>5.2</v>
      </c>
      <c r="AL23" s="358">
        <v>5.2</v>
      </c>
      <c r="AM23" s="271"/>
      <c r="AN23" s="271"/>
      <c r="AO23" s="271"/>
      <c r="AP23" s="411">
        <f t="shared" ref="AP23" si="50">SUM(AL23:AO23)</f>
        <v>5.2</v>
      </c>
    </row>
    <row r="24" spans="1:42" s="14" customFormat="1" ht="25" customHeight="1" thickBot="1">
      <c r="A24" s="198" t="s">
        <v>68</v>
      </c>
      <c r="B24" s="39">
        <f t="shared" ref="B24:AD24" si="51">B19+B20+B21+B22+B23</f>
        <v>246.30000000000004</v>
      </c>
      <c r="C24" s="39">
        <f t="shared" si="51"/>
        <v>112.89999999999996</v>
      </c>
      <c r="D24" s="39">
        <f t="shared" si="51"/>
        <v>198.20000000000005</v>
      </c>
      <c r="E24" s="39">
        <f t="shared" si="51"/>
        <v>138.20000000000019</v>
      </c>
      <c r="F24" s="47">
        <f t="shared" si="51"/>
        <v>695.59999999999911</v>
      </c>
      <c r="G24" s="41">
        <f t="shared" si="51"/>
        <v>109.27999999999996</v>
      </c>
      <c r="H24" s="39">
        <f t="shared" si="51"/>
        <v>94.09999999999998</v>
      </c>
      <c r="I24" s="39">
        <f t="shared" si="51"/>
        <v>200.79999999999998</v>
      </c>
      <c r="J24" s="39">
        <f t="shared" si="51"/>
        <v>188.69999999999993</v>
      </c>
      <c r="K24" s="47">
        <f t="shared" si="51"/>
        <v>592.88000000000034</v>
      </c>
      <c r="L24" s="41">
        <f t="shared" si="51"/>
        <v>112.59999999999985</v>
      </c>
      <c r="M24" s="39">
        <f t="shared" si="51"/>
        <v>148.7999999999999</v>
      </c>
      <c r="N24" s="39">
        <f t="shared" si="51"/>
        <v>49.299999999999685</v>
      </c>
      <c r="O24" s="39">
        <f t="shared" si="51"/>
        <v>3.5000000000007732</v>
      </c>
      <c r="P24" s="48">
        <f t="shared" si="51"/>
        <v>314.19999999999794</v>
      </c>
      <c r="Q24" s="39">
        <f t="shared" si="51"/>
        <v>196.79999999999995</v>
      </c>
      <c r="R24" s="39">
        <f t="shared" si="51"/>
        <v>350.4</v>
      </c>
      <c r="S24" s="39">
        <f t="shared" si="51"/>
        <v>613.29999999999961</v>
      </c>
      <c r="T24" s="39">
        <f t="shared" si="51"/>
        <v>171.90000000000038</v>
      </c>
      <c r="U24" s="48">
        <f t="shared" si="51"/>
        <v>1332.3999999999994</v>
      </c>
      <c r="V24" s="39">
        <f t="shared" si="51"/>
        <v>205.70000000000005</v>
      </c>
      <c r="W24" s="39">
        <f t="shared" si="51"/>
        <v>252.10000000000014</v>
      </c>
      <c r="X24" s="39">
        <f t="shared" si="51"/>
        <v>334.90000000000038</v>
      </c>
      <c r="Y24" s="39">
        <f t="shared" si="51"/>
        <v>240.69999999999996</v>
      </c>
      <c r="Z24" s="48">
        <f t="shared" si="51"/>
        <v>1033.4000000000001</v>
      </c>
      <c r="AA24" s="39">
        <f t="shared" si="51"/>
        <v>302.20000000000033</v>
      </c>
      <c r="AB24" s="39">
        <f t="shared" si="51"/>
        <v>389.2999999999999</v>
      </c>
      <c r="AC24" s="39">
        <f t="shared" si="51"/>
        <v>289.10000000000002</v>
      </c>
      <c r="AD24" s="407">
        <f t="shared" si="51"/>
        <v>354.40000000000003</v>
      </c>
      <c r="AE24" s="48">
        <f>AE19+AE20+AE21+AE22+AE23</f>
        <v>1335.0000000000007</v>
      </c>
      <c r="AF24" s="39">
        <f t="shared" ref="AF24:AI24" si="52">AF19+AF20+AF21+AF22+AF23</f>
        <v>393.49999999999972</v>
      </c>
      <c r="AG24" s="39">
        <f t="shared" si="52"/>
        <v>0</v>
      </c>
      <c r="AH24" s="39">
        <f t="shared" si="52"/>
        <v>0</v>
      </c>
      <c r="AI24" s="407">
        <f t="shared" si="52"/>
        <v>0</v>
      </c>
      <c r="AJ24" s="48">
        <f>AJ19+AJ20+AJ21+AJ22+AJ23</f>
        <v>393.49999999999972</v>
      </c>
      <c r="AL24" s="41">
        <f t="shared" ref="AL24:AO24" si="53">AL19+AL20+AL21+AL22+AL23</f>
        <v>364.7</v>
      </c>
      <c r="AM24" s="39">
        <f t="shared" si="53"/>
        <v>0</v>
      </c>
      <c r="AN24" s="39">
        <f t="shared" si="53"/>
        <v>0</v>
      </c>
      <c r="AO24" s="407">
        <f t="shared" si="53"/>
        <v>0</v>
      </c>
      <c r="AP24" s="48">
        <f>AP19+AP20+AP21+AP22+AP23</f>
        <v>364.7</v>
      </c>
    </row>
    <row r="25" spans="1:42" ht="20.149999999999999" customHeight="1" thickBot="1">
      <c r="A25" s="199" t="s">
        <v>69</v>
      </c>
      <c r="B25" s="50">
        <v>-41.2</v>
      </c>
      <c r="C25" s="50">
        <v>-13.4</v>
      </c>
      <c r="D25" s="50">
        <v>-26.2</v>
      </c>
      <c r="E25" s="50">
        <v>-16.600000000000001</v>
      </c>
      <c r="F25" s="27">
        <f>SUM(B25:E25)</f>
        <v>-97.4</v>
      </c>
      <c r="G25" s="52">
        <v>-14.1</v>
      </c>
      <c r="H25" s="50">
        <v>-13.4</v>
      </c>
      <c r="I25" s="50">
        <v>-24.4</v>
      </c>
      <c r="J25" s="50">
        <v>-15.5</v>
      </c>
      <c r="K25" s="27">
        <f>SUM(G25:J25)</f>
        <v>-67.400000000000006</v>
      </c>
      <c r="L25" s="52">
        <v>-14.400000000000002</v>
      </c>
      <c r="M25" s="50">
        <v>-16.7</v>
      </c>
      <c r="N25" s="50">
        <v>-1.1000000000000001</v>
      </c>
      <c r="O25" s="50">
        <v>10.5</v>
      </c>
      <c r="P25" s="29">
        <f>SUM(L25:O25)</f>
        <v>-21.700000000000003</v>
      </c>
      <c r="Q25" s="50">
        <v>-26</v>
      </c>
      <c r="R25" s="50">
        <v>-45.9</v>
      </c>
      <c r="S25" s="50">
        <v>-110.8</v>
      </c>
      <c r="T25" s="50">
        <v>13.7</v>
      </c>
      <c r="U25" s="29">
        <f>SUM(Q25:T25)</f>
        <v>-169</v>
      </c>
      <c r="V25" s="50">
        <v>-27.2</v>
      </c>
      <c r="W25" s="50">
        <v>-21.2</v>
      </c>
      <c r="X25" s="50">
        <v>-65.099999999999994</v>
      </c>
      <c r="Y25" s="50">
        <v>101.1</v>
      </c>
      <c r="Z25" s="29">
        <f t="shared" si="14"/>
        <v>-12.400000000000006</v>
      </c>
      <c r="AA25" s="50">
        <v>-30.8</v>
      </c>
      <c r="AB25" s="50">
        <v>-107.6</v>
      </c>
      <c r="AC25" s="410">
        <v>-54.2</v>
      </c>
      <c r="AD25" s="50">
        <v>-197.2</v>
      </c>
      <c r="AE25" s="29">
        <f>SUM(AA25:AD25)</f>
        <v>-389.8</v>
      </c>
      <c r="AF25" s="50">
        <v>-78</v>
      </c>
      <c r="AG25" s="50"/>
      <c r="AH25" s="410"/>
      <c r="AI25" s="50"/>
      <c r="AJ25" s="29">
        <f>SUM(AF25:AI25)</f>
        <v>-78</v>
      </c>
      <c r="AL25" s="52">
        <v>-72.5</v>
      </c>
      <c r="AM25" s="50"/>
      <c r="AN25" s="410"/>
      <c r="AO25" s="50"/>
      <c r="AP25" s="29">
        <f>SUM(AL25:AO25)</f>
        <v>-72.5</v>
      </c>
    </row>
    <row r="26" spans="1:42" s="14" customFormat="1" ht="25" customHeight="1" thickBot="1">
      <c r="A26" s="200" t="s">
        <v>70</v>
      </c>
      <c r="B26" s="39">
        <f t="shared" ref="B26:M26" si="54">B24+B25</f>
        <v>205.10000000000002</v>
      </c>
      <c r="C26" s="39">
        <f t="shared" si="54"/>
        <v>99.499999999999957</v>
      </c>
      <c r="D26" s="39">
        <f t="shared" si="54"/>
        <v>172.00000000000006</v>
      </c>
      <c r="E26" s="39">
        <f t="shared" si="54"/>
        <v>121.60000000000019</v>
      </c>
      <c r="F26" s="47">
        <f>F24+F25</f>
        <v>598.19999999999914</v>
      </c>
      <c r="G26" s="41">
        <f t="shared" si="54"/>
        <v>95.179999999999964</v>
      </c>
      <c r="H26" s="39">
        <f t="shared" si="54"/>
        <v>80.699999999999974</v>
      </c>
      <c r="I26" s="39">
        <f t="shared" si="54"/>
        <v>176.39999999999998</v>
      </c>
      <c r="J26" s="39">
        <f t="shared" si="54"/>
        <v>173.19999999999993</v>
      </c>
      <c r="K26" s="47">
        <f t="shared" si="54"/>
        <v>525.48000000000036</v>
      </c>
      <c r="L26" s="41">
        <f t="shared" si="54"/>
        <v>98.199999999999847</v>
      </c>
      <c r="M26" s="39">
        <f t="shared" si="54"/>
        <v>132.09999999999991</v>
      </c>
      <c r="N26" s="39">
        <f t="shared" ref="N26" si="55">N24+N25</f>
        <v>48.199999999999683</v>
      </c>
      <c r="O26" s="39">
        <f t="shared" ref="O26" si="56">O24+O25</f>
        <v>14.000000000000773</v>
      </c>
      <c r="P26" s="48">
        <f t="shared" ref="P26:U26" si="57">P24+P25</f>
        <v>292.49999999999795</v>
      </c>
      <c r="Q26" s="39">
        <f t="shared" si="57"/>
        <v>170.79999999999995</v>
      </c>
      <c r="R26" s="39">
        <f t="shared" si="57"/>
        <v>304.5</v>
      </c>
      <c r="S26" s="39">
        <f t="shared" si="57"/>
        <v>502.4999999999996</v>
      </c>
      <c r="T26" s="39">
        <f t="shared" si="57"/>
        <v>185.60000000000036</v>
      </c>
      <c r="U26" s="48">
        <f t="shared" si="57"/>
        <v>1163.3999999999994</v>
      </c>
      <c r="V26" s="39">
        <f t="shared" ref="V26:AE26" si="58">V24+V25</f>
        <v>178.50000000000006</v>
      </c>
      <c r="W26" s="39">
        <f t="shared" si="58"/>
        <v>230.90000000000015</v>
      </c>
      <c r="X26" s="39">
        <f t="shared" si="58"/>
        <v>269.80000000000041</v>
      </c>
      <c r="Y26" s="39">
        <f t="shared" si="58"/>
        <v>341.79999999999995</v>
      </c>
      <c r="Z26" s="48">
        <f t="shared" si="58"/>
        <v>1021.0000000000001</v>
      </c>
      <c r="AA26" s="39">
        <f t="shared" si="58"/>
        <v>271.40000000000032</v>
      </c>
      <c r="AB26" s="39">
        <f t="shared" si="58"/>
        <v>281.69999999999993</v>
      </c>
      <c r="AC26" s="39">
        <f t="shared" si="58"/>
        <v>234.90000000000003</v>
      </c>
      <c r="AD26" s="407">
        <f t="shared" si="58"/>
        <v>157.20000000000005</v>
      </c>
      <c r="AE26" s="48">
        <f t="shared" si="58"/>
        <v>945.20000000000073</v>
      </c>
      <c r="AF26" s="39">
        <f t="shared" ref="AF26:AJ26" si="59">AF24+AF25</f>
        <v>315.49999999999972</v>
      </c>
      <c r="AG26" s="39">
        <f t="shared" si="59"/>
        <v>0</v>
      </c>
      <c r="AH26" s="39">
        <f t="shared" si="59"/>
        <v>0</v>
      </c>
      <c r="AI26" s="407">
        <f t="shared" si="59"/>
        <v>0</v>
      </c>
      <c r="AJ26" s="48">
        <f t="shared" si="59"/>
        <v>315.49999999999972</v>
      </c>
      <c r="AL26" s="41">
        <f t="shared" ref="AL26:AP26" si="60">AL24+AL25</f>
        <v>292.2</v>
      </c>
      <c r="AM26" s="39">
        <f t="shared" si="60"/>
        <v>0</v>
      </c>
      <c r="AN26" s="39">
        <f t="shared" si="60"/>
        <v>0</v>
      </c>
      <c r="AO26" s="407">
        <f t="shared" si="60"/>
        <v>0</v>
      </c>
      <c r="AP26" s="48">
        <f t="shared" si="60"/>
        <v>292.2</v>
      </c>
    </row>
    <row r="27" spans="1:42" s="14" customFormat="1" ht="20.149999999999999" customHeight="1">
      <c r="A27" s="354" t="s">
        <v>175</v>
      </c>
      <c r="B27" s="355">
        <f t="shared" ref="B27:R27" si="61">B26</f>
        <v>205.10000000000002</v>
      </c>
      <c r="C27" s="50">
        <f t="shared" si="61"/>
        <v>99.499999999999957</v>
      </c>
      <c r="D27" s="50">
        <f t="shared" si="61"/>
        <v>172.00000000000006</v>
      </c>
      <c r="E27" s="50">
        <f t="shared" si="61"/>
        <v>121.60000000000019</v>
      </c>
      <c r="F27" s="27">
        <f t="shared" si="61"/>
        <v>598.19999999999914</v>
      </c>
      <c r="G27" s="52">
        <f t="shared" si="61"/>
        <v>95.179999999999964</v>
      </c>
      <c r="H27" s="50">
        <f t="shared" si="61"/>
        <v>80.699999999999974</v>
      </c>
      <c r="I27" s="50">
        <f t="shared" si="61"/>
        <v>176.39999999999998</v>
      </c>
      <c r="J27" s="50">
        <f t="shared" si="61"/>
        <v>173.19999999999993</v>
      </c>
      <c r="K27" s="27">
        <f t="shared" si="61"/>
        <v>525.48000000000036</v>
      </c>
      <c r="L27" s="52">
        <f t="shared" si="61"/>
        <v>98.199999999999847</v>
      </c>
      <c r="M27" s="50">
        <f t="shared" si="61"/>
        <v>132.09999999999991</v>
      </c>
      <c r="N27" s="50">
        <f t="shared" si="61"/>
        <v>48.199999999999683</v>
      </c>
      <c r="O27" s="50">
        <f t="shared" si="61"/>
        <v>14.000000000000773</v>
      </c>
      <c r="P27" s="29">
        <f t="shared" si="61"/>
        <v>292.49999999999795</v>
      </c>
      <c r="Q27" s="50">
        <f t="shared" si="61"/>
        <v>170.79999999999995</v>
      </c>
      <c r="R27" s="50">
        <f t="shared" si="61"/>
        <v>304.5</v>
      </c>
      <c r="S27" s="50">
        <f>S26</f>
        <v>502.4999999999996</v>
      </c>
      <c r="T27" s="50">
        <f>T26</f>
        <v>185.60000000000036</v>
      </c>
      <c r="U27" s="29">
        <f>U26</f>
        <v>1163.3999999999994</v>
      </c>
      <c r="V27" s="50">
        <f>175.5</f>
        <v>175.5</v>
      </c>
      <c r="W27" s="50">
        <v>237.7</v>
      </c>
      <c r="X27" s="50">
        <v>278.2</v>
      </c>
      <c r="Y27" s="50">
        <v>349.9</v>
      </c>
      <c r="Z27" s="29">
        <f t="shared" si="14"/>
        <v>1041.3</v>
      </c>
      <c r="AA27" s="50">
        <v>279.39999999999998</v>
      </c>
      <c r="AB27" s="50">
        <v>291.2</v>
      </c>
      <c r="AC27" s="410">
        <v>242.9</v>
      </c>
      <c r="AD27" s="410">
        <v>167.1</v>
      </c>
      <c r="AE27" s="29">
        <f t="shared" ref="AE27:AE28" si="62">SUM(AA27:AD27)</f>
        <v>980.59999999999991</v>
      </c>
      <c r="AF27" s="536"/>
      <c r="AG27" s="50"/>
      <c r="AH27" s="410"/>
      <c r="AI27" s="410"/>
      <c r="AJ27" s="29">
        <f t="shared" ref="AJ27:AJ28" si="63">SUM(AF27:AI27)</f>
        <v>0</v>
      </c>
      <c r="AL27" s="494">
        <v>300.8</v>
      </c>
      <c r="AM27" s="50"/>
      <c r="AN27" s="410"/>
      <c r="AO27" s="410"/>
      <c r="AP27" s="29">
        <f t="shared" ref="AP27:AP28" si="64">SUM(AL27:AO27)</f>
        <v>300.8</v>
      </c>
    </row>
    <row r="28" spans="1:42" s="14" customFormat="1" ht="20.149999999999999" customHeight="1">
      <c r="A28" s="391" t="s">
        <v>192</v>
      </c>
      <c r="B28" s="394">
        <v>0</v>
      </c>
      <c r="C28" s="394">
        <v>0</v>
      </c>
      <c r="D28" s="394">
        <v>0</v>
      </c>
      <c r="E28" s="394">
        <v>0</v>
      </c>
      <c r="F28" s="418">
        <v>0</v>
      </c>
      <c r="G28" s="419">
        <v>0</v>
      </c>
      <c r="H28" s="394">
        <v>0</v>
      </c>
      <c r="I28" s="394">
        <v>0</v>
      </c>
      <c r="J28" s="394">
        <v>0</v>
      </c>
      <c r="K28" s="418">
        <v>0</v>
      </c>
      <c r="L28" s="419">
        <v>0</v>
      </c>
      <c r="M28" s="394">
        <v>0</v>
      </c>
      <c r="N28" s="394">
        <v>0</v>
      </c>
      <c r="O28" s="394">
        <v>0</v>
      </c>
      <c r="P28" s="411">
        <v>0</v>
      </c>
      <c r="Q28" s="394">
        <v>0</v>
      </c>
      <c r="R28" s="394">
        <v>0</v>
      </c>
      <c r="S28" s="394">
        <v>0</v>
      </c>
      <c r="T28" s="394">
        <v>0</v>
      </c>
      <c r="U28" s="411">
        <v>0</v>
      </c>
      <c r="V28" s="50">
        <v>3</v>
      </c>
      <c r="W28" s="50">
        <v>-6.8</v>
      </c>
      <c r="X28" s="50">
        <v>-8.4</v>
      </c>
      <c r="Y28" s="50">
        <v>-8.1</v>
      </c>
      <c r="Z28" s="29">
        <f>SUM(V28:Y28)</f>
        <v>-20.299999999999997</v>
      </c>
      <c r="AA28" s="50">
        <v>-8</v>
      </c>
      <c r="AB28" s="50">
        <v>-9.5</v>
      </c>
      <c r="AC28" s="410">
        <v>-8</v>
      </c>
      <c r="AD28" s="410">
        <v>-9.9</v>
      </c>
      <c r="AE28" s="29">
        <f t="shared" si="62"/>
        <v>-35.4</v>
      </c>
      <c r="AF28" s="536"/>
      <c r="AG28" s="50"/>
      <c r="AH28" s="410"/>
      <c r="AI28" s="410"/>
      <c r="AJ28" s="29">
        <f t="shared" si="63"/>
        <v>0</v>
      </c>
      <c r="AL28" s="494">
        <v>-8.6</v>
      </c>
      <c r="AM28" s="50"/>
      <c r="AN28" s="410"/>
      <c r="AO28" s="410"/>
      <c r="AP28" s="29">
        <f t="shared" si="64"/>
        <v>-8.6</v>
      </c>
    </row>
    <row r="29" spans="1:42" s="247" customFormat="1" ht="20.149999999999999" customHeight="1" thickBot="1">
      <c r="A29" s="244" t="s">
        <v>176</v>
      </c>
      <c r="B29" s="239">
        <f t="shared" ref="B29:L29" si="65">ROUND(B26/348.352836,2)</f>
        <v>0.59</v>
      </c>
      <c r="C29" s="239">
        <f t="shared" si="65"/>
        <v>0.28999999999999998</v>
      </c>
      <c r="D29" s="239">
        <f t="shared" si="65"/>
        <v>0.49</v>
      </c>
      <c r="E29" s="239">
        <f t="shared" si="65"/>
        <v>0.35</v>
      </c>
      <c r="F29" s="245">
        <f t="shared" si="65"/>
        <v>1.72</v>
      </c>
      <c r="G29" s="246">
        <f t="shared" si="65"/>
        <v>0.27</v>
      </c>
      <c r="H29" s="239">
        <f t="shared" si="65"/>
        <v>0.23</v>
      </c>
      <c r="I29" s="239">
        <f t="shared" si="65"/>
        <v>0.51</v>
      </c>
      <c r="J29" s="239">
        <f t="shared" si="65"/>
        <v>0.5</v>
      </c>
      <c r="K29" s="245">
        <f t="shared" si="65"/>
        <v>1.51</v>
      </c>
      <c r="L29" s="246">
        <f t="shared" si="65"/>
        <v>0.28000000000000003</v>
      </c>
      <c r="M29" s="239">
        <f>ROUND(M26/524.348714,2)</f>
        <v>0.25</v>
      </c>
      <c r="N29" s="239">
        <f>ROUND(N26/639.546016,2)</f>
        <v>0.08</v>
      </c>
      <c r="O29" s="239">
        <f>ROUND(O26/639.546016,2)</f>
        <v>0.02</v>
      </c>
      <c r="P29" s="240">
        <f>ROUND(P26/539.024535,2)</f>
        <v>0.54</v>
      </c>
      <c r="Q29" s="239">
        <f t="shared" ref="Q29:X29" si="66">ROUND(Q26/639.546016,2)</f>
        <v>0.27</v>
      </c>
      <c r="R29" s="239">
        <f t="shared" si="66"/>
        <v>0.48</v>
      </c>
      <c r="S29" s="239">
        <f t="shared" si="66"/>
        <v>0.79</v>
      </c>
      <c r="T29" s="239">
        <f t="shared" si="66"/>
        <v>0.28999999999999998</v>
      </c>
      <c r="U29" s="240">
        <f t="shared" si="66"/>
        <v>1.82</v>
      </c>
      <c r="V29" s="239">
        <f t="shared" si="66"/>
        <v>0.28000000000000003</v>
      </c>
      <c r="W29" s="239">
        <f>ROUNDUP(W26/639.546016,2)</f>
        <v>0.37</v>
      </c>
      <c r="X29" s="239">
        <f t="shared" si="66"/>
        <v>0.42</v>
      </c>
      <c r="Y29" s="239">
        <f>ROUNDUP(Y26/639.546016,2)</f>
        <v>0.54</v>
      </c>
      <c r="Z29" s="240">
        <f t="shared" ref="Z29:AE29" si="67">ROUND(Z26/639.546016,2)</f>
        <v>1.6</v>
      </c>
      <c r="AA29" s="412">
        <f t="shared" si="67"/>
        <v>0.42</v>
      </c>
      <c r="AB29" s="412">
        <f t="shared" si="67"/>
        <v>0.44</v>
      </c>
      <c r="AC29" s="412">
        <f t="shared" si="67"/>
        <v>0.37</v>
      </c>
      <c r="AD29" s="413">
        <f t="shared" si="67"/>
        <v>0.25</v>
      </c>
      <c r="AE29" s="240">
        <f t="shared" si="67"/>
        <v>1.48</v>
      </c>
      <c r="AF29" s="412">
        <f t="shared" ref="AF29:AJ29" si="68">ROUND(AF26/639.546016,2)</f>
        <v>0.49</v>
      </c>
      <c r="AG29" s="412">
        <f t="shared" si="68"/>
        <v>0</v>
      </c>
      <c r="AH29" s="412">
        <f t="shared" si="68"/>
        <v>0</v>
      </c>
      <c r="AI29" s="413">
        <f t="shared" si="68"/>
        <v>0</v>
      </c>
      <c r="AJ29" s="240">
        <f t="shared" si="68"/>
        <v>0.49</v>
      </c>
      <c r="AL29" s="493">
        <f t="shared" ref="AL29:AP29" si="69">ROUND(AL26/639.546016,2)</f>
        <v>0.46</v>
      </c>
      <c r="AM29" s="412">
        <f t="shared" si="69"/>
        <v>0</v>
      </c>
      <c r="AN29" s="412">
        <f t="shared" si="69"/>
        <v>0</v>
      </c>
      <c r="AO29" s="413">
        <f t="shared" si="69"/>
        <v>0</v>
      </c>
      <c r="AP29" s="240">
        <f t="shared" si="69"/>
        <v>0.46</v>
      </c>
    </row>
    <row r="30" spans="1:42" s="14" customFormat="1" ht="20.149999999999999" customHeight="1">
      <c r="A30" s="23" t="s">
        <v>0</v>
      </c>
      <c r="B30" s="25">
        <f t="shared" ref="B30:AA30" si="70">B19-B11</f>
        <v>257.40000000000003</v>
      </c>
      <c r="C30" s="25">
        <f t="shared" si="70"/>
        <v>269.7</v>
      </c>
      <c r="D30" s="25">
        <f t="shared" si="70"/>
        <v>257.8</v>
      </c>
      <c r="E30" s="25">
        <f t="shared" si="70"/>
        <v>247.20000000000016</v>
      </c>
      <c r="F30" s="34">
        <f t="shared" si="70"/>
        <v>1032.0999999999992</v>
      </c>
      <c r="G30" s="234">
        <f t="shared" si="70"/>
        <v>245.37999999999994</v>
      </c>
      <c r="H30" s="25">
        <f t="shared" si="70"/>
        <v>257.3</v>
      </c>
      <c r="I30" s="25">
        <f t="shared" si="70"/>
        <v>268.2</v>
      </c>
      <c r="J30" s="25">
        <f t="shared" si="70"/>
        <v>275.39999999999998</v>
      </c>
      <c r="K30" s="34">
        <f t="shared" si="70"/>
        <v>1046.2800000000002</v>
      </c>
      <c r="L30" s="234">
        <f t="shared" si="70"/>
        <v>281.79999999999984</v>
      </c>
      <c r="M30" s="25">
        <f t="shared" si="70"/>
        <v>708.89999999999986</v>
      </c>
      <c r="N30" s="25">
        <f t="shared" si="70"/>
        <v>910.09999999999968</v>
      </c>
      <c r="O30" s="25">
        <f t="shared" si="70"/>
        <v>837.30000000000075</v>
      </c>
      <c r="P30" s="34">
        <f t="shared" si="70"/>
        <v>2738.0999999999976</v>
      </c>
      <c r="Q30" s="23">
        <f t="shared" si="70"/>
        <v>896.59999999999991</v>
      </c>
      <c r="R30" s="236">
        <f t="shared" si="70"/>
        <v>977</v>
      </c>
      <c r="S30" s="25">
        <f t="shared" si="70"/>
        <v>930.39999999999964</v>
      </c>
      <c r="T30" s="25">
        <f t="shared" si="70"/>
        <v>881.10000000000036</v>
      </c>
      <c r="U30" s="248">
        <f t="shared" si="70"/>
        <v>3685.0999999999995</v>
      </c>
      <c r="V30" s="23">
        <f t="shared" si="70"/>
        <v>846.5</v>
      </c>
      <c r="W30" s="236">
        <f t="shared" si="70"/>
        <v>935.00000000000011</v>
      </c>
      <c r="X30" s="236">
        <f t="shared" si="70"/>
        <v>957.00000000000034</v>
      </c>
      <c r="Y30" s="25">
        <f t="shared" si="70"/>
        <v>902.3</v>
      </c>
      <c r="Z30" s="248">
        <f t="shared" si="70"/>
        <v>3640.8</v>
      </c>
      <c r="AA30" s="414">
        <f t="shared" si="70"/>
        <v>929.50000000000034</v>
      </c>
      <c r="AB30" s="236">
        <f>AB19-AB11</f>
        <v>963.69999999999982</v>
      </c>
      <c r="AC30" s="236">
        <f>AC19-AC11</f>
        <v>851.1</v>
      </c>
      <c r="AD30" s="236">
        <f t="shared" ref="AD30:AF30" si="71">AD19-AD11</f>
        <v>872.7</v>
      </c>
      <c r="AE30" s="415">
        <f t="shared" si="71"/>
        <v>3617.0000000000009</v>
      </c>
      <c r="AF30" s="414">
        <f t="shared" si="71"/>
        <v>918.79999999999973</v>
      </c>
      <c r="AG30" s="236">
        <f>AG19-AG11</f>
        <v>0</v>
      </c>
      <c r="AH30" s="236">
        <f>AH19-AH11</f>
        <v>0</v>
      </c>
      <c r="AI30" s="236">
        <f t="shared" ref="AI30:AJ30" si="72">AI19-AI11</f>
        <v>0</v>
      </c>
      <c r="AJ30" s="415">
        <f t="shared" si="72"/>
        <v>918.79999999999973</v>
      </c>
      <c r="AL30" s="495">
        <f t="shared" ref="AL30" si="73">AL19-AL11</f>
        <v>890</v>
      </c>
      <c r="AM30" s="236">
        <f>AM19-AM11</f>
        <v>0</v>
      </c>
      <c r="AN30" s="236">
        <f>AN19-AN11</f>
        <v>0</v>
      </c>
      <c r="AO30" s="236">
        <f t="shared" ref="AO30:AP30" si="74">AO19-AO11</f>
        <v>0</v>
      </c>
      <c r="AP30" s="415">
        <f t="shared" si="74"/>
        <v>890</v>
      </c>
    </row>
    <row r="31" spans="1:42" s="14" customFormat="1" ht="20.149999999999999" customHeight="1" thickBot="1">
      <c r="A31" s="24" t="s">
        <v>177</v>
      </c>
      <c r="B31" s="31">
        <f t="shared" ref="B31:AB31" si="75">B30/B4</f>
        <v>0.38463837417812313</v>
      </c>
      <c r="C31" s="31">
        <f t="shared" si="75"/>
        <v>0.377836929111796</v>
      </c>
      <c r="D31" s="31">
        <f t="shared" si="75"/>
        <v>0.4</v>
      </c>
      <c r="E31" s="31">
        <f t="shared" si="75"/>
        <v>0.32933653077537983</v>
      </c>
      <c r="F31" s="32">
        <f t="shared" si="75"/>
        <v>0.37151290450307745</v>
      </c>
      <c r="G31" s="30">
        <f t="shared" si="75"/>
        <v>0.35200114761153339</v>
      </c>
      <c r="H31" s="31">
        <f t="shared" si="75"/>
        <v>0.34963989672509854</v>
      </c>
      <c r="I31" s="31">
        <f t="shared" si="75"/>
        <v>0.39598405433338257</v>
      </c>
      <c r="J31" s="31">
        <f t="shared" si="75"/>
        <v>0.34403497813866329</v>
      </c>
      <c r="K31" s="33">
        <f t="shared" si="75"/>
        <v>0.35944757454995196</v>
      </c>
      <c r="L31" s="30">
        <f t="shared" si="75"/>
        <v>0.38960320752108379</v>
      </c>
      <c r="M31" s="31">
        <f t="shared" si="75"/>
        <v>0.40603700097370976</v>
      </c>
      <c r="N31" s="31">
        <f t="shared" si="75"/>
        <v>0.37613655149611497</v>
      </c>
      <c r="O31" s="31">
        <f t="shared" si="75"/>
        <v>0.33211693308476481</v>
      </c>
      <c r="P31" s="32">
        <f t="shared" si="75"/>
        <v>0.36951915680373526</v>
      </c>
      <c r="Q31" s="31">
        <f t="shared" si="75"/>
        <v>0.38497209102619145</v>
      </c>
      <c r="R31" s="31">
        <f t="shared" si="75"/>
        <v>0.39567471245747615</v>
      </c>
      <c r="S31" s="31">
        <f t="shared" si="75"/>
        <v>0.3852747525777464</v>
      </c>
      <c r="T31" s="241">
        <f t="shared" si="75"/>
        <v>0.33759914172956829</v>
      </c>
      <c r="U31" s="242">
        <f t="shared" si="75"/>
        <v>0.37515015779293487</v>
      </c>
      <c r="V31" s="31">
        <f t="shared" si="75"/>
        <v>0.35807952622673433</v>
      </c>
      <c r="W31" s="31">
        <f t="shared" si="75"/>
        <v>0.3827418232428671</v>
      </c>
      <c r="X31" s="31">
        <f t="shared" si="75"/>
        <v>0.4007873356227491</v>
      </c>
      <c r="Y31" s="241">
        <f t="shared" si="75"/>
        <v>0.35592284328034396</v>
      </c>
      <c r="Z31" s="242">
        <f t="shared" si="75"/>
        <v>0.37419063084544396</v>
      </c>
      <c r="AA31" s="416">
        <f t="shared" si="75"/>
        <v>0.38914008205643491</v>
      </c>
      <c r="AB31" s="416">
        <f t="shared" si="75"/>
        <v>0.39017773998947319</v>
      </c>
      <c r="AC31" s="416">
        <f t="shared" ref="AC31:AG31" si="76">AC30/AC4</f>
        <v>0.35597473754653058</v>
      </c>
      <c r="AD31" s="241">
        <f t="shared" si="76"/>
        <v>0.33836073200992561</v>
      </c>
      <c r="AE31" s="417">
        <f t="shared" si="76"/>
        <v>0.36800765114054906</v>
      </c>
      <c r="AF31" s="416">
        <f t="shared" si="76"/>
        <v>0.3892065912653026</v>
      </c>
      <c r="AG31" s="416" t="e">
        <f t="shared" si="76"/>
        <v>#DIV/0!</v>
      </c>
      <c r="AH31" s="416" t="e">
        <f t="shared" ref="AH31:AJ31" si="77">AH30/AH4</f>
        <v>#DIV/0!</v>
      </c>
      <c r="AI31" s="241" t="e">
        <f t="shared" si="77"/>
        <v>#DIV/0!</v>
      </c>
      <c r="AJ31" s="417">
        <f t="shared" si="77"/>
        <v>0.3892065912653026</v>
      </c>
      <c r="AL31" s="529">
        <f t="shared" ref="AL31:AP31" si="78">AL30/AL4</f>
        <v>0.37938531054179631</v>
      </c>
      <c r="AM31" s="416" t="e">
        <f t="shared" si="78"/>
        <v>#DIV/0!</v>
      </c>
      <c r="AN31" s="416" t="e">
        <f t="shared" si="78"/>
        <v>#DIV/0!</v>
      </c>
      <c r="AO31" s="241" t="e">
        <f t="shared" si="78"/>
        <v>#DIV/0!</v>
      </c>
      <c r="AP31" s="417">
        <f t="shared" si="78"/>
        <v>0.37938531054179631</v>
      </c>
    </row>
    <row r="32" spans="1:42"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c r="Y32" s="18"/>
      <c r="Z32" s="18"/>
      <c r="AA32" s="18"/>
      <c r="AB32" s="18"/>
      <c r="AC32" s="223"/>
      <c r="AD32" s="18"/>
      <c r="AE32" s="18"/>
      <c r="AF32" s="18"/>
      <c r="AG32" s="18"/>
      <c r="AH32" s="223"/>
      <c r="AI32" s="18"/>
      <c r="AJ32" s="18"/>
      <c r="AL32" s="18"/>
      <c r="AM32" s="18"/>
      <c r="AN32" s="223"/>
      <c r="AO32" s="18"/>
      <c r="AP32" s="18"/>
    </row>
    <row r="33" spans="1:42" s="21" customFormat="1" ht="15" customHeight="1">
      <c r="A33" s="540" t="s">
        <v>189</v>
      </c>
      <c r="B33" s="544"/>
      <c r="C33" s="544"/>
      <c r="D33" s="544"/>
      <c r="E33" s="544"/>
      <c r="F33" s="544"/>
      <c r="G33" s="544"/>
      <c r="H33" s="544"/>
      <c r="I33" s="544"/>
      <c r="J33" s="544"/>
      <c r="K33" s="544"/>
      <c r="L33" s="544"/>
      <c r="M33" s="544"/>
      <c r="AC33" s="213"/>
      <c r="AH33" s="213"/>
      <c r="AN33" s="213"/>
    </row>
    <row r="34" spans="1:42" s="21" customFormat="1" ht="15" customHeight="1">
      <c r="A34" s="548" t="s">
        <v>247</v>
      </c>
      <c r="B34" s="548"/>
      <c r="C34" s="548"/>
      <c r="D34" s="548"/>
      <c r="E34" s="548"/>
      <c r="F34" s="548"/>
      <c r="G34" s="548"/>
      <c r="H34" s="548"/>
      <c r="I34" s="548"/>
      <c r="J34" s="548"/>
      <c r="K34" s="548"/>
      <c r="L34" s="548"/>
      <c r="M34" s="548"/>
      <c r="AC34" s="213"/>
      <c r="AH34" s="213"/>
      <c r="AN34" s="213"/>
    </row>
    <row r="35" spans="1:42" s="21" customFormat="1" ht="15" customHeight="1">
      <c r="A35" s="15" t="s">
        <v>248</v>
      </c>
      <c r="B35" s="15"/>
      <c r="C35" s="15"/>
      <c r="D35" s="15"/>
      <c r="E35" s="15"/>
      <c r="F35" s="15"/>
      <c r="G35" s="15"/>
      <c r="H35" s="16"/>
      <c r="I35" s="17"/>
      <c r="J35" s="7"/>
      <c r="K35" s="7"/>
      <c r="L35" s="7"/>
      <c r="M35" s="7"/>
      <c r="N35" s="18"/>
      <c r="O35" s="18"/>
      <c r="P35" s="18"/>
      <c r="Q35" s="18"/>
      <c r="R35" s="18"/>
      <c r="S35" s="18"/>
      <c r="T35" s="18"/>
      <c r="U35" s="18"/>
      <c r="V35" s="18"/>
      <c r="W35" s="18"/>
      <c r="X35" s="18"/>
      <c r="Y35" s="18"/>
      <c r="Z35" s="18"/>
      <c r="AA35" s="18"/>
      <c r="AB35" s="18"/>
      <c r="AC35" s="223"/>
      <c r="AD35" s="18"/>
      <c r="AE35" s="18"/>
      <c r="AF35" s="18"/>
      <c r="AG35" s="18"/>
      <c r="AH35" s="223"/>
      <c r="AI35" s="18"/>
      <c r="AJ35" s="18"/>
      <c r="AL35" s="18"/>
      <c r="AM35" s="18"/>
      <c r="AN35" s="223"/>
      <c r="AO35" s="18"/>
      <c r="AP35" s="18"/>
    </row>
    <row r="36" spans="1:42" s="21" customFormat="1" ht="15" customHeight="1">
      <c r="A36" s="540"/>
      <c r="B36" s="540"/>
      <c r="C36" s="540"/>
      <c r="D36" s="540"/>
      <c r="E36" s="540"/>
      <c r="F36" s="540"/>
      <c r="G36" s="540"/>
      <c r="H36" s="540"/>
      <c r="I36" s="540"/>
      <c r="J36" s="540"/>
      <c r="K36" s="540"/>
      <c r="L36" s="540"/>
      <c r="M36" s="540"/>
      <c r="AC36" s="213"/>
      <c r="AH36" s="213"/>
      <c r="AN36" s="213"/>
    </row>
    <row r="37" spans="1:42"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c r="Y37" s="18"/>
      <c r="Z37" s="18"/>
      <c r="AA37" s="18"/>
      <c r="AB37" s="18"/>
      <c r="AC37" s="223"/>
      <c r="AD37" s="18"/>
      <c r="AE37" s="18"/>
      <c r="AF37" s="18"/>
      <c r="AG37" s="18"/>
      <c r="AH37" s="223"/>
      <c r="AI37" s="18"/>
      <c r="AJ37" s="18"/>
      <c r="AL37" s="18"/>
      <c r="AM37" s="18"/>
      <c r="AN37" s="223"/>
      <c r="AO37" s="18"/>
      <c r="AP37" s="18"/>
    </row>
    <row r="38" spans="1:42" s="21" customFormat="1" ht="15" customHeight="1">
      <c r="A38" s="540"/>
      <c r="B38" s="540"/>
      <c r="C38" s="540"/>
      <c r="D38" s="540"/>
      <c r="E38" s="540"/>
      <c r="F38" s="540"/>
      <c r="G38" s="540"/>
      <c r="H38" s="540"/>
      <c r="I38" s="540"/>
      <c r="J38" s="540"/>
      <c r="K38" s="540"/>
      <c r="L38" s="540"/>
      <c r="M38" s="540"/>
      <c r="AC38" s="213"/>
      <c r="AH38" s="213"/>
      <c r="AN38" s="213"/>
    </row>
    <row r="39" spans="1:42"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23"/>
      <c r="AD39" s="18"/>
      <c r="AE39" s="18"/>
      <c r="AF39" s="18"/>
      <c r="AG39" s="18"/>
      <c r="AH39" s="223"/>
      <c r="AI39" s="18"/>
      <c r="AJ39" s="18"/>
      <c r="AL39" s="18"/>
      <c r="AM39" s="18"/>
      <c r="AN39" s="223"/>
      <c r="AO39" s="18"/>
      <c r="AP39" s="18"/>
    </row>
    <row r="40" spans="1:42"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23"/>
      <c r="AD40" s="18"/>
      <c r="AE40" s="18"/>
      <c r="AF40" s="18"/>
      <c r="AG40" s="18"/>
      <c r="AH40" s="223"/>
      <c r="AI40" s="18"/>
      <c r="AJ40" s="18"/>
      <c r="AL40" s="18"/>
      <c r="AM40" s="18"/>
      <c r="AN40" s="223"/>
      <c r="AO40" s="18"/>
      <c r="AP40" s="18"/>
    </row>
    <row r="41" spans="1:42"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23"/>
      <c r="AD41" s="18"/>
      <c r="AE41" s="18"/>
      <c r="AF41" s="18"/>
      <c r="AG41" s="18"/>
      <c r="AH41" s="223"/>
      <c r="AI41" s="18"/>
      <c r="AJ41" s="18"/>
      <c r="AL41" s="18"/>
      <c r="AM41" s="18"/>
      <c r="AN41" s="223"/>
      <c r="AO41" s="18"/>
      <c r="AP41" s="18"/>
    </row>
    <row r="42" spans="1:42"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23"/>
      <c r="AD42" s="18"/>
      <c r="AE42" s="18"/>
      <c r="AF42" s="18"/>
      <c r="AG42" s="18"/>
      <c r="AH42" s="223"/>
      <c r="AI42" s="18"/>
      <c r="AJ42" s="18"/>
      <c r="AL42" s="18"/>
      <c r="AM42" s="18"/>
      <c r="AN42" s="223"/>
      <c r="AO42" s="18"/>
      <c r="AP42" s="18"/>
    </row>
    <row r="43" spans="1:42"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23"/>
      <c r="AD43" s="18"/>
      <c r="AE43" s="18"/>
      <c r="AF43" s="18"/>
      <c r="AG43" s="18"/>
      <c r="AH43" s="223"/>
      <c r="AI43" s="18"/>
      <c r="AJ43" s="18"/>
      <c r="AL43" s="18"/>
      <c r="AM43" s="18"/>
      <c r="AN43" s="223"/>
      <c r="AO43" s="18"/>
      <c r="AP43" s="18"/>
    </row>
    <row r="44" spans="1:42"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23"/>
      <c r="AD44" s="18"/>
      <c r="AE44" s="18"/>
      <c r="AF44" s="18"/>
      <c r="AG44" s="18"/>
      <c r="AH44" s="223"/>
      <c r="AI44" s="18"/>
      <c r="AJ44" s="18"/>
      <c r="AL44" s="18"/>
      <c r="AM44" s="18"/>
      <c r="AN44" s="223"/>
      <c r="AO44" s="18"/>
      <c r="AP44" s="18"/>
    </row>
    <row r="45" spans="1:42"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23"/>
      <c r="AD45" s="18"/>
      <c r="AE45" s="18"/>
      <c r="AF45" s="18"/>
      <c r="AG45" s="18"/>
      <c r="AH45" s="223"/>
      <c r="AI45" s="18"/>
      <c r="AJ45" s="18"/>
      <c r="AL45" s="18"/>
      <c r="AM45" s="18"/>
      <c r="AN45" s="223"/>
      <c r="AO45" s="18"/>
      <c r="AP45" s="18"/>
    </row>
    <row r="46" spans="1:42"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23"/>
      <c r="AD46" s="18"/>
      <c r="AE46" s="18"/>
      <c r="AF46" s="18"/>
      <c r="AG46" s="18"/>
      <c r="AH46" s="223"/>
      <c r="AI46" s="18"/>
      <c r="AJ46" s="18"/>
      <c r="AL46" s="18"/>
      <c r="AM46" s="18"/>
      <c r="AN46" s="223"/>
      <c r="AO46" s="18"/>
      <c r="AP46" s="18"/>
    </row>
    <row r="47" spans="1:42"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23"/>
      <c r="AD47" s="18"/>
      <c r="AE47" s="18"/>
      <c r="AF47" s="18"/>
      <c r="AG47" s="18"/>
      <c r="AH47" s="223"/>
      <c r="AI47" s="18"/>
      <c r="AJ47" s="18"/>
      <c r="AL47" s="18"/>
      <c r="AM47" s="18"/>
      <c r="AN47" s="223"/>
      <c r="AO47" s="18"/>
      <c r="AP47" s="18"/>
    </row>
    <row r="48" spans="1:42"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c r="Y48" s="18"/>
      <c r="Z48" s="18"/>
      <c r="AA48" s="18"/>
      <c r="AB48" s="18"/>
      <c r="AC48" s="223"/>
      <c r="AD48" s="18"/>
      <c r="AE48" s="18"/>
      <c r="AF48" s="18"/>
      <c r="AG48" s="18"/>
      <c r="AH48" s="223"/>
      <c r="AI48" s="18"/>
      <c r="AJ48" s="18"/>
      <c r="AL48" s="18"/>
      <c r="AM48" s="18"/>
      <c r="AN48" s="223"/>
      <c r="AO48" s="18"/>
      <c r="AP48" s="18"/>
    </row>
    <row r="49" spans="1:9" ht="28.5" customHeight="1">
      <c r="A49" s="10"/>
      <c r="B49" s="15"/>
      <c r="C49" s="15"/>
      <c r="D49" s="15"/>
      <c r="E49" s="15"/>
      <c r="F49" s="15"/>
      <c r="G49" s="15"/>
      <c r="H49" s="16"/>
      <c r="I49" s="17"/>
    </row>
  </sheetData>
  <mergeCells count="12">
    <mergeCell ref="AF2:AJ2"/>
    <mergeCell ref="AL2:AP2"/>
    <mergeCell ref="A38:M38"/>
    <mergeCell ref="L2:P2"/>
    <mergeCell ref="G2:K2"/>
    <mergeCell ref="B2:F2"/>
    <mergeCell ref="A33:M33"/>
    <mergeCell ref="AA2:AE2"/>
    <mergeCell ref="V2:Z2"/>
    <mergeCell ref="Q2:U2"/>
    <mergeCell ref="A34:M34"/>
    <mergeCell ref="A36:M36"/>
  </mergeCells>
  <pageMargins left="0.70866141732283472" right="0.70866141732283472" top="0.74803149606299213" bottom="0.74803149606299213" header="0.31496062992125984" footer="0.31496062992125984"/>
  <pageSetup paperSize="9" scale="53" orientation="landscape" r:id="rId1"/>
  <ignoredErrors>
    <ignoredError sqref="F19 K19 P19 U19 P29 Z19 Z26 X29:Y29 Z9 P9 K9 F9 W29 AE26 AP9" formula="1"/>
    <ignoredError sqref="B9:C9 Z5:Z8 Z10:Z14 Z18 Z15 Z16:Z17 Q9:Y9 L9:O9 G9:J9 D9:E9 AA9:AB9 Z28 AL9 AF9" formulaRange="1"/>
    <ignoredError sqref="AG31:AI3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90" zoomScaleNormal="90" zoomScaleSheetLayoutView="100" workbookViewId="0">
      <selection activeCell="V18" sqref="V18"/>
    </sheetView>
  </sheetViews>
  <sheetFormatPr defaultRowHeight="14"/>
  <cols>
    <col min="1" max="1" width="1.58203125" customWidth="1"/>
    <col min="2" max="2" width="34.83203125" customWidth="1"/>
    <col min="3" max="3" width="18" customWidth="1"/>
    <col min="4" max="4" width="1.83203125" customWidth="1"/>
    <col min="5" max="5" width="16.75" bestFit="1" customWidth="1"/>
    <col min="6" max="6" width="1.58203125" customWidth="1"/>
    <col min="7" max="7" width="9.58203125" customWidth="1"/>
    <col min="8" max="8" width="18.58203125" customWidth="1"/>
    <col min="9" max="9" width="1.83203125" customWidth="1"/>
    <col min="10" max="10" width="16.75" bestFit="1" customWidth="1"/>
    <col min="11" max="11" width="1.83203125" customWidth="1"/>
    <col min="12" max="12" width="10" customWidth="1"/>
    <col min="13" max="13" width="18.33203125" customWidth="1"/>
    <col min="14" max="14" width="1.83203125" customWidth="1"/>
    <col min="15" max="15" width="16.75" bestFit="1" customWidth="1"/>
    <col min="16" max="16" width="1.83203125" customWidth="1"/>
    <col min="17" max="17" width="9.58203125" customWidth="1"/>
    <col min="18" max="18" width="17.83203125" customWidth="1"/>
    <col min="19" max="19" width="16.75" bestFit="1" customWidth="1"/>
    <col min="20" max="20" width="9.58203125" customWidth="1"/>
    <col min="21" max="276" width="9" style="53"/>
  </cols>
  <sheetData>
    <row r="1" spans="2:276" ht="50.25" customHeight="1" thickBot="1">
      <c r="B1" s="3" t="s">
        <v>24</v>
      </c>
      <c r="C1" s="53"/>
      <c r="D1" s="53"/>
      <c r="E1" s="53"/>
      <c r="F1" s="53"/>
      <c r="G1" s="53"/>
      <c r="H1" s="53"/>
      <c r="I1" s="53"/>
      <c r="J1" s="53"/>
      <c r="K1" s="53"/>
      <c r="L1" s="53"/>
      <c r="M1" s="53"/>
      <c r="N1" s="53"/>
      <c r="O1" s="53"/>
      <c r="P1" s="53"/>
      <c r="Q1" s="53"/>
      <c r="R1" s="53"/>
      <c r="S1" s="53"/>
      <c r="T1" s="53"/>
    </row>
    <row r="2" spans="2:276" s="56" customFormat="1" ht="30" customHeight="1" thickBot="1">
      <c r="B2" s="556" t="s">
        <v>49</v>
      </c>
      <c r="C2" s="550" t="s">
        <v>71</v>
      </c>
      <c r="D2" s="551"/>
      <c r="E2" s="551"/>
      <c r="F2" s="551"/>
      <c r="G2" s="552"/>
      <c r="H2" s="550" t="s">
        <v>72</v>
      </c>
      <c r="I2" s="551"/>
      <c r="J2" s="551"/>
      <c r="K2" s="551"/>
      <c r="L2" s="552"/>
      <c r="M2" s="550" t="s">
        <v>73</v>
      </c>
      <c r="N2" s="551"/>
      <c r="O2" s="551"/>
      <c r="P2" s="551"/>
      <c r="Q2" s="552"/>
      <c r="R2" s="550" t="s">
        <v>74</v>
      </c>
      <c r="S2" s="551"/>
      <c r="T2" s="552"/>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row>
    <row r="3" spans="2:276" s="56" customFormat="1" ht="20.25" customHeight="1" thickBot="1">
      <c r="B3" s="557"/>
      <c r="C3" s="553" t="s">
        <v>249</v>
      </c>
      <c r="D3" s="554"/>
      <c r="E3" s="554"/>
      <c r="F3" s="554"/>
      <c r="G3" s="555"/>
      <c r="H3" s="553" t="s">
        <v>249</v>
      </c>
      <c r="I3" s="554"/>
      <c r="J3" s="554"/>
      <c r="K3" s="554"/>
      <c r="L3" s="555"/>
      <c r="M3" s="553" t="s">
        <v>249</v>
      </c>
      <c r="N3" s="554"/>
      <c r="O3" s="554"/>
      <c r="P3" s="554"/>
      <c r="Q3" s="555"/>
      <c r="R3" s="553" t="s">
        <v>249</v>
      </c>
      <c r="S3" s="554"/>
      <c r="T3" s="555"/>
      <c r="U3" s="54"/>
      <c r="V3" s="57"/>
      <c r="W3" s="57"/>
      <c r="X3" s="57"/>
      <c r="Y3" s="57"/>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row>
    <row r="4" spans="2:276" s="63" customFormat="1" ht="29.5" thickBot="1">
      <c r="B4" s="558"/>
      <c r="C4" s="530" t="s">
        <v>270</v>
      </c>
      <c r="D4" s="58"/>
      <c r="E4" s="204" t="s">
        <v>271</v>
      </c>
      <c r="F4" s="59"/>
      <c r="G4" s="60" t="s">
        <v>75</v>
      </c>
      <c r="H4" s="530" t="s">
        <v>270</v>
      </c>
      <c r="I4" s="58"/>
      <c r="J4" s="204" t="s">
        <v>271</v>
      </c>
      <c r="K4" s="59"/>
      <c r="L4" s="60" t="s">
        <v>75</v>
      </c>
      <c r="M4" s="530" t="s">
        <v>270</v>
      </c>
      <c r="N4" s="58"/>
      <c r="O4" s="204" t="s">
        <v>271</v>
      </c>
      <c r="P4" s="59"/>
      <c r="Q4" s="60" t="s">
        <v>75</v>
      </c>
      <c r="R4" s="530" t="s">
        <v>270</v>
      </c>
      <c r="S4" s="204" t="s">
        <v>271</v>
      </c>
      <c r="T4" s="60" t="s">
        <v>75</v>
      </c>
      <c r="U4" s="61"/>
      <c r="V4" s="61"/>
      <c r="W4" s="61"/>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row>
    <row r="5" spans="2:276" s="56" customFormat="1" ht="20.149999999999999" customHeight="1">
      <c r="B5" s="66" t="s">
        <v>76</v>
      </c>
      <c r="C5" s="496">
        <v>2036.8</v>
      </c>
      <c r="D5" s="497"/>
      <c r="E5" s="498">
        <v>2120.1</v>
      </c>
      <c r="F5" s="302"/>
      <c r="G5" s="303">
        <f>C5-E5</f>
        <v>-83.299999999999955</v>
      </c>
      <c r="H5" s="496">
        <v>309.10000000000002</v>
      </c>
      <c r="I5" s="507"/>
      <c r="J5" s="498">
        <v>268.5</v>
      </c>
      <c r="K5" s="302"/>
      <c r="L5" s="303">
        <f>H5-J5</f>
        <v>40.600000000000023</v>
      </c>
      <c r="M5" s="452">
        <v>0</v>
      </c>
      <c r="N5" s="454"/>
      <c r="O5" s="453">
        <v>0</v>
      </c>
      <c r="P5" s="306"/>
      <c r="Q5" s="307">
        <f>M5-O5</f>
        <v>0</v>
      </c>
      <c r="R5" s="308">
        <f>C5+H5+M5</f>
        <v>2345.9</v>
      </c>
      <c r="S5" s="309">
        <f>E5+J5+O5</f>
        <v>2388.6</v>
      </c>
      <c r="T5" s="310">
        <f>R5-S5</f>
        <v>-42.699999999999818</v>
      </c>
      <c r="U5" s="465"/>
      <c r="V5" s="65"/>
      <c r="W5" s="65"/>
      <c r="X5" s="65"/>
      <c r="Y5" s="57"/>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row>
    <row r="6" spans="2:276" s="56" customFormat="1" ht="20.25" customHeight="1">
      <c r="B6" s="66" t="s">
        <v>77</v>
      </c>
      <c r="C6" s="499">
        <v>12.6</v>
      </c>
      <c r="D6" s="500"/>
      <c r="E6" s="501">
        <v>9.8000000000000007</v>
      </c>
      <c r="F6" s="301"/>
      <c r="G6" s="311">
        <f t="shared" ref="G6:G14" si="0">C6-E6</f>
        <v>2.7999999999999989</v>
      </c>
      <c r="H6" s="499">
        <v>40.5</v>
      </c>
      <c r="I6" s="508"/>
      <c r="J6" s="501">
        <v>36.5</v>
      </c>
      <c r="K6" s="301"/>
      <c r="L6" s="312">
        <f t="shared" ref="L6:L11" si="1">H6-J6</f>
        <v>4</v>
      </c>
      <c r="M6" s="499">
        <v>-53.1</v>
      </c>
      <c r="N6" s="500"/>
      <c r="O6" s="501">
        <v>-46.3</v>
      </c>
      <c r="P6" s="301"/>
      <c r="Q6" s="307">
        <f t="shared" ref="Q6:Q14" si="2">M6-O6</f>
        <v>-6.8000000000000043</v>
      </c>
      <c r="R6" s="313">
        <f t="shared" ref="R6:R14" si="3">C6+H6+M6</f>
        <v>0</v>
      </c>
      <c r="S6" s="306">
        <f t="shared" ref="S6:S11" si="4">E6+J6+O6</f>
        <v>0</v>
      </c>
      <c r="T6" s="307">
        <f t="shared" ref="T6:T11" si="5">R6-S6</f>
        <v>0</v>
      </c>
      <c r="U6" s="54"/>
      <c r="V6" s="64"/>
      <c r="W6" s="64"/>
      <c r="X6" s="64"/>
      <c r="Y6" s="57"/>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row>
    <row r="7" spans="2:276" s="56" customFormat="1" ht="20.25" customHeight="1">
      <c r="B7" s="67" t="s">
        <v>78</v>
      </c>
      <c r="C7" s="314">
        <f>C5+C6</f>
        <v>2049.4</v>
      </c>
      <c r="D7" s="315"/>
      <c r="E7" s="316">
        <f>E5+E6</f>
        <v>2129.9</v>
      </c>
      <c r="F7" s="316"/>
      <c r="G7" s="317">
        <f>C7-E7</f>
        <v>-80.5</v>
      </c>
      <c r="H7" s="314">
        <f>H5+H6</f>
        <v>349.6</v>
      </c>
      <c r="I7" s="315"/>
      <c r="J7" s="316">
        <f>J5+J6</f>
        <v>305</v>
      </c>
      <c r="K7" s="316"/>
      <c r="L7" s="318">
        <f t="shared" si="1"/>
        <v>44.600000000000023</v>
      </c>
      <c r="M7" s="314">
        <f>M5+M6</f>
        <v>-53.1</v>
      </c>
      <c r="N7" s="315"/>
      <c r="O7" s="316">
        <f>O5+O6</f>
        <v>-46.3</v>
      </c>
      <c r="P7" s="316"/>
      <c r="Q7" s="317">
        <f t="shared" si="2"/>
        <v>-6.8000000000000043</v>
      </c>
      <c r="R7" s="320">
        <f t="shared" si="3"/>
        <v>2345.9</v>
      </c>
      <c r="S7" s="321">
        <f t="shared" si="4"/>
        <v>2388.6</v>
      </c>
      <c r="T7" s="319">
        <f t="shared" si="5"/>
        <v>-42.699999999999818</v>
      </c>
      <c r="U7" s="54"/>
      <c r="V7" s="68"/>
      <c r="W7" s="68"/>
      <c r="X7" s="68"/>
      <c r="Y7" s="57"/>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row>
    <row r="8" spans="2:276" s="56" customFormat="1" ht="20.25" customHeight="1">
      <c r="B8" s="67" t="s">
        <v>193</v>
      </c>
      <c r="C8" s="320">
        <v>755</v>
      </c>
      <c r="D8" s="315"/>
      <c r="E8" s="321">
        <v>821.4</v>
      </c>
      <c r="F8" s="316"/>
      <c r="G8" s="317">
        <f t="shared" si="0"/>
        <v>-66.399999999999977</v>
      </c>
      <c r="H8" s="320">
        <v>135</v>
      </c>
      <c r="I8" s="441"/>
      <c r="J8" s="321">
        <v>108.1</v>
      </c>
      <c r="K8" s="316"/>
      <c r="L8" s="318">
        <f t="shared" si="1"/>
        <v>26.900000000000006</v>
      </c>
      <c r="M8" s="313">
        <v>0</v>
      </c>
      <c r="N8" s="320"/>
      <c r="O8" s="321">
        <v>0</v>
      </c>
      <c r="P8" s="316"/>
      <c r="Q8" s="319">
        <f t="shared" si="2"/>
        <v>0</v>
      </c>
      <c r="R8" s="320">
        <f>C8+H8+M8</f>
        <v>890</v>
      </c>
      <c r="S8" s="321">
        <f t="shared" si="4"/>
        <v>929.5</v>
      </c>
      <c r="T8" s="319">
        <f t="shared" si="5"/>
        <v>-39.5</v>
      </c>
      <c r="U8" s="54"/>
      <c r="V8" s="68"/>
      <c r="W8" s="68"/>
      <c r="X8" s="68"/>
      <c r="Y8" s="57"/>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row>
    <row r="9" spans="2:276" s="56" customFormat="1" ht="32.25" customHeight="1">
      <c r="B9" s="66" t="s">
        <v>58</v>
      </c>
      <c r="C9" s="499">
        <v>444.3</v>
      </c>
      <c r="D9" s="315"/>
      <c r="E9" s="502">
        <v>462.7</v>
      </c>
      <c r="F9" s="316"/>
      <c r="G9" s="311">
        <f t="shared" si="0"/>
        <v>-18.399999999999977</v>
      </c>
      <c r="H9" s="499">
        <v>10.199999999999999</v>
      </c>
      <c r="I9" s="508"/>
      <c r="J9" s="502">
        <v>9.6</v>
      </c>
      <c r="K9" s="301"/>
      <c r="L9" s="312">
        <f t="shared" si="1"/>
        <v>0.59999999999999964</v>
      </c>
      <c r="M9" s="439">
        <v>0</v>
      </c>
      <c r="N9" s="387"/>
      <c r="O9" s="388">
        <v>0</v>
      </c>
      <c r="P9" s="301"/>
      <c r="Q9" s="307">
        <f t="shared" si="2"/>
        <v>0</v>
      </c>
      <c r="R9" s="305">
        <f>C9+H9+M9</f>
        <v>454.5</v>
      </c>
      <c r="S9" s="306">
        <f t="shared" si="4"/>
        <v>472.3</v>
      </c>
      <c r="T9" s="307">
        <f t="shared" si="5"/>
        <v>-17.800000000000011</v>
      </c>
      <c r="U9" s="54"/>
      <c r="V9" s="68"/>
      <c r="W9" s="68"/>
      <c r="X9" s="68"/>
      <c r="Y9" s="57"/>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row>
    <row r="10" spans="2:276" s="56" customFormat="1" ht="20.25" customHeight="1">
      <c r="B10" s="67" t="s">
        <v>79</v>
      </c>
      <c r="C10" s="314">
        <f>C8-C9</f>
        <v>310.7</v>
      </c>
      <c r="D10" s="322"/>
      <c r="E10" s="323">
        <f>E8-E9</f>
        <v>358.7</v>
      </c>
      <c r="F10" s="316"/>
      <c r="G10" s="317">
        <f t="shared" si="0"/>
        <v>-48</v>
      </c>
      <c r="H10" s="314">
        <f>H8-H9</f>
        <v>124.8</v>
      </c>
      <c r="I10" s="322"/>
      <c r="J10" s="323">
        <f>J8-J9</f>
        <v>98.5</v>
      </c>
      <c r="K10" s="316"/>
      <c r="L10" s="318">
        <f t="shared" si="1"/>
        <v>26.299999999999997</v>
      </c>
      <c r="M10" s="313">
        <f>M8-M9</f>
        <v>0</v>
      </c>
      <c r="N10" s="320"/>
      <c r="O10" s="321">
        <f>O8-O9</f>
        <v>0</v>
      </c>
      <c r="P10" s="316"/>
      <c r="Q10" s="319">
        <f t="shared" si="2"/>
        <v>0</v>
      </c>
      <c r="R10" s="320">
        <f t="shared" si="3"/>
        <v>435.5</v>
      </c>
      <c r="S10" s="321">
        <f t="shared" si="4"/>
        <v>457.2</v>
      </c>
      <c r="T10" s="319">
        <f t="shared" si="5"/>
        <v>-21.699999999999989</v>
      </c>
      <c r="U10" s="54"/>
      <c r="V10" s="68"/>
      <c r="W10" s="68"/>
      <c r="X10" s="68"/>
      <c r="Y10" s="57"/>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row>
    <row r="11" spans="2:276" s="56" customFormat="1" ht="48" customHeight="1" thickBot="1">
      <c r="B11" s="455" t="s">
        <v>80</v>
      </c>
      <c r="C11" s="503">
        <v>191.2</v>
      </c>
      <c r="D11" s="349">
        <v>1</v>
      </c>
      <c r="E11" s="505">
        <v>196.5</v>
      </c>
      <c r="F11" s="348">
        <v>1</v>
      </c>
      <c r="G11" s="325">
        <f t="shared" si="0"/>
        <v>-5.3000000000000114</v>
      </c>
      <c r="H11" s="503">
        <v>9.4</v>
      </c>
      <c r="I11" s="509"/>
      <c r="J11" s="505">
        <v>8.9</v>
      </c>
      <c r="K11" s="324"/>
      <c r="L11" s="326">
        <f t="shared" si="1"/>
        <v>0.5</v>
      </c>
      <c r="M11" s="440">
        <v>0</v>
      </c>
      <c r="N11" s="389"/>
      <c r="O11" s="390">
        <v>0</v>
      </c>
      <c r="P11" s="329"/>
      <c r="Q11" s="330">
        <f t="shared" si="2"/>
        <v>0</v>
      </c>
      <c r="R11" s="327">
        <f t="shared" si="3"/>
        <v>200.6</v>
      </c>
      <c r="S11" s="328">
        <f t="shared" si="4"/>
        <v>205.4</v>
      </c>
      <c r="T11" s="331">
        <f t="shared" si="5"/>
        <v>-4.8000000000000114</v>
      </c>
      <c r="U11" s="54"/>
      <c r="V11" s="68"/>
      <c r="W11" s="68"/>
      <c r="X11" s="68"/>
      <c r="Y11" s="57"/>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row>
    <row r="12" spans="2:276" s="56" customFormat="1" ht="20.25" customHeight="1">
      <c r="B12" s="205" t="s">
        <v>250</v>
      </c>
      <c r="C12" s="504"/>
      <c r="D12" s="333"/>
      <c r="E12" s="506"/>
      <c r="F12" s="334"/>
      <c r="G12" s="335"/>
      <c r="H12" s="333"/>
      <c r="I12" s="333"/>
      <c r="J12" s="334"/>
      <c r="K12" s="334"/>
      <c r="L12" s="336"/>
      <c r="M12" s="332"/>
      <c r="N12" s="333"/>
      <c r="O12" s="334"/>
      <c r="P12" s="334"/>
      <c r="Q12" s="310"/>
      <c r="R12" s="333"/>
      <c r="S12" s="334"/>
      <c r="T12" s="335"/>
      <c r="U12" s="54"/>
      <c r="V12" s="65"/>
      <c r="W12" s="65"/>
      <c r="X12" s="65"/>
      <c r="Y12" s="57"/>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row>
    <row r="13" spans="2:276" s="56" customFormat="1" ht="20.25" customHeight="1">
      <c r="B13" s="66" t="s">
        <v>81</v>
      </c>
      <c r="C13" s="499">
        <v>23279.4</v>
      </c>
      <c r="D13" s="456"/>
      <c r="E13" s="502">
        <v>23112.5</v>
      </c>
      <c r="F13" s="337"/>
      <c r="G13" s="311">
        <f t="shared" si="0"/>
        <v>166.90000000000146</v>
      </c>
      <c r="H13" s="499">
        <v>4677.3</v>
      </c>
      <c r="I13" s="457">
        <v>2</v>
      </c>
      <c r="J13" s="502">
        <v>4488.3</v>
      </c>
      <c r="K13" s="347">
        <v>2</v>
      </c>
      <c r="L13" s="311">
        <f t="shared" ref="L13" si="6">H13-J13</f>
        <v>189</v>
      </c>
      <c r="M13" s="499">
        <v>-62.3</v>
      </c>
      <c r="N13" s="338"/>
      <c r="O13" s="502">
        <v>-47.6</v>
      </c>
      <c r="P13" s="339"/>
      <c r="Q13" s="307">
        <f t="shared" si="2"/>
        <v>-14.699999999999996</v>
      </c>
      <c r="R13" s="304">
        <f>C13+H13+M13</f>
        <v>27894.400000000001</v>
      </c>
      <c r="S13" s="301">
        <f>J13+O13+E13</f>
        <v>27553.200000000001</v>
      </c>
      <c r="T13" s="311">
        <f>R13-S13</f>
        <v>341.20000000000073</v>
      </c>
      <c r="U13" s="54"/>
      <c r="V13" s="65"/>
      <c r="W13" s="65"/>
      <c r="X13" s="65"/>
      <c r="Y13" s="57"/>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row>
    <row r="14" spans="2:276" s="56" customFormat="1" ht="31.5" customHeight="1" thickBot="1">
      <c r="B14" s="194" t="s">
        <v>82</v>
      </c>
      <c r="C14" s="438">
        <v>0</v>
      </c>
      <c r="D14" s="340"/>
      <c r="E14" s="341">
        <v>0</v>
      </c>
      <c r="F14" s="341"/>
      <c r="G14" s="342">
        <f t="shared" si="0"/>
        <v>0</v>
      </c>
      <c r="H14" s="510">
        <v>5.9</v>
      </c>
      <c r="I14" s="459"/>
      <c r="J14" s="511">
        <v>5.9</v>
      </c>
      <c r="K14" s="395"/>
      <c r="L14" s="343">
        <f>H14-J14</f>
        <v>0</v>
      </c>
      <c r="M14" s="458">
        <v>0</v>
      </c>
      <c r="N14" s="460"/>
      <c r="O14" s="461">
        <v>0</v>
      </c>
      <c r="P14" s="341"/>
      <c r="Q14" s="344">
        <f t="shared" si="2"/>
        <v>0</v>
      </c>
      <c r="R14" s="345">
        <f t="shared" si="3"/>
        <v>5.9</v>
      </c>
      <c r="S14" s="346">
        <f>J14+O14+E14</f>
        <v>5.9</v>
      </c>
      <c r="T14" s="342">
        <f>R14-S14</f>
        <v>0</v>
      </c>
      <c r="U14" s="54"/>
      <c r="V14" s="65"/>
      <c r="W14" s="65"/>
      <c r="X14" s="65"/>
      <c r="Y14" s="57"/>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row>
    <row r="15" spans="2:276" s="55" customFormat="1" ht="20.25" customHeight="1">
      <c r="B15" s="70"/>
      <c r="U15" s="54"/>
      <c r="V15" s="57"/>
      <c r="W15" s="57"/>
      <c r="X15" s="57"/>
      <c r="Y15" s="57"/>
    </row>
    <row r="16" spans="2:276" s="55" customFormat="1" ht="20.25" customHeight="1">
      <c r="B16" s="549" t="s">
        <v>83</v>
      </c>
      <c r="C16" s="549"/>
      <c r="D16" s="549"/>
      <c r="E16" s="549"/>
      <c r="F16" s="549"/>
      <c r="G16" s="549"/>
      <c r="H16" s="71"/>
      <c r="I16" s="71"/>
      <c r="J16" s="72"/>
      <c r="K16" s="72"/>
      <c r="L16" s="72"/>
      <c r="M16" s="71"/>
      <c r="N16" s="71"/>
      <c r="O16" s="71"/>
      <c r="P16" s="71"/>
      <c r="Q16" s="71"/>
      <c r="R16" s="71"/>
      <c r="S16" s="71"/>
      <c r="T16" s="71"/>
      <c r="U16" s="54"/>
      <c r="V16" s="57"/>
      <c r="W16" s="57"/>
      <c r="X16" s="57"/>
      <c r="Y16" s="57"/>
    </row>
    <row r="17" spans="2:25" s="53" customFormat="1" ht="14.5">
      <c r="B17" s="73" t="s">
        <v>194</v>
      </c>
      <c r="C17" s="73"/>
      <c r="D17" s="73"/>
      <c r="E17" s="73"/>
      <c r="F17" s="73"/>
      <c r="G17" s="73"/>
      <c r="H17" s="71"/>
      <c r="I17" s="71"/>
      <c r="J17" s="72"/>
      <c r="K17" s="72"/>
      <c r="L17" s="72"/>
      <c r="M17" s="71"/>
      <c r="N17" s="71"/>
      <c r="O17" s="71"/>
      <c r="P17" s="71"/>
      <c r="Q17" s="71"/>
      <c r="R17" s="71"/>
      <c r="S17" s="71"/>
      <c r="T17" s="71"/>
      <c r="U17" s="71"/>
    </row>
    <row r="18" spans="2:25" s="55" customFormat="1" ht="15" customHeight="1">
      <c r="B18" s="74"/>
      <c r="C18" s="74"/>
      <c r="D18" s="74"/>
      <c r="E18" s="74"/>
      <c r="F18" s="74"/>
      <c r="G18" s="74"/>
      <c r="H18" s="71"/>
      <c r="I18" s="71"/>
      <c r="J18" s="72"/>
      <c r="K18" s="72"/>
      <c r="L18" s="72"/>
      <c r="M18" s="71"/>
      <c r="N18" s="71"/>
      <c r="O18" s="71"/>
      <c r="P18" s="71"/>
      <c r="Q18" s="71"/>
      <c r="R18" s="71"/>
      <c r="S18" s="71"/>
      <c r="T18" s="71"/>
      <c r="U18" s="54"/>
      <c r="V18" s="57"/>
      <c r="W18" s="57"/>
      <c r="X18" s="57"/>
      <c r="Y18" s="57"/>
    </row>
    <row r="19" spans="2:25" s="53" customFormat="1" ht="14.5">
      <c r="B19" s="74"/>
      <c r="C19" s="73"/>
      <c r="D19" s="73"/>
      <c r="E19" s="73"/>
      <c r="F19" s="73"/>
      <c r="G19" s="73"/>
      <c r="H19" s="71"/>
      <c r="I19" s="71"/>
      <c r="J19" s="72"/>
      <c r="K19" s="72"/>
      <c r="L19" s="72"/>
      <c r="M19" s="71"/>
      <c r="N19" s="71"/>
      <c r="O19" s="71"/>
      <c r="P19" s="71"/>
      <c r="Q19" s="71"/>
      <c r="R19" s="71"/>
      <c r="S19" s="71"/>
      <c r="T19" s="71"/>
      <c r="U19" s="71"/>
    </row>
    <row r="20" spans="2:25" s="53" customFormat="1" ht="14.5">
      <c r="B20" s="73"/>
      <c r="G20" s="75"/>
      <c r="H20" s="71"/>
      <c r="I20" s="71"/>
      <c r="J20" s="75"/>
      <c r="K20" s="75"/>
      <c r="L20" s="75"/>
      <c r="M20" s="71"/>
      <c r="N20" s="71"/>
      <c r="O20" s="71"/>
      <c r="P20" s="71"/>
      <c r="Q20" s="71"/>
      <c r="R20" s="71"/>
      <c r="S20" s="71"/>
      <c r="T20" s="71"/>
      <c r="U20" s="71"/>
    </row>
    <row r="21" spans="2:25" s="53" customFormat="1" ht="14.5">
      <c r="G21" s="76"/>
      <c r="H21" s="71"/>
      <c r="I21" s="71"/>
      <c r="J21" s="76"/>
      <c r="K21" s="76"/>
      <c r="L21" s="76"/>
      <c r="M21" s="71"/>
      <c r="N21" s="71"/>
      <c r="O21" s="71"/>
      <c r="P21" s="71"/>
      <c r="Q21" s="71"/>
      <c r="R21" s="71"/>
      <c r="S21" s="71"/>
      <c r="T21" s="71"/>
      <c r="U21" s="71"/>
    </row>
    <row r="22" spans="2:25" s="53" customFormat="1" ht="14.5">
      <c r="G22" s="75"/>
      <c r="H22" s="71"/>
      <c r="I22" s="71"/>
      <c r="J22" s="75"/>
      <c r="K22" s="75"/>
      <c r="L22" s="75"/>
      <c r="M22" s="71"/>
      <c r="N22" s="71"/>
      <c r="O22" s="71"/>
      <c r="P22" s="71"/>
      <c r="Q22" s="71"/>
      <c r="R22" s="71"/>
      <c r="S22" s="71"/>
      <c r="T22" s="71"/>
      <c r="U22" s="71"/>
    </row>
    <row r="23" spans="2:25" s="53" customFormat="1" ht="14.5">
      <c r="B23" s="71"/>
      <c r="C23" s="71"/>
      <c r="D23" s="71"/>
      <c r="E23" s="71"/>
      <c r="F23" s="71"/>
      <c r="G23" s="71"/>
      <c r="H23" s="71"/>
      <c r="I23" s="71"/>
      <c r="J23" s="71"/>
      <c r="K23" s="71"/>
      <c r="L23" s="71"/>
      <c r="M23" s="71"/>
      <c r="N23" s="71"/>
      <c r="O23" s="71"/>
      <c r="P23" s="71"/>
      <c r="Q23" s="71"/>
      <c r="R23" s="71"/>
      <c r="S23" s="71"/>
      <c r="T23" s="71"/>
      <c r="U23" s="71"/>
    </row>
    <row r="24" spans="2:25" s="53" customFormat="1" ht="14.5">
      <c r="U24" s="71"/>
    </row>
    <row r="25" spans="2:25" s="53" customFormat="1"/>
    <row r="26" spans="2:25" s="53" customFormat="1"/>
    <row r="27" spans="2:25" s="53" customFormat="1"/>
    <row r="28" spans="2:25" s="53" customFormat="1"/>
    <row r="29" spans="2:25" s="53" customFormat="1"/>
    <row r="30" spans="2:25" s="53" customFormat="1"/>
    <row r="31" spans="2:25" s="53" customFormat="1"/>
    <row r="32" spans="2:2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5"/>
  <sheetViews>
    <sheetView showGridLines="0" zoomScale="85" zoomScaleNormal="85" zoomScaleSheetLayoutView="85" workbookViewId="0">
      <pane xSplit="1" ySplit="3" topLeftCell="V4" activePane="bottomRight" state="frozen"/>
      <selection pane="topRight" activeCell="B1" sqref="B1"/>
      <selection pane="bottomLeft" activeCell="A4" sqref="A4"/>
      <selection pane="bottomRight" activeCell="Z65" sqref="Z65"/>
    </sheetView>
  </sheetViews>
  <sheetFormatPr defaultColWidth="9" defaultRowHeight="13"/>
  <cols>
    <col min="1" max="1" width="53" style="224" customWidth="1"/>
    <col min="2" max="2" width="11.5" style="214" bestFit="1" customWidth="1"/>
    <col min="3" max="3" width="12.33203125" style="214" bestFit="1" customWidth="1"/>
    <col min="4" max="4" width="13.58203125" style="214" customWidth="1"/>
    <col min="5" max="5" width="12.08203125" style="214" bestFit="1" customWidth="1"/>
    <col min="6" max="8" width="13.58203125" style="214" customWidth="1"/>
    <col min="9" max="9" width="12.08203125" style="214" customWidth="1"/>
    <col min="10" max="10" width="13.58203125" style="214" customWidth="1"/>
    <col min="11" max="12" width="13.58203125" style="225" customWidth="1"/>
    <col min="13" max="13" width="12.08203125" style="214" customWidth="1"/>
    <col min="14" max="15" width="13.58203125" style="214" customWidth="1"/>
    <col min="16" max="16" width="13.58203125" style="225" customWidth="1"/>
    <col min="17" max="21" width="13.58203125" style="214" customWidth="1"/>
    <col min="22" max="29" width="13.58203125" style="11" customWidth="1"/>
    <col min="30" max="41" width="9" style="213"/>
    <col min="42" max="16384" width="9" style="214"/>
  </cols>
  <sheetData>
    <row r="1" spans="1:494" s="209" customFormat="1" ht="50.25" customHeight="1" thickBot="1">
      <c r="A1" s="6" t="s">
        <v>24</v>
      </c>
      <c r="B1" s="6"/>
      <c r="C1" s="208"/>
      <c r="D1" s="208"/>
      <c r="E1" s="208"/>
      <c r="F1" s="208"/>
      <c r="G1" s="208"/>
      <c r="H1" s="208"/>
      <c r="I1" s="208"/>
      <c r="J1" s="208"/>
      <c r="K1" s="208"/>
      <c r="L1" s="208"/>
      <c r="M1" s="208"/>
      <c r="N1" s="208"/>
      <c r="O1" s="208"/>
      <c r="P1" s="208"/>
      <c r="Q1" s="208"/>
      <c r="R1" s="208"/>
      <c r="S1" s="208"/>
      <c r="T1" s="208"/>
      <c r="U1" s="208"/>
      <c r="V1" s="420"/>
      <c r="W1" s="420"/>
      <c r="X1" s="420"/>
      <c r="Y1" s="420"/>
      <c r="Z1" s="420"/>
      <c r="AA1" s="420"/>
      <c r="AB1" s="420"/>
      <c r="AC1" s="420"/>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c r="IW1" s="208"/>
      <c r="IX1" s="208"/>
      <c r="IY1" s="208"/>
      <c r="IZ1" s="208"/>
      <c r="JA1" s="208"/>
      <c r="JB1" s="208"/>
      <c r="JC1" s="208"/>
      <c r="JD1" s="208"/>
      <c r="JE1" s="208"/>
      <c r="JF1" s="208"/>
      <c r="JG1" s="208"/>
      <c r="JH1" s="208"/>
      <c r="JI1" s="208"/>
      <c r="JJ1" s="208"/>
      <c r="JK1" s="208"/>
      <c r="JL1" s="208"/>
      <c r="JM1" s="208"/>
      <c r="JN1" s="208"/>
      <c r="JO1" s="208"/>
      <c r="JP1" s="208"/>
      <c r="JQ1" s="208"/>
      <c r="JR1" s="208"/>
      <c r="JS1" s="208"/>
      <c r="JT1" s="208"/>
      <c r="JU1" s="208"/>
      <c r="JV1" s="208"/>
      <c r="JW1" s="208"/>
      <c r="JX1" s="208"/>
      <c r="JY1" s="208"/>
      <c r="JZ1" s="208"/>
      <c r="KA1" s="208"/>
      <c r="KB1" s="208"/>
      <c r="KC1" s="208"/>
      <c r="KD1" s="208"/>
      <c r="KE1" s="208"/>
      <c r="KF1" s="208"/>
      <c r="KG1" s="208"/>
      <c r="KH1" s="208"/>
      <c r="KI1" s="208"/>
      <c r="KJ1" s="208"/>
      <c r="KK1" s="208"/>
      <c r="KL1" s="208"/>
      <c r="KM1" s="208"/>
      <c r="KN1" s="208"/>
      <c r="KO1" s="208"/>
      <c r="KP1" s="208"/>
      <c r="KQ1" s="208"/>
      <c r="KR1" s="208"/>
      <c r="KS1" s="208"/>
      <c r="KT1" s="208"/>
      <c r="KU1" s="208"/>
      <c r="KV1" s="208"/>
      <c r="KW1" s="208"/>
      <c r="KX1" s="208"/>
      <c r="KY1" s="208"/>
      <c r="KZ1" s="208"/>
      <c r="LA1" s="208"/>
      <c r="LB1" s="208"/>
      <c r="LC1" s="208"/>
      <c r="LD1" s="208"/>
      <c r="LE1" s="208"/>
      <c r="LF1" s="208"/>
      <c r="LG1" s="208"/>
      <c r="LH1" s="208"/>
      <c r="LI1" s="208"/>
      <c r="LJ1" s="208"/>
      <c r="LK1" s="208"/>
      <c r="LL1" s="208"/>
      <c r="LM1" s="208"/>
      <c r="LN1" s="208"/>
      <c r="LO1" s="208"/>
      <c r="LP1" s="208"/>
      <c r="LQ1" s="208"/>
      <c r="LR1" s="208"/>
      <c r="LS1" s="208"/>
      <c r="LT1" s="208"/>
      <c r="LU1" s="208"/>
      <c r="LV1" s="208"/>
      <c r="LW1" s="208"/>
      <c r="LX1" s="208"/>
      <c r="LY1" s="208"/>
      <c r="LZ1" s="208"/>
      <c r="MA1" s="208"/>
      <c r="MB1" s="208"/>
      <c r="MC1" s="208"/>
      <c r="MD1" s="208"/>
      <c r="ME1" s="208"/>
      <c r="MF1" s="208"/>
      <c r="MG1" s="208"/>
      <c r="MH1" s="208"/>
      <c r="MI1" s="208"/>
      <c r="MJ1" s="208"/>
      <c r="MK1" s="208"/>
      <c r="ML1" s="208"/>
      <c r="MM1" s="208"/>
      <c r="MN1" s="208"/>
      <c r="MO1" s="208"/>
      <c r="MP1" s="208"/>
      <c r="MQ1" s="208"/>
      <c r="MR1" s="208"/>
      <c r="MS1" s="208"/>
      <c r="MT1" s="208"/>
      <c r="MU1" s="208"/>
      <c r="MV1" s="208"/>
      <c r="MW1" s="208"/>
      <c r="MX1" s="208"/>
      <c r="MY1" s="208"/>
      <c r="MZ1" s="208"/>
      <c r="NA1" s="208"/>
      <c r="NB1" s="208"/>
      <c r="NC1" s="208"/>
      <c r="ND1" s="208"/>
      <c r="NE1" s="208"/>
      <c r="NF1" s="208"/>
      <c r="NG1" s="208"/>
      <c r="NH1" s="208"/>
      <c r="NI1" s="208"/>
      <c r="NJ1" s="208"/>
      <c r="NK1" s="208"/>
      <c r="NL1" s="208"/>
      <c r="NM1" s="208"/>
      <c r="NN1" s="208"/>
      <c r="NO1" s="208"/>
      <c r="NP1" s="208"/>
      <c r="NQ1" s="208"/>
      <c r="NR1" s="208"/>
      <c r="NS1" s="208"/>
      <c r="NT1" s="208"/>
      <c r="NU1" s="208"/>
      <c r="NV1" s="208"/>
      <c r="NW1" s="208"/>
      <c r="NX1" s="208"/>
      <c r="NY1" s="208"/>
      <c r="NZ1" s="208"/>
      <c r="OA1" s="208"/>
      <c r="OB1" s="208"/>
      <c r="OC1" s="208"/>
      <c r="OD1" s="208"/>
      <c r="OE1" s="208"/>
      <c r="OF1" s="208"/>
      <c r="OG1" s="208"/>
      <c r="OH1" s="208"/>
      <c r="OI1" s="208"/>
      <c r="OJ1" s="208"/>
      <c r="OK1" s="208"/>
      <c r="OL1" s="208"/>
      <c r="OM1" s="208"/>
      <c r="ON1" s="208"/>
      <c r="OO1" s="208"/>
      <c r="OP1" s="208"/>
      <c r="OQ1" s="208"/>
      <c r="OR1" s="208"/>
      <c r="OS1" s="208"/>
      <c r="OT1" s="208"/>
      <c r="OU1" s="208"/>
      <c r="OV1" s="208"/>
      <c r="OW1" s="208"/>
      <c r="OX1" s="208"/>
      <c r="OY1" s="208"/>
      <c r="OZ1" s="208"/>
      <c r="PA1" s="208"/>
      <c r="PB1" s="208"/>
      <c r="PC1" s="208"/>
      <c r="PD1" s="208"/>
      <c r="PE1" s="208"/>
      <c r="PF1" s="208"/>
      <c r="PG1" s="208"/>
      <c r="PH1" s="208"/>
      <c r="PI1" s="208"/>
      <c r="PJ1" s="208"/>
      <c r="PK1" s="208"/>
      <c r="PL1" s="208"/>
      <c r="PM1" s="208"/>
      <c r="PN1" s="208"/>
      <c r="PO1" s="208"/>
      <c r="PP1" s="208"/>
      <c r="PQ1" s="208"/>
      <c r="PR1" s="208"/>
      <c r="PS1" s="208"/>
      <c r="PT1" s="208"/>
      <c r="PU1" s="208"/>
      <c r="PV1" s="208"/>
      <c r="PW1" s="208"/>
      <c r="PX1" s="208"/>
      <c r="PY1" s="208"/>
      <c r="PZ1" s="208"/>
      <c r="QA1" s="208"/>
      <c r="QB1" s="208"/>
      <c r="QC1" s="208"/>
      <c r="QD1" s="208"/>
      <c r="QE1" s="208"/>
      <c r="QF1" s="208"/>
      <c r="QG1" s="208"/>
      <c r="QH1" s="208"/>
      <c r="QI1" s="208"/>
      <c r="QJ1" s="208"/>
      <c r="QK1" s="208"/>
      <c r="QL1" s="208"/>
      <c r="QM1" s="208"/>
      <c r="QN1" s="208"/>
      <c r="QO1" s="208"/>
      <c r="QP1" s="208"/>
      <c r="QQ1" s="208"/>
      <c r="QR1" s="208"/>
      <c r="QS1" s="208"/>
      <c r="QT1" s="208"/>
      <c r="QU1" s="208"/>
      <c r="QV1" s="208"/>
      <c r="QW1" s="208"/>
      <c r="QX1" s="208"/>
      <c r="QY1" s="208"/>
      <c r="QZ1" s="208"/>
      <c r="RA1" s="208"/>
      <c r="RB1" s="208"/>
      <c r="RC1" s="208"/>
      <c r="RD1" s="208"/>
      <c r="RE1" s="208"/>
      <c r="RF1" s="208"/>
      <c r="RG1" s="208"/>
      <c r="RH1" s="208"/>
      <c r="RI1" s="208"/>
      <c r="RJ1" s="208"/>
      <c r="RK1" s="208"/>
      <c r="RL1" s="208"/>
      <c r="RM1" s="208"/>
      <c r="RN1" s="208"/>
      <c r="RO1" s="208"/>
      <c r="RP1" s="208"/>
      <c r="RQ1" s="208"/>
      <c r="RR1" s="208"/>
      <c r="RS1" s="208"/>
      <c r="RT1" s="208"/>
      <c r="RU1" s="208"/>
      <c r="RV1" s="208"/>
      <c r="RW1" s="208"/>
      <c r="RX1" s="208"/>
      <c r="RY1" s="208"/>
      <c r="RZ1" s="208"/>
    </row>
    <row r="2" spans="1:494" s="209" customFormat="1" ht="25" customHeight="1">
      <c r="A2" s="12" t="s">
        <v>88</v>
      </c>
      <c r="B2" s="560">
        <v>2012</v>
      </c>
      <c r="C2" s="560"/>
      <c r="D2" s="560"/>
      <c r="E2" s="560"/>
      <c r="F2" s="560">
        <v>2013</v>
      </c>
      <c r="G2" s="560"/>
      <c r="H2" s="560"/>
      <c r="I2" s="560"/>
      <c r="J2" s="559">
        <v>2014</v>
      </c>
      <c r="K2" s="560"/>
      <c r="L2" s="560"/>
      <c r="M2" s="561"/>
      <c r="N2" s="563">
        <v>2015</v>
      </c>
      <c r="O2" s="563"/>
      <c r="P2" s="563"/>
      <c r="Q2" s="564"/>
      <c r="R2" s="559">
        <v>2016</v>
      </c>
      <c r="S2" s="560"/>
      <c r="T2" s="560"/>
      <c r="U2" s="561"/>
      <c r="V2" s="559" t="s">
        <v>280</v>
      </c>
      <c r="W2" s="560"/>
      <c r="X2" s="560"/>
      <c r="Y2" s="561"/>
      <c r="Z2" s="559" t="s">
        <v>281</v>
      </c>
      <c r="AA2" s="560"/>
      <c r="AB2" s="560"/>
      <c r="AC2" s="561"/>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c r="IW2" s="208"/>
      <c r="IX2" s="208"/>
      <c r="IY2" s="208"/>
      <c r="IZ2" s="208"/>
      <c r="JA2" s="208"/>
      <c r="JB2" s="208"/>
      <c r="JC2" s="208"/>
      <c r="JD2" s="208"/>
      <c r="JE2" s="208"/>
      <c r="JF2" s="208"/>
      <c r="JG2" s="208"/>
      <c r="JH2" s="208"/>
      <c r="JI2" s="208"/>
      <c r="JJ2" s="208"/>
      <c r="JK2" s="208"/>
      <c r="JL2" s="208"/>
      <c r="JM2" s="208"/>
      <c r="JN2" s="208"/>
      <c r="JO2" s="208"/>
      <c r="JP2" s="208"/>
      <c r="JQ2" s="208"/>
      <c r="JR2" s="208"/>
      <c r="JS2" s="208"/>
      <c r="JT2" s="208"/>
      <c r="JU2" s="208"/>
      <c r="JV2" s="208"/>
      <c r="JW2" s="208"/>
      <c r="JX2" s="208"/>
      <c r="JY2" s="208"/>
      <c r="JZ2" s="208"/>
      <c r="KA2" s="208"/>
      <c r="KB2" s="208"/>
      <c r="KC2" s="208"/>
      <c r="KD2" s="208"/>
      <c r="KE2" s="208"/>
      <c r="KF2" s="208"/>
      <c r="KG2" s="208"/>
      <c r="KH2" s="208"/>
      <c r="KI2" s="208"/>
      <c r="KJ2" s="208"/>
      <c r="KK2" s="208"/>
      <c r="KL2" s="208"/>
      <c r="KM2" s="208"/>
      <c r="KN2" s="208"/>
      <c r="KO2" s="208"/>
      <c r="KP2" s="208"/>
      <c r="KQ2" s="208"/>
      <c r="KR2" s="208"/>
      <c r="KS2" s="208"/>
      <c r="KT2" s="208"/>
      <c r="KU2" s="208"/>
      <c r="KV2" s="208"/>
      <c r="KW2" s="208"/>
      <c r="KX2" s="208"/>
      <c r="KY2" s="208"/>
      <c r="KZ2" s="208"/>
      <c r="LA2" s="208"/>
      <c r="LB2" s="208"/>
      <c r="LC2" s="208"/>
      <c r="LD2" s="208"/>
      <c r="LE2" s="208"/>
      <c r="LF2" s="208"/>
      <c r="LG2" s="208"/>
      <c r="LH2" s="208"/>
      <c r="LI2" s="208"/>
      <c r="LJ2" s="208"/>
      <c r="LK2" s="208"/>
      <c r="LL2" s="208"/>
      <c r="LM2" s="208"/>
      <c r="LN2" s="208"/>
      <c r="LO2" s="208"/>
      <c r="LP2" s="208"/>
      <c r="LQ2" s="208"/>
      <c r="LR2" s="208"/>
      <c r="LS2" s="208"/>
      <c r="LT2" s="208"/>
      <c r="LU2" s="208"/>
      <c r="LV2" s="208"/>
      <c r="LW2" s="208"/>
      <c r="LX2" s="208"/>
      <c r="LY2" s="208"/>
      <c r="LZ2" s="208"/>
      <c r="MA2" s="208"/>
      <c r="MB2" s="208"/>
      <c r="MC2" s="208"/>
      <c r="MD2" s="208"/>
      <c r="ME2" s="208"/>
      <c r="MF2" s="208"/>
      <c r="MG2" s="208"/>
      <c r="MH2" s="208"/>
      <c r="MI2" s="208"/>
      <c r="MJ2" s="208"/>
      <c r="MK2" s="208"/>
      <c r="ML2" s="208"/>
      <c r="MM2" s="208"/>
      <c r="MN2" s="208"/>
      <c r="MO2" s="208"/>
      <c r="MP2" s="208"/>
      <c r="MQ2" s="208"/>
      <c r="MR2" s="208"/>
      <c r="MS2" s="208"/>
      <c r="MT2" s="208"/>
      <c r="MU2" s="208"/>
      <c r="MV2" s="208"/>
      <c r="MW2" s="208"/>
      <c r="MX2" s="208"/>
      <c r="MY2" s="208"/>
      <c r="MZ2" s="208"/>
      <c r="NA2" s="208"/>
      <c r="NB2" s="208"/>
      <c r="NC2" s="208"/>
      <c r="ND2" s="208"/>
      <c r="NE2" s="208"/>
      <c r="NF2" s="208"/>
      <c r="NG2" s="208"/>
      <c r="NH2" s="208"/>
      <c r="NI2" s="208"/>
      <c r="NJ2" s="208"/>
      <c r="NK2" s="208"/>
      <c r="NL2" s="208"/>
      <c r="NM2" s="208"/>
      <c r="NN2" s="208"/>
      <c r="NO2" s="208"/>
      <c r="NP2" s="208"/>
      <c r="NQ2" s="208"/>
      <c r="NR2" s="208"/>
      <c r="NS2" s="208"/>
      <c r="NT2" s="208"/>
      <c r="NU2" s="208"/>
      <c r="NV2" s="208"/>
      <c r="NW2" s="208"/>
      <c r="NX2" s="208"/>
      <c r="NY2" s="208"/>
      <c r="NZ2" s="208"/>
      <c r="OA2" s="208"/>
      <c r="OB2" s="208"/>
      <c r="OC2" s="208"/>
      <c r="OD2" s="208"/>
      <c r="OE2" s="208"/>
      <c r="OF2" s="208"/>
      <c r="OG2" s="208"/>
      <c r="OH2" s="208"/>
      <c r="OI2" s="208"/>
      <c r="OJ2" s="208"/>
      <c r="OK2" s="208"/>
      <c r="OL2" s="208"/>
      <c r="OM2" s="208"/>
      <c r="ON2" s="208"/>
      <c r="OO2" s="208"/>
      <c r="OP2" s="208"/>
      <c r="OQ2" s="208"/>
      <c r="OR2" s="208"/>
      <c r="OS2" s="208"/>
      <c r="OT2" s="208"/>
      <c r="OU2" s="208"/>
      <c r="OV2" s="208"/>
      <c r="OW2" s="208"/>
      <c r="OX2" s="208"/>
      <c r="OY2" s="208"/>
      <c r="OZ2" s="208"/>
      <c r="PA2" s="208"/>
      <c r="PB2" s="208"/>
      <c r="PC2" s="208"/>
      <c r="PD2" s="208"/>
      <c r="PE2" s="208"/>
      <c r="PF2" s="208"/>
      <c r="PG2" s="208"/>
      <c r="PH2" s="208"/>
      <c r="PI2" s="208"/>
      <c r="PJ2" s="208"/>
      <c r="PK2" s="208"/>
      <c r="PL2" s="208"/>
      <c r="PM2" s="208"/>
      <c r="PN2" s="208"/>
      <c r="PO2" s="208"/>
      <c r="PP2" s="208"/>
      <c r="PQ2" s="208"/>
      <c r="PR2" s="208"/>
      <c r="PS2" s="208"/>
      <c r="PT2" s="208"/>
      <c r="PU2" s="208"/>
      <c r="PV2" s="208"/>
      <c r="PW2" s="208"/>
      <c r="PX2" s="208"/>
      <c r="PY2" s="208"/>
      <c r="PZ2" s="208"/>
      <c r="QA2" s="208"/>
      <c r="QB2" s="208"/>
      <c r="QC2" s="208"/>
      <c r="QD2" s="208"/>
      <c r="QE2" s="208"/>
      <c r="QF2" s="208"/>
      <c r="QG2" s="208"/>
      <c r="QH2" s="208"/>
      <c r="QI2" s="208"/>
      <c r="QJ2" s="208"/>
      <c r="QK2" s="208"/>
      <c r="QL2" s="208"/>
      <c r="QM2" s="208"/>
      <c r="QN2" s="208"/>
      <c r="QO2" s="208"/>
      <c r="QP2" s="208"/>
      <c r="QQ2" s="208"/>
      <c r="QR2" s="208"/>
      <c r="QS2" s="208"/>
      <c r="QT2" s="208"/>
      <c r="QU2" s="208"/>
      <c r="QV2" s="208"/>
      <c r="QW2" s="208"/>
      <c r="QX2" s="208"/>
      <c r="QY2" s="208"/>
      <c r="QZ2" s="208"/>
      <c r="RA2" s="208"/>
      <c r="RB2" s="208"/>
      <c r="RC2" s="208"/>
      <c r="RD2" s="208"/>
      <c r="RE2" s="208"/>
      <c r="RF2" s="208"/>
      <c r="RG2" s="208"/>
      <c r="RH2" s="208"/>
      <c r="RI2" s="208"/>
      <c r="RJ2" s="208"/>
      <c r="RK2" s="208"/>
      <c r="RL2" s="208"/>
      <c r="RM2" s="208"/>
      <c r="RN2" s="208"/>
      <c r="RO2" s="208"/>
      <c r="RP2" s="208"/>
      <c r="RQ2" s="208"/>
      <c r="RR2" s="208"/>
      <c r="RS2" s="208"/>
      <c r="RT2" s="208"/>
      <c r="RU2" s="208"/>
      <c r="RV2" s="208"/>
      <c r="RW2" s="208"/>
      <c r="RX2" s="208"/>
      <c r="RY2" s="208"/>
      <c r="RZ2" s="208"/>
    </row>
    <row r="3" spans="1:494" ht="26.5" thickBot="1">
      <c r="A3" s="13" t="s">
        <v>49</v>
      </c>
      <c r="B3" s="210" t="s">
        <v>84</v>
      </c>
      <c r="C3" s="210" t="s">
        <v>85</v>
      </c>
      <c r="D3" s="210" t="s">
        <v>86</v>
      </c>
      <c r="E3" s="211" t="s">
        <v>87</v>
      </c>
      <c r="F3" s="210" t="s">
        <v>84</v>
      </c>
      <c r="G3" s="210" t="s">
        <v>85</v>
      </c>
      <c r="H3" s="210" t="s">
        <v>86</v>
      </c>
      <c r="I3" s="211" t="s">
        <v>87</v>
      </c>
      <c r="J3" s="210" t="s">
        <v>84</v>
      </c>
      <c r="K3" s="210" t="s">
        <v>85</v>
      </c>
      <c r="L3" s="210" t="s">
        <v>86</v>
      </c>
      <c r="M3" s="212" t="s">
        <v>203</v>
      </c>
      <c r="N3" s="210" t="s">
        <v>84</v>
      </c>
      <c r="O3" s="210" t="s">
        <v>85</v>
      </c>
      <c r="P3" s="210" t="s">
        <v>209</v>
      </c>
      <c r="Q3" s="211" t="s">
        <v>87</v>
      </c>
      <c r="R3" s="210" t="s">
        <v>84</v>
      </c>
      <c r="S3" s="210" t="s">
        <v>85</v>
      </c>
      <c r="T3" s="210" t="s">
        <v>209</v>
      </c>
      <c r="U3" s="211" t="s">
        <v>87</v>
      </c>
      <c r="V3" s="210" t="s">
        <v>84</v>
      </c>
      <c r="W3" s="210" t="s">
        <v>85</v>
      </c>
      <c r="X3" s="210" t="s">
        <v>209</v>
      </c>
      <c r="Y3" s="212" t="s">
        <v>87</v>
      </c>
      <c r="Z3" s="531" t="s">
        <v>84</v>
      </c>
      <c r="AA3" s="210" t="s">
        <v>85</v>
      </c>
      <c r="AB3" s="210" t="s">
        <v>209</v>
      </c>
      <c r="AC3" s="211" t="s">
        <v>87</v>
      </c>
    </row>
    <row r="4" spans="1:494" s="487" customFormat="1" ht="33.75" customHeight="1" thickBot="1">
      <c r="A4" s="488" t="s">
        <v>89</v>
      </c>
      <c r="B4" s="489"/>
      <c r="C4" s="489"/>
      <c r="D4" s="489"/>
      <c r="E4" s="489"/>
      <c r="F4" s="489"/>
      <c r="G4" s="489"/>
      <c r="H4" s="489"/>
      <c r="I4" s="489"/>
      <c r="J4" s="489"/>
      <c r="K4" s="490"/>
      <c r="L4" s="490"/>
      <c r="M4" s="489"/>
      <c r="N4" s="489"/>
      <c r="O4" s="489"/>
      <c r="P4" s="490"/>
      <c r="Q4" s="489"/>
      <c r="R4" s="489"/>
      <c r="S4" s="489"/>
      <c r="T4" s="489"/>
      <c r="U4" s="489"/>
      <c r="V4" s="486"/>
      <c r="W4" s="486"/>
      <c r="X4" s="486"/>
      <c r="Y4" s="491"/>
      <c r="Z4" s="486"/>
      <c r="AA4" s="486"/>
      <c r="AB4" s="486"/>
      <c r="AC4" s="491"/>
    </row>
    <row r="5" spans="1:494" s="213" customFormat="1" ht="20.149999999999999" customHeight="1">
      <c r="A5" s="206" t="s">
        <v>90</v>
      </c>
      <c r="B5" s="255">
        <f>415.308</f>
        <v>415.30799999999999</v>
      </c>
      <c r="C5" s="255">
        <f>419.479</f>
        <v>419.47899999999998</v>
      </c>
      <c r="D5" s="271">
        <f>(425068)*0.001</f>
        <v>425.06799999999998</v>
      </c>
      <c r="E5" s="356">
        <f>(420060)*0.001</f>
        <v>420.06</v>
      </c>
      <c r="F5" s="271">
        <f>(419894)*0.001</f>
        <v>419.89400000000001</v>
      </c>
      <c r="G5" s="271">
        <f>(418521)*0.001</f>
        <v>418.52100000000002</v>
      </c>
      <c r="H5" s="271">
        <f>(409736)*0.001</f>
        <v>409.73599999999999</v>
      </c>
      <c r="I5" s="357">
        <f>(407579)*0.001</f>
        <v>407.57900000000001</v>
      </c>
      <c r="J5" s="358">
        <f>(395393)*0.001</f>
        <v>395.39300000000003</v>
      </c>
      <c r="K5" s="255">
        <v>384.8</v>
      </c>
      <c r="L5" s="255">
        <v>417</v>
      </c>
      <c r="M5" s="256">
        <v>421.1</v>
      </c>
      <c r="N5" s="255">
        <v>416.6</v>
      </c>
      <c r="O5" s="255">
        <v>401.1</v>
      </c>
      <c r="P5" s="255">
        <v>377</v>
      </c>
      <c r="Q5" s="256">
        <v>371</v>
      </c>
      <c r="R5" s="255">
        <v>356.7</v>
      </c>
      <c r="S5" s="255">
        <v>353.3</v>
      </c>
      <c r="T5" s="255">
        <v>350.4</v>
      </c>
      <c r="U5" s="256">
        <v>350.9</v>
      </c>
      <c r="V5" s="421">
        <v>342.2</v>
      </c>
      <c r="W5" s="421">
        <v>332.9</v>
      </c>
      <c r="X5" s="421">
        <v>324</v>
      </c>
      <c r="Y5" s="422">
        <v>325.3</v>
      </c>
      <c r="Z5" s="421">
        <v>312.5</v>
      </c>
      <c r="AA5" s="421"/>
      <c r="AB5" s="421"/>
      <c r="AC5" s="422"/>
    </row>
    <row r="6" spans="1:494" s="213" customFormat="1" ht="20.149999999999999" customHeight="1">
      <c r="A6" s="206" t="s">
        <v>91</v>
      </c>
      <c r="B6" s="255">
        <f>258.7</f>
        <v>258.7</v>
      </c>
      <c r="C6" s="255">
        <f>258.506</f>
        <v>258.50599999999997</v>
      </c>
      <c r="D6" s="271">
        <f>(257043)*0.001</f>
        <v>257.04300000000001</v>
      </c>
      <c r="E6" s="356">
        <f>(276407)*0.001</f>
        <v>276.40699999999998</v>
      </c>
      <c r="F6" s="271">
        <f>(266252)*0.001</f>
        <v>266.25200000000001</v>
      </c>
      <c r="G6" s="271">
        <f>(265011)*0.001</f>
        <v>265.01100000000002</v>
      </c>
      <c r="H6" s="271">
        <f>(252063)*0.001</f>
        <v>252.06300000000002</v>
      </c>
      <c r="I6" s="357">
        <f>(251152)*0.001</f>
        <v>251.15200000000002</v>
      </c>
      <c r="J6" s="358">
        <f>(248178)*0.001</f>
        <v>248.178</v>
      </c>
      <c r="K6" s="255">
        <v>3010.6</v>
      </c>
      <c r="L6" s="255">
        <v>2933.8</v>
      </c>
      <c r="M6" s="256">
        <v>2714.9</v>
      </c>
      <c r="N6" s="255">
        <v>2855.8</v>
      </c>
      <c r="O6" s="255">
        <v>2541.1999999999998</v>
      </c>
      <c r="P6" s="255">
        <v>2535.1999999999998</v>
      </c>
      <c r="Q6" s="256">
        <v>2548.6</v>
      </c>
      <c r="R6" s="255">
        <v>3002.2</v>
      </c>
      <c r="S6" s="255">
        <v>2931</v>
      </c>
      <c r="T6" s="255">
        <v>2882.8</v>
      </c>
      <c r="U6" s="256">
        <v>2964.3</v>
      </c>
      <c r="V6" s="421">
        <v>2885.9</v>
      </c>
      <c r="W6" s="421">
        <v>2904.7</v>
      </c>
      <c r="X6" s="421">
        <v>2866.4</v>
      </c>
      <c r="Y6" s="422">
        <v>2867.1</v>
      </c>
      <c r="Z6" s="421">
        <v>2797</v>
      </c>
      <c r="AA6" s="421"/>
      <c r="AB6" s="421"/>
      <c r="AC6" s="422"/>
    </row>
    <row r="7" spans="1:494" s="213" customFormat="1" ht="20.149999999999999" customHeight="1">
      <c r="A7" s="206" t="s">
        <v>92</v>
      </c>
      <c r="B7" s="255">
        <f>2422.989</f>
        <v>2422.989</v>
      </c>
      <c r="C7" s="255">
        <f>2575.456</f>
        <v>2575.4560000000001</v>
      </c>
      <c r="D7" s="255">
        <f>(2575456)*0.001</f>
        <v>2575.4560000000001</v>
      </c>
      <c r="E7" s="272">
        <f>(2568033)*0.001</f>
        <v>2568.0329999999999</v>
      </c>
      <c r="F7" s="255">
        <f>(2568033)*0.001</f>
        <v>2568.0329999999999</v>
      </c>
      <c r="G7" s="255">
        <f>(2568033)*0.001</f>
        <v>2568.0329999999999</v>
      </c>
      <c r="H7" s="255">
        <f>(2637594)*0.001</f>
        <v>2637.5940000000001</v>
      </c>
      <c r="I7" s="272">
        <f>(2602804)*0.001</f>
        <v>2602.8040000000001</v>
      </c>
      <c r="J7" s="255">
        <f>(2602804)*0.001</f>
        <v>2602.8040000000001</v>
      </c>
      <c r="K7" s="255">
        <v>11735.5</v>
      </c>
      <c r="L7" s="255">
        <v>11735.5</v>
      </c>
      <c r="M7" s="256">
        <v>10585.3</v>
      </c>
      <c r="N7" s="255">
        <v>10831.2</v>
      </c>
      <c r="O7" s="255">
        <v>10606.4</v>
      </c>
      <c r="P7" s="255">
        <v>10606.4</v>
      </c>
      <c r="Q7" s="256">
        <v>10606.4</v>
      </c>
      <c r="R7" s="255">
        <v>11675.3</v>
      </c>
      <c r="S7" s="255">
        <v>10975.2</v>
      </c>
      <c r="T7" s="255">
        <v>10975.3</v>
      </c>
      <c r="U7" s="256">
        <v>10975.4</v>
      </c>
      <c r="V7" s="421">
        <v>10975.4</v>
      </c>
      <c r="W7" s="421">
        <v>10975.4</v>
      </c>
      <c r="X7" s="421">
        <v>10975.4</v>
      </c>
      <c r="Y7" s="422">
        <v>11041.7</v>
      </c>
      <c r="Z7" s="421">
        <v>11060.5</v>
      </c>
      <c r="AA7" s="421"/>
      <c r="AB7" s="421"/>
      <c r="AC7" s="422"/>
    </row>
    <row r="8" spans="1:494" s="213" customFormat="1" ht="20.149999999999999" customHeight="1">
      <c r="A8" s="216" t="s">
        <v>195</v>
      </c>
      <c r="B8" s="257">
        <f>0</f>
        <v>0</v>
      </c>
      <c r="C8" s="257">
        <v>0</v>
      </c>
      <c r="D8" s="257">
        <f>0</f>
        <v>0</v>
      </c>
      <c r="E8" s="256">
        <v>0</v>
      </c>
      <c r="F8" s="257">
        <f>0</f>
        <v>0</v>
      </c>
      <c r="G8" s="257">
        <f>0</f>
        <v>0</v>
      </c>
      <c r="H8" s="257">
        <f>0</f>
        <v>0</v>
      </c>
      <c r="I8" s="359">
        <f>0</f>
        <v>0</v>
      </c>
      <c r="J8" s="360">
        <v>0</v>
      </c>
      <c r="K8" s="255">
        <v>4482</v>
      </c>
      <c r="L8" s="255">
        <v>4331.8999999999996</v>
      </c>
      <c r="M8" s="256">
        <v>4255.8</v>
      </c>
      <c r="N8" s="257">
        <v>4002.2</v>
      </c>
      <c r="O8" s="257">
        <v>3944.6</v>
      </c>
      <c r="P8" s="255">
        <v>3791.6</v>
      </c>
      <c r="Q8" s="256">
        <v>3638.5</v>
      </c>
      <c r="R8" s="257">
        <v>3488.7</v>
      </c>
      <c r="S8" s="257">
        <v>3337.3</v>
      </c>
      <c r="T8" s="257">
        <v>3184.2</v>
      </c>
      <c r="U8" s="256">
        <v>3031.2</v>
      </c>
      <c r="V8" s="423">
        <v>2883.1</v>
      </c>
      <c r="W8" s="423">
        <v>2762.8</v>
      </c>
      <c r="X8" s="423">
        <v>2660.5</v>
      </c>
      <c r="Y8" s="422">
        <v>2557.3000000000002</v>
      </c>
      <c r="Z8" s="421">
        <v>2458.6</v>
      </c>
      <c r="AA8" s="423"/>
      <c r="AB8" s="423"/>
      <c r="AC8" s="422"/>
    </row>
    <row r="9" spans="1:494" s="213" customFormat="1" ht="20.149999999999999" customHeight="1">
      <c r="A9" s="206" t="s">
        <v>93</v>
      </c>
      <c r="B9" s="255">
        <f>840</f>
        <v>840</v>
      </c>
      <c r="C9" s="271">
        <f>(840000)*0.001</f>
        <v>840</v>
      </c>
      <c r="D9" s="271">
        <f>(840000)*0.001</f>
        <v>840</v>
      </c>
      <c r="E9" s="356">
        <f>(847800)*0.001</f>
        <v>847.80000000000007</v>
      </c>
      <c r="F9" s="271">
        <f>(847800)*0.001</f>
        <v>847.80000000000007</v>
      </c>
      <c r="G9" s="271">
        <f>(847800)*0.001</f>
        <v>847.80000000000007</v>
      </c>
      <c r="H9" s="271">
        <f>(847800)*0.001</f>
        <v>847.80000000000007</v>
      </c>
      <c r="I9" s="357">
        <f>(890800)*0.001</f>
        <v>890.80000000000007</v>
      </c>
      <c r="J9" s="358">
        <f>(890800)*0.001</f>
        <v>890.80000000000007</v>
      </c>
      <c r="K9" s="255">
        <v>890.8</v>
      </c>
      <c r="L9" s="255">
        <v>890.8</v>
      </c>
      <c r="M9" s="256">
        <v>2085.9</v>
      </c>
      <c r="N9" s="255">
        <v>1783.7</v>
      </c>
      <c r="O9" s="255">
        <v>2092.6999999999998</v>
      </c>
      <c r="P9" s="255">
        <v>2086.6</v>
      </c>
      <c r="Q9" s="256">
        <v>2080.6</v>
      </c>
      <c r="R9" s="255">
        <v>2074.6</v>
      </c>
      <c r="S9" s="255">
        <v>2068.6</v>
      </c>
      <c r="T9" s="255">
        <v>2062.5</v>
      </c>
      <c r="U9" s="256">
        <v>2056.5</v>
      </c>
      <c r="V9" s="421">
        <v>2050.5</v>
      </c>
      <c r="W9" s="421">
        <v>2044.4</v>
      </c>
      <c r="X9" s="421">
        <v>2038.4</v>
      </c>
      <c r="Y9" s="422">
        <v>2037.1</v>
      </c>
      <c r="Z9" s="421">
        <v>2031</v>
      </c>
      <c r="AA9" s="421"/>
      <c r="AB9" s="421"/>
      <c r="AC9" s="422"/>
    </row>
    <row r="10" spans="1:494" s="213" customFormat="1" ht="20.149999999999999" customHeight="1">
      <c r="A10" s="206" t="s">
        <v>94</v>
      </c>
      <c r="B10" s="255">
        <f>69.466</f>
        <v>69.465999999999994</v>
      </c>
      <c r="C10" s="271">
        <f>(69627)*0.001</f>
        <v>69.626999999999995</v>
      </c>
      <c r="D10" s="271">
        <f>(68459)*0.001</f>
        <v>68.459000000000003</v>
      </c>
      <c r="E10" s="356">
        <f>(81380)*0.001</f>
        <v>81.38</v>
      </c>
      <c r="F10" s="271">
        <f>(82841)*0.001</f>
        <v>82.841000000000008</v>
      </c>
      <c r="G10" s="271">
        <f>(83804)*0.001</f>
        <v>83.804000000000002</v>
      </c>
      <c r="H10" s="271">
        <f>(115337)*0.001</f>
        <v>115.337</v>
      </c>
      <c r="I10" s="357">
        <f>(137401)*0.001</f>
        <v>137.40100000000001</v>
      </c>
      <c r="J10" s="358">
        <f>(136697)*0.001</f>
        <v>136.697</v>
      </c>
      <c r="K10" s="255">
        <v>2360.6</v>
      </c>
      <c r="L10" s="255">
        <v>2624.2</v>
      </c>
      <c r="M10" s="256">
        <v>2591.4</v>
      </c>
      <c r="N10" s="255">
        <v>2527.5</v>
      </c>
      <c r="O10" s="255">
        <v>2525.8000000000002</v>
      </c>
      <c r="P10" s="255">
        <v>2464.1999999999998</v>
      </c>
      <c r="Q10" s="256">
        <v>2422.1999999999998</v>
      </c>
      <c r="R10" s="255">
        <v>2988.7</v>
      </c>
      <c r="S10" s="255">
        <v>3903</v>
      </c>
      <c r="T10" s="255">
        <v>3769.5</v>
      </c>
      <c r="U10" s="256">
        <v>3656.2</v>
      </c>
      <c r="V10" s="421">
        <v>3540.5</v>
      </c>
      <c r="W10" s="421">
        <v>3471.1</v>
      </c>
      <c r="X10" s="421">
        <v>3343.6</v>
      </c>
      <c r="Y10" s="422">
        <v>3261.5</v>
      </c>
      <c r="Z10" s="421">
        <v>3146.4</v>
      </c>
      <c r="AA10" s="421"/>
      <c r="AB10" s="421"/>
      <c r="AC10" s="422"/>
    </row>
    <row r="11" spans="1:494" s="213" customFormat="1" ht="20.149999999999999" customHeight="1">
      <c r="A11" s="206" t="s">
        <v>95</v>
      </c>
      <c r="B11" s="255">
        <f>91.415</f>
        <v>91.415000000000006</v>
      </c>
      <c r="C11" s="271">
        <f>(95405)*0.001</f>
        <v>95.405000000000001</v>
      </c>
      <c r="D11" s="271">
        <f>(95323)*0.001</f>
        <v>95.323000000000008</v>
      </c>
      <c r="E11" s="356">
        <f>(97988)*0.001</f>
        <v>97.988</v>
      </c>
      <c r="F11" s="271">
        <f>(104074)*0.001</f>
        <v>104.074</v>
      </c>
      <c r="G11" s="271">
        <f>(115904)*0.001</f>
        <v>115.904</v>
      </c>
      <c r="H11" s="271">
        <f>(82162)*0.001</f>
        <v>82.162000000000006</v>
      </c>
      <c r="I11" s="357">
        <f>(71571)*0.001</f>
        <v>71.570999999999998</v>
      </c>
      <c r="J11" s="358">
        <f>(107548)*0.001</f>
        <v>107.548</v>
      </c>
      <c r="K11" s="255">
        <v>128.1</v>
      </c>
      <c r="L11" s="255">
        <v>148.80000000000001</v>
      </c>
      <c r="M11" s="256">
        <v>135.80000000000001</v>
      </c>
      <c r="N11" s="255">
        <v>158.69999999999999</v>
      </c>
      <c r="O11" s="255">
        <v>174.6</v>
      </c>
      <c r="P11" s="255">
        <v>109</v>
      </c>
      <c r="Q11" s="256">
        <v>145</v>
      </c>
      <c r="R11" s="255">
        <v>129.80000000000001</v>
      </c>
      <c r="S11" s="255">
        <v>156.19999999999999</v>
      </c>
      <c r="T11" s="255">
        <v>125.6</v>
      </c>
      <c r="U11" s="256">
        <v>151.80000000000001</v>
      </c>
      <c r="V11" s="421">
        <v>150</v>
      </c>
      <c r="W11" s="421">
        <v>167.3</v>
      </c>
      <c r="X11" s="421">
        <v>180.5</v>
      </c>
      <c r="Y11" s="422">
        <v>170.1</v>
      </c>
      <c r="Z11" s="421">
        <v>170.1</v>
      </c>
      <c r="AA11" s="421"/>
      <c r="AB11" s="421"/>
      <c r="AC11" s="422"/>
    </row>
    <row r="12" spans="1:494" s="213" customFormat="1" ht="20.149999999999999" customHeight="1">
      <c r="A12" s="206" t="s">
        <v>96</v>
      </c>
      <c r="B12" s="255">
        <f>8.419</f>
        <v>8.4190000000000005</v>
      </c>
      <c r="C12" s="271">
        <f>(8398)*0.001</f>
        <v>8.3979999999999997</v>
      </c>
      <c r="D12" s="271">
        <f>(8378)*0.001</f>
        <v>8.3780000000000001</v>
      </c>
      <c r="E12" s="356">
        <f>(8357)*0.001</f>
        <v>8.3569999999999993</v>
      </c>
      <c r="F12" s="271">
        <f>(8336)*0.001</f>
        <v>8.3360000000000003</v>
      </c>
      <c r="G12" s="271">
        <f>(7788)*0.001</f>
        <v>7.7880000000000003</v>
      </c>
      <c r="H12" s="271">
        <f>(7427)*0.001</f>
        <v>7.4270000000000005</v>
      </c>
      <c r="I12" s="357">
        <f>(5330)*0.001</f>
        <v>5.33</v>
      </c>
      <c r="J12" s="358">
        <f>(5315)*0.001</f>
        <v>5.3150000000000004</v>
      </c>
      <c r="K12" s="255">
        <v>5.3</v>
      </c>
      <c r="L12" s="255">
        <v>5.3</v>
      </c>
      <c r="M12" s="256">
        <v>5.3</v>
      </c>
      <c r="N12" s="255">
        <v>5.2</v>
      </c>
      <c r="O12" s="255">
        <v>5.2</v>
      </c>
      <c r="P12" s="255">
        <v>5.2</v>
      </c>
      <c r="Q12" s="256">
        <v>5.2</v>
      </c>
      <c r="R12" s="255">
        <v>5.2</v>
      </c>
      <c r="S12" s="255">
        <v>5.2</v>
      </c>
      <c r="T12" s="255">
        <v>5.2</v>
      </c>
      <c r="U12" s="256">
        <v>5.0999999999999996</v>
      </c>
      <c r="V12" s="421">
        <v>5.0999999999999996</v>
      </c>
      <c r="W12" s="421">
        <v>5.0999999999999996</v>
      </c>
      <c r="X12" s="421">
        <v>5.0999999999999996</v>
      </c>
      <c r="Y12" s="422">
        <v>5.0999999999999996</v>
      </c>
      <c r="Z12" s="421">
        <v>5.0999999999999996</v>
      </c>
      <c r="AA12" s="421"/>
      <c r="AB12" s="421"/>
      <c r="AC12" s="422"/>
    </row>
    <row r="13" spans="1:494" s="213" customFormat="1" ht="20.149999999999999" customHeight="1">
      <c r="A13" s="206" t="s">
        <v>196</v>
      </c>
      <c r="B13" s="257">
        <v>0</v>
      </c>
      <c r="C13" s="271">
        <f>(33259)*0.001</f>
        <v>33.259</v>
      </c>
      <c r="D13" s="271">
        <f>(33252)*0.001</f>
        <v>33.252000000000002</v>
      </c>
      <c r="E13" s="356">
        <f>(35125)*0.001</f>
        <v>35.125</v>
      </c>
      <c r="F13" s="271">
        <f>(34399)*0.001</f>
        <v>34.399000000000001</v>
      </c>
      <c r="G13" s="271">
        <f>(32935)*0.001</f>
        <v>32.935000000000002</v>
      </c>
      <c r="H13" s="271">
        <f>(29318)*0.001</f>
        <v>29.318000000000001</v>
      </c>
      <c r="I13" s="357">
        <f>(29551)*0.001</f>
        <v>29.551000000000002</v>
      </c>
      <c r="J13" s="358">
        <f>(26502)*0.001</f>
        <v>26.501999999999999</v>
      </c>
      <c r="K13" s="255">
        <v>46.2</v>
      </c>
      <c r="L13" s="255">
        <v>67</v>
      </c>
      <c r="M13" s="256">
        <v>81</v>
      </c>
      <c r="N13" s="255">
        <v>84.1</v>
      </c>
      <c r="O13" s="255">
        <v>82.3</v>
      </c>
      <c r="P13" s="255">
        <v>81.2</v>
      </c>
      <c r="Q13" s="256">
        <v>83.3</v>
      </c>
      <c r="R13" s="255">
        <v>81.099999999999994</v>
      </c>
      <c r="S13" s="255">
        <v>79.7</v>
      </c>
      <c r="T13" s="255">
        <v>80.400000000000006</v>
      </c>
      <c r="U13" s="256">
        <v>82.8</v>
      </c>
      <c r="V13" s="421">
        <v>83.8</v>
      </c>
      <c r="W13" s="421">
        <v>82.9</v>
      </c>
      <c r="X13" s="421">
        <v>85.8</v>
      </c>
      <c r="Y13" s="422">
        <v>91.4</v>
      </c>
      <c r="Z13" s="421">
        <v>90.4</v>
      </c>
      <c r="AA13" s="421"/>
      <c r="AB13" s="421"/>
      <c r="AC13" s="422"/>
    </row>
    <row r="14" spans="1:494" s="213" customFormat="1" ht="20.149999999999999" customHeight="1">
      <c r="A14" s="206" t="s">
        <v>178</v>
      </c>
      <c r="B14" s="257">
        <v>0</v>
      </c>
      <c r="C14" s="257">
        <v>0</v>
      </c>
      <c r="D14" s="257">
        <v>0</v>
      </c>
      <c r="E14" s="356">
        <v>0</v>
      </c>
      <c r="F14" s="271">
        <v>0</v>
      </c>
      <c r="G14" s="271">
        <v>0</v>
      </c>
      <c r="H14" s="271">
        <v>0</v>
      </c>
      <c r="I14" s="357">
        <v>0</v>
      </c>
      <c r="J14" s="358">
        <v>0</v>
      </c>
      <c r="K14" s="255">
        <v>0</v>
      </c>
      <c r="L14" s="255">
        <v>0</v>
      </c>
      <c r="M14" s="256">
        <v>0</v>
      </c>
      <c r="N14" s="255">
        <v>0</v>
      </c>
      <c r="O14" s="255">
        <v>0</v>
      </c>
      <c r="P14" s="255">
        <v>0</v>
      </c>
      <c r="Q14" s="256">
        <v>0</v>
      </c>
      <c r="R14" s="255">
        <v>180.5</v>
      </c>
      <c r="S14" s="255">
        <v>0</v>
      </c>
      <c r="T14" s="255">
        <v>0</v>
      </c>
      <c r="U14" s="256">
        <v>0</v>
      </c>
      <c r="V14" s="421">
        <v>0</v>
      </c>
      <c r="W14" s="421">
        <v>0</v>
      </c>
      <c r="X14" s="421">
        <v>0</v>
      </c>
      <c r="Y14" s="422">
        <v>0</v>
      </c>
      <c r="Z14" s="421">
        <v>0</v>
      </c>
      <c r="AA14" s="421"/>
      <c r="AB14" s="421"/>
      <c r="AC14" s="422"/>
    </row>
    <row r="15" spans="1:494" s="213" customFormat="1" ht="20.149999999999999" customHeight="1">
      <c r="A15" s="206" t="s">
        <v>272</v>
      </c>
      <c r="B15" s="255">
        <f>92.159</f>
        <v>92.159000000000006</v>
      </c>
      <c r="C15" s="271">
        <f>(84770)*0.001</f>
        <v>84.77</v>
      </c>
      <c r="D15" s="271">
        <f>(116704)*0.001</f>
        <v>116.70400000000001</v>
      </c>
      <c r="E15" s="356">
        <f>(109642)*0.001</f>
        <v>109.642</v>
      </c>
      <c r="F15" s="271">
        <f>(62960)*0.001</f>
        <v>62.96</v>
      </c>
      <c r="G15" s="271">
        <f>(61422)*0.001</f>
        <v>61.422000000000004</v>
      </c>
      <c r="H15" s="271">
        <f>(27107)*0.001</f>
        <v>27.106999999999999</v>
      </c>
      <c r="I15" s="357">
        <f>(20803)*0.001</f>
        <v>20.803000000000001</v>
      </c>
      <c r="J15" s="358">
        <f>(6430)*0.001</f>
        <v>6.43</v>
      </c>
      <c r="K15" s="255">
        <v>107.4</v>
      </c>
      <c r="L15" s="255">
        <v>141.4</v>
      </c>
      <c r="M15" s="256">
        <v>198.5</v>
      </c>
      <c r="N15" s="255">
        <v>238</v>
      </c>
      <c r="O15" s="255">
        <v>232.8</v>
      </c>
      <c r="P15" s="255">
        <v>232.7</v>
      </c>
      <c r="Q15" s="256">
        <v>272.8</v>
      </c>
      <c r="R15" s="255">
        <v>295.39999999999998</v>
      </c>
      <c r="S15" s="255">
        <v>331.8</v>
      </c>
      <c r="T15" s="255">
        <v>373.3</v>
      </c>
      <c r="U15" s="256">
        <v>452</v>
      </c>
      <c r="V15" s="421">
        <v>476.3</v>
      </c>
      <c r="W15" s="421">
        <v>508.1</v>
      </c>
      <c r="X15" s="421">
        <v>544.20000000000005</v>
      </c>
      <c r="Y15" s="422">
        <v>1270.7</v>
      </c>
      <c r="Z15" s="421">
        <v>1280.5999999999999</v>
      </c>
      <c r="AA15" s="421"/>
      <c r="AB15" s="421"/>
      <c r="AC15" s="422"/>
    </row>
    <row r="16" spans="1:494" s="213" customFormat="1" ht="20.149999999999999" customHeight="1">
      <c r="A16" s="470" t="s">
        <v>273</v>
      </c>
      <c r="B16" s="462"/>
      <c r="C16" s="462"/>
      <c r="D16" s="462"/>
      <c r="E16" s="463"/>
      <c r="F16" s="462"/>
      <c r="G16" s="462"/>
      <c r="H16" s="462"/>
      <c r="I16" s="463"/>
      <c r="J16" s="462"/>
      <c r="K16" s="462"/>
      <c r="L16" s="462"/>
      <c r="M16" s="463"/>
      <c r="N16" s="462"/>
      <c r="O16" s="462"/>
      <c r="P16" s="462"/>
      <c r="Q16" s="463"/>
      <c r="R16" s="462"/>
      <c r="S16" s="462"/>
      <c r="T16" s="462"/>
      <c r="U16" s="463">
        <v>0</v>
      </c>
      <c r="V16" s="462"/>
      <c r="W16" s="462"/>
      <c r="X16" s="462"/>
      <c r="Y16" s="425">
        <v>665.2</v>
      </c>
      <c r="Z16" s="424">
        <v>681.2</v>
      </c>
      <c r="AA16" s="462"/>
      <c r="AB16" s="462"/>
      <c r="AC16" s="425"/>
    </row>
    <row r="17" spans="1:29" s="217" customFormat="1" ht="20.149999999999999" customHeight="1">
      <c r="A17" s="207" t="s">
        <v>274</v>
      </c>
      <c r="B17" s="258">
        <v>0</v>
      </c>
      <c r="C17" s="258">
        <v>0</v>
      </c>
      <c r="D17" s="258">
        <v>0</v>
      </c>
      <c r="E17" s="259">
        <v>0</v>
      </c>
      <c r="F17" s="258">
        <v>0</v>
      </c>
      <c r="G17" s="258">
        <v>0</v>
      </c>
      <c r="H17" s="258">
        <v>0</v>
      </c>
      <c r="I17" s="361">
        <v>0</v>
      </c>
      <c r="J17" s="362">
        <v>0</v>
      </c>
      <c r="K17" s="258">
        <v>0</v>
      </c>
      <c r="L17" s="258">
        <v>0</v>
      </c>
      <c r="M17" s="259">
        <v>1.2</v>
      </c>
      <c r="N17" s="258">
        <v>0</v>
      </c>
      <c r="O17" s="258">
        <v>0</v>
      </c>
      <c r="P17" s="258">
        <v>0</v>
      </c>
      <c r="Q17" s="259">
        <v>6.9</v>
      </c>
      <c r="R17" s="258">
        <v>0.6</v>
      </c>
      <c r="S17" s="258">
        <v>0</v>
      </c>
      <c r="T17" s="258">
        <v>3.5</v>
      </c>
      <c r="U17" s="259">
        <v>9.5</v>
      </c>
      <c r="V17" s="424">
        <v>7.8</v>
      </c>
      <c r="W17" s="424">
        <v>4.9000000000000004</v>
      </c>
      <c r="X17" s="424">
        <v>2.5</v>
      </c>
      <c r="Y17" s="425">
        <v>1.9</v>
      </c>
      <c r="Z17" s="424">
        <v>0.1</v>
      </c>
      <c r="AA17" s="424"/>
      <c r="AB17" s="424"/>
      <c r="AC17" s="425"/>
    </row>
    <row r="18" spans="1:29" s="213" customFormat="1" ht="20.149999999999999" customHeight="1" thickBot="1">
      <c r="A18" s="206" t="s">
        <v>98</v>
      </c>
      <c r="B18" s="260">
        <f>30.5</f>
        <v>30.5</v>
      </c>
      <c r="C18" s="271">
        <f>(40245)*0.001</f>
        <v>40.244999999999997</v>
      </c>
      <c r="D18" s="271">
        <f>(37018)*0.001</f>
        <v>37.018000000000001</v>
      </c>
      <c r="E18" s="356">
        <f>(31356)*0.001</f>
        <v>31.356000000000002</v>
      </c>
      <c r="F18" s="271">
        <f>(30260)*0.001</f>
        <v>30.26</v>
      </c>
      <c r="G18" s="271">
        <f>(27326)*0.001</f>
        <v>27.326000000000001</v>
      </c>
      <c r="H18" s="271">
        <f>(27552)*0.001</f>
        <v>27.552</v>
      </c>
      <c r="I18" s="357">
        <f>(38854)*0.001</f>
        <v>38.853999999999999</v>
      </c>
      <c r="J18" s="358">
        <f>(34685)*0.001</f>
        <v>34.685000000000002</v>
      </c>
      <c r="K18" s="260">
        <v>240.5</v>
      </c>
      <c r="L18" s="260">
        <v>285.7</v>
      </c>
      <c r="M18" s="261">
        <v>281.10000000000002</v>
      </c>
      <c r="N18" s="260">
        <v>229</v>
      </c>
      <c r="O18" s="260">
        <v>260.89999999999998</v>
      </c>
      <c r="P18" s="260">
        <v>107.2</v>
      </c>
      <c r="Q18" s="261">
        <v>87.6</v>
      </c>
      <c r="R18" s="260">
        <v>211.3</v>
      </c>
      <c r="S18" s="260">
        <v>236.5</v>
      </c>
      <c r="T18" s="260">
        <v>238.4</v>
      </c>
      <c r="U18" s="261">
        <v>232.7</v>
      </c>
      <c r="V18" s="421">
        <v>249.3</v>
      </c>
      <c r="W18" s="426">
        <v>199.9</v>
      </c>
      <c r="X18" s="426">
        <v>192.1</v>
      </c>
      <c r="Y18" s="422">
        <v>197.2</v>
      </c>
      <c r="Z18" s="421">
        <v>178.4</v>
      </c>
      <c r="AA18" s="426"/>
      <c r="AB18" s="426"/>
      <c r="AC18" s="422"/>
    </row>
    <row r="19" spans="1:29" s="218" customFormat="1" ht="25" customHeight="1" thickBot="1">
      <c r="A19" s="22" t="s">
        <v>99</v>
      </c>
      <c r="B19" s="262">
        <f t="shared" ref="B19:I19" si="0">(SUM(B5:B18))</f>
        <v>4228.9560000000001</v>
      </c>
      <c r="C19" s="262">
        <f t="shared" si="0"/>
        <v>4425.1450000000004</v>
      </c>
      <c r="D19" s="262">
        <f t="shared" si="0"/>
        <v>4456.701</v>
      </c>
      <c r="E19" s="263">
        <f t="shared" si="0"/>
        <v>4476.1480000000001</v>
      </c>
      <c r="F19" s="262">
        <f t="shared" si="0"/>
        <v>4424.8490000000011</v>
      </c>
      <c r="G19" s="262">
        <f t="shared" si="0"/>
        <v>4428.5439999999999</v>
      </c>
      <c r="H19" s="262">
        <f t="shared" si="0"/>
        <v>4436.0960000000005</v>
      </c>
      <c r="I19" s="262">
        <f t="shared" si="0"/>
        <v>4455.8450000000003</v>
      </c>
      <c r="J19" s="363">
        <f>(SUM(J5:J18))</f>
        <v>4454.3520000000008</v>
      </c>
      <c r="K19" s="262">
        <f t="shared" ref="K19:L19" si="1">SUM(K5:K18)</f>
        <v>23391.8</v>
      </c>
      <c r="L19" s="262">
        <f t="shared" si="1"/>
        <v>23581.399999999998</v>
      </c>
      <c r="M19" s="263">
        <f t="shared" ref="M19:R19" si="2">(SUM(M5:M18))-M17</f>
        <v>23356.1</v>
      </c>
      <c r="N19" s="262">
        <f t="shared" si="2"/>
        <v>23132</v>
      </c>
      <c r="O19" s="262">
        <f t="shared" si="2"/>
        <v>22867.599999999999</v>
      </c>
      <c r="P19" s="262">
        <f t="shared" si="2"/>
        <v>22396.3</v>
      </c>
      <c r="Q19" s="263">
        <f t="shared" si="2"/>
        <v>22261.199999999997</v>
      </c>
      <c r="R19" s="262">
        <f t="shared" si="2"/>
        <v>24489.499999999996</v>
      </c>
      <c r="S19" s="262">
        <f t="shared" ref="S19:X19" si="3">(SUM(S5:S18))-S17</f>
        <v>24377.8</v>
      </c>
      <c r="T19" s="262">
        <f t="shared" si="3"/>
        <v>24047.600000000002</v>
      </c>
      <c r="U19" s="263">
        <f t="shared" si="3"/>
        <v>23958.899999999998</v>
      </c>
      <c r="V19" s="427">
        <f t="shared" si="3"/>
        <v>23642.099999999995</v>
      </c>
      <c r="W19" s="427">
        <f t="shared" si="3"/>
        <v>23454.6</v>
      </c>
      <c r="X19" s="427">
        <f t="shared" si="3"/>
        <v>23215.999999999996</v>
      </c>
      <c r="Y19" s="428">
        <f>(SUM(Y5:Y18))-Y17-Y16</f>
        <v>23824.5</v>
      </c>
      <c r="Z19" s="427">
        <f>SUM(Z5:Z15,Z18)</f>
        <v>23530.6</v>
      </c>
      <c r="AA19" s="427">
        <f t="shared" ref="AA19:AB19" si="4">(SUM(AA5:AA18))-AA17</f>
        <v>0</v>
      </c>
      <c r="AB19" s="427">
        <f t="shared" si="4"/>
        <v>0</v>
      </c>
      <c r="AC19" s="428">
        <f>(SUM(AC5:AC18))-AC17-AC16</f>
        <v>0</v>
      </c>
    </row>
    <row r="20" spans="1:29" s="218" customFormat="1" ht="20.149999999999999" customHeight="1">
      <c r="A20" s="206" t="s">
        <v>100</v>
      </c>
      <c r="B20" s="264">
        <f>176.114</f>
        <v>176.114</v>
      </c>
      <c r="C20" s="271">
        <f>(167251)*0.001</f>
        <v>167.251</v>
      </c>
      <c r="D20" s="271">
        <f>(171461)*0.001</f>
        <v>171.46100000000001</v>
      </c>
      <c r="E20" s="356">
        <f>(141652)*0.001</f>
        <v>141.65200000000002</v>
      </c>
      <c r="F20" s="271">
        <f>(155399)*0.001</f>
        <v>155.399</v>
      </c>
      <c r="G20" s="271">
        <f>(170743)*0.001</f>
        <v>170.74299999999999</v>
      </c>
      <c r="H20" s="271">
        <f>(208533)*0.001</f>
        <v>208.53300000000002</v>
      </c>
      <c r="I20" s="357">
        <f>(181341)*0.001</f>
        <v>181.34100000000001</v>
      </c>
      <c r="J20" s="358">
        <f>(228936)*0.001</f>
        <v>228.93600000000001</v>
      </c>
      <c r="K20" s="264">
        <v>199.1</v>
      </c>
      <c r="L20" s="264">
        <v>172.6</v>
      </c>
      <c r="M20" s="265">
        <v>152.1</v>
      </c>
      <c r="N20" s="264">
        <v>163.1</v>
      </c>
      <c r="O20" s="264">
        <v>170.4</v>
      </c>
      <c r="P20" s="264">
        <v>255.6</v>
      </c>
      <c r="Q20" s="265">
        <v>192.2</v>
      </c>
      <c r="R20" s="264">
        <v>234.7</v>
      </c>
      <c r="S20" s="264">
        <v>163.5</v>
      </c>
      <c r="T20" s="264">
        <v>219.1</v>
      </c>
      <c r="U20" s="265">
        <v>192</v>
      </c>
      <c r="V20" s="429">
        <v>179.8</v>
      </c>
      <c r="W20" s="429">
        <v>214.3</v>
      </c>
      <c r="X20" s="429">
        <v>243.6</v>
      </c>
      <c r="Y20" s="422">
        <v>251.7</v>
      </c>
      <c r="Z20" s="429">
        <v>256.60000000000002</v>
      </c>
      <c r="AA20" s="429"/>
      <c r="AB20" s="429"/>
      <c r="AC20" s="422"/>
    </row>
    <row r="21" spans="1:29" s="218" customFormat="1" ht="20.149999999999999" customHeight="1">
      <c r="A21" s="206" t="s">
        <v>252</v>
      </c>
      <c r="B21" s="255"/>
      <c r="C21" s="271"/>
      <c r="D21" s="271"/>
      <c r="E21" s="356"/>
      <c r="F21" s="271"/>
      <c r="G21" s="271"/>
      <c r="H21" s="271"/>
      <c r="I21" s="357"/>
      <c r="J21" s="358"/>
      <c r="K21" s="255"/>
      <c r="L21" s="255"/>
      <c r="M21" s="256"/>
      <c r="N21" s="255"/>
      <c r="O21" s="255"/>
      <c r="P21" s="255"/>
      <c r="Q21" s="256"/>
      <c r="R21" s="255"/>
      <c r="S21" s="255"/>
      <c r="T21" s="255"/>
      <c r="U21" s="256"/>
      <c r="V21" s="421"/>
      <c r="W21" s="421"/>
      <c r="X21" s="421"/>
      <c r="Y21" s="422"/>
      <c r="Z21" s="421">
        <v>680.8</v>
      </c>
      <c r="AA21" s="421"/>
      <c r="AB21" s="421"/>
      <c r="AC21" s="422"/>
    </row>
    <row r="22" spans="1:29" s="213" customFormat="1" ht="20.149999999999999" customHeight="1">
      <c r="A22" s="206" t="s">
        <v>101</v>
      </c>
      <c r="B22" s="255">
        <f>185.376</f>
        <v>185.376</v>
      </c>
      <c r="C22" s="271">
        <f>(185528)*0.001</f>
        <v>185.52799999999999</v>
      </c>
      <c r="D22" s="271">
        <f>(177054)*0.001</f>
        <v>177.054</v>
      </c>
      <c r="E22" s="356">
        <f>(161974)*0.001</f>
        <v>161.97399999999999</v>
      </c>
      <c r="F22" s="271">
        <f>(150701)*0.001</f>
        <v>150.70099999999999</v>
      </c>
      <c r="G22" s="271">
        <f>(157445)*0.001</f>
        <v>157.44499999999999</v>
      </c>
      <c r="H22" s="271">
        <f>(155698)*0.001</f>
        <v>155.69800000000001</v>
      </c>
      <c r="I22" s="357">
        <f>(146771)*0.001</f>
        <v>146.77100000000002</v>
      </c>
      <c r="J22" s="358">
        <f>(163072)*0.001</f>
        <v>163.072</v>
      </c>
      <c r="K22" s="255">
        <v>343.8</v>
      </c>
      <c r="L22" s="255">
        <v>316.60000000000002</v>
      </c>
      <c r="M22" s="256">
        <v>301.39999999999998</v>
      </c>
      <c r="N22" s="255">
        <v>252.9</v>
      </c>
      <c r="O22" s="255">
        <v>261.7</v>
      </c>
      <c r="P22" s="255">
        <v>264.10000000000002</v>
      </c>
      <c r="Q22" s="256">
        <v>281</v>
      </c>
      <c r="R22" s="255">
        <v>260.2</v>
      </c>
      <c r="S22" s="255">
        <v>270</v>
      </c>
      <c r="T22" s="255">
        <v>281</v>
      </c>
      <c r="U22" s="256">
        <v>278.7</v>
      </c>
      <c r="V22" s="421">
        <v>237.2</v>
      </c>
      <c r="W22" s="421">
        <v>279</v>
      </c>
      <c r="X22" s="421">
        <v>295.60000000000002</v>
      </c>
      <c r="Y22" s="422">
        <v>283.7</v>
      </c>
      <c r="Z22" s="423">
        <v>305.3</v>
      </c>
      <c r="AA22" s="421"/>
      <c r="AB22" s="421"/>
      <c r="AC22" s="422"/>
    </row>
    <row r="23" spans="1:29" s="213" customFormat="1" ht="20.149999999999999" customHeight="1">
      <c r="A23" s="206" t="s">
        <v>102</v>
      </c>
      <c r="B23" s="255">
        <f>1.102</f>
        <v>1.1020000000000001</v>
      </c>
      <c r="C23" s="257">
        <f>0</f>
        <v>0</v>
      </c>
      <c r="D23" s="257">
        <f>0</f>
        <v>0</v>
      </c>
      <c r="E23" s="256">
        <f>0</f>
        <v>0</v>
      </c>
      <c r="F23" s="257">
        <f>0</f>
        <v>0</v>
      </c>
      <c r="G23" s="257">
        <f>0</f>
        <v>0</v>
      </c>
      <c r="H23" s="257">
        <f>0</f>
        <v>0</v>
      </c>
      <c r="I23" s="359">
        <v>0</v>
      </c>
      <c r="J23" s="360">
        <v>0</v>
      </c>
      <c r="K23" s="266">
        <v>0</v>
      </c>
      <c r="L23" s="266">
        <v>0</v>
      </c>
      <c r="M23" s="256">
        <f>0*($A$74)</f>
        <v>0</v>
      </c>
      <c r="N23" s="257">
        <f>0*($A$74)</f>
        <v>0</v>
      </c>
      <c r="O23" s="257">
        <v>0</v>
      </c>
      <c r="P23" s="266">
        <v>0</v>
      </c>
      <c r="Q23" s="256">
        <v>0</v>
      </c>
      <c r="R23" s="257">
        <v>0</v>
      </c>
      <c r="S23" s="257">
        <v>0</v>
      </c>
      <c r="T23" s="257">
        <v>0</v>
      </c>
      <c r="U23" s="256">
        <v>0</v>
      </c>
      <c r="V23" s="423">
        <v>0</v>
      </c>
      <c r="W23" s="423">
        <v>0</v>
      </c>
      <c r="X23" s="423">
        <v>0</v>
      </c>
      <c r="Y23" s="422">
        <v>0</v>
      </c>
      <c r="Z23" s="421">
        <v>0</v>
      </c>
      <c r="AA23" s="423"/>
      <c r="AB23" s="423"/>
      <c r="AC23" s="422"/>
    </row>
    <row r="24" spans="1:29" s="213" customFormat="1" ht="20.149999999999999" customHeight="1">
      <c r="A24" s="206" t="s">
        <v>197</v>
      </c>
      <c r="B24" s="255">
        <f>342.386</f>
        <v>342.38600000000002</v>
      </c>
      <c r="C24" s="271">
        <f>(382365)*0.001</f>
        <v>382.36500000000001</v>
      </c>
      <c r="D24" s="271">
        <f>(376949)*0.001</f>
        <v>376.94900000000001</v>
      </c>
      <c r="E24" s="356">
        <f>(375659)*0.001</f>
        <v>375.65899999999999</v>
      </c>
      <c r="F24" s="271">
        <f>(403593)*0.001</f>
        <v>403.59300000000002</v>
      </c>
      <c r="G24" s="271">
        <f>(410902)*0.001</f>
        <v>410.90199999999999</v>
      </c>
      <c r="H24" s="271">
        <f>(401503)*0.001</f>
        <v>401.50299999999999</v>
      </c>
      <c r="I24" s="357">
        <f>(374424)*0.001</f>
        <v>374.42400000000004</v>
      </c>
      <c r="J24" s="358">
        <f>(398589)*0.001</f>
        <v>398.589</v>
      </c>
      <c r="K24" s="255">
        <v>1374.4</v>
      </c>
      <c r="L24" s="255">
        <v>1369.9</v>
      </c>
      <c r="M24" s="256">
        <v>1453.4</v>
      </c>
      <c r="N24" s="255">
        <v>1599.5</v>
      </c>
      <c r="O24" s="255">
        <v>1988.6</v>
      </c>
      <c r="P24" s="255">
        <v>1699.4</v>
      </c>
      <c r="Q24" s="256">
        <v>1619.1</v>
      </c>
      <c r="R24" s="255">
        <v>1503.9</v>
      </c>
      <c r="S24" s="255">
        <v>1541.1</v>
      </c>
      <c r="T24" s="255">
        <v>1571.8</v>
      </c>
      <c r="U24" s="256">
        <v>1688</v>
      </c>
      <c r="V24" s="421">
        <v>1608.5</v>
      </c>
      <c r="W24" s="421">
        <v>1727</v>
      </c>
      <c r="X24" s="421">
        <v>1758.5</v>
      </c>
      <c r="Y24" s="422">
        <v>1983.2</v>
      </c>
      <c r="Z24" s="421">
        <v>1990.7</v>
      </c>
      <c r="AA24" s="421"/>
      <c r="AB24" s="421"/>
      <c r="AC24" s="422"/>
    </row>
    <row r="25" spans="1:29" s="213" customFormat="1" ht="20.149999999999999" customHeight="1">
      <c r="A25" s="206" t="s">
        <v>103</v>
      </c>
      <c r="B25" s="255">
        <f>9.894</f>
        <v>9.8940000000000001</v>
      </c>
      <c r="C25" s="271">
        <f>(263)*0.001</f>
        <v>0.26300000000000001</v>
      </c>
      <c r="D25" s="271">
        <f>(321)*0.001</f>
        <v>0.32100000000000001</v>
      </c>
      <c r="E25" s="356">
        <f>(6494)*0.001</f>
        <v>6.4939999999999998</v>
      </c>
      <c r="F25" s="271">
        <f>(1372)*0.001</f>
        <v>1.3720000000000001</v>
      </c>
      <c r="G25" s="271">
        <f>(1952)*0.001</f>
        <v>1.952</v>
      </c>
      <c r="H25" s="271">
        <f>(1195)*0.001</f>
        <v>1.1950000000000001</v>
      </c>
      <c r="I25" s="357">
        <f>(183)*0.001</f>
        <v>0.183</v>
      </c>
      <c r="J25" s="358">
        <f>(365)*0.001</f>
        <v>0.36499999999999999</v>
      </c>
      <c r="K25" s="255">
        <v>28</v>
      </c>
      <c r="L25" s="255">
        <v>26</v>
      </c>
      <c r="M25" s="256">
        <v>26</v>
      </c>
      <c r="N25" s="255">
        <v>28.9</v>
      </c>
      <c r="O25" s="255">
        <v>1.5</v>
      </c>
      <c r="P25" s="255">
        <v>0.7</v>
      </c>
      <c r="Q25" s="256">
        <v>0.7</v>
      </c>
      <c r="R25" s="255">
        <v>1.9</v>
      </c>
      <c r="S25" s="255">
        <v>1.4</v>
      </c>
      <c r="T25" s="255">
        <v>0.9</v>
      </c>
      <c r="U25" s="256">
        <v>29.1</v>
      </c>
      <c r="V25" s="421">
        <v>30.3</v>
      </c>
      <c r="W25" s="421">
        <v>17</v>
      </c>
      <c r="X25" s="421">
        <v>25.3</v>
      </c>
      <c r="Y25" s="422">
        <v>1.3</v>
      </c>
      <c r="Z25" s="421">
        <v>55.8</v>
      </c>
      <c r="AA25" s="421"/>
      <c r="AB25" s="421"/>
      <c r="AC25" s="422"/>
    </row>
    <row r="26" spans="1:29" s="213" customFormat="1" ht="20.149999999999999" customHeight="1">
      <c r="A26" s="206" t="s">
        <v>198</v>
      </c>
      <c r="B26" s="257">
        <v>0</v>
      </c>
      <c r="C26" s="271">
        <f>(53916)*0.001</f>
        <v>53.916000000000004</v>
      </c>
      <c r="D26" s="271">
        <f>(54038)*0.001</f>
        <v>54.038000000000004</v>
      </c>
      <c r="E26" s="356">
        <f>(57096)*0.001</f>
        <v>57.096000000000004</v>
      </c>
      <c r="F26" s="271">
        <f>(60035)*0.001</f>
        <v>60.035000000000004</v>
      </c>
      <c r="G26" s="271">
        <f>(63564)*0.001</f>
        <v>63.564</v>
      </c>
      <c r="H26" s="271">
        <f>(65852)*0.001</f>
        <v>65.852000000000004</v>
      </c>
      <c r="I26" s="357">
        <f>(70055)*0.001</f>
        <v>70.055000000000007</v>
      </c>
      <c r="J26" s="358">
        <f>(70958)*0.001</f>
        <v>70.957999999999998</v>
      </c>
      <c r="K26" s="255">
        <v>91.2</v>
      </c>
      <c r="L26" s="255">
        <v>117.3</v>
      </c>
      <c r="M26" s="256">
        <v>141.69999999999999</v>
      </c>
      <c r="N26" s="255">
        <v>165.3</v>
      </c>
      <c r="O26" s="255">
        <v>186.1</v>
      </c>
      <c r="P26" s="255">
        <v>200.4</v>
      </c>
      <c r="Q26" s="256">
        <v>212.7</v>
      </c>
      <c r="R26" s="255">
        <v>213.3</v>
      </c>
      <c r="S26" s="255">
        <v>209.1</v>
      </c>
      <c r="T26" s="255">
        <v>207.6</v>
      </c>
      <c r="U26" s="256">
        <v>207.2</v>
      </c>
      <c r="V26" s="421">
        <v>205.7</v>
      </c>
      <c r="W26" s="421">
        <v>202.3</v>
      </c>
      <c r="X26" s="421">
        <v>203.5</v>
      </c>
      <c r="Y26" s="422">
        <v>207.9</v>
      </c>
      <c r="Z26" s="421">
        <v>206.9</v>
      </c>
      <c r="AA26" s="421"/>
      <c r="AB26" s="421"/>
      <c r="AC26" s="422"/>
    </row>
    <row r="27" spans="1:29" s="213" customFormat="1" ht="20.149999999999999" customHeight="1">
      <c r="A27" s="206" t="s">
        <v>199</v>
      </c>
      <c r="B27" s="255">
        <f>136.299</f>
        <v>136.29900000000001</v>
      </c>
      <c r="C27" s="271">
        <f>(73814)*0.001</f>
        <v>73.814000000000007</v>
      </c>
      <c r="D27" s="271">
        <f>(53239)*0.001</f>
        <v>53.239000000000004</v>
      </c>
      <c r="E27" s="356">
        <f>(71968)*0.001</f>
        <v>71.968000000000004</v>
      </c>
      <c r="F27" s="271">
        <f>(109187)*0.001</f>
        <v>109.187</v>
      </c>
      <c r="G27" s="271">
        <f>(93754)*0.001</f>
        <v>93.754000000000005</v>
      </c>
      <c r="H27" s="271">
        <f>(113708)*0.001</f>
        <v>113.708</v>
      </c>
      <c r="I27" s="357">
        <f>(105360)*0.001</f>
        <v>105.36</v>
      </c>
      <c r="J27" s="358">
        <f>(106732)*0.001</f>
        <v>106.732</v>
      </c>
      <c r="K27" s="255">
        <v>221.9</v>
      </c>
      <c r="L27" s="255">
        <v>224.2</v>
      </c>
      <c r="M27" s="256">
        <v>160.1</v>
      </c>
      <c r="N27" s="255">
        <v>212.9</v>
      </c>
      <c r="O27" s="255">
        <v>226.2</v>
      </c>
      <c r="P27" s="255">
        <v>255</v>
      </c>
      <c r="Q27" s="256">
        <v>399.5</v>
      </c>
      <c r="R27" s="255">
        <v>69.599999999999994</v>
      </c>
      <c r="S27" s="255">
        <v>62.8</v>
      </c>
      <c r="T27" s="255">
        <v>54.9</v>
      </c>
      <c r="U27" s="256">
        <v>38.700000000000003</v>
      </c>
      <c r="V27" s="421">
        <v>72.3</v>
      </c>
      <c r="W27" s="421">
        <v>60.7</v>
      </c>
      <c r="X27" s="421">
        <v>61.7</v>
      </c>
      <c r="Y27" s="422">
        <v>31.7</v>
      </c>
      <c r="Z27" s="421">
        <v>70.2</v>
      </c>
      <c r="AA27" s="421"/>
      <c r="AB27" s="421"/>
      <c r="AC27" s="422"/>
    </row>
    <row r="28" spans="1:29" s="217" customFormat="1" ht="20.149999999999999" customHeight="1">
      <c r="A28" s="207" t="s">
        <v>97</v>
      </c>
      <c r="B28" s="257">
        <v>0</v>
      </c>
      <c r="C28" s="257">
        <f>0</f>
        <v>0</v>
      </c>
      <c r="D28" s="257">
        <v>0</v>
      </c>
      <c r="E28" s="364">
        <f>0</f>
        <v>0</v>
      </c>
      <c r="F28" s="257">
        <f>0</f>
        <v>0</v>
      </c>
      <c r="G28" s="257">
        <v>0</v>
      </c>
      <c r="H28" s="257">
        <f>0</f>
        <v>0</v>
      </c>
      <c r="I28" s="365">
        <v>0</v>
      </c>
      <c r="J28" s="360">
        <v>0</v>
      </c>
      <c r="K28" s="257">
        <f>0*($A$74)</f>
        <v>0</v>
      </c>
      <c r="L28" s="257">
        <f>0*($A$74)</f>
        <v>0</v>
      </c>
      <c r="M28" s="259">
        <v>22.2</v>
      </c>
      <c r="N28" s="258">
        <v>26.3</v>
      </c>
      <c r="O28" s="258">
        <v>27.3</v>
      </c>
      <c r="P28" s="258">
        <v>3.8</v>
      </c>
      <c r="Q28" s="259">
        <v>10.5</v>
      </c>
      <c r="R28" s="258">
        <v>0.2</v>
      </c>
      <c r="S28" s="258">
        <v>3.6</v>
      </c>
      <c r="T28" s="258">
        <v>4.8</v>
      </c>
      <c r="U28" s="259">
        <v>6.7</v>
      </c>
      <c r="V28" s="424">
        <v>4.9000000000000004</v>
      </c>
      <c r="W28" s="424">
        <v>5.3</v>
      </c>
      <c r="X28" s="424">
        <v>6.4</v>
      </c>
      <c r="Y28" s="425">
        <v>5.0999999999999996</v>
      </c>
      <c r="Z28" s="424">
        <v>2.7</v>
      </c>
      <c r="AA28" s="424"/>
      <c r="AB28" s="424"/>
      <c r="AC28" s="425"/>
    </row>
    <row r="29" spans="1:29" s="213" customFormat="1" ht="20.149999999999999" customHeight="1">
      <c r="A29" s="206" t="s">
        <v>104</v>
      </c>
      <c r="B29" s="257">
        <v>0</v>
      </c>
      <c r="C29" s="257">
        <f>0</f>
        <v>0</v>
      </c>
      <c r="D29" s="257">
        <v>0</v>
      </c>
      <c r="E29" s="256">
        <v>0</v>
      </c>
      <c r="F29" s="257">
        <f>0</f>
        <v>0</v>
      </c>
      <c r="G29" s="257">
        <v>0</v>
      </c>
      <c r="H29" s="257">
        <f>0</f>
        <v>0</v>
      </c>
      <c r="I29" s="359">
        <v>0</v>
      </c>
      <c r="J29" s="360">
        <v>0</v>
      </c>
      <c r="K29" s="266">
        <v>270</v>
      </c>
      <c r="L29" s="266">
        <v>30</v>
      </c>
      <c r="M29" s="256">
        <f>0*($A$74)</f>
        <v>0</v>
      </c>
      <c r="N29" s="255">
        <v>42.7</v>
      </c>
      <c r="O29" s="255">
        <v>43.1</v>
      </c>
      <c r="P29" s="255">
        <v>0</v>
      </c>
      <c r="Q29" s="256">
        <v>0</v>
      </c>
      <c r="R29" s="255">
        <v>12.4</v>
      </c>
      <c r="S29" s="255">
        <v>0</v>
      </c>
      <c r="T29" s="255">
        <v>0</v>
      </c>
      <c r="U29" s="256">
        <v>0</v>
      </c>
      <c r="V29" s="421">
        <v>0</v>
      </c>
      <c r="W29" s="421">
        <v>0</v>
      </c>
      <c r="X29" s="421">
        <v>0</v>
      </c>
      <c r="Y29" s="422">
        <v>0</v>
      </c>
      <c r="Z29" s="421">
        <v>0</v>
      </c>
      <c r="AA29" s="421"/>
      <c r="AB29" s="421"/>
      <c r="AC29" s="422"/>
    </row>
    <row r="30" spans="1:29" s="213" customFormat="1" ht="20.149999999999999" customHeight="1">
      <c r="A30" s="206" t="s">
        <v>105</v>
      </c>
      <c r="B30" s="255">
        <f>422.627</f>
        <v>422.62700000000001</v>
      </c>
      <c r="C30" s="271">
        <f>(309519)*0.001</f>
        <v>309.51900000000001</v>
      </c>
      <c r="D30" s="271">
        <f>(225111)*0.001</f>
        <v>225.11100000000002</v>
      </c>
      <c r="E30" s="356">
        <f>(270354)*0.001</f>
        <v>270.35399999999998</v>
      </c>
      <c r="F30" s="271">
        <f>(324338)*0.001</f>
        <v>324.33800000000002</v>
      </c>
      <c r="G30" s="271">
        <f>(265803)*0.001</f>
        <v>265.803</v>
      </c>
      <c r="H30" s="271">
        <f>(215396)*0.001</f>
        <v>215.39600000000002</v>
      </c>
      <c r="I30" s="357">
        <f>(342251)*0.001</f>
        <v>342.25100000000003</v>
      </c>
      <c r="J30" s="358">
        <f>(428190)*0.001</f>
        <v>428.19</v>
      </c>
      <c r="K30" s="255">
        <v>1894.3</v>
      </c>
      <c r="L30" s="255">
        <v>1631</v>
      </c>
      <c r="M30" s="256">
        <v>1735.3</v>
      </c>
      <c r="N30" s="255">
        <v>1478.9</v>
      </c>
      <c r="O30" s="255">
        <v>1383.8</v>
      </c>
      <c r="P30" s="255">
        <v>1059.5999999999999</v>
      </c>
      <c r="Q30" s="256">
        <v>1512</v>
      </c>
      <c r="R30" s="255">
        <v>1538.6</v>
      </c>
      <c r="S30" s="255">
        <v>944.5</v>
      </c>
      <c r="T30" s="255">
        <v>1099.4000000000001</v>
      </c>
      <c r="U30" s="256">
        <v>1326</v>
      </c>
      <c r="V30" s="421">
        <v>1567.7</v>
      </c>
      <c r="W30" s="421">
        <v>1354.6</v>
      </c>
      <c r="X30" s="421">
        <v>1080.2</v>
      </c>
      <c r="Y30" s="422">
        <v>1161.5</v>
      </c>
      <c r="Z30" s="421">
        <v>785.9</v>
      </c>
      <c r="AA30" s="421"/>
      <c r="AB30" s="421"/>
      <c r="AC30" s="422"/>
    </row>
    <row r="31" spans="1:29" s="213" customFormat="1" ht="20.149999999999999" customHeight="1" thickBot="1">
      <c r="A31" s="206" t="s">
        <v>106</v>
      </c>
      <c r="B31" s="257">
        <v>0</v>
      </c>
      <c r="C31" s="257">
        <f>0</f>
        <v>0</v>
      </c>
      <c r="D31" s="257">
        <f>0</f>
        <v>0</v>
      </c>
      <c r="E31" s="256">
        <v>0</v>
      </c>
      <c r="F31" s="257">
        <f>0</f>
        <v>0</v>
      </c>
      <c r="G31" s="257">
        <v>0</v>
      </c>
      <c r="H31" s="257">
        <f>0</f>
        <v>0</v>
      </c>
      <c r="I31" s="359">
        <v>0</v>
      </c>
      <c r="J31" s="360">
        <v>0</v>
      </c>
      <c r="K31" s="266">
        <v>12.6</v>
      </c>
      <c r="L31" s="266">
        <v>12.2</v>
      </c>
      <c r="M31" s="256">
        <v>12.6</v>
      </c>
      <c r="N31" s="255">
        <v>12.7</v>
      </c>
      <c r="O31" s="255">
        <v>12.8</v>
      </c>
      <c r="P31" s="266">
        <v>12.4</v>
      </c>
      <c r="Q31" s="256">
        <v>11.7</v>
      </c>
      <c r="R31" s="255">
        <v>31.4</v>
      </c>
      <c r="S31" s="255">
        <v>10.9</v>
      </c>
      <c r="T31" s="255">
        <v>10.8</v>
      </c>
      <c r="U31" s="256">
        <v>10.7</v>
      </c>
      <c r="V31" s="421">
        <v>9.6</v>
      </c>
      <c r="W31" s="421">
        <v>8</v>
      </c>
      <c r="X31" s="421">
        <v>8.1999999999999993</v>
      </c>
      <c r="Y31" s="422">
        <v>10.5</v>
      </c>
      <c r="Z31" s="421">
        <v>11.6</v>
      </c>
      <c r="AA31" s="421"/>
      <c r="AB31" s="421"/>
      <c r="AC31" s="422"/>
    </row>
    <row r="32" spans="1:29" s="218" customFormat="1" ht="25" customHeight="1" thickBot="1">
      <c r="A32" s="22" t="s">
        <v>107</v>
      </c>
      <c r="B32" s="262">
        <f t="shared" ref="B32:L32" si="5">SUM(B20:B31)</f>
        <v>1273.798</v>
      </c>
      <c r="C32" s="262">
        <f t="shared" si="5"/>
        <v>1172.6559999999999</v>
      </c>
      <c r="D32" s="262">
        <f t="shared" si="5"/>
        <v>1058.173</v>
      </c>
      <c r="E32" s="263">
        <f t="shared" si="5"/>
        <v>1085.1969999999999</v>
      </c>
      <c r="F32" s="262">
        <f t="shared" si="5"/>
        <v>1204.625</v>
      </c>
      <c r="G32" s="262">
        <f t="shared" si="5"/>
        <v>1164.163</v>
      </c>
      <c r="H32" s="262">
        <f t="shared" si="5"/>
        <v>1161.885</v>
      </c>
      <c r="I32" s="262">
        <f t="shared" si="5"/>
        <v>1220.3850000000002</v>
      </c>
      <c r="J32" s="363">
        <f t="shared" si="5"/>
        <v>1396.8419999999999</v>
      </c>
      <c r="K32" s="262">
        <f t="shared" si="5"/>
        <v>4435.3</v>
      </c>
      <c r="L32" s="262">
        <f t="shared" si="5"/>
        <v>3899.7999999999997</v>
      </c>
      <c r="M32" s="263">
        <f t="shared" ref="M32:R32" si="6">SUM(M20:M31)-M28</f>
        <v>3982.6</v>
      </c>
      <c r="N32" s="262">
        <f t="shared" si="6"/>
        <v>3956.9</v>
      </c>
      <c r="O32" s="262">
        <f t="shared" si="6"/>
        <v>4274.2</v>
      </c>
      <c r="P32" s="262">
        <f t="shared" si="6"/>
        <v>3747.2000000000003</v>
      </c>
      <c r="Q32" s="263">
        <f t="shared" si="6"/>
        <v>4228.8999999999987</v>
      </c>
      <c r="R32" s="262">
        <f t="shared" si="6"/>
        <v>3866.0000000000005</v>
      </c>
      <c r="S32" s="262">
        <f t="shared" ref="S32" si="7">SUM(S20:S31)-S28</f>
        <v>3203.3</v>
      </c>
      <c r="T32" s="262">
        <f t="shared" ref="T32" si="8">SUM(T20:T31)-T28</f>
        <v>3445.5000000000005</v>
      </c>
      <c r="U32" s="263">
        <f t="shared" ref="U32" si="9">SUM(U20:U31)-U28</f>
        <v>3770.3999999999992</v>
      </c>
      <c r="V32" s="427">
        <f t="shared" ref="V32:W32" si="10">SUM(V20:V31)-V28</f>
        <v>3911.1000000000004</v>
      </c>
      <c r="W32" s="427">
        <f t="shared" si="10"/>
        <v>3862.9</v>
      </c>
      <c r="X32" s="427">
        <f t="shared" ref="X32:AA32" si="11">SUM(X20:X31)-X28</f>
        <v>3676.6</v>
      </c>
      <c r="Y32" s="428">
        <f t="shared" si="11"/>
        <v>3931.5</v>
      </c>
      <c r="Z32" s="427">
        <f t="shared" si="11"/>
        <v>4363.8</v>
      </c>
      <c r="AA32" s="427">
        <f t="shared" si="11"/>
        <v>0</v>
      </c>
      <c r="AB32" s="427">
        <f t="shared" ref="AB32:AC32" si="12">SUM(AB20:AB31)-AB28</f>
        <v>0</v>
      </c>
      <c r="AC32" s="428">
        <f t="shared" si="12"/>
        <v>0</v>
      </c>
    </row>
    <row r="33" spans="1:29" s="213" customFormat="1" ht="25" customHeight="1" thickBot="1">
      <c r="A33" s="219" t="s">
        <v>108</v>
      </c>
      <c r="B33" s="267">
        <f t="shared" ref="B33:P33" si="13">B19+B32</f>
        <v>5502.7539999999999</v>
      </c>
      <c r="C33" s="267">
        <f t="shared" si="13"/>
        <v>5597.8010000000004</v>
      </c>
      <c r="D33" s="267">
        <f t="shared" si="13"/>
        <v>5514.8739999999998</v>
      </c>
      <c r="E33" s="268">
        <f t="shared" si="13"/>
        <v>5561.3450000000003</v>
      </c>
      <c r="F33" s="267">
        <f t="shared" si="13"/>
        <v>5629.4740000000011</v>
      </c>
      <c r="G33" s="267">
        <f t="shared" si="13"/>
        <v>5592.7070000000003</v>
      </c>
      <c r="H33" s="267">
        <f t="shared" si="13"/>
        <v>5597.9810000000007</v>
      </c>
      <c r="I33" s="366">
        <f t="shared" si="13"/>
        <v>5676.2300000000005</v>
      </c>
      <c r="J33" s="367">
        <f t="shared" si="13"/>
        <v>5851.1940000000004</v>
      </c>
      <c r="K33" s="267">
        <f t="shared" si="13"/>
        <v>27827.1</v>
      </c>
      <c r="L33" s="267">
        <f t="shared" si="13"/>
        <v>27481.199999999997</v>
      </c>
      <c r="M33" s="268">
        <f t="shared" si="13"/>
        <v>27338.699999999997</v>
      </c>
      <c r="N33" s="267">
        <f t="shared" si="13"/>
        <v>27088.9</v>
      </c>
      <c r="O33" s="267">
        <f t="shared" si="13"/>
        <v>27141.8</v>
      </c>
      <c r="P33" s="267">
        <f t="shared" si="13"/>
        <v>26143.5</v>
      </c>
      <c r="Q33" s="269">
        <f t="shared" ref="Q33:R33" si="14">Q19+Q32</f>
        <v>26490.099999999995</v>
      </c>
      <c r="R33" s="267">
        <f t="shared" si="14"/>
        <v>28355.499999999996</v>
      </c>
      <c r="S33" s="267">
        <f t="shared" ref="S33" si="15">S19+S32</f>
        <v>27581.1</v>
      </c>
      <c r="T33" s="267">
        <f t="shared" ref="T33:V33" si="16">T19+T32</f>
        <v>27493.100000000002</v>
      </c>
      <c r="U33" s="269">
        <f t="shared" si="16"/>
        <v>27729.299999999996</v>
      </c>
      <c r="V33" s="430">
        <f t="shared" si="16"/>
        <v>27553.199999999997</v>
      </c>
      <c r="W33" s="430">
        <f t="shared" ref="W33:X33" si="17">W19+W32</f>
        <v>27317.5</v>
      </c>
      <c r="X33" s="430">
        <f t="shared" si="17"/>
        <v>26892.599999999995</v>
      </c>
      <c r="Y33" s="431">
        <f t="shared" ref="Y33:AB33" si="18">Y19+Y32</f>
        <v>27756</v>
      </c>
      <c r="Z33" s="430">
        <f t="shared" si="18"/>
        <v>27894.399999999998</v>
      </c>
      <c r="AA33" s="430">
        <f t="shared" si="18"/>
        <v>0</v>
      </c>
      <c r="AB33" s="430">
        <f t="shared" si="18"/>
        <v>0</v>
      </c>
      <c r="AC33" s="431">
        <f t="shared" ref="AC33" si="19">AC19+AC32</f>
        <v>0</v>
      </c>
    </row>
    <row r="34" spans="1:29" s="487" customFormat="1" ht="33.75" customHeight="1" thickBot="1">
      <c r="A34" s="481" t="s">
        <v>109</v>
      </c>
      <c r="B34" s="482"/>
      <c r="C34" s="482"/>
      <c r="D34" s="482"/>
      <c r="E34" s="482"/>
      <c r="F34" s="482"/>
      <c r="G34" s="482"/>
      <c r="H34" s="482"/>
      <c r="I34" s="482"/>
      <c r="J34" s="482"/>
      <c r="K34" s="483"/>
      <c r="L34" s="483"/>
      <c r="M34" s="484"/>
      <c r="N34" s="484"/>
      <c r="O34" s="484"/>
      <c r="P34" s="483"/>
      <c r="Q34" s="484"/>
      <c r="R34" s="484"/>
      <c r="S34" s="484"/>
      <c r="T34" s="484"/>
      <c r="U34" s="484"/>
      <c r="V34" s="485"/>
      <c r="W34" s="485"/>
      <c r="X34" s="485"/>
      <c r="Y34" s="491"/>
      <c r="Z34" s="485"/>
      <c r="AA34" s="485"/>
      <c r="AB34" s="485"/>
      <c r="AC34" s="491"/>
    </row>
    <row r="35" spans="1:29" s="213" customFormat="1" ht="20.149999999999999" customHeight="1">
      <c r="A35" s="206" t="s">
        <v>110</v>
      </c>
      <c r="B35" s="368">
        <f>13.934</f>
        <v>13.933999999999999</v>
      </c>
      <c r="C35" s="368">
        <f t="shared" ref="C35:J35" si="20">(13934)*0.001</f>
        <v>13.934000000000001</v>
      </c>
      <c r="D35" s="368">
        <f t="shared" si="20"/>
        <v>13.934000000000001</v>
      </c>
      <c r="E35" s="369">
        <f t="shared" si="20"/>
        <v>13.934000000000001</v>
      </c>
      <c r="F35" s="368">
        <f t="shared" si="20"/>
        <v>13.934000000000001</v>
      </c>
      <c r="G35" s="368">
        <f t="shared" si="20"/>
        <v>13.934000000000001</v>
      </c>
      <c r="H35" s="368">
        <f t="shared" si="20"/>
        <v>13.934000000000001</v>
      </c>
      <c r="I35" s="370">
        <f t="shared" si="20"/>
        <v>13.934000000000001</v>
      </c>
      <c r="J35" s="371">
        <f t="shared" si="20"/>
        <v>13.934000000000001</v>
      </c>
      <c r="K35" s="264">
        <v>25.6</v>
      </c>
      <c r="L35" s="264">
        <v>25.6</v>
      </c>
      <c r="M35" s="265">
        <v>25.6</v>
      </c>
      <c r="N35" s="264">
        <v>25.6</v>
      </c>
      <c r="O35" s="264">
        <v>25.6</v>
      </c>
      <c r="P35" s="264">
        <v>25.6</v>
      </c>
      <c r="Q35" s="265">
        <v>25.6</v>
      </c>
      <c r="R35" s="264">
        <v>25.6</v>
      </c>
      <c r="S35" s="264">
        <v>25.6</v>
      </c>
      <c r="T35" s="264">
        <v>25.6</v>
      </c>
      <c r="U35" s="265">
        <v>25.6</v>
      </c>
      <c r="V35" s="429">
        <v>25.6</v>
      </c>
      <c r="W35" s="429">
        <v>25.6</v>
      </c>
      <c r="X35" s="429">
        <v>25.6</v>
      </c>
      <c r="Y35" s="432">
        <v>25.6</v>
      </c>
      <c r="Z35" s="429">
        <v>25.6</v>
      </c>
      <c r="AA35" s="429"/>
      <c r="AB35" s="429"/>
      <c r="AC35" s="432"/>
    </row>
    <row r="36" spans="1:29" s="213" customFormat="1" ht="20.149999999999999" customHeight="1">
      <c r="A36" s="206" t="s">
        <v>111</v>
      </c>
      <c r="B36" s="271">
        <f>432.265</f>
        <v>432.26499999999999</v>
      </c>
      <c r="C36" s="266">
        <v>0</v>
      </c>
      <c r="D36" s="266">
        <v>0</v>
      </c>
      <c r="E36" s="270">
        <v>0</v>
      </c>
      <c r="F36" s="266">
        <v>0</v>
      </c>
      <c r="G36" s="266">
        <v>0</v>
      </c>
      <c r="H36" s="266">
        <v>0</v>
      </c>
      <c r="I36" s="372">
        <v>0</v>
      </c>
      <c r="J36" s="373">
        <v>0</v>
      </c>
      <c r="K36" s="266">
        <v>0</v>
      </c>
      <c r="L36" s="266">
        <v>0</v>
      </c>
      <c r="M36" s="270">
        <v>0</v>
      </c>
      <c r="N36" s="266">
        <v>0</v>
      </c>
      <c r="O36" s="266">
        <v>0</v>
      </c>
      <c r="P36" s="266">
        <v>0</v>
      </c>
      <c r="Q36" s="256">
        <v>0</v>
      </c>
      <c r="R36" s="266">
        <v>0</v>
      </c>
      <c r="S36" s="266">
        <v>0</v>
      </c>
      <c r="T36" s="266">
        <v>0</v>
      </c>
      <c r="U36" s="256">
        <v>0</v>
      </c>
      <c r="V36" s="433">
        <v>0</v>
      </c>
      <c r="W36" s="433">
        <v>0</v>
      </c>
      <c r="X36" s="433">
        <v>0</v>
      </c>
      <c r="Y36" s="422">
        <v>0</v>
      </c>
      <c r="Z36" s="433">
        <v>0</v>
      </c>
      <c r="AA36" s="433"/>
      <c r="AB36" s="433"/>
      <c r="AC36" s="422"/>
    </row>
    <row r="37" spans="1:29" s="213" customFormat="1" ht="20.149999999999999" customHeight="1">
      <c r="A37" s="206" t="s">
        <v>112</v>
      </c>
      <c r="B37" s="271">
        <f>1305.277</f>
        <v>1305.277</v>
      </c>
      <c r="C37" s="266">
        <v>0</v>
      </c>
      <c r="D37" s="266">
        <v>0</v>
      </c>
      <c r="E37" s="270">
        <v>0</v>
      </c>
      <c r="F37" s="266">
        <v>0</v>
      </c>
      <c r="G37" s="266">
        <v>0</v>
      </c>
      <c r="H37" s="266">
        <v>0</v>
      </c>
      <c r="I37" s="372">
        <v>0</v>
      </c>
      <c r="J37" s="373">
        <v>0</v>
      </c>
      <c r="K37" s="266">
        <v>0</v>
      </c>
      <c r="L37" s="266">
        <v>0</v>
      </c>
      <c r="M37" s="270">
        <v>0</v>
      </c>
      <c r="N37" s="266">
        <v>0</v>
      </c>
      <c r="O37" s="266">
        <v>0</v>
      </c>
      <c r="P37" s="266">
        <v>0</v>
      </c>
      <c r="Q37" s="256">
        <v>0</v>
      </c>
      <c r="R37" s="266">
        <v>0</v>
      </c>
      <c r="S37" s="266">
        <v>0</v>
      </c>
      <c r="T37" s="266">
        <v>0</v>
      </c>
      <c r="U37" s="256">
        <v>0</v>
      </c>
      <c r="V37" s="433">
        <v>0</v>
      </c>
      <c r="W37" s="433">
        <v>0</v>
      </c>
      <c r="X37" s="433">
        <v>0</v>
      </c>
      <c r="Y37" s="422">
        <v>0</v>
      </c>
      <c r="Z37" s="433">
        <v>0</v>
      </c>
      <c r="AA37" s="433"/>
      <c r="AB37" s="433"/>
      <c r="AC37" s="422"/>
    </row>
    <row r="38" spans="1:29" s="213" customFormat="1" ht="20.149999999999999" customHeight="1">
      <c r="A38" s="206" t="s">
        <v>200</v>
      </c>
      <c r="B38" s="266">
        <v>0</v>
      </c>
      <c r="C38" s="271">
        <f t="shared" ref="C38:J38" si="21">(1295103)*0.001</f>
        <v>1295.1030000000001</v>
      </c>
      <c r="D38" s="271">
        <f t="shared" si="21"/>
        <v>1295.1030000000001</v>
      </c>
      <c r="E38" s="272">
        <f t="shared" si="21"/>
        <v>1295.1030000000001</v>
      </c>
      <c r="F38" s="271">
        <f t="shared" si="21"/>
        <v>1295.1030000000001</v>
      </c>
      <c r="G38" s="271">
        <f t="shared" si="21"/>
        <v>1295.1030000000001</v>
      </c>
      <c r="H38" s="271">
        <f t="shared" si="21"/>
        <v>1295.1030000000001</v>
      </c>
      <c r="I38" s="272">
        <f t="shared" si="21"/>
        <v>1295.1030000000001</v>
      </c>
      <c r="J38" s="271">
        <f t="shared" si="21"/>
        <v>1295.1030000000001</v>
      </c>
      <c r="K38" s="271">
        <v>7237.5</v>
      </c>
      <c r="L38" s="271">
        <v>7237.5</v>
      </c>
      <c r="M38" s="256">
        <v>7174</v>
      </c>
      <c r="N38" s="255">
        <v>7237.4</v>
      </c>
      <c r="O38" s="255">
        <v>7174</v>
      </c>
      <c r="P38" s="255">
        <v>7174</v>
      </c>
      <c r="Q38" s="256">
        <v>7174</v>
      </c>
      <c r="R38" s="255">
        <v>7174</v>
      </c>
      <c r="S38" s="255">
        <v>7174</v>
      </c>
      <c r="T38" s="255">
        <v>7174</v>
      </c>
      <c r="U38" s="256">
        <v>7174</v>
      </c>
      <c r="V38" s="421">
        <v>7174</v>
      </c>
      <c r="W38" s="421">
        <v>7174</v>
      </c>
      <c r="X38" s="421">
        <v>7174</v>
      </c>
      <c r="Y38" s="422">
        <v>7174</v>
      </c>
      <c r="Z38" s="421">
        <v>7174</v>
      </c>
      <c r="AA38" s="421"/>
      <c r="AB38" s="421"/>
      <c r="AC38" s="422"/>
    </row>
    <row r="39" spans="1:29" s="213" customFormat="1" ht="20.149999999999999" customHeight="1">
      <c r="A39" s="206" t="s">
        <v>113</v>
      </c>
      <c r="B39" s="271">
        <f>-3.17</f>
        <v>-3.17</v>
      </c>
      <c r="C39" s="266">
        <v>0</v>
      </c>
      <c r="D39" s="266">
        <v>0</v>
      </c>
      <c r="E39" s="270">
        <v>0</v>
      </c>
      <c r="F39" s="266">
        <v>0</v>
      </c>
      <c r="G39" s="266">
        <v>0</v>
      </c>
      <c r="H39" s="266">
        <v>0</v>
      </c>
      <c r="I39" s="372">
        <v>0</v>
      </c>
      <c r="J39" s="373">
        <v>0</v>
      </c>
      <c r="K39" s="266">
        <v>0</v>
      </c>
      <c r="L39" s="266">
        <v>0</v>
      </c>
      <c r="M39" s="270">
        <v>0</v>
      </c>
      <c r="N39" s="266">
        <v>0</v>
      </c>
      <c r="O39" s="266">
        <v>0</v>
      </c>
      <c r="P39" s="266">
        <v>0</v>
      </c>
      <c r="Q39" s="256">
        <v>0</v>
      </c>
      <c r="R39" s="266">
        <v>0</v>
      </c>
      <c r="S39" s="266">
        <v>0</v>
      </c>
      <c r="T39" s="266">
        <v>0</v>
      </c>
      <c r="U39" s="256">
        <v>0</v>
      </c>
      <c r="V39" s="433">
        <v>0</v>
      </c>
      <c r="W39" s="433">
        <v>0</v>
      </c>
      <c r="X39" s="433">
        <v>0</v>
      </c>
      <c r="Y39" s="422">
        <v>0</v>
      </c>
      <c r="Z39" s="433">
        <v>0</v>
      </c>
      <c r="AA39" s="433"/>
      <c r="AB39" s="433"/>
      <c r="AC39" s="422"/>
    </row>
    <row r="40" spans="1:29" s="213" customFormat="1" ht="20.149999999999999" customHeight="1">
      <c r="A40" s="206" t="s">
        <v>114</v>
      </c>
      <c r="B40" s="271">
        <f>2.396</f>
        <v>2.3959999999999999</v>
      </c>
      <c r="C40" s="266">
        <v>0</v>
      </c>
      <c r="D40" s="266">
        <v>0</v>
      </c>
      <c r="E40" s="270">
        <v>0</v>
      </c>
      <c r="F40" s="266">
        <v>0</v>
      </c>
      <c r="G40" s="266">
        <v>0</v>
      </c>
      <c r="H40" s="266">
        <v>0</v>
      </c>
      <c r="I40" s="372">
        <v>0</v>
      </c>
      <c r="J40" s="373">
        <v>0</v>
      </c>
      <c r="K40" s="266">
        <v>0</v>
      </c>
      <c r="L40" s="266">
        <v>0</v>
      </c>
      <c r="M40" s="270">
        <v>0</v>
      </c>
      <c r="N40" s="266">
        <v>0</v>
      </c>
      <c r="O40" s="266">
        <v>0</v>
      </c>
      <c r="P40" s="266">
        <v>0</v>
      </c>
      <c r="Q40" s="256">
        <v>0</v>
      </c>
      <c r="R40" s="266">
        <v>0</v>
      </c>
      <c r="S40" s="266">
        <v>0</v>
      </c>
      <c r="T40" s="266">
        <v>0</v>
      </c>
      <c r="U40" s="256">
        <v>0</v>
      </c>
      <c r="V40" s="433">
        <v>0</v>
      </c>
      <c r="W40" s="433">
        <v>0</v>
      </c>
      <c r="X40" s="433">
        <v>0</v>
      </c>
      <c r="Y40" s="422">
        <v>0</v>
      </c>
      <c r="Z40" s="433">
        <v>0</v>
      </c>
      <c r="AA40" s="433"/>
      <c r="AB40" s="433"/>
      <c r="AC40" s="422"/>
    </row>
    <row r="41" spans="1:29" s="213" customFormat="1" ht="20.149999999999999" customHeight="1">
      <c r="A41" s="206" t="s">
        <v>112</v>
      </c>
      <c r="B41" s="266">
        <v>0</v>
      </c>
      <c r="C41" s="271">
        <f>(1225)*0.001</f>
        <v>1.2250000000000001</v>
      </c>
      <c r="D41" s="271">
        <f>(-8191)*0.001</f>
        <v>-8.1910000000000007</v>
      </c>
      <c r="E41" s="356">
        <f>(-16327)*0.001</f>
        <v>-16.327000000000002</v>
      </c>
      <c r="F41" s="271">
        <f>(-17667)*0.001</f>
        <v>-17.667000000000002</v>
      </c>
      <c r="G41" s="271">
        <f>(-13285)*0.001</f>
        <v>-13.285</v>
      </c>
      <c r="H41" s="271">
        <f>(-11455)*0.001</f>
        <v>-11.455</v>
      </c>
      <c r="I41" s="357">
        <f>(-8964)*0.001</f>
        <v>-8.9640000000000004</v>
      </c>
      <c r="J41" s="373">
        <v>0</v>
      </c>
      <c r="K41" s="266">
        <v>0</v>
      </c>
      <c r="L41" s="271">
        <v>-9.1999999999999993</v>
      </c>
      <c r="M41" s="256">
        <v>-12.2</v>
      </c>
      <c r="N41" s="271">
        <v>-12.7</v>
      </c>
      <c r="O41" s="271">
        <v>-7.9</v>
      </c>
      <c r="P41" s="271">
        <v>-8.1999999999999993</v>
      </c>
      <c r="Q41" s="272">
        <v>-3.7</v>
      </c>
      <c r="R41" s="271">
        <v>-1.7</v>
      </c>
      <c r="S41" s="271">
        <v>0.1</v>
      </c>
      <c r="T41" s="271">
        <v>2.2000000000000002</v>
      </c>
      <c r="U41" s="272">
        <v>4.5</v>
      </c>
      <c r="V41" s="434">
        <v>3.8</v>
      </c>
      <c r="W41" s="434">
        <v>3.6</v>
      </c>
      <c r="X41" s="434">
        <v>3.5</v>
      </c>
      <c r="Y41" s="422">
        <v>3.2</v>
      </c>
      <c r="Z41" s="434">
        <v>2.8</v>
      </c>
      <c r="AA41" s="434"/>
      <c r="AB41" s="434"/>
      <c r="AC41" s="422"/>
    </row>
    <row r="42" spans="1:29" s="213" customFormat="1" ht="20.149999999999999" customHeight="1" thickBot="1">
      <c r="A42" s="206" t="s">
        <v>115</v>
      </c>
      <c r="B42" s="271">
        <f>340.065</f>
        <v>340.065</v>
      </c>
      <c r="C42" s="271">
        <f>(882007)*0.001</f>
        <v>882.00700000000006</v>
      </c>
      <c r="D42" s="271">
        <f>(1054069)*0.001</f>
        <v>1054.069</v>
      </c>
      <c r="E42" s="272">
        <f>(1175693)*0.001</f>
        <v>1175.693</v>
      </c>
      <c r="F42" s="271">
        <f>(1270798)*0.001</f>
        <v>1270.798</v>
      </c>
      <c r="G42" s="271">
        <f>(1351543)*0.001</f>
        <v>1351.5430000000001</v>
      </c>
      <c r="H42" s="271">
        <f>(1527994)*0.001</f>
        <v>1527.9940000000001</v>
      </c>
      <c r="I42" s="272">
        <f>(1701138)*0.001</f>
        <v>1701.1380000000001</v>
      </c>
      <c r="J42" s="271">
        <f>(1799310)*0.001</f>
        <v>1799.31</v>
      </c>
      <c r="K42" s="271">
        <v>1828.6</v>
      </c>
      <c r="L42" s="271">
        <v>1876.8</v>
      </c>
      <c r="M42" s="256">
        <v>1890.8</v>
      </c>
      <c r="N42" s="271">
        <v>2061.6</v>
      </c>
      <c r="O42" s="271">
        <v>2366.1</v>
      </c>
      <c r="P42" s="271">
        <v>2868.6</v>
      </c>
      <c r="Q42" s="272">
        <v>3054.2</v>
      </c>
      <c r="R42" s="271">
        <v>3229.7</v>
      </c>
      <c r="S42" s="271">
        <v>3467.4</v>
      </c>
      <c r="T42" s="271">
        <v>3745.6</v>
      </c>
      <c r="U42" s="272">
        <v>4095.5</v>
      </c>
      <c r="V42" s="434">
        <v>4374.8999999999996</v>
      </c>
      <c r="W42" s="434">
        <v>4461.3999999999996</v>
      </c>
      <c r="X42" s="434">
        <v>4704.3</v>
      </c>
      <c r="Y42" s="422">
        <v>4871.3999999999996</v>
      </c>
      <c r="Z42" s="434">
        <v>5668.6</v>
      </c>
      <c r="AA42" s="434"/>
      <c r="AB42" s="434"/>
      <c r="AC42" s="422"/>
    </row>
    <row r="43" spans="1:29" s="218" customFormat="1" ht="25" customHeight="1" thickBot="1">
      <c r="A43" s="22" t="s">
        <v>116</v>
      </c>
      <c r="B43" s="262">
        <f t="shared" ref="B43:C43" si="22">SUM(B35:B42)</f>
        <v>2090.7669999999998</v>
      </c>
      <c r="C43" s="262">
        <f t="shared" si="22"/>
        <v>2192.2690000000002</v>
      </c>
      <c r="D43" s="262">
        <f t="shared" ref="D43:H43" si="23">SUM(D35:D42)</f>
        <v>2354.915</v>
      </c>
      <c r="E43" s="263">
        <f t="shared" si="23"/>
        <v>2468.4030000000002</v>
      </c>
      <c r="F43" s="262">
        <f t="shared" si="23"/>
        <v>2562.1680000000001</v>
      </c>
      <c r="G43" s="262">
        <f t="shared" si="23"/>
        <v>2647.2950000000001</v>
      </c>
      <c r="H43" s="262">
        <f t="shared" si="23"/>
        <v>2825.576</v>
      </c>
      <c r="I43" s="262">
        <f t="shared" ref="I43:J43" si="24">SUM(I35:I42)</f>
        <v>3001.2110000000002</v>
      </c>
      <c r="J43" s="363">
        <f t="shared" si="24"/>
        <v>3108.3469999999998</v>
      </c>
      <c r="K43" s="262">
        <f t="shared" ref="K43:Q43" si="25">SUM(K35:K42)</f>
        <v>9091.7000000000007</v>
      </c>
      <c r="L43" s="262">
        <f t="shared" si="25"/>
        <v>9130.7000000000007</v>
      </c>
      <c r="M43" s="263">
        <f t="shared" si="25"/>
        <v>9078.2000000000007</v>
      </c>
      <c r="N43" s="262">
        <f t="shared" si="25"/>
        <v>9311.9</v>
      </c>
      <c r="O43" s="262">
        <f t="shared" si="25"/>
        <v>9557.8000000000011</v>
      </c>
      <c r="P43" s="262">
        <f t="shared" si="25"/>
        <v>10060</v>
      </c>
      <c r="Q43" s="263">
        <f t="shared" si="25"/>
        <v>10250.1</v>
      </c>
      <c r="R43" s="262">
        <f t="shared" ref="R43:Y43" si="26">SUM(R35:R42)</f>
        <v>10427.6</v>
      </c>
      <c r="S43" s="262">
        <f t="shared" si="26"/>
        <v>10667.1</v>
      </c>
      <c r="T43" s="262">
        <f t="shared" si="26"/>
        <v>10947.4</v>
      </c>
      <c r="U43" s="263">
        <f t="shared" si="26"/>
        <v>11299.6</v>
      </c>
      <c r="V43" s="427">
        <f t="shared" si="26"/>
        <v>11578.3</v>
      </c>
      <c r="W43" s="427">
        <f t="shared" si="26"/>
        <v>11664.6</v>
      </c>
      <c r="X43" s="427">
        <f t="shared" si="26"/>
        <v>11907.400000000001</v>
      </c>
      <c r="Y43" s="379">
        <f t="shared" si="26"/>
        <v>12074.2</v>
      </c>
      <c r="Z43" s="427">
        <f t="shared" ref="Z43:AC43" si="27">SUM(Z35:Z42)</f>
        <v>12871</v>
      </c>
      <c r="AA43" s="427">
        <f t="shared" si="27"/>
        <v>0</v>
      </c>
      <c r="AB43" s="427">
        <f t="shared" si="27"/>
        <v>0</v>
      </c>
      <c r="AC43" s="379">
        <f t="shared" si="27"/>
        <v>0</v>
      </c>
    </row>
    <row r="44" spans="1:29" s="218" customFormat="1" ht="20.149999999999999" customHeight="1" thickBot="1">
      <c r="A44" s="220" t="s">
        <v>117</v>
      </c>
      <c r="B44" s="266">
        <v>0</v>
      </c>
      <c r="C44" s="266">
        <v>0</v>
      </c>
      <c r="D44" s="266">
        <v>0</v>
      </c>
      <c r="E44" s="270">
        <v>0</v>
      </c>
      <c r="F44" s="266">
        <v>0</v>
      </c>
      <c r="G44" s="266">
        <v>0</v>
      </c>
      <c r="H44" s="276">
        <f>2/1000</f>
        <v>2E-3</v>
      </c>
      <c r="I44" s="277">
        <f>2/1000</f>
        <v>2E-3</v>
      </c>
      <c r="J44" s="278">
        <f>2/1000</f>
        <v>2E-3</v>
      </c>
      <c r="K44" s="273">
        <v>0</v>
      </c>
      <c r="L44" s="273">
        <v>0</v>
      </c>
      <c r="M44" s="270">
        <v>0</v>
      </c>
      <c r="N44" s="273">
        <v>0</v>
      </c>
      <c r="O44" s="273">
        <v>0</v>
      </c>
      <c r="P44" s="273">
        <v>0</v>
      </c>
      <c r="Q44" s="272">
        <v>0</v>
      </c>
      <c r="R44" s="273">
        <v>-22.4</v>
      </c>
      <c r="S44" s="273">
        <v>94.5</v>
      </c>
      <c r="T44" s="273">
        <v>86.1</v>
      </c>
      <c r="U44" s="272">
        <v>78</v>
      </c>
      <c r="V44" s="435">
        <v>70</v>
      </c>
      <c r="W44" s="435">
        <v>60.5</v>
      </c>
      <c r="X44" s="435">
        <v>52.5</v>
      </c>
      <c r="Y44" s="464">
        <v>42.6</v>
      </c>
      <c r="Z44" s="435">
        <v>34</v>
      </c>
      <c r="AA44" s="435"/>
      <c r="AB44" s="435"/>
      <c r="AC44" s="464"/>
    </row>
    <row r="45" spans="1:29" s="218" customFormat="1" ht="25" customHeight="1" thickBot="1">
      <c r="A45" s="22" t="s">
        <v>118</v>
      </c>
      <c r="B45" s="262">
        <f t="shared" ref="B45" si="28">B43+B44</f>
        <v>2090.7669999999998</v>
      </c>
      <c r="C45" s="262">
        <f t="shared" ref="C45" si="29">C43+C44</f>
        <v>2192.2690000000002</v>
      </c>
      <c r="D45" s="262">
        <f t="shared" ref="D45" si="30">D43+D44</f>
        <v>2354.915</v>
      </c>
      <c r="E45" s="263">
        <f t="shared" ref="E45:G45" si="31">E43</f>
        <v>2468.4030000000002</v>
      </c>
      <c r="F45" s="262">
        <f t="shared" si="31"/>
        <v>2562.1680000000001</v>
      </c>
      <c r="G45" s="262">
        <f t="shared" si="31"/>
        <v>2647.2950000000001</v>
      </c>
      <c r="H45" s="262">
        <f>SUM(H43:H44)</f>
        <v>2825.578</v>
      </c>
      <c r="I45" s="262">
        <f t="shared" ref="I45:O45" si="32">I43+I44</f>
        <v>3001.2130000000002</v>
      </c>
      <c r="J45" s="363">
        <f t="shared" si="32"/>
        <v>3108.3489999999997</v>
      </c>
      <c r="K45" s="262">
        <f t="shared" si="32"/>
        <v>9091.7000000000007</v>
      </c>
      <c r="L45" s="262">
        <f t="shared" si="32"/>
        <v>9130.7000000000007</v>
      </c>
      <c r="M45" s="263">
        <f t="shared" si="32"/>
        <v>9078.2000000000007</v>
      </c>
      <c r="N45" s="262">
        <f t="shared" si="32"/>
        <v>9311.9</v>
      </c>
      <c r="O45" s="262">
        <f t="shared" si="32"/>
        <v>9557.8000000000011</v>
      </c>
      <c r="P45" s="262">
        <f t="shared" ref="P45:R45" si="33">P43+P44</f>
        <v>10060</v>
      </c>
      <c r="Q45" s="263">
        <f t="shared" si="33"/>
        <v>10250.1</v>
      </c>
      <c r="R45" s="262">
        <f t="shared" si="33"/>
        <v>10405.200000000001</v>
      </c>
      <c r="S45" s="262">
        <f t="shared" ref="S45:Y45" si="34">S43+S44</f>
        <v>10761.6</v>
      </c>
      <c r="T45" s="262">
        <f t="shared" si="34"/>
        <v>11033.5</v>
      </c>
      <c r="U45" s="263">
        <f t="shared" si="34"/>
        <v>11377.6</v>
      </c>
      <c r="V45" s="427">
        <f t="shared" si="34"/>
        <v>11648.3</v>
      </c>
      <c r="W45" s="427">
        <f t="shared" si="34"/>
        <v>11725.1</v>
      </c>
      <c r="X45" s="427">
        <f t="shared" si="34"/>
        <v>11959.900000000001</v>
      </c>
      <c r="Y45" s="379">
        <f t="shared" si="34"/>
        <v>12116.800000000001</v>
      </c>
      <c r="Z45" s="427">
        <f t="shared" ref="Z45:AC45" si="35">Z43+Z44</f>
        <v>12905</v>
      </c>
      <c r="AA45" s="427">
        <f t="shared" si="35"/>
        <v>0</v>
      </c>
      <c r="AB45" s="427">
        <f t="shared" si="35"/>
        <v>0</v>
      </c>
      <c r="AC45" s="379">
        <f t="shared" si="35"/>
        <v>0</v>
      </c>
    </row>
    <row r="46" spans="1:29" s="213" customFormat="1" ht="20.149999999999999" customHeight="1">
      <c r="A46" s="206" t="s">
        <v>119</v>
      </c>
      <c r="B46" s="271">
        <f>932.068</f>
        <v>932.06799999999998</v>
      </c>
      <c r="C46" s="271">
        <f>(889155)*0.001</f>
        <v>889.15499999999997</v>
      </c>
      <c r="D46" s="271">
        <f>(680371)*0.001</f>
        <v>680.37099999999998</v>
      </c>
      <c r="E46" s="356">
        <f>(592003)*0.001</f>
        <v>592.00300000000004</v>
      </c>
      <c r="F46" s="271">
        <f>(572819)*0.001</f>
        <v>572.81899999999996</v>
      </c>
      <c r="G46" s="271">
        <f>(422858)*0.001</f>
        <v>422.858</v>
      </c>
      <c r="H46" s="271">
        <f>(329798)*0.001</f>
        <v>329.798</v>
      </c>
      <c r="I46" s="357">
        <f>(239889)*0.001</f>
        <v>239.88900000000001</v>
      </c>
      <c r="J46" s="358">
        <f>(236277)*0.001</f>
        <v>236.27700000000002</v>
      </c>
      <c r="K46" s="255">
        <v>8446.1</v>
      </c>
      <c r="L46" s="255">
        <v>7976.3</v>
      </c>
      <c r="M46" s="256">
        <v>7683.5</v>
      </c>
      <c r="N46" s="271">
        <v>7357.9</v>
      </c>
      <c r="O46" s="271">
        <v>7034.6</v>
      </c>
      <c r="P46" s="255">
        <v>5644.9</v>
      </c>
      <c r="Q46" s="272">
        <v>5379.8</v>
      </c>
      <c r="R46" s="271">
        <v>9982.1</v>
      </c>
      <c r="S46" s="271">
        <v>9752</v>
      </c>
      <c r="T46" s="271">
        <v>9530.2999999999993</v>
      </c>
      <c r="U46" s="272">
        <v>9302.7000000000007</v>
      </c>
      <c r="V46" s="434">
        <v>9056</v>
      </c>
      <c r="W46" s="434">
        <v>8808.6</v>
      </c>
      <c r="X46" s="434">
        <v>8561.9</v>
      </c>
      <c r="Y46" s="272">
        <v>9291.4</v>
      </c>
      <c r="Z46" s="434">
        <v>9474.7000000000007</v>
      </c>
      <c r="AA46" s="434"/>
      <c r="AB46" s="434"/>
      <c r="AC46" s="272"/>
    </row>
    <row r="47" spans="1:29" s="213" customFormat="1" ht="20.149999999999999" customHeight="1">
      <c r="A47" s="206" t="s">
        <v>120</v>
      </c>
      <c r="B47" s="271">
        <f>1360.637</f>
        <v>1360.6369999999999</v>
      </c>
      <c r="C47" s="271">
        <f>(1369593)*0.001</f>
        <v>1369.5930000000001</v>
      </c>
      <c r="D47" s="271">
        <f>(1347224)*0.001</f>
        <v>1347.2239999999999</v>
      </c>
      <c r="E47" s="272">
        <f>(1316479)*0.001</f>
        <v>1316.479</v>
      </c>
      <c r="F47" s="271">
        <f>(1370119)*0.001</f>
        <v>1370.1190000000001</v>
      </c>
      <c r="G47" s="271">
        <f>(1395972)*0.001</f>
        <v>1395.972</v>
      </c>
      <c r="H47" s="271">
        <f>(1385314)*0.001</f>
        <v>1385.3140000000001</v>
      </c>
      <c r="I47" s="272">
        <f>(1340010)*0.001</f>
        <v>1340.01</v>
      </c>
      <c r="J47" s="271">
        <f>(1396071)*0.001</f>
        <v>1396.0710000000001</v>
      </c>
      <c r="K47" s="255">
        <v>4286.8999999999996</v>
      </c>
      <c r="L47" s="255">
        <v>4302.1000000000004</v>
      </c>
      <c r="M47" s="256">
        <v>4550.2</v>
      </c>
      <c r="N47" s="271">
        <v>4470</v>
      </c>
      <c r="O47" s="271">
        <v>4582.5</v>
      </c>
      <c r="P47" s="255">
        <v>964.4</v>
      </c>
      <c r="Q47" s="272">
        <v>975.3</v>
      </c>
      <c r="R47" s="271">
        <v>2252.6</v>
      </c>
      <c r="S47" s="271">
        <v>1795.1</v>
      </c>
      <c r="T47" s="271">
        <v>1805.1</v>
      </c>
      <c r="U47" s="272">
        <v>1835.7</v>
      </c>
      <c r="V47" s="434">
        <v>964.9</v>
      </c>
      <c r="W47" s="434">
        <v>975.3</v>
      </c>
      <c r="X47" s="434">
        <v>965.2</v>
      </c>
      <c r="Y47" s="272">
        <v>975.7</v>
      </c>
      <c r="Z47" s="434">
        <v>965.2</v>
      </c>
      <c r="AA47" s="434"/>
      <c r="AB47" s="434"/>
      <c r="AC47" s="272"/>
    </row>
    <row r="48" spans="1:29" s="213" customFormat="1" ht="20.149999999999999" customHeight="1">
      <c r="A48" s="206" t="s">
        <v>121</v>
      </c>
      <c r="B48" s="271">
        <f>0.81</f>
        <v>0.81</v>
      </c>
      <c r="C48" s="271">
        <f>(741)*0.001</f>
        <v>0.74099999999999999</v>
      </c>
      <c r="D48" s="271">
        <f>(638)*0.001</f>
        <v>0.63800000000000001</v>
      </c>
      <c r="E48" s="356">
        <f>(551)*0.001</f>
        <v>0.55100000000000005</v>
      </c>
      <c r="F48" s="271">
        <f>(474)*0.001</f>
        <v>0.47400000000000003</v>
      </c>
      <c r="G48" s="271">
        <f>(424)*0.001</f>
        <v>0.42399999999999999</v>
      </c>
      <c r="H48" s="271">
        <f>(306)*0.001</f>
        <v>0.30599999999999999</v>
      </c>
      <c r="I48" s="357">
        <f>(227)*0.001</f>
        <v>0.22700000000000001</v>
      </c>
      <c r="J48" s="358">
        <f>(166)*0.001</f>
        <v>0.16600000000000001</v>
      </c>
      <c r="K48" s="255">
        <v>4.5</v>
      </c>
      <c r="L48" s="255">
        <v>7.9</v>
      </c>
      <c r="M48" s="256">
        <v>11.7</v>
      </c>
      <c r="N48" s="255">
        <v>13.4</v>
      </c>
      <c r="O48" s="255">
        <v>15.7</v>
      </c>
      <c r="P48" s="255">
        <v>21.3</v>
      </c>
      <c r="Q48" s="272">
        <v>20.9</v>
      </c>
      <c r="R48" s="255">
        <v>21.2</v>
      </c>
      <c r="S48" s="255">
        <v>23.3</v>
      </c>
      <c r="T48" s="255">
        <v>22.1</v>
      </c>
      <c r="U48" s="272">
        <v>20.9</v>
      </c>
      <c r="V48" s="421">
        <v>22.6</v>
      </c>
      <c r="W48" s="421">
        <v>21.4</v>
      </c>
      <c r="X48" s="421">
        <v>19.399999999999999</v>
      </c>
      <c r="Y48" s="272">
        <v>18.600000000000001</v>
      </c>
      <c r="Z48" s="421">
        <v>17.3</v>
      </c>
      <c r="AA48" s="421"/>
      <c r="AB48" s="421"/>
      <c r="AC48" s="272"/>
    </row>
    <row r="49" spans="1:29" s="213" customFormat="1" ht="20.149999999999999" customHeight="1">
      <c r="A49" s="206" t="s">
        <v>202</v>
      </c>
      <c r="B49" s="257">
        <f>0*($A$74)</f>
        <v>0</v>
      </c>
      <c r="C49" s="257">
        <f>0</f>
        <v>0</v>
      </c>
      <c r="D49" s="257">
        <f>0</f>
        <v>0</v>
      </c>
      <c r="E49" s="364">
        <v>0</v>
      </c>
      <c r="F49" s="257">
        <v>0</v>
      </c>
      <c r="G49" s="257">
        <f>0</f>
        <v>0</v>
      </c>
      <c r="H49" s="257">
        <v>0</v>
      </c>
      <c r="I49" s="365">
        <v>0</v>
      </c>
      <c r="J49" s="360">
        <v>0</v>
      </c>
      <c r="K49" s="255">
        <v>835.8</v>
      </c>
      <c r="L49" s="255">
        <v>730.2</v>
      </c>
      <c r="M49" s="256">
        <v>750.3</v>
      </c>
      <c r="N49" s="255">
        <v>724.4</v>
      </c>
      <c r="O49" s="255">
        <v>747.9</v>
      </c>
      <c r="P49" s="255">
        <v>645.1</v>
      </c>
      <c r="Q49" s="272">
        <v>652.79999999999995</v>
      </c>
      <c r="R49" s="255">
        <v>658</v>
      </c>
      <c r="S49" s="255">
        <v>686.7</v>
      </c>
      <c r="T49" s="255">
        <v>555.79999999999995</v>
      </c>
      <c r="U49" s="272">
        <v>574</v>
      </c>
      <c r="V49" s="421">
        <v>551</v>
      </c>
      <c r="W49" s="421">
        <v>555.4</v>
      </c>
      <c r="X49" s="421">
        <v>452.4</v>
      </c>
      <c r="Y49" s="272">
        <v>440.8</v>
      </c>
      <c r="Z49" s="421">
        <v>447.6</v>
      </c>
      <c r="AA49" s="421"/>
      <c r="AB49" s="421"/>
      <c r="AC49" s="272"/>
    </row>
    <row r="50" spans="1:29" s="213" customFormat="1" ht="20.149999999999999" customHeight="1">
      <c r="A50" s="206" t="s">
        <v>122</v>
      </c>
      <c r="B50" s="271">
        <f>87.307</f>
        <v>87.307000000000002</v>
      </c>
      <c r="C50" s="271">
        <f>(88480)*0.001</f>
        <v>88.48</v>
      </c>
      <c r="D50" s="271">
        <f>(97271)*0.001</f>
        <v>97.271000000000001</v>
      </c>
      <c r="E50" s="356">
        <f>(94258)*0.001</f>
        <v>94.257999999999996</v>
      </c>
      <c r="F50" s="271">
        <f>(93487)*0.001</f>
        <v>93.487000000000009</v>
      </c>
      <c r="G50" s="271">
        <f>(93150)*0.001</f>
        <v>93.15</v>
      </c>
      <c r="H50" s="271">
        <f>(98799)*0.001</f>
        <v>98.799000000000007</v>
      </c>
      <c r="I50" s="357">
        <f>(108066)*0.001</f>
        <v>108.066</v>
      </c>
      <c r="J50" s="358">
        <f>(95950)*0.001</f>
        <v>95.95</v>
      </c>
      <c r="K50" s="255">
        <v>1010.7</v>
      </c>
      <c r="L50" s="255">
        <v>1038.8</v>
      </c>
      <c r="M50" s="256">
        <v>908.7</v>
      </c>
      <c r="N50" s="255">
        <v>888.6</v>
      </c>
      <c r="O50" s="255">
        <v>821.1</v>
      </c>
      <c r="P50" s="255">
        <v>770.4</v>
      </c>
      <c r="Q50" s="272">
        <v>615.79999999999995</v>
      </c>
      <c r="R50" s="255">
        <v>694.4</v>
      </c>
      <c r="S50" s="255">
        <v>889.1</v>
      </c>
      <c r="T50" s="255">
        <v>923.2</v>
      </c>
      <c r="U50" s="272">
        <v>786.9</v>
      </c>
      <c r="V50" s="421">
        <v>812.3</v>
      </c>
      <c r="W50" s="421">
        <v>775.7</v>
      </c>
      <c r="X50" s="421">
        <v>771.8</v>
      </c>
      <c r="Y50" s="272">
        <v>879.8</v>
      </c>
      <c r="Z50" s="421">
        <v>1034.8</v>
      </c>
      <c r="AA50" s="421"/>
      <c r="AB50" s="421"/>
      <c r="AC50" s="272"/>
    </row>
    <row r="51" spans="1:29" s="213" customFormat="1" ht="20.149999999999999" customHeight="1">
      <c r="A51" s="206" t="s">
        <v>201</v>
      </c>
      <c r="B51" s="266">
        <v>0</v>
      </c>
      <c r="C51" s="271">
        <f>(6285)*0.001</f>
        <v>6.2850000000000001</v>
      </c>
      <c r="D51" s="271">
        <f>(5716)*0.001</f>
        <v>5.7160000000000002</v>
      </c>
      <c r="E51" s="356">
        <f>(5181)*0.001</f>
        <v>5.181</v>
      </c>
      <c r="F51" s="271">
        <f>(4978)*0.001</f>
        <v>4.9779999999999998</v>
      </c>
      <c r="G51" s="271">
        <f>(4754)*0.001</f>
        <v>4.7540000000000004</v>
      </c>
      <c r="H51" s="271">
        <f>(4303)*0.001</f>
        <v>4.3029999999999999</v>
      </c>
      <c r="I51" s="357">
        <f>(4079)*0.001</f>
        <v>4.0789999999999997</v>
      </c>
      <c r="J51" s="358">
        <f>(3008)*0.001</f>
        <v>3.008</v>
      </c>
      <c r="K51" s="255">
        <v>2.8</v>
      </c>
      <c r="L51" s="255">
        <v>3.9</v>
      </c>
      <c r="M51" s="256">
        <v>4.7</v>
      </c>
      <c r="N51" s="255">
        <v>5.5</v>
      </c>
      <c r="O51" s="255">
        <v>5</v>
      </c>
      <c r="P51" s="255">
        <v>4.5</v>
      </c>
      <c r="Q51" s="272">
        <v>4.7</v>
      </c>
      <c r="R51" s="255">
        <v>22.1</v>
      </c>
      <c r="S51" s="255">
        <v>21</v>
      </c>
      <c r="T51" s="255">
        <v>20.100000000000001</v>
      </c>
      <c r="U51" s="272">
        <v>20.100000000000001</v>
      </c>
      <c r="V51" s="421">
        <v>4</v>
      </c>
      <c r="W51" s="421">
        <v>3.8</v>
      </c>
      <c r="X51" s="421">
        <v>3.4</v>
      </c>
      <c r="Y51" s="272">
        <v>3.2</v>
      </c>
      <c r="Z51" s="421">
        <v>0</v>
      </c>
      <c r="AA51" s="421"/>
      <c r="AB51" s="421"/>
      <c r="AC51" s="272"/>
    </row>
    <row r="52" spans="1:29" s="213" customFormat="1" ht="20.149999999999999" customHeight="1">
      <c r="A52" s="206" t="s">
        <v>123</v>
      </c>
      <c r="B52" s="271">
        <f>13.779</f>
        <v>13.779</v>
      </c>
      <c r="C52" s="271">
        <f>(17835)*0.001</f>
        <v>17.835000000000001</v>
      </c>
      <c r="D52" s="271">
        <f>(19037)*0.001</f>
        <v>19.036999999999999</v>
      </c>
      <c r="E52" s="356">
        <f>(17690)*0.001</f>
        <v>17.690000000000001</v>
      </c>
      <c r="F52" s="271">
        <f>(17684)*0.001</f>
        <v>17.684000000000001</v>
      </c>
      <c r="G52" s="271">
        <f>(10154)*0.001</f>
        <v>10.154</v>
      </c>
      <c r="H52" s="271">
        <f>(8594)*0.001</f>
        <v>8.5939999999999994</v>
      </c>
      <c r="I52" s="357">
        <f>(7915)*0.001</f>
        <v>7.915</v>
      </c>
      <c r="J52" s="358">
        <f>(7828)*0.001</f>
        <v>7.8280000000000003</v>
      </c>
      <c r="K52" s="255">
        <v>158.19999999999999</v>
      </c>
      <c r="L52" s="255">
        <v>164.6</v>
      </c>
      <c r="M52" s="256">
        <v>184.2</v>
      </c>
      <c r="N52" s="255">
        <v>167.4</v>
      </c>
      <c r="O52" s="255">
        <v>132.4</v>
      </c>
      <c r="P52" s="255">
        <v>133.1</v>
      </c>
      <c r="Q52" s="272">
        <v>124.2</v>
      </c>
      <c r="R52" s="255">
        <v>157.30000000000001</v>
      </c>
      <c r="S52" s="255">
        <v>148.9</v>
      </c>
      <c r="T52" s="255">
        <v>148.19999999999999</v>
      </c>
      <c r="U52" s="272">
        <v>130.19999999999999</v>
      </c>
      <c r="V52" s="421">
        <v>128.1</v>
      </c>
      <c r="W52" s="421">
        <v>122</v>
      </c>
      <c r="X52" s="421">
        <v>122.2</v>
      </c>
      <c r="Y52" s="272">
        <v>114.2</v>
      </c>
      <c r="Z52" s="421">
        <v>122.4</v>
      </c>
      <c r="AA52" s="421"/>
      <c r="AB52" s="421"/>
      <c r="AC52" s="272"/>
    </row>
    <row r="53" spans="1:29" s="217" customFormat="1" ht="20.149999999999999" customHeight="1" thickBot="1">
      <c r="A53" s="207" t="s">
        <v>124</v>
      </c>
      <c r="B53" s="257">
        <f>0*($A$74)</f>
        <v>0</v>
      </c>
      <c r="C53" s="257">
        <f>0</f>
        <v>0</v>
      </c>
      <c r="D53" s="257">
        <f>0</f>
        <v>0</v>
      </c>
      <c r="E53" s="364">
        <v>0</v>
      </c>
      <c r="F53" s="257">
        <v>0</v>
      </c>
      <c r="G53" s="257">
        <f>0</f>
        <v>0</v>
      </c>
      <c r="H53" s="257">
        <v>0</v>
      </c>
      <c r="I53" s="259">
        <v>0.1</v>
      </c>
      <c r="J53" s="360">
        <v>0</v>
      </c>
      <c r="K53" s="257">
        <f>0*($A$74)</f>
        <v>0</v>
      </c>
      <c r="L53" s="257">
        <f>0*($A$74)</f>
        <v>0</v>
      </c>
      <c r="M53" s="259">
        <v>40.1</v>
      </c>
      <c r="N53" s="258">
        <v>22.6</v>
      </c>
      <c r="O53" s="258">
        <v>2</v>
      </c>
      <c r="P53" s="258">
        <v>1.9</v>
      </c>
      <c r="Q53" s="272">
        <v>0</v>
      </c>
      <c r="R53" s="258">
        <v>1.1000000000000001</v>
      </c>
      <c r="S53" s="258">
        <v>0.9</v>
      </c>
      <c r="T53" s="258">
        <v>0</v>
      </c>
      <c r="U53" s="272">
        <v>0</v>
      </c>
      <c r="V53" s="424">
        <v>1.5</v>
      </c>
      <c r="W53" s="424">
        <v>1.7</v>
      </c>
      <c r="X53" s="424">
        <v>1.3</v>
      </c>
      <c r="Y53" s="272">
        <v>0</v>
      </c>
      <c r="Z53" s="424">
        <v>2.2000000000000002</v>
      </c>
      <c r="AA53" s="424"/>
      <c r="AB53" s="424"/>
      <c r="AC53" s="272"/>
    </row>
    <row r="54" spans="1:29" s="218" customFormat="1" ht="25" customHeight="1" thickBot="1">
      <c r="A54" s="22" t="s">
        <v>125</v>
      </c>
      <c r="B54" s="262">
        <f t="shared" ref="B54" si="36">SUM(B46:B52)</f>
        <v>2394.6009999999997</v>
      </c>
      <c r="C54" s="262">
        <f t="shared" ref="C54" si="37">SUM(C46:C52)</f>
        <v>2372.0889999999999</v>
      </c>
      <c r="D54" s="262">
        <f t="shared" ref="D54" si="38">SUM(D46:D52)</f>
        <v>2150.2569999999996</v>
      </c>
      <c r="E54" s="263">
        <f t="shared" ref="E54:H54" si="39">SUM(E46:E52)</f>
        <v>2026.162</v>
      </c>
      <c r="F54" s="262">
        <f t="shared" si="39"/>
        <v>2059.5610000000001</v>
      </c>
      <c r="G54" s="262">
        <f t="shared" si="39"/>
        <v>1927.3119999999999</v>
      </c>
      <c r="H54" s="262">
        <f t="shared" si="39"/>
        <v>1827.1140000000003</v>
      </c>
      <c r="I54" s="262">
        <f t="shared" ref="I54:J54" si="40">SUM(I46:I52)</f>
        <v>1700.1859999999999</v>
      </c>
      <c r="J54" s="363">
        <f t="shared" si="40"/>
        <v>1739.3000000000002</v>
      </c>
      <c r="K54" s="262">
        <f t="shared" ref="K54:L54" si="41">SUM(K46:K52)</f>
        <v>14745</v>
      </c>
      <c r="L54" s="262">
        <f t="shared" si="41"/>
        <v>14223.800000000001</v>
      </c>
      <c r="M54" s="263">
        <f t="shared" ref="M54:R54" si="42">SUM(M46:M53)-M53</f>
        <v>14093.300000000003</v>
      </c>
      <c r="N54" s="262">
        <f t="shared" si="42"/>
        <v>13627.199999999999</v>
      </c>
      <c r="O54" s="262">
        <f t="shared" si="42"/>
        <v>13339.2</v>
      </c>
      <c r="P54" s="262">
        <f t="shared" si="42"/>
        <v>8183.7</v>
      </c>
      <c r="Q54" s="263">
        <f t="shared" si="42"/>
        <v>7773.5</v>
      </c>
      <c r="R54" s="262">
        <f t="shared" si="42"/>
        <v>13787.7</v>
      </c>
      <c r="S54" s="262">
        <f t="shared" ref="S54:T54" si="43">SUM(S46:S53)-S53</f>
        <v>13316.1</v>
      </c>
      <c r="T54" s="262">
        <f t="shared" si="43"/>
        <v>13004.800000000001</v>
      </c>
      <c r="U54" s="263">
        <f t="shared" ref="U54" si="44">SUM(U46:U53)-U53</f>
        <v>12670.500000000002</v>
      </c>
      <c r="V54" s="427">
        <f t="shared" ref="V54:Y54" si="45">SUM(V46:V53)-V53</f>
        <v>11538.9</v>
      </c>
      <c r="W54" s="427">
        <f t="shared" si="45"/>
        <v>11262.199999999999</v>
      </c>
      <c r="X54" s="427">
        <f t="shared" si="45"/>
        <v>10896.3</v>
      </c>
      <c r="Y54" s="379">
        <f t="shared" si="45"/>
        <v>11723.7</v>
      </c>
      <c r="Z54" s="427">
        <f t="shared" ref="Z54:AC54" si="46">SUM(Z46:Z53)-Z53</f>
        <v>12062</v>
      </c>
      <c r="AA54" s="427">
        <f t="shared" si="46"/>
        <v>0</v>
      </c>
      <c r="AB54" s="427">
        <f t="shared" si="46"/>
        <v>0</v>
      </c>
      <c r="AC54" s="379">
        <f t="shared" si="46"/>
        <v>0</v>
      </c>
    </row>
    <row r="55" spans="1:29" s="213" customFormat="1" ht="20.149999999999999" customHeight="1">
      <c r="A55" s="206" t="s">
        <v>119</v>
      </c>
      <c r="B55" s="271">
        <f>250.363</f>
        <v>250.363</v>
      </c>
      <c r="C55" s="271">
        <f>(265796)*0.001</f>
        <v>265.79599999999999</v>
      </c>
      <c r="D55" s="271">
        <f>(238676)*0.001</f>
        <v>238.67600000000002</v>
      </c>
      <c r="E55" s="356">
        <f>(275608)*0.001</f>
        <v>275.608</v>
      </c>
      <c r="F55" s="271">
        <f>(250329)*0.001</f>
        <v>250.32900000000001</v>
      </c>
      <c r="G55" s="271">
        <f>(263389)*0.001</f>
        <v>263.38900000000001</v>
      </c>
      <c r="H55" s="271">
        <f>(214673)*0.001</f>
        <v>214.673</v>
      </c>
      <c r="I55" s="357">
        <f>(245994)*0.001</f>
        <v>245.994</v>
      </c>
      <c r="J55" s="358">
        <f>(240921)*0.001</f>
        <v>240.92099999999999</v>
      </c>
      <c r="K55" s="255">
        <v>1094.3</v>
      </c>
      <c r="L55" s="255">
        <v>1365.1</v>
      </c>
      <c r="M55" s="256">
        <v>1322.6</v>
      </c>
      <c r="N55" s="271">
        <v>1543.9</v>
      </c>
      <c r="O55" s="271">
        <v>1169.9000000000001</v>
      </c>
      <c r="P55" s="255">
        <v>963.7</v>
      </c>
      <c r="Q55" s="272">
        <v>1230.9000000000001</v>
      </c>
      <c r="R55" s="271">
        <v>1593</v>
      </c>
      <c r="S55" s="271">
        <v>1251.3</v>
      </c>
      <c r="T55" s="271">
        <v>1269.4000000000001</v>
      </c>
      <c r="U55" s="272">
        <v>1270</v>
      </c>
      <c r="V55" s="434">
        <v>1286.8</v>
      </c>
      <c r="W55" s="434">
        <v>1805.9</v>
      </c>
      <c r="X55" s="434">
        <v>1824.8</v>
      </c>
      <c r="Y55" s="272">
        <v>1341.9</v>
      </c>
      <c r="Z55" s="434">
        <v>552.9</v>
      </c>
      <c r="AA55" s="434"/>
      <c r="AB55" s="434"/>
      <c r="AC55" s="272"/>
    </row>
    <row r="56" spans="1:29" s="213" customFormat="1" ht="20.149999999999999" customHeight="1">
      <c r="A56" s="206" t="s">
        <v>120</v>
      </c>
      <c r="B56" s="271">
        <f>100.836</f>
        <v>100.836</v>
      </c>
      <c r="C56" s="271">
        <f>(101342)*0.001</f>
        <v>101.342</v>
      </c>
      <c r="D56" s="271">
        <f>(99687)*0.001</f>
        <v>99.686999999999998</v>
      </c>
      <c r="E56" s="356">
        <f>(97256)*0.001</f>
        <v>97.256</v>
      </c>
      <c r="F56" s="271">
        <f>(101219)*0.001</f>
        <v>101.21900000000001</v>
      </c>
      <c r="G56" s="271">
        <f>(102957)*0.001</f>
        <v>102.95700000000001</v>
      </c>
      <c r="H56" s="271">
        <f>(102171)*0.001</f>
        <v>102.17100000000001</v>
      </c>
      <c r="I56" s="357">
        <f>(98659)*0.001</f>
        <v>98.659000000000006</v>
      </c>
      <c r="J56" s="358">
        <f>(101071)*0.001</f>
        <v>101.071</v>
      </c>
      <c r="K56" s="255">
        <v>431.9</v>
      </c>
      <c r="L56" s="255">
        <v>439.1</v>
      </c>
      <c r="M56" s="256">
        <v>464.4</v>
      </c>
      <c r="N56" s="255">
        <v>462.5</v>
      </c>
      <c r="O56" s="255">
        <v>479.4</v>
      </c>
      <c r="P56" s="255">
        <v>4607.5</v>
      </c>
      <c r="Q56" s="272">
        <v>4776.7</v>
      </c>
      <c r="R56" s="255">
        <v>41.5</v>
      </c>
      <c r="S56" s="255">
        <v>42.3</v>
      </c>
      <c r="T56" s="255">
        <v>41.9</v>
      </c>
      <c r="U56" s="272">
        <v>42.4</v>
      </c>
      <c r="V56" s="421">
        <v>981.4</v>
      </c>
      <c r="W56" s="421">
        <v>42.5</v>
      </c>
      <c r="X56" s="421">
        <v>42.1</v>
      </c>
      <c r="Y56" s="272">
        <v>42.5</v>
      </c>
      <c r="Z56" s="421">
        <v>41.9</v>
      </c>
      <c r="AA56" s="421"/>
      <c r="AB56" s="421"/>
      <c r="AC56" s="272"/>
    </row>
    <row r="57" spans="1:29" s="213" customFormat="1" ht="20.149999999999999" customHeight="1">
      <c r="A57" s="206" t="s">
        <v>121</v>
      </c>
      <c r="B57" s="271">
        <f>0.237</f>
        <v>0.23699999999999999</v>
      </c>
      <c r="C57" s="271">
        <f>(243)*0.001</f>
        <v>0.24299999999999999</v>
      </c>
      <c r="D57" s="271">
        <f>(234)*0.001</f>
        <v>0.23400000000000001</v>
      </c>
      <c r="E57" s="356">
        <f>(233)*0.001</f>
        <v>0.23300000000000001</v>
      </c>
      <c r="F57" s="271">
        <f>(238)*0.001</f>
        <v>0.23800000000000002</v>
      </c>
      <c r="G57" s="271">
        <f>(247)*0.001</f>
        <v>0.247</v>
      </c>
      <c r="H57" s="271">
        <f>(240)*0.001</f>
        <v>0.24</v>
      </c>
      <c r="I57" s="357">
        <f>(236)*0.001</f>
        <v>0.23600000000000002</v>
      </c>
      <c r="J57" s="358">
        <f>(237)*0.001</f>
        <v>0.23700000000000002</v>
      </c>
      <c r="K57" s="255">
        <v>5.3</v>
      </c>
      <c r="L57" s="255">
        <v>5.8</v>
      </c>
      <c r="M57" s="256">
        <v>6.8</v>
      </c>
      <c r="N57" s="255">
        <v>2.7</v>
      </c>
      <c r="O57" s="255">
        <v>3.7</v>
      </c>
      <c r="P57" s="255">
        <v>4.3</v>
      </c>
      <c r="Q57" s="272">
        <v>4.3</v>
      </c>
      <c r="R57" s="255">
        <v>4.5</v>
      </c>
      <c r="S57" s="255">
        <v>4.9000000000000004</v>
      </c>
      <c r="T57" s="255">
        <v>4.9000000000000004</v>
      </c>
      <c r="U57" s="272">
        <v>5</v>
      </c>
      <c r="V57" s="421">
        <v>5.2</v>
      </c>
      <c r="W57" s="421">
        <v>7.6</v>
      </c>
      <c r="X57" s="421">
        <v>7</v>
      </c>
      <c r="Y57" s="272">
        <v>9.6999999999999993</v>
      </c>
      <c r="Z57" s="421">
        <v>10.4</v>
      </c>
      <c r="AA57" s="421"/>
      <c r="AB57" s="421"/>
      <c r="AC57" s="272"/>
    </row>
    <row r="58" spans="1:29" s="213" customFormat="1" ht="20.149999999999999" customHeight="1">
      <c r="A58" s="206" t="s">
        <v>202</v>
      </c>
      <c r="B58" s="255">
        <v>0</v>
      </c>
      <c r="C58" s="255">
        <v>0</v>
      </c>
      <c r="D58" s="255">
        <v>0</v>
      </c>
      <c r="E58" s="256">
        <v>0</v>
      </c>
      <c r="F58" s="255">
        <v>0</v>
      </c>
      <c r="G58" s="255">
        <v>0</v>
      </c>
      <c r="H58" s="255">
        <v>0</v>
      </c>
      <c r="I58" s="359">
        <v>0</v>
      </c>
      <c r="J58" s="374">
        <v>0</v>
      </c>
      <c r="K58" s="255">
        <v>115.8</v>
      </c>
      <c r="L58" s="255">
        <v>113.9</v>
      </c>
      <c r="M58" s="256">
        <v>117.1</v>
      </c>
      <c r="N58" s="255">
        <v>113</v>
      </c>
      <c r="O58" s="255">
        <v>116.7</v>
      </c>
      <c r="P58" s="255">
        <v>115.6</v>
      </c>
      <c r="Q58" s="272">
        <v>117</v>
      </c>
      <c r="R58" s="255">
        <v>118</v>
      </c>
      <c r="S58" s="255">
        <v>123.1</v>
      </c>
      <c r="T58" s="255">
        <v>117.7</v>
      </c>
      <c r="U58" s="272">
        <v>121.5</v>
      </c>
      <c r="V58" s="421">
        <v>116.6</v>
      </c>
      <c r="W58" s="421">
        <v>117.6</v>
      </c>
      <c r="X58" s="421">
        <v>117.6</v>
      </c>
      <c r="Y58" s="272">
        <v>114.5</v>
      </c>
      <c r="Z58" s="421">
        <v>116.3</v>
      </c>
      <c r="AA58" s="421"/>
      <c r="AB58" s="421"/>
      <c r="AC58" s="272"/>
    </row>
    <row r="59" spans="1:29" s="213" customFormat="1" ht="20.149999999999999" customHeight="1">
      <c r="A59" s="206" t="s">
        <v>253</v>
      </c>
      <c r="B59" s="255"/>
      <c r="C59" s="255"/>
      <c r="D59" s="255"/>
      <c r="E59" s="256"/>
      <c r="F59" s="255"/>
      <c r="G59" s="255"/>
      <c r="H59" s="255"/>
      <c r="I59" s="359"/>
      <c r="J59" s="374"/>
      <c r="K59" s="255"/>
      <c r="L59" s="255"/>
      <c r="M59" s="256"/>
      <c r="N59" s="255"/>
      <c r="O59" s="255"/>
      <c r="P59" s="255"/>
      <c r="Q59" s="272"/>
      <c r="R59" s="255"/>
      <c r="S59" s="255"/>
      <c r="T59" s="255"/>
      <c r="U59" s="272"/>
      <c r="V59" s="421"/>
      <c r="W59" s="421"/>
      <c r="X59" s="421"/>
      <c r="Y59" s="272"/>
      <c r="Z59" s="434">
        <v>359</v>
      </c>
      <c r="AA59" s="421"/>
      <c r="AB59" s="421"/>
      <c r="AC59" s="272"/>
    </row>
    <row r="60" spans="1:29" s="213" customFormat="1" ht="20.149999999999999" customHeight="1">
      <c r="A60" s="206" t="s">
        <v>126</v>
      </c>
      <c r="B60" s="271">
        <f>435.427</f>
        <v>435.42700000000002</v>
      </c>
      <c r="C60" s="271">
        <f>(436188)*0.001</f>
        <v>436.18799999999999</v>
      </c>
      <c r="D60" s="271">
        <f>(441676)*0.001</f>
        <v>441.67599999999999</v>
      </c>
      <c r="E60" s="356">
        <f>(472094)*0.001</f>
        <v>472.09399999999999</v>
      </c>
      <c r="F60" s="271">
        <f>(432897)*0.001</f>
        <v>432.89699999999999</v>
      </c>
      <c r="G60" s="271">
        <f>(428004)*0.001</f>
        <v>428.00400000000002</v>
      </c>
      <c r="H60" s="271">
        <f>(390829)*0.001</f>
        <v>390.82900000000001</v>
      </c>
      <c r="I60" s="357">
        <f>(413210)*0.001</f>
        <v>413.21000000000004</v>
      </c>
      <c r="J60" s="358">
        <f>(418100)*0.001</f>
        <v>418.1</v>
      </c>
      <c r="K60" s="255">
        <v>1618.8</v>
      </c>
      <c r="L60" s="255">
        <v>1505.3</v>
      </c>
      <c r="M60" s="256">
        <v>1523</v>
      </c>
      <c r="N60" s="271">
        <v>1333.5</v>
      </c>
      <c r="O60" s="271">
        <v>1670.4</v>
      </c>
      <c r="P60" s="255">
        <v>1431.5</v>
      </c>
      <c r="Q60" s="272">
        <v>1485.4</v>
      </c>
      <c r="R60" s="271">
        <v>1711.4</v>
      </c>
      <c r="S60" s="271">
        <v>1365.9</v>
      </c>
      <c r="T60" s="271">
        <v>1338.1</v>
      </c>
      <c r="U60" s="272">
        <v>1569.5</v>
      </c>
      <c r="V60" s="434">
        <v>1337.9</v>
      </c>
      <c r="W60" s="434">
        <v>1694.4</v>
      </c>
      <c r="X60" s="434">
        <v>1397.9</v>
      </c>
      <c r="Y60" s="272">
        <v>1727.3</v>
      </c>
      <c r="Z60" s="421">
        <v>1430.8</v>
      </c>
      <c r="AA60" s="434"/>
      <c r="AB60" s="434"/>
      <c r="AC60" s="272"/>
    </row>
    <row r="61" spans="1:29" s="213" customFormat="1" ht="20.149999999999999" customHeight="1">
      <c r="A61" s="207" t="s">
        <v>124</v>
      </c>
      <c r="B61" s="255">
        <v>0</v>
      </c>
      <c r="C61" s="255">
        <v>0</v>
      </c>
      <c r="D61" s="255">
        <v>0</v>
      </c>
      <c r="E61" s="256">
        <v>0</v>
      </c>
      <c r="F61" s="255">
        <v>0</v>
      </c>
      <c r="G61" s="255">
        <v>0</v>
      </c>
      <c r="H61" s="255">
        <v>0</v>
      </c>
      <c r="I61" s="259">
        <v>12</v>
      </c>
      <c r="J61" s="374">
        <v>0</v>
      </c>
      <c r="K61" s="255">
        <v>0</v>
      </c>
      <c r="L61" s="255">
        <v>0</v>
      </c>
      <c r="M61" s="259">
        <v>87</v>
      </c>
      <c r="N61" s="258">
        <v>99.7</v>
      </c>
      <c r="O61" s="258">
        <v>79</v>
      </c>
      <c r="P61" s="258">
        <v>57.1</v>
      </c>
      <c r="Q61" s="403">
        <v>72.900000000000006</v>
      </c>
      <c r="R61" s="258">
        <v>25.8</v>
      </c>
      <c r="S61" s="258">
        <v>3.5</v>
      </c>
      <c r="T61" s="258">
        <v>1.8</v>
      </c>
      <c r="U61" s="272">
        <v>0</v>
      </c>
      <c r="V61" s="424">
        <v>1.5</v>
      </c>
      <c r="W61" s="424">
        <v>0.6</v>
      </c>
      <c r="X61" s="424">
        <v>0.5</v>
      </c>
      <c r="Y61" s="403">
        <v>3.6</v>
      </c>
      <c r="Z61" s="424">
        <v>2.8</v>
      </c>
      <c r="AA61" s="424"/>
      <c r="AB61" s="424"/>
      <c r="AC61" s="403"/>
    </row>
    <row r="62" spans="1:29" s="213" customFormat="1" ht="20.149999999999999" customHeight="1">
      <c r="A62" s="206" t="s">
        <v>127</v>
      </c>
      <c r="B62" s="271">
        <f>29.589</f>
        <v>29.588999999999999</v>
      </c>
      <c r="C62" s="271">
        <f>(7799)*0.001</f>
        <v>7.7990000000000004</v>
      </c>
      <c r="D62" s="271">
        <f>(6782)*0.001</f>
        <v>6.782</v>
      </c>
      <c r="E62" s="356">
        <f>(7092)*0.001</f>
        <v>7.0920000000000005</v>
      </c>
      <c r="F62" s="271">
        <f>(1990)*0.001</f>
        <v>1.99</v>
      </c>
      <c r="G62" s="271">
        <f>(6510)*0.001</f>
        <v>6.51</v>
      </c>
      <c r="H62" s="271">
        <f>(14152)*0.001</f>
        <v>14.152000000000001</v>
      </c>
      <c r="I62" s="357">
        <f>(4520)*0.001</f>
        <v>4.5200000000000005</v>
      </c>
      <c r="J62" s="358">
        <f>(12203)*0.001</f>
        <v>12.202999999999999</v>
      </c>
      <c r="K62" s="255">
        <v>43.7</v>
      </c>
      <c r="L62" s="255">
        <v>22.1</v>
      </c>
      <c r="M62" s="256">
        <v>48.028993427171699</v>
      </c>
      <c r="N62" s="255">
        <v>22.5</v>
      </c>
      <c r="O62" s="255">
        <v>132.69999999999999</v>
      </c>
      <c r="P62" s="255">
        <v>96.3</v>
      </c>
      <c r="Q62" s="272">
        <v>176.1</v>
      </c>
      <c r="R62" s="255">
        <v>29.2</v>
      </c>
      <c r="S62" s="255">
        <v>39.1</v>
      </c>
      <c r="T62" s="255">
        <v>21.967722325707697</v>
      </c>
      <c r="U62" s="272">
        <v>24.9</v>
      </c>
      <c r="V62" s="421">
        <v>4.3</v>
      </c>
      <c r="W62" s="421">
        <v>24.9</v>
      </c>
      <c r="X62" s="421">
        <v>17.5</v>
      </c>
      <c r="Y62" s="272">
        <v>61.3</v>
      </c>
      <c r="Z62" s="421">
        <v>60.1</v>
      </c>
      <c r="AA62" s="421"/>
      <c r="AB62" s="421"/>
      <c r="AC62" s="272"/>
    </row>
    <row r="63" spans="1:29" s="213" customFormat="1" ht="20.149999999999999" customHeight="1">
      <c r="A63" s="206" t="s">
        <v>128</v>
      </c>
      <c r="B63" s="271">
        <f>12.532</f>
        <v>12.532</v>
      </c>
      <c r="C63" s="271">
        <f>(12125)*0.001</f>
        <v>12.125</v>
      </c>
      <c r="D63" s="271">
        <f>(12084)*0.001</f>
        <v>12.084</v>
      </c>
      <c r="E63" s="356">
        <f>(13259)*0.001</f>
        <v>13.259</v>
      </c>
      <c r="F63" s="271">
        <f>(13182)*0.001</f>
        <v>13.182</v>
      </c>
      <c r="G63" s="271">
        <f>(12551)*0.001</f>
        <v>12.551</v>
      </c>
      <c r="H63" s="271">
        <f>(12536)*0.001</f>
        <v>12.536</v>
      </c>
      <c r="I63" s="357">
        <f>(2727)*0.001</f>
        <v>2.7269999999999999</v>
      </c>
      <c r="J63" s="358">
        <f>(2843)*0.001</f>
        <v>2.843</v>
      </c>
      <c r="K63" s="255">
        <v>2.6</v>
      </c>
      <c r="L63" s="255">
        <v>2.7</v>
      </c>
      <c r="M63" s="256">
        <v>1.4</v>
      </c>
      <c r="N63" s="255">
        <v>1.4</v>
      </c>
      <c r="O63" s="274" t="s">
        <v>1</v>
      </c>
      <c r="P63" s="274" t="s">
        <v>1</v>
      </c>
      <c r="Q63" s="275" t="s">
        <v>1</v>
      </c>
      <c r="R63" s="274" t="s">
        <v>1</v>
      </c>
      <c r="S63" s="274" t="s">
        <v>1</v>
      </c>
      <c r="T63" s="274" t="s">
        <v>1</v>
      </c>
      <c r="U63" s="275" t="s">
        <v>1</v>
      </c>
      <c r="V63" s="436" t="s">
        <v>1</v>
      </c>
      <c r="W63" s="436" t="s">
        <v>1</v>
      </c>
      <c r="X63" s="436" t="s">
        <v>1</v>
      </c>
      <c r="Y63" s="275" t="s">
        <v>1</v>
      </c>
      <c r="Z63" s="436" t="s">
        <v>1</v>
      </c>
      <c r="AA63" s="436"/>
      <c r="AB63" s="436"/>
      <c r="AC63" s="275"/>
    </row>
    <row r="64" spans="1:29" s="213" customFormat="1" ht="20.149999999999999" customHeight="1" thickBot="1">
      <c r="A64" s="206" t="s">
        <v>201</v>
      </c>
      <c r="B64" s="271">
        <f>188.402</f>
        <v>188.40199999999999</v>
      </c>
      <c r="C64" s="271">
        <f>(209950)*0.001</f>
        <v>209.95000000000002</v>
      </c>
      <c r="D64" s="271">
        <f>(210563)*0.001</f>
        <v>210.56300000000002</v>
      </c>
      <c r="E64" s="356">
        <f>(201238)*0.001</f>
        <v>201.238</v>
      </c>
      <c r="F64" s="271">
        <f>(207890)*0.001</f>
        <v>207.89000000000001</v>
      </c>
      <c r="G64" s="271">
        <f>(204442)*0.001</f>
        <v>204.44200000000001</v>
      </c>
      <c r="H64" s="271">
        <f>(210688)*0.001</f>
        <v>210.68800000000002</v>
      </c>
      <c r="I64" s="357">
        <f>(209485)*0.001</f>
        <v>209.48500000000001</v>
      </c>
      <c r="J64" s="358">
        <f>(228170)*0.001</f>
        <v>228.17000000000002</v>
      </c>
      <c r="K64" s="255">
        <v>678</v>
      </c>
      <c r="L64" s="255">
        <v>672.7</v>
      </c>
      <c r="M64" s="256">
        <v>683.9</v>
      </c>
      <c r="N64" s="255">
        <v>670.3</v>
      </c>
      <c r="O64" s="255">
        <v>672</v>
      </c>
      <c r="P64" s="255">
        <v>680.9</v>
      </c>
      <c r="Q64" s="272">
        <v>676.1</v>
      </c>
      <c r="R64" s="255">
        <v>665</v>
      </c>
      <c r="S64" s="255">
        <v>676.8</v>
      </c>
      <c r="T64" s="255">
        <v>660.84343092999995</v>
      </c>
      <c r="U64" s="272">
        <v>647.9</v>
      </c>
      <c r="V64" s="421">
        <v>633.79999999999995</v>
      </c>
      <c r="W64" s="421">
        <v>637.29999999999995</v>
      </c>
      <c r="X64" s="421">
        <v>629.5</v>
      </c>
      <c r="Y64" s="272">
        <v>618.29999999999995</v>
      </c>
      <c r="Z64" s="421">
        <v>356</v>
      </c>
      <c r="AA64" s="421"/>
      <c r="AB64" s="421"/>
      <c r="AC64" s="272"/>
    </row>
    <row r="65" spans="1:29" s="218" customFormat="1" ht="25" customHeight="1" thickBot="1">
      <c r="A65" s="22" t="s">
        <v>129</v>
      </c>
      <c r="B65" s="262">
        <f t="shared" ref="B65:H65" si="47">SUM(B55:B64)</f>
        <v>1017.386</v>
      </c>
      <c r="C65" s="262">
        <f t="shared" si="47"/>
        <v>1033.443</v>
      </c>
      <c r="D65" s="262">
        <f t="shared" si="47"/>
        <v>1009.7019999999999</v>
      </c>
      <c r="E65" s="263">
        <f t="shared" si="47"/>
        <v>1066.78</v>
      </c>
      <c r="F65" s="262">
        <f t="shared" si="47"/>
        <v>1007.745</v>
      </c>
      <c r="G65" s="262">
        <f t="shared" si="47"/>
        <v>1018.1</v>
      </c>
      <c r="H65" s="262">
        <f t="shared" si="47"/>
        <v>945.28899999999999</v>
      </c>
      <c r="I65" s="262">
        <f>SUM(I55:I64)-I61</f>
        <v>974.83100000000002</v>
      </c>
      <c r="J65" s="363">
        <f>SUM(J55:J64)</f>
        <v>1003.5449999999998</v>
      </c>
      <c r="K65" s="262">
        <f>SUM(K55:K64)</f>
        <v>3990.3999999999992</v>
      </c>
      <c r="L65" s="262">
        <f>SUM(L55:L64)</f>
        <v>4126.7</v>
      </c>
      <c r="M65" s="263">
        <f t="shared" ref="M65:R65" si="48">SUM(M55:M64)-M61</f>
        <v>4167.2289934271712</v>
      </c>
      <c r="N65" s="262">
        <f t="shared" si="48"/>
        <v>4149.8</v>
      </c>
      <c r="O65" s="262">
        <f t="shared" si="48"/>
        <v>4244.8</v>
      </c>
      <c r="P65" s="262">
        <f t="shared" si="48"/>
        <v>7899.8</v>
      </c>
      <c r="Q65" s="263">
        <f t="shared" si="48"/>
        <v>8466.5000000000018</v>
      </c>
      <c r="R65" s="262">
        <f t="shared" si="48"/>
        <v>4162.5999999999995</v>
      </c>
      <c r="S65" s="262">
        <f>SUM(S55:S64)-S61</f>
        <v>3503.3999999999996</v>
      </c>
      <c r="T65" s="262">
        <f>SUM(T55:T64)-T61</f>
        <v>3454.8111532557077</v>
      </c>
      <c r="U65" s="263">
        <f t="shared" ref="U65" si="49">SUM(U55:U64)-U61</f>
        <v>3681.2000000000003</v>
      </c>
      <c r="V65" s="427">
        <f t="shared" ref="V65:W65" si="50">SUM(V55:V64)-V61</f>
        <v>4366</v>
      </c>
      <c r="W65" s="427">
        <f t="shared" si="50"/>
        <v>4330.2</v>
      </c>
      <c r="X65" s="427">
        <f t="shared" ref="X65" si="51">SUM(X55:X64)-X61</f>
        <v>4036.3999999999996</v>
      </c>
      <c r="Y65" s="379">
        <f t="shared" ref="Y65" si="52">SUM(Y55:Y64)-Y61</f>
        <v>3915.5000000000005</v>
      </c>
      <c r="Z65" s="427">
        <f t="shared" ref="Z65:AA65" si="53">SUM(Z55:Z64)-Z61</f>
        <v>2927.4</v>
      </c>
      <c r="AA65" s="427">
        <f t="shared" si="53"/>
        <v>0</v>
      </c>
      <c r="AB65" s="427">
        <f t="shared" ref="AB65:AC65" si="54">SUM(AB55:AB64)-AB61</f>
        <v>0</v>
      </c>
      <c r="AC65" s="379">
        <f t="shared" si="54"/>
        <v>0</v>
      </c>
    </row>
    <row r="66" spans="1:29" s="218" customFormat="1" ht="25" customHeight="1" thickBot="1">
      <c r="A66" s="22" t="s">
        <v>130</v>
      </c>
      <c r="B66" s="262">
        <f>B54+B65</f>
        <v>3411.9869999999996</v>
      </c>
      <c r="C66" s="262">
        <f>C54+C65</f>
        <v>3405.5320000000002</v>
      </c>
      <c r="D66" s="262">
        <f>D54+D65</f>
        <v>3159.9589999999994</v>
      </c>
      <c r="E66" s="263">
        <f t="shared" ref="E66:T66" si="55">E65+E54</f>
        <v>3092.942</v>
      </c>
      <c r="F66" s="262">
        <f t="shared" si="55"/>
        <v>3067.306</v>
      </c>
      <c r="G66" s="262">
        <f t="shared" si="55"/>
        <v>2945.4119999999998</v>
      </c>
      <c r="H66" s="262">
        <f t="shared" si="55"/>
        <v>2772.4030000000002</v>
      </c>
      <c r="I66" s="262">
        <f t="shared" si="55"/>
        <v>2675.0169999999998</v>
      </c>
      <c r="J66" s="363">
        <f t="shared" si="55"/>
        <v>2742.8450000000003</v>
      </c>
      <c r="K66" s="262">
        <f t="shared" si="55"/>
        <v>18735.399999999998</v>
      </c>
      <c r="L66" s="262">
        <f t="shared" si="55"/>
        <v>18350.5</v>
      </c>
      <c r="M66" s="263">
        <f t="shared" si="55"/>
        <v>18260.528993427175</v>
      </c>
      <c r="N66" s="262">
        <f t="shared" si="55"/>
        <v>17777</v>
      </c>
      <c r="O66" s="262">
        <f t="shared" si="55"/>
        <v>17584</v>
      </c>
      <c r="P66" s="262">
        <f t="shared" si="55"/>
        <v>16083.5</v>
      </c>
      <c r="Q66" s="263">
        <f t="shared" si="55"/>
        <v>16240.000000000002</v>
      </c>
      <c r="R66" s="262">
        <f t="shared" si="55"/>
        <v>17950.3</v>
      </c>
      <c r="S66" s="262">
        <f t="shared" si="55"/>
        <v>16819.5</v>
      </c>
      <c r="T66" s="262">
        <f t="shared" si="55"/>
        <v>16459.611153255708</v>
      </c>
      <c r="U66" s="263">
        <f t="shared" ref="U66:V66" si="56">U65+U54</f>
        <v>16351.700000000003</v>
      </c>
      <c r="V66" s="427">
        <f t="shared" si="56"/>
        <v>15904.9</v>
      </c>
      <c r="W66" s="427">
        <f t="shared" ref="W66:X66" si="57">W65+W54</f>
        <v>15592.399999999998</v>
      </c>
      <c r="X66" s="427">
        <f t="shared" si="57"/>
        <v>14932.699999999999</v>
      </c>
      <c r="Y66" s="379">
        <f t="shared" ref="Y66:AB66" si="58">Y65+Y54</f>
        <v>15639.2</v>
      </c>
      <c r="Z66" s="427">
        <f t="shared" si="58"/>
        <v>14989.4</v>
      </c>
      <c r="AA66" s="427">
        <f t="shared" si="58"/>
        <v>0</v>
      </c>
      <c r="AB66" s="427">
        <f t="shared" si="58"/>
        <v>0</v>
      </c>
      <c r="AC66" s="379">
        <f t="shared" ref="AC66" si="59">AC65+AC54</f>
        <v>0</v>
      </c>
    </row>
    <row r="67" spans="1:29" s="218" customFormat="1" ht="25" customHeight="1" thickBot="1">
      <c r="A67" s="219" t="s">
        <v>109</v>
      </c>
      <c r="B67" s="267">
        <f t="shared" ref="B67:T67" si="60">B66+B45</f>
        <v>5502.753999999999</v>
      </c>
      <c r="C67" s="267">
        <f t="shared" si="60"/>
        <v>5597.8010000000004</v>
      </c>
      <c r="D67" s="267">
        <f t="shared" si="60"/>
        <v>5514.8739999999998</v>
      </c>
      <c r="E67" s="268">
        <f t="shared" si="60"/>
        <v>5561.3450000000003</v>
      </c>
      <c r="F67" s="267">
        <f t="shared" si="60"/>
        <v>5629.4740000000002</v>
      </c>
      <c r="G67" s="267">
        <f t="shared" si="60"/>
        <v>5592.7070000000003</v>
      </c>
      <c r="H67" s="267">
        <f t="shared" si="60"/>
        <v>5597.9809999999998</v>
      </c>
      <c r="I67" s="366">
        <f t="shared" si="60"/>
        <v>5676.23</v>
      </c>
      <c r="J67" s="367">
        <f t="shared" si="60"/>
        <v>5851.1939999999995</v>
      </c>
      <c r="K67" s="267">
        <f t="shared" si="60"/>
        <v>27827.1</v>
      </c>
      <c r="L67" s="267">
        <f t="shared" si="60"/>
        <v>27481.200000000001</v>
      </c>
      <c r="M67" s="268">
        <f t="shared" si="60"/>
        <v>27338.728993427176</v>
      </c>
      <c r="N67" s="267">
        <f t="shared" si="60"/>
        <v>27088.9</v>
      </c>
      <c r="O67" s="267">
        <f t="shared" si="60"/>
        <v>27141.800000000003</v>
      </c>
      <c r="P67" s="267">
        <f t="shared" si="60"/>
        <v>26143.5</v>
      </c>
      <c r="Q67" s="269">
        <f t="shared" si="60"/>
        <v>26490.100000000002</v>
      </c>
      <c r="R67" s="267">
        <f t="shared" si="60"/>
        <v>28355.5</v>
      </c>
      <c r="S67" s="267">
        <f t="shared" si="60"/>
        <v>27581.1</v>
      </c>
      <c r="T67" s="267">
        <f t="shared" si="60"/>
        <v>27493.111153255708</v>
      </c>
      <c r="U67" s="269">
        <f t="shared" ref="U67:V67" si="61">U66+U45</f>
        <v>27729.300000000003</v>
      </c>
      <c r="V67" s="430">
        <f t="shared" si="61"/>
        <v>27553.199999999997</v>
      </c>
      <c r="W67" s="430">
        <f t="shared" ref="W67:X67" si="62">W66+W45</f>
        <v>27317.5</v>
      </c>
      <c r="X67" s="430">
        <f t="shared" si="62"/>
        <v>26892.6</v>
      </c>
      <c r="Y67" s="269">
        <f t="shared" ref="Y67:AB67" si="63">Y66+Y45</f>
        <v>27756</v>
      </c>
      <c r="Z67" s="430">
        <f>Z66+Z45</f>
        <v>27894.400000000001</v>
      </c>
      <c r="AA67" s="430">
        <f t="shared" si="63"/>
        <v>0</v>
      </c>
      <c r="AB67" s="430">
        <f t="shared" si="63"/>
        <v>0</v>
      </c>
      <c r="AC67" s="269">
        <f t="shared" ref="AC67" si="64">AC66+AC45</f>
        <v>0</v>
      </c>
    </row>
    <row r="68" spans="1:29" s="213" customFormat="1">
      <c r="A68" s="221"/>
      <c r="K68" s="222"/>
      <c r="L68" s="222"/>
      <c r="P68" s="222"/>
      <c r="V68" s="21"/>
      <c r="W68" s="21"/>
      <c r="X68" s="21"/>
      <c r="Y68" s="21"/>
      <c r="Z68" s="21"/>
      <c r="AA68" s="21"/>
      <c r="AB68" s="21"/>
      <c r="AC68" s="21"/>
    </row>
    <row r="69" spans="1:29" s="213" customFormat="1">
      <c r="A69" s="221"/>
      <c r="K69" s="222"/>
      <c r="L69" s="222"/>
      <c r="P69" s="222"/>
      <c r="V69" s="21"/>
      <c r="W69" s="21"/>
      <c r="X69" s="21"/>
      <c r="Y69" s="21"/>
      <c r="Z69" s="21"/>
      <c r="AA69" s="21"/>
      <c r="AB69" s="21"/>
      <c r="AC69" s="21"/>
    </row>
    <row r="70" spans="1:29" s="213" customFormat="1" ht="20.149999999999999" customHeight="1">
      <c r="A70" s="562" t="s">
        <v>204</v>
      </c>
      <c r="B70" s="562"/>
      <c r="C70" s="562"/>
      <c r="D70" s="562"/>
      <c r="E70" s="562"/>
      <c r="F70" s="562"/>
      <c r="G70" s="562"/>
      <c r="H70" s="562"/>
      <c r="I70" s="562"/>
      <c r="J70" s="562"/>
      <c r="K70" s="562"/>
      <c r="L70" s="562"/>
      <c r="M70" s="562"/>
      <c r="N70" s="562"/>
      <c r="O70" s="562"/>
      <c r="P70" s="562"/>
      <c r="Q70" s="562"/>
      <c r="V70" s="21"/>
      <c r="W70" s="21"/>
      <c r="X70" s="21"/>
      <c r="Y70" s="21"/>
      <c r="Z70" s="21"/>
      <c r="AA70" s="21"/>
      <c r="AB70" s="21"/>
      <c r="AC70" s="21"/>
    </row>
    <row r="71" spans="1:29" s="213" customFormat="1" ht="20.149999999999999" customHeight="1">
      <c r="A71" s="562" t="s">
        <v>205</v>
      </c>
      <c r="B71" s="562"/>
      <c r="C71" s="562"/>
      <c r="D71" s="562"/>
      <c r="E71" s="562"/>
      <c r="F71" s="562"/>
      <c r="G71" s="562"/>
      <c r="H71" s="562"/>
      <c r="I71" s="562"/>
      <c r="J71" s="562"/>
      <c r="K71" s="562"/>
      <c r="L71" s="562"/>
      <c r="M71" s="562"/>
      <c r="N71" s="562"/>
      <c r="O71" s="562"/>
      <c r="P71" s="562"/>
      <c r="Q71" s="562"/>
      <c r="V71" s="21"/>
      <c r="W71" s="21"/>
      <c r="X71" s="21"/>
      <c r="Y71" s="21"/>
      <c r="Z71" s="21"/>
      <c r="AA71" s="21"/>
      <c r="AB71" s="21"/>
      <c r="AC71" s="21"/>
    </row>
    <row r="72" spans="1:29" s="213" customFormat="1">
      <c r="A72" s="223"/>
      <c r="K72" s="222"/>
      <c r="L72" s="222"/>
      <c r="P72" s="222"/>
      <c r="V72" s="21"/>
      <c r="W72" s="21"/>
      <c r="X72" s="21"/>
      <c r="Y72" s="21"/>
      <c r="Z72" s="21"/>
      <c r="AA72" s="21"/>
      <c r="AB72" s="21"/>
      <c r="AC72" s="21"/>
    </row>
    <row r="73" spans="1:29" s="213" customFormat="1">
      <c r="A73" s="215"/>
      <c r="K73" s="222"/>
      <c r="L73" s="222"/>
      <c r="P73" s="222"/>
      <c r="V73" s="21"/>
      <c r="W73" s="21"/>
      <c r="X73" s="21"/>
      <c r="Y73" s="21"/>
      <c r="Z73" s="21"/>
      <c r="AA73" s="21"/>
      <c r="AB73" s="21"/>
      <c r="AC73" s="21"/>
    </row>
    <row r="74" spans="1:29" s="213" customFormat="1">
      <c r="A74" s="223"/>
      <c r="K74" s="222"/>
      <c r="L74" s="222"/>
      <c r="P74" s="222"/>
      <c r="V74" s="21"/>
      <c r="W74" s="21"/>
      <c r="X74" s="21"/>
      <c r="Y74" s="21"/>
      <c r="Z74" s="21"/>
      <c r="AA74" s="21"/>
      <c r="AB74" s="21"/>
      <c r="AC74" s="21"/>
    </row>
    <row r="75" spans="1:29" s="213" customFormat="1">
      <c r="A75" s="223"/>
      <c r="K75" s="222"/>
      <c r="L75" s="222"/>
      <c r="P75" s="222"/>
      <c r="V75" s="21"/>
      <c r="W75" s="21"/>
      <c r="X75" s="21"/>
      <c r="Y75" s="21"/>
      <c r="Z75" s="21"/>
      <c r="AA75" s="21"/>
      <c r="AB75" s="21"/>
      <c r="AC75" s="21"/>
    </row>
  </sheetData>
  <mergeCells count="9">
    <mergeCell ref="Z2:AC2"/>
    <mergeCell ref="V2:Y2"/>
    <mergeCell ref="R2:U2"/>
    <mergeCell ref="A70:Q70"/>
    <mergeCell ref="A71:Q71"/>
    <mergeCell ref="B2:E2"/>
    <mergeCell ref="F2:I2"/>
    <mergeCell ref="J2:M2"/>
    <mergeCell ref="N2:Q2"/>
  </mergeCells>
  <phoneticPr fontId="16" type="noConversion"/>
  <pageMargins left="0.70866141732283472" right="0.70866141732283472" top="0.74803149606299213" bottom="0.74803149606299213" header="0.31496062992125984" footer="0.31496062992125984"/>
  <pageSetup paperSize="9" scale="31" orientation="landscape" r:id="rId1"/>
  <ignoredErrors>
    <ignoredError sqref="I65 C30 F30 H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41"/>
  <sheetViews>
    <sheetView showGridLines="0" zoomScaleNormal="100" zoomScaleSheetLayoutView="110" workbookViewId="0">
      <pane xSplit="1" ySplit="3" topLeftCell="Z4" activePane="bottomRight" state="frozen"/>
      <selection pane="topRight" activeCell="B1" sqref="B1"/>
      <selection pane="bottomLeft" activeCell="A4" sqref="A4"/>
      <selection pane="bottomRight" activeCell="Z17" sqref="Z17"/>
    </sheetView>
  </sheetViews>
  <sheetFormatPr defaultColWidth="9" defaultRowHeight="13"/>
  <cols>
    <col min="1" max="1" width="60.75" style="7" customWidth="1"/>
    <col min="2" max="2" width="13.08203125" style="7" customWidth="1"/>
    <col min="3" max="4" width="13" style="7" bestFit="1" customWidth="1"/>
    <col min="5" max="5" width="14.08203125" style="7" customWidth="1"/>
    <col min="6" max="6" width="13" style="7" bestFit="1" customWidth="1"/>
    <col min="7" max="8" width="12.83203125" style="7" customWidth="1"/>
    <col min="9" max="9" width="14.08203125" style="7" customWidth="1"/>
    <col min="10" max="11" width="13" style="7" bestFit="1" customWidth="1"/>
    <col min="12" max="12" width="12.83203125" style="7" customWidth="1"/>
    <col min="13" max="13" width="14.08203125" style="7" customWidth="1"/>
    <col min="14" max="16" width="13" style="7" bestFit="1" customWidth="1"/>
    <col min="17" max="17" width="14.08203125" style="7" customWidth="1"/>
    <col min="18" max="20" width="13" style="7" bestFit="1" customWidth="1"/>
    <col min="21" max="21" width="14.08203125" style="7" customWidth="1"/>
    <col min="22" max="24" width="13" style="7" bestFit="1" customWidth="1"/>
    <col min="25" max="25" width="14.08203125" style="7" customWidth="1"/>
    <col min="26" max="28" width="13" style="7" bestFit="1" customWidth="1"/>
    <col min="29" max="29" width="14.08203125" style="7" customWidth="1"/>
    <col min="30" max="61" width="9" style="18"/>
    <col min="62" max="16384" width="9" style="7"/>
  </cols>
  <sheetData>
    <row r="1" spans="1:494" s="63" customFormat="1" ht="50.25" customHeight="1" thickBo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5" customHeight="1">
      <c r="A2" s="81" t="s">
        <v>131</v>
      </c>
      <c r="B2" s="559">
        <v>2012</v>
      </c>
      <c r="C2" s="560"/>
      <c r="D2" s="560"/>
      <c r="E2" s="561"/>
      <c r="F2" s="559">
        <v>2013</v>
      </c>
      <c r="G2" s="560"/>
      <c r="H2" s="560"/>
      <c r="I2" s="561"/>
      <c r="J2" s="560">
        <v>2014</v>
      </c>
      <c r="K2" s="560"/>
      <c r="L2" s="560"/>
      <c r="M2" s="560"/>
      <c r="N2" s="568">
        <v>2015</v>
      </c>
      <c r="O2" s="563"/>
      <c r="P2" s="563"/>
      <c r="Q2" s="564"/>
      <c r="R2" s="565">
        <v>2016</v>
      </c>
      <c r="S2" s="566"/>
      <c r="T2" s="566"/>
      <c r="U2" s="567"/>
      <c r="V2" s="565" t="s">
        <v>280</v>
      </c>
      <c r="W2" s="566"/>
      <c r="X2" s="566"/>
      <c r="Y2" s="567"/>
      <c r="Z2" s="565" t="s">
        <v>281</v>
      </c>
      <c r="AA2" s="566"/>
      <c r="AB2" s="566"/>
      <c r="AC2" s="567"/>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26.5" thickBot="1">
      <c r="A3" s="82" t="s">
        <v>49</v>
      </c>
      <c r="B3" s="79" t="s">
        <v>170</v>
      </c>
      <c r="C3" s="78" t="s">
        <v>171</v>
      </c>
      <c r="D3" s="78" t="s">
        <v>172</v>
      </c>
      <c r="E3" s="80" t="s">
        <v>173</v>
      </c>
      <c r="F3" s="79" t="s">
        <v>170</v>
      </c>
      <c r="G3" s="78" t="s">
        <v>171</v>
      </c>
      <c r="H3" s="78" t="s">
        <v>172</v>
      </c>
      <c r="I3" s="80" t="s">
        <v>173</v>
      </c>
      <c r="J3" s="78" t="s">
        <v>170</v>
      </c>
      <c r="K3" s="78" t="s">
        <v>171</v>
      </c>
      <c r="L3" s="78" t="s">
        <v>172</v>
      </c>
      <c r="M3" s="87" t="s">
        <v>173</v>
      </c>
      <c r="N3" s="79" t="s">
        <v>170</v>
      </c>
      <c r="O3" s="78" t="s">
        <v>171</v>
      </c>
      <c r="P3" s="78" t="s">
        <v>172</v>
      </c>
      <c r="Q3" s="249" t="s">
        <v>173</v>
      </c>
      <c r="R3" s="79" t="s">
        <v>170</v>
      </c>
      <c r="S3" s="78" t="s">
        <v>171</v>
      </c>
      <c r="T3" s="78" t="s">
        <v>172</v>
      </c>
      <c r="U3" s="249" t="s">
        <v>173</v>
      </c>
      <c r="V3" s="79" t="s">
        <v>170</v>
      </c>
      <c r="W3" s="78" t="s">
        <v>171</v>
      </c>
      <c r="X3" s="78" t="s">
        <v>172</v>
      </c>
      <c r="Y3" s="249" t="s">
        <v>173</v>
      </c>
      <c r="Z3" s="79" t="s">
        <v>170</v>
      </c>
      <c r="AA3" s="78" t="s">
        <v>171</v>
      </c>
      <c r="AB3" s="78" t="s">
        <v>172</v>
      </c>
      <c r="AC3" s="249" t="s">
        <v>173</v>
      </c>
    </row>
    <row r="4" spans="1:494" s="18" customFormat="1" ht="25" customHeight="1" thickBot="1">
      <c r="A4" s="83" t="s">
        <v>132</v>
      </c>
      <c r="B4" s="281">
        <v>205.10900000000001</v>
      </c>
      <c r="C4" s="279">
        <v>304.61200000000002</v>
      </c>
      <c r="D4" s="279">
        <v>476.67400000000004</v>
      </c>
      <c r="E4" s="375">
        <v>598.298</v>
      </c>
      <c r="F4" s="281">
        <v>95.105000000000004</v>
      </c>
      <c r="G4" s="279">
        <v>175.85</v>
      </c>
      <c r="H4" s="279">
        <v>352.30099999999999</v>
      </c>
      <c r="I4" s="375">
        <v>525.44500000000005</v>
      </c>
      <c r="J4" s="279">
        <v>98.171999999999997</v>
      </c>
      <c r="K4" s="279">
        <f>'Consolidated income statement'!M26+'Consolidated income statement'!L26</f>
        <v>230.29999999999976</v>
      </c>
      <c r="L4" s="279">
        <v>278.5</v>
      </c>
      <c r="M4" s="280">
        <f>'Consolidated income statement'!P26</f>
        <v>292.49999999999795</v>
      </c>
      <c r="N4" s="281">
        <v>170.8</v>
      </c>
      <c r="O4" s="279">
        <v>475.29999999999984</v>
      </c>
      <c r="P4" s="279">
        <f>SUM('Consolidated income statement'!Q26:S26)</f>
        <v>977.7999999999995</v>
      </c>
      <c r="Q4" s="282">
        <f>'Consolidated income statement'!U26</f>
        <v>1163.3999999999994</v>
      </c>
      <c r="R4" s="281">
        <f>'Consolidated income statement'!V26</f>
        <v>178.50000000000006</v>
      </c>
      <c r="S4" s="279">
        <f>'Consolidated income statement'!W26+'Consolidated income statement'!V26</f>
        <v>409.4000000000002</v>
      </c>
      <c r="T4" s="279">
        <f>'Consolidated income statement'!V26+'Consolidated income statement'!X26+'Consolidated income statement'!W26</f>
        <v>679.20000000000061</v>
      </c>
      <c r="U4" s="282">
        <f>'Consolidated income statement'!Y26+T4</f>
        <v>1021.0000000000006</v>
      </c>
      <c r="V4" s="281">
        <f>'Consolidated income statement'!AA26</f>
        <v>271.40000000000032</v>
      </c>
      <c r="W4" s="279">
        <f>'Consolidated income statement'!AA26+'Consolidated income statement'!AB26</f>
        <v>553.10000000000025</v>
      </c>
      <c r="X4" s="279">
        <f>SUM('Consolidated income statement'!AA26:AC26)</f>
        <v>788.00000000000023</v>
      </c>
      <c r="Y4" s="282">
        <v>945.2</v>
      </c>
      <c r="Z4" s="281">
        <f>'Consolidated income statement'!AP26</f>
        <v>292.2</v>
      </c>
      <c r="AA4" s="279">
        <f>'Consolidated income statement'!AQ26</f>
        <v>0</v>
      </c>
      <c r="AB4" s="279">
        <f>'Consolidated income statement'!AQ26</f>
        <v>0</v>
      </c>
      <c r="AC4" s="282">
        <f>'Consolidated income statement'!AQ26</f>
        <v>0</v>
      </c>
    </row>
    <row r="5" spans="1:494" s="18" customFormat="1" ht="25" customHeight="1" thickBot="1">
      <c r="A5" s="83" t="s">
        <v>133</v>
      </c>
      <c r="B5" s="376">
        <f t="shared" ref="B5:Y5" si="0">SUM(B6:B27)</f>
        <v>28.31799999999998</v>
      </c>
      <c r="C5" s="377">
        <f t="shared" si="0"/>
        <v>110.99899999999997</v>
      </c>
      <c r="D5" s="377">
        <f t="shared" si="0"/>
        <v>152.09600000000003</v>
      </c>
      <c r="E5" s="375">
        <f t="shared" si="0"/>
        <v>244.9200000000001</v>
      </c>
      <c r="F5" s="281">
        <f t="shared" si="0"/>
        <v>70.556999999999988</v>
      </c>
      <c r="G5" s="279">
        <f t="shared" si="0"/>
        <v>176.07799999999997</v>
      </c>
      <c r="H5" s="279">
        <f t="shared" si="0"/>
        <v>195.94299999999996</v>
      </c>
      <c r="I5" s="375">
        <f t="shared" si="0"/>
        <v>334.28999999999991</v>
      </c>
      <c r="J5" s="279">
        <f t="shared" si="0"/>
        <v>86.532000000000011</v>
      </c>
      <c r="K5" s="279">
        <f t="shared" si="0"/>
        <v>505.40000000000015</v>
      </c>
      <c r="L5" s="279">
        <f t="shared" si="0"/>
        <v>1145.4000000000003</v>
      </c>
      <c r="M5" s="280">
        <f t="shared" si="0"/>
        <v>1825.2999999999997</v>
      </c>
      <c r="N5" s="281">
        <f t="shared" si="0"/>
        <v>282.2000000000001</v>
      </c>
      <c r="O5" s="279">
        <f t="shared" si="0"/>
        <v>852.69999999999982</v>
      </c>
      <c r="P5" s="279">
        <f t="shared" si="0"/>
        <v>1195.6999999999994</v>
      </c>
      <c r="Q5" s="282">
        <f t="shared" si="0"/>
        <v>1821.6999999999998</v>
      </c>
      <c r="R5" s="281">
        <f t="shared" si="0"/>
        <v>405.9</v>
      </c>
      <c r="S5" s="279">
        <f t="shared" si="0"/>
        <v>1140</v>
      </c>
      <c r="T5" s="279">
        <f t="shared" si="0"/>
        <v>1678.3000000000002</v>
      </c>
      <c r="U5" s="282">
        <f t="shared" si="0"/>
        <v>2130.5</v>
      </c>
      <c r="V5" s="281">
        <f t="shared" si="0"/>
        <v>509.29999999999995</v>
      </c>
      <c r="W5" s="279">
        <f t="shared" si="0"/>
        <v>1062.8</v>
      </c>
      <c r="X5" s="279">
        <f t="shared" si="0"/>
        <v>1457.6999999999998</v>
      </c>
      <c r="Y5" s="282">
        <f t="shared" si="0"/>
        <v>2181.1000000000004</v>
      </c>
      <c r="Z5" s="281">
        <f t="shared" ref="Z5:AC5" si="1">SUM(Z6:Z27)</f>
        <v>340.80000000000007</v>
      </c>
      <c r="AA5" s="279">
        <f t="shared" si="1"/>
        <v>0</v>
      </c>
      <c r="AB5" s="279">
        <f t="shared" si="1"/>
        <v>0</v>
      </c>
      <c r="AC5" s="282">
        <f t="shared" si="1"/>
        <v>0</v>
      </c>
    </row>
    <row r="6" spans="1:494" s="18" customFormat="1" ht="20.149999999999999" customHeight="1">
      <c r="A6" s="84" t="s">
        <v>58</v>
      </c>
      <c r="B6" s="285">
        <v>54.433</v>
      </c>
      <c r="C6" s="286">
        <v>111.117</v>
      </c>
      <c r="D6" s="286">
        <v>171.35499999999999</v>
      </c>
      <c r="E6" s="378">
        <v>243.066</v>
      </c>
      <c r="F6" s="285">
        <v>60.698</v>
      </c>
      <c r="G6" s="286">
        <v>122.961</v>
      </c>
      <c r="H6" s="286">
        <v>187.82599999999999</v>
      </c>
      <c r="I6" s="378">
        <v>256.416</v>
      </c>
      <c r="J6" s="283">
        <v>62.434000000000005</v>
      </c>
      <c r="K6" s="283">
        <v>373.8</v>
      </c>
      <c r="L6" s="283">
        <v>852.1</v>
      </c>
      <c r="M6" s="284">
        <v>1295.9000000000001</v>
      </c>
      <c r="N6" s="285">
        <v>467.9</v>
      </c>
      <c r="O6" s="286">
        <v>861.4</v>
      </c>
      <c r="P6" s="286">
        <v>1262.5999999999999</v>
      </c>
      <c r="Q6" s="287">
        <v>1699.3</v>
      </c>
      <c r="R6" s="285">
        <v>423.7</v>
      </c>
      <c r="S6" s="286">
        <v>951.2</v>
      </c>
      <c r="T6" s="286">
        <v>1459.1</v>
      </c>
      <c r="U6" s="287">
        <v>1971.5</v>
      </c>
      <c r="V6" s="285">
        <v>472.3</v>
      </c>
      <c r="W6" s="286">
        <v>919</v>
      </c>
      <c r="X6" s="286">
        <v>1348.2</v>
      </c>
      <c r="Y6" s="287">
        <v>1783</v>
      </c>
      <c r="Z6" s="286">
        <v>454.5</v>
      </c>
      <c r="AA6" s="286"/>
      <c r="AB6" s="286"/>
      <c r="AC6" s="287"/>
    </row>
    <row r="7" spans="1:494" s="18" customFormat="1" ht="20.149999999999999" customHeight="1">
      <c r="A7" s="84" t="s">
        <v>134</v>
      </c>
      <c r="B7" s="285">
        <v>-29.711000000000002</v>
      </c>
      <c r="C7" s="286">
        <v>-88.683000000000007</v>
      </c>
      <c r="D7" s="286">
        <v>-140.589</v>
      </c>
      <c r="E7" s="378">
        <v>-177.86799999999999</v>
      </c>
      <c r="F7" s="285">
        <v>-44.32</v>
      </c>
      <c r="G7" s="286">
        <v>-122.45100000000001</v>
      </c>
      <c r="H7" s="286">
        <v>-189.477</v>
      </c>
      <c r="I7" s="378">
        <v>-222.45600000000002</v>
      </c>
      <c r="J7" s="283">
        <v>-109.42100000000001</v>
      </c>
      <c r="K7" s="283">
        <v>-148.9</v>
      </c>
      <c r="L7" s="283">
        <v>-224.7</v>
      </c>
      <c r="M7" s="284">
        <v>-306.8</v>
      </c>
      <c r="N7" s="285">
        <v>-41.5</v>
      </c>
      <c r="O7" s="286">
        <v>-115.2</v>
      </c>
      <c r="P7" s="286">
        <v>-195.4</v>
      </c>
      <c r="Q7" s="287">
        <v>-238.1</v>
      </c>
      <c r="R7" s="285">
        <v>-58.1</v>
      </c>
      <c r="S7" s="286">
        <v>-119</v>
      </c>
      <c r="T7" s="286">
        <v>-189.6</v>
      </c>
      <c r="U7" s="287">
        <v>-246.5</v>
      </c>
      <c r="V7" s="285">
        <v>-33.299999999999997</v>
      </c>
      <c r="W7" s="286">
        <v>-94.2</v>
      </c>
      <c r="X7" s="286">
        <v>-246.2</v>
      </c>
      <c r="Y7" s="287">
        <v>-305.10000000000002</v>
      </c>
      <c r="Z7" s="286">
        <v>-62.4</v>
      </c>
      <c r="AA7" s="286"/>
      <c r="AB7" s="286"/>
      <c r="AC7" s="287"/>
    </row>
    <row r="8" spans="1:494" s="18" customFormat="1" ht="20.149999999999999" customHeight="1">
      <c r="A8" s="84" t="s">
        <v>135</v>
      </c>
      <c r="B8" s="285">
        <v>46.908999999999999</v>
      </c>
      <c r="C8" s="286">
        <v>99.832000000000008</v>
      </c>
      <c r="D8" s="286">
        <v>145.40600000000001</v>
      </c>
      <c r="E8" s="378">
        <v>194.52100000000002</v>
      </c>
      <c r="F8" s="285">
        <v>46.048999999999999</v>
      </c>
      <c r="G8" s="286">
        <v>102.423</v>
      </c>
      <c r="H8" s="286">
        <v>162.63200000000001</v>
      </c>
      <c r="I8" s="378">
        <v>220.37100000000001</v>
      </c>
      <c r="J8" s="283">
        <v>40.084000000000003</v>
      </c>
      <c r="K8" s="283">
        <v>85.1</v>
      </c>
      <c r="L8" s="283">
        <v>162.19999999999999</v>
      </c>
      <c r="M8" s="284">
        <v>224.4</v>
      </c>
      <c r="N8" s="285">
        <v>43.7</v>
      </c>
      <c r="O8" s="286">
        <v>90.5</v>
      </c>
      <c r="P8" s="286">
        <v>149.9</v>
      </c>
      <c r="Q8" s="287">
        <v>212.6</v>
      </c>
      <c r="R8" s="285">
        <v>49.1</v>
      </c>
      <c r="S8" s="286">
        <v>125.3</v>
      </c>
      <c r="T8" s="286">
        <v>173.5</v>
      </c>
      <c r="U8" s="287">
        <v>230.7</v>
      </c>
      <c r="V8" s="285">
        <v>48.5</v>
      </c>
      <c r="W8" s="286">
        <v>102.7</v>
      </c>
      <c r="X8" s="286">
        <v>166.1</v>
      </c>
      <c r="Y8" s="287">
        <v>228.6</v>
      </c>
      <c r="Z8" s="286">
        <v>45.7</v>
      </c>
      <c r="AA8" s="286"/>
      <c r="AB8" s="286"/>
      <c r="AC8" s="287"/>
    </row>
    <row r="9" spans="1:494" s="18" customFormat="1" ht="20.149999999999999" customHeight="1">
      <c r="A9" s="84" t="s">
        <v>136</v>
      </c>
      <c r="B9" s="285">
        <v>-1.0999999999999999E-2</v>
      </c>
      <c r="C9" s="286">
        <v>-0.25700000000000001</v>
      </c>
      <c r="D9" s="286">
        <v>-0.48299999999999998</v>
      </c>
      <c r="E9" s="378">
        <v>-0.111</v>
      </c>
      <c r="F9" s="285">
        <v>5.8000000000000003E-2</v>
      </c>
      <c r="G9" s="286">
        <v>7.2999999999999995E-2</v>
      </c>
      <c r="H9" s="286">
        <v>-38.896000000000001</v>
      </c>
      <c r="I9" s="378">
        <v>-35.765000000000001</v>
      </c>
      <c r="J9" s="283">
        <v>-5.2999999999999999E-2</v>
      </c>
      <c r="K9" s="283">
        <v>-0.7</v>
      </c>
      <c r="L9" s="283">
        <v>-2.4</v>
      </c>
      <c r="M9" s="284">
        <v>-2.9</v>
      </c>
      <c r="N9" s="285">
        <v>-0.4</v>
      </c>
      <c r="O9" s="286">
        <v>-4.8</v>
      </c>
      <c r="P9" s="286">
        <v>-5.7</v>
      </c>
      <c r="Q9" s="287">
        <v>-6.9</v>
      </c>
      <c r="R9" s="392" t="s">
        <v>1</v>
      </c>
      <c r="S9" s="393" t="s">
        <v>1</v>
      </c>
      <c r="T9" s="393" t="s">
        <v>1</v>
      </c>
      <c r="U9" s="398" t="s">
        <v>1</v>
      </c>
      <c r="V9" s="392" t="s">
        <v>1</v>
      </c>
      <c r="W9" s="393" t="s">
        <v>1</v>
      </c>
      <c r="X9" s="393" t="s">
        <v>1</v>
      </c>
      <c r="Y9" s="398" t="s">
        <v>1</v>
      </c>
      <c r="Z9" s="393" t="s">
        <v>1</v>
      </c>
      <c r="AA9" s="393"/>
      <c r="AB9" s="393"/>
      <c r="AC9" s="398"/>
    </row>
    <row r="10" spans="1:494" s="18" customFormat="1" ht="20.149999999999999" customHeight="1">
      <c r="A10" s="84" t="s">
        <v>137</v>
      </c>
      <c r="B10" s="285">
        <v>2.3109999999999999</v>
      </c>
      <c r="C10" s="286">
        <v>4.6020000000000003</v>
      </c>
      <c r="D10" s="286">
        <v>6.1379999999999999</v>
      </c>
      <c r="E10" s="378">
        <v>9.2439999999999998</v>
      </c>
      <c r="F10" s="285">
        <v>3.504</v>
      </c>
      <c r="G10" s="286">
        <v>5.843</v>
      </c>
      <c r="H10" s="286">
        <v>6.3049999999999997</v>
      </c>
      <c r="I10" s="378">
        <v>6.407</v>
      </c>
      <c r="J10" s="283">
        <v>4.1000000000000002E-2</v>
      </c>
      <c r="K10" s="283">
        <v>0.1</v>
      </c>
      <c r="L10" s="283">
        <v>30.4</v>
      </c>
      <c r="M10" s="284">
        <v>30.5</v>
      </c>
      <c r="N10" s="285">
        <v>0.1</v>
      </c>
      <c r="O10" s="286">
        <v>0.5</v>
      </c>
      <c r="P10" s="286">
        <v>0.5</v>
      </c>
      <c r="Q10" s="287">
        <v>1.4</v>
      </c>
      <c r="R10" s="392" t="s">
        <v>1</v>
      </c>
      <c r="S10" s="393" t="s">
        <v>1</v>
      </c>
      <c r="T10" s="393" t="s">
        <v>1</v>
      </c>
      <c r="U10" s="398" t="s">
        <v>1</v>
      </c>
      <c r="V10" s="392" t="s">
        <v>1</v>
      </c>
      <c r="W10" s="393" t="s">
        <v>1</v>
      </c>
      <c r="X10" s="393" t="s">
        <v>1</v>
      </c>
      <c r="Y10" s="398" t="s">
        <v>1</v>
      </c>
      <c r="Z10" s="393" t="s">
        <v>1</v>
      </c>
      <c r="AA10" s="393"/>
      <c r="AB10" s="393"/>
      <c r="AC10" s="398"/>
    </row>
    <row r="11" spans="1:494" s="18" customFormat="1" ht="20.149999999999999" customHeight="1">
      <c r="A11" s="84" t="s">
        <v>138</v>
      </c>
      <c r="B11" s="285">
        <v>52.017000000000003</v>
      </c>
      <c r="C11" s="286">
        <v>105.822</v>
      </c>
      <c r="D11" s="286">
        <v>156.893</v>
      </c>
      <c r="E11" s="378">
        <v>205.185</v>
      </c>
      <c r="F11" s="285">
        <v>46.368000000000002</v>
      </c>
      <c r="G11" s="286">
        <v>93.388999999999996</v>
      </c>
      <c r="H11" s="286">
        <v>140.42699999999999</v>
      </c>
      <c r="I11" s="378">
        <v>183.81100000000001</v>
      </c>
      <c r="J11" s="283">
        <v>90.381</v>
      </c>
      <c r="K11" s="283">
        <v>248.5</v>
      </c>
      <c r="L11" s="283">
        <v>421.4</v>
      </c>
      <c r="M11" s="284">
        <v>603.70000000000005</v>
      </c>
      <c r="N11" s="285">
        <v>177.4</v>
      </c>
      <c r="O11" s="286">
        <v>348.5</v>
      </c>
      <c r="P11" s="286">
        <v>581.29999999999995</v>
      </c>
      <c r="Q11" s="287">
        <v>763.6</v>
      </c>
      <c r="R11" s="285">
        <v>144.69999999999999</v>
      </c>
      <c r="S11" s="286">
        <v>285.89999999999998</v>
      </c>
      <c r="T11" s="286">
        <v>417.4</v>
      </c>
      <c r="U11" s="287">
        <v>541.9</v>
      </c>
      <c r="V11" s="285">
        <v>114.5</v>
      </c>
      <c r="W11" s="286">
        <v>228.7</v>
      </c>
      <c r="X11" s="286">
        <v>331.1</v>
      </c>
      <c r="Y11" s="287">
        <v>432.3</v>
      </c>
      <c r="Z11" s="286">
        <v>68.5</v>
      </c>
      <c r="AA11" s="286"/>
      <c r="AB11" s="286"/>
      <c r="AC11" s="287"/>
    </row>
    <row r="12" spans="1:494" s="18" customFormat="1" ht="20.149999999999999" customHeight="1">
      <c r="A12" s="84" t="s">
        <v>139</v>
      </c>
      <c r="B12" s="285">
        <v>-7.2490000000000006</v>
      </c>
      <c r="C12" s="286">
        <v>-7.3810000000000002</v>
      </c>
      <c r="D12" s="286">
        <v>1.093</v>
      </c>
      <c r="E12" s="378">
        <v>16.173000000000002</v>
      </c>
      <c r="F12" s="285">
        <v>11.273</v>
      </c>
      <c r="G12" s="286">
        <v>4.4740000000000002</v>
      </c>
      <c r="H12" s="286">
        <v>5.9119999999999999</v>
      </c>
      <c r="I12" s="378">
        <v>14.839</v>
      </c>
      <c r="J12" s="283">
        <v>-16.302</v>
      </c>
      <c r="K12" s="283">
        <v>-41.8</v>
      </c>
      <c r="L12" s="283">
        <v>-14.7</v>
      </c>
      <c r="M12" s="284">
        <v>0.5</v>
      </c>
      <c r="N12" s="285">
        <v>48.6</v>
      </c>
      <c r="O12" s="286">
        <v>45.6</v>
      </c>
      <c r="P12" s="286">
        <v>43.3</v>
      </c>
      <c r="Q12" s="287">
        <v>26.4</v>
      </c>
      <c r="R12" s="285">
        <v>21.5</v>
      </c>
      <c r="S12" s="286">
        <v>11.7</v>
      </c>
      <c r="T12" s="286">
        <v>0.7</v>
      </c>
      <c r="U12" s="287">
        <v>3</v>
      </c>
      <c r="V12" s="285">
        <v>41.5</v>
      </c>
      <c r="W12" s="286">
        <v>-0.3</v>
      </c>
      <c r="X12" s="286">
        <v>-16.899999999999999</v>
      </c>
      <c r="Y12" s="287">
        <v>-5</v>
      </c>
      <c r="Z12" s="286">
        <v>7.7</v>
      </c>
      <c r="AA12" s="286"/>
      <c r="AB12" s="286"/>
      <c r="AC12" s="287"/>
    </row>
    <row r="13" spans="1:494" s="18" customFormat="1" ht="20.149999999999999" customHeight="1">
      <c r="A13" s="84" t="s">
        <v>140</v>
      </c>
      <c r="B13" s="285">
        <v>-48.496000000000002</v>
      </c>
      <c r="C13" s="286">
        <v>-85.073000000000008</v>
      </c>
      <c r="D13" s="286">
        <v>-90.59</v>
      </c>
      <c r="E13" s="378">
        <v>-106.816</v>
      </c>
      <c r="F13" s="285">
        <v>-18.654</v>
      </c>
      <c r="G13" s="286">
        <v>-16.358000000000001</v>
      </c>
      <c r="H13" s="286">
        <v>16.681000000000001</v>
      </c>
      <c r="I13" s="378">
        <v>60.908000000000001</v>
      </c>
      <c r="J13" s="283">
        <v>-5.1610000000000005</v>
      </c>
      <c r="K13" s="283">
        <v>-29.2</v>
      </c>
      <c r="L13" s="283">
        <v>-87.6</v>
      </c>
      <c r="M13" s="284">
        <v>-191.9</v>
      </c>
      <c r="N13" s="285">
        <v>-211.8</v>
      </c>
      <c r="O13" s="286">
        <v>-581.20000000000005</v>
      </c>
      <c r="P13" s="286">
        <v>-349.3</v>
      </c>
      <c r="Q13" s="287">
        <v>-478.2</v>
      </c>
      <c r="R13" s="285">
        <v>-33.9</v>
      </c>
      <c r="S13" s="286">
        <v>-105.3</v>
      </c>
      <c r="T13" s="286">
        <v>-164.6</v>
      </c>
      <c r="U13" s="287">
        <v>-329.9</v>
      </c>
      <c r="V13" s="285">
        <v>21.5</v>
      </c>
      <c r="W13" s="286">
        <v>-112.7</v>
      </c>
      <c r="X13" s="286">
        <v>-224.5</v>
      </c>
      <c r="Y13" s="287">
        <v>-470.8</v>
      </c>
      <c r="Z13" s="286">
        <v>38.1</v>
      </c>
      <c r="AA13" s="286"/>
      <c r="AB13" s="286"/>
      <c r="AC13" s="287"/>
    </row>
    <row r="14" spans="1:494" s="18" customFormat="1" ht="20.149999999999999" customHeight="1">
      <c r="A14" s="84" t="s">
        <v>141</v>
      </c>
      <c r="B14" s="285">
        <v>53.564</v>
      </c>
      <c r="C14" s="286">
        <v>51.881</v>
      </c>
      <c r="D14" s="286">
        <v>66.406999999999996</v>
      </c>
      <c r="E14" s="378">
        <v>67.872</v>
      </c>
      <c r="F14" s="285">
        <v>-36.840000000000003</v>
      </c>
      <c r="G14" s="286">
        <v>-56.231999999999999</v>
      </c>
      <c r="H14" s="286">
        <v>-85.896000000000001</v>
      </c>
      <c r="I14" s="378">
        <v>-104.93900000000001</v>
      </c>
      <c r="J14" s="283">
        <v>31.469000000000001</v>
      </c>
      <c r="K14" s="283">
        <v>-73.8</v>
      </c>
      <c r="L14" s="283">
        <v>-175.9</v>
      </c>
      <c r="M14" s="284">
        <v>-277.7</v>
      </c>
      <c r="N14" s="285">
        <v>-216.1</v>
      </c>
      <c r="O14" s="286">
        <v>69.3</v>
      </c>
      <c r="P14" s="286">
        <v>-184.3</v>
      </c>
      <c r="Q14" s="287">
        <v>-118</v>
      </c>
      <c r="R14" s="285">
        <v>-205.9</v>
      </c>
      <c r="S14" s="286">
        <v>-106.7</v>
      </c>
      <c r="T14" s="286">
        <v>-141.30000000000001</v>
      </c>
      <c r="U14" s="287">
        <v>-33.299999999999997</v>
      </c>
      <c r="V14" s="285">
        <v>-181.5</v>
      </c>
      <c r="W14" s="286">
        <v>-112.9</v>
      </c>
      <c r="X14" s="286">
        <v>-90.1</v>
      </c>
      <c r="Y14" s="287">
        <v>183.1</v>
      </c>
      <c r="Z14" s="286">
        <v>-259.3</v>
      </c>
      <c r="AA14" s="286"/>
      <c r="AB14" s="286"/>
      <c r="AC14" s="287"/>
    </row>
    <row r="15" spans="1:494" s="18" customFormat="1" ht="20.149999999999999" customHeight="1">
      <c r="A15" s="84" t="s">
        <v>254</v>
      </c>
      <c r="B15" s="285"/>
      <c r="C15" s="286"/>
      <c r="D15" s="286"/>
      <c r="E15" s="378"/>
      <c r="F15" s="285"/>
      <c r="G15" s="286"/>
      <c r="H15" s="286"/>
      <c r="I15" s="378"/>
      <c r="J15" s="283"/>
      <c r="K15" s="283"/>
      <c r="L15" s="283"/>
      <c r="M15" s="284"/>
      <c r="N15" s="285"/>
      <c r="O15" s="286"/>
      <c r="P15" s="286"/>
      <c r="Q15" s="287"/>
      <c r="R15" s="285"/>
      <c r="S15" s="286"/>
      <c r="T15" s="286"/>
      <c r="U15" s="287"/>
      <c r="V15" s="285"/>
      <c r="W15" s="286"/>
      <c r="X15" s="286"/>
      <c r="Y15" s="287"/>
      <c r="Z15" s="286">
        <v>29.6</v>
      </c>
      <c r="AA15" s="286"/>
      <c r="AB15" s="286"/>
      <c r="AC15" s="287"/>
    </row>
    <row r="16" spans="1:494" s="18" customFormat="1" ht="20.149999999999999" customHeight="1">
      <c r="A16" s="84" t="s">
        <v>255</v>
      </c>
      <c r="B16" s="285"/>
      <c r="C16" s="286"/>
      <c r="D16" s="286"/>
      <c r="E16" s="378"/>
      <c r="F16" s="285"/>
      <c r="G16" s="286"/>
      <c r="H16" s="286"/>
      <c r="I16" s="378"/>
      <c r="J16" s="283"/>
      <c r="K16" s="283"/>
      <c r="L16" s="283"/>
      <c r="M16" s="284"/>
      <c r="N16" s="285"/>
      <c r="O16" s="286"/>
      <c r="P16" s="286"/>
      <c r="Q16" s="287"/>
      <c r="R16" s="285"/>
      <c r="S16" s="286"/>
      <c r="T16" s="286"/>
      <c r="U16" s="287"/>
      <c r="V16" s="285"/>
      <c r="W16" s="286"/>
      <c r="X16" s="286"/>
      <c r="Y16" s="287"/>
      <c r="Z16" s="286">
        <v>-9.6</v>
      </c>
      <c r="AA16" s="286"/>
      <c r="AB16" s="286"/>
      <c r="AC16" s="287"/>
    </row>
    <row r="17" spans="1:29" s="18" customFormat="1" ht="20.149999999999999" customHeight="1">
      <c r="A17" s="84" t="s">
        <v>142</v>
      </c>
      <c r="B17" s="285">
        <v>-0.186</v>
      </c>
      <c r="C17" s="286">
        <v>4.0730000000000004</v>
      </c>
      <c r="D17" s="286">
        <v>0.502</v>
      </c>
      <c r="E17" s="378">
        <v>2.093</v>
      </c>
      <c r="F17" s="285">
        <v>-1.048</v>
      </c>
      <c r="G17" s="286">
        <v>2.4170000000000003</v>
      </c>
      <c r="H17" s="286">
        <v>-3.5390000000000001</v>
      </c>
      <c r="I17" s="378">
        <v>6.4770000000000003</v>
      </c>
      <c r="J17" s="283">
        <v>-13.309000000000001</v>
      </c>
      <c r="K17" s="283">
        <v>-1.5</v>
      </c>
      <c r="L17" s="283">
        <v>-17.399999999999999</v>
      </c>
      <c r="M17" s="284">
        <v>-4.9000000000000004</v>
      </c>
      <c r="N17" s="285">
        <v>-11.7</v>
      </c>
      <c r="O17" s="286">
        <v>-7.6</v>
      </c>
      <c r="P17" s="286">
        <v>-17.7</v>
      </c>
      <c r="Q17" s="287">
        <v>-3.9</v>
      </c>
      <c r="R17" s="285">
        <v>-11.1</v>
      </c>
      <c r="S17" s="286">
        <v>1</v>
      </c>
      <c r="T17" s="286">
        <v>-5.6</v>
      </c>
      <c r="U17" s="287">
        <v>-6.1</v>
      </c>
      <c r="V17" s="392" t="s">
        <v>1</v>
      </c>
      <c r="W17" s="286">
        <v>9.4</v>
      </c>
      <c r="X17" s="286">
        <v>1.4</v>
      </c>
      <c r="Y17" s="287">
        <v>3.9</v>
      </c>
      <c r="Z17" s="392" t="s">
        <v>1</v>
      </c>
      <c r="AA17" s="286"/>
      <c r="AB17" s="286"/>
      <c r="AC17" s="287"/>
    </row>
    <row r="18" spans="1:29" s="18" customFormat="1" ht="20.149999999999999" customHeight="1">
      <c r="A18" s="84" t="s">
        <v>143</v>
      </c>
      <c r="B18" s="285">
        <v>-9.7880000000000003</v>
      </c>
      <c r="C18" s="286">
        <v>-10.354000000000001</v>
      </c>
      <c r="D18" s="286">
        <v>-21.978000000000002</v>
      </c>
      <c r="E18" s="378">
        <v>-31.345000000000002</v>
      </c>
      <c r="F18" s="285">
        <v>3.66</v>
      </c>
      <c r="G18" s="286">
        <v>9.0690000000000008</v>
      </c>
      <c r="H18" s="286">
        <v>11.329000000000001</v>
      </c>
      <c r="I18" s="378">
        <v>14.404</v>
      </c>
      <c r="J18" s="283">
        <v>11.066000000000001</v>
      </c>
      <c r="K18" s="283">
        <v>11.1</v>
      </c>
      <c r="L18" s="283">
        <v>-0.2</v>
      </c>
      <c r="M18" s="284">
        <v>-3.9</v>
      </c>
      <c r="N18" s="285">
        <v>-0.6</v>
      </c>
      <c r="O18" s="286">
        <v>5.3</v>
      </c>
      <c r="P18" s="286">
        <v>4.8</v>
      </c>
      <c r="Q18" s="287">
        <v>6.6</v>
      </c>
      <c r="R18" s="285">
        <v>2.5</v>
      </c>
      <c r="S18" s="286">
        <v>4.7</v>
      </c>
      <c r="T18" s="286">
        <v>7.3</v>
      </c>
      <c r="U18" s="287">
        <v>9.8000000000000007</v>
      </c>
      <c r="V18" s="392" t="s">
        <v>1</v>
      </c>
      <c r="W18" s="393" t="s">
        <v>1</v>
      </c>
      <c r="X18" s="393" t="s">
        <v>1</v>
      </c>
      <c r="Y18" s="398" t="s">
        <v>1</v>
      </c>
      <c r="Z18" s="392" t="s">
        <v>1</v>
      </c>
      <c r="AA18" s="393"/>
      <c r="AB18" s="393"/>
      <c r="AC18" s="398"/>
    </row>
    <row r="19" spans="1:29" s="15" customFormat="1" ht="20.149999999999999" customHeight="1">
      <c r="A19" s="471" t="s">
        <v>245</v>
      </c>
      <c r="B19" s="472">
        <v>-0.73</v>
      </c>
      <c r="C19" s="473">
        <v>-1.5010000000000001</v>
      </c>
      <c r="D19" s="473">
        <v>-2.044</v>
      </c>
      <c r="E19" s="474">
        <v>-2.8970000000000002</v>
      </c>
      <c r="F19" s="472">
        <v>-0.76200000000000001</v>
      </c>
      <c r="G19" s="473">
        <v>-1.58</v>
      </c>
      <c r="H19" s="473">
        <v>-2.3290000000000002</v>
      </c>
      <c r="I19" s="474">
        <v>-2.9239999999999999</v>
      </c>
      <c r="J19" s="475">
        <v>-0.63300000000000001</v>
      </c>
      <c r="K19" s="475">
        <v>-1.3</v>
      </c>
      <c r="L19" s="475">
        <v>-2</v>
      </c>
      <c r="M19" s="284">
        <v>-2.6</v>
      </c>
      <c r="N19" s="472">
        <v>-0.5</v>
      </c>
      <c r="O19" s="473">
        <v>-1.4</v>
      </c>
      <c r="P19" s="473">
        <v>-1.9</v>
      </c>
      <c r="Q19" s="287">
        <v>-2.6</v>
      </c>
      <c r="R19" s="472">
        <v>-0.8</v>
      </c>
      <c r="S19" s="473">
        <v>0</v>
      </c>
      <c r="T19" s="473">
        <v>0</v>
      </c>
      <c r="U19" s="287">
        <v>0</v>
      </c>
      <c r="V19" s="476" t="s">
        <v>1</v>
      </c>
      <c r="W19" s="477" t="s">
        <v>1</v>
      </c>
      <c r="X19" s="477" t="s">
        <v>1</v>
      </c>
      <c r="Y19" s="398" t="s">
        <v>1</v>
      </c>
      <c r="Z19" s="476" t="s">
        <v>1</v>
      </c>
      <c r="AA19" s="477"/>
      <c r="AB19" s="477"/>
      <c r="AC19" s="398"/>
    </row>
    <row r="20" spans="1:29" s="18" customFormat="1" ht="20.149999999999999" customHeight="1">
      <c r="A20" s="84" t="s">
        <v>242</v>
      </c>
      <c r="B20" s="285"/>
      <c r="C20" s="286"/>
      <c r="D20" s="286"/>
      <c r="E20" s="378"/>
      <c r="F20" s="285"/>
      <c r="G20" s="286"/>
      <c r="H20" s="286"/>
      <c r="I20" s="378"/>
      <c r="J20" s="283"/>
      <c r="K20" s="283"/>
      <c r="L20" s="283"/>
      <c r="M20" s="284"/>
      <c r="N20" s="285"/>
      <c r="O20" s="286"/>
      <c r="P20" s="286"/>
      <c r="Q20" s="287"/>
      <c r="R20" s="285"/>
      <c r="S20" s="286"/>
      <c r="T20" s="286"/>
      <c r="U20" s="287">
        <v>0</v>
      </c>
      <c r="V20" s="285"/>
      <c r="W20" s="286"/>
      <c r="X20" s="286"/>
      <c r="Y20" s="287">
        <v>-2.8</v>
      </c>
      <c r="Z20" s="286">
        <v>-5.2</v>
      </c>
      <c r="AA20" s="286"/>
      <c r="AB20" s="286"/>
      <c r="AC20" s="287"/>
    </row>
    <row r="21" spans="1:29" s="18" customFormat="1" ht="20.149999999999999" customHeight="1">
      <c r="A21" s="84" t="s">
        <v>144</v>
      </c>
      <c r="B21" s="285">
        <v>-87.786000000000001</v>
      </c>
      <c r="C21" s="286">
        <v>-51.798000000000002</v>
      </c>
      <c r="D21" s="286">
        <v>-102.06700000000001</v>
      </c>
      <c r="E21" s="378">
        <v>-111.07600000000001</v>
      </c>
      <c r="F21" s="285">
        <v>25.975999999999999</v>
      </c>
      <c r="G21" s="286">
        <v>77.412999999999997</v>
      </c>
      <c r="H21" s="286">
        <v>39.252000000000002</v>
      </c>
      <c r="I21" s="378">
        <v>16.294</v>
      </c>
      <c r="J21" s="283">
        <v>10.337</v>
      </c>
      <c r="K21" s="283">
        <v>8.8000000000000007</v>
      </c>
      <c r="L21" s="283">
        <v>164.9</v>
      </c>
      <c r="M21" s="284">
        <v>369.9</v>
      </c>
      <c r="N21" s="285">
        <v>37.1</v>
      </c>
      <c r="O21" s="286">
        <v>99.2</v>
      </c>
      <c r="P21" s="286">
        <v>135.80000000000001</v>
      </c>
      <c r="Q21" s="287">
        <v>222</v>
      </c>
      <c r="R21" s="285">
        <v>250.2</v>
      </c>
      <c r="S21" s="286">
        <v>276.10000000000002</v>
      </c>
      <c r="T21" s="286">
        <v>258.3</v>
      </c>
      <c r="U21" s="287">
        <v>270.89999999999998</v>
      </c>
      <c r="V21" s="285">
        <v>-28.4</v>
      </c>
      <c r="W21" s="286">
        <v>-27.4</v>
      </c>
      <c r="X21" s="286">
        <v>-15.1</v>
      </c>
      <c r="Y21" s="287">
        <v>-31.1</v>
      </c>
      <c r="Z21" s="286">
        <v>4.5999999999999996</v>
      </c>
      <c r="AA21" s="286"/>
      <c r="AB21" s="286"/>
      <c r="AC21" s="287"/>
    </row>
    <row r="22" spans="1:29" s="18" customFormat="1" ht="20.149999999999999" customHeight="1">
      <c r="A22" s="84" t="s">
        <v>69</v>
      </c>
      <c r="B22" s="285">
        <v>41.158999999999999</v>
      </c>
      <c r="C22" s="286">
        <v>54.56</v>
      </c>
      <c r="D22" s="286">
        <v>80.768000000000001</v>
      </c>
      <c r="E22" s="378">
        <v>97.349000000000004</v>
      </c>
      <c r="F22" s="285">
        <v>14.031000000000001</v>
      </c>
      <c r="G22" s="286">
        <v>27.457000000000001</v>
      </c>
      <c r="H22" s="286">
        <v>51.835000000000001</v>
      </c>
      <c r="I22" s="378">
        <v>67.376000000000005</v>
      </c>
      <c r="J22" s="283">
        <v>14.384</v>
      </c>
      <c r="K22" s="283">
        <v>31.1</v>
      </c>
      <c r="L22" s="283">
        <v>32.200000000000003</v>
      </c>
      <c r="M22" s="284">
        <v>21.7</v>
      </c>
      <c r="N22" s="285">
        <v>26</v>
      </c>
      <c r="O22" s="286">
        <v>71.900000000000006</v>
      </c>
      <c r="P22" s="286">
        <v>182.7</v>
      </c>
      <c r="Q22" s="287">
        <v>169</v>
      </c>
      <c r="R22" s="285">
        <v>27.2</v>
      </c>
      <c r="S22" s="286">
        <v>48.4</v>
      </c>
      <c r="T22" s="286">
        <v>113.5</v>
      </c>
      <c r="U22" s="287">
        <v>12.4</v>
      </c>
      <c r="V22" s="285">
        <v>30.8</v>
      </c>
      <c r="W22" s="286">
        <v>138.4</v>
      </c>
      <c r="X22" s="286">
        <v>192.6</v>
      </c>
      <c r="Y22" s="287">
        <v>389.8</v>
      </c>
      <c r="Z22" s="286">
        <v>72.5</v>
      </c>
      <c r="AA22" s="286"/>
      <c r="AB22" s="286"/>
      <c r="AC22" s="287"/>
    </row>
    <row r="23" spans="1:29" s="18" customFormat="1" ht="20.149999999999999" customHeight="1">
      <c r="A23" s="84" t="s">
        <v>145</v>
      </c>
      <c r="B23" s="285">
        <v>-38.363</v>
      </c>
      <c r="C23" s="286">
        <v>-76.626000000000005</v>
      </c>
      <c r="D23" s="286">
        <v>-120.02500000000001</v>
      </c>
      <c r="E23" s="378">
        <v>-164.00800000000001</v>
      </c>
      <c r="F23" s="285">
        <v>-40.92</v>
      </c>
      <c r="G23" s="286">
        <v>-81.858999999999995</v>
      </c>
      <c r="H23" s="286">
        <v>-116.813</v>
      </c>
      <c r="I23" s="378">
        <v>-158.85900000000001</v>
      </c>
      <c r="J23" s="283">
        <v>-30.564</v>
      </c>
      <c r="K23" s="283">
        <v>-65.3</v>
      </c>
      <c r="L23" s="283">
        <v>-142.1</v>
      </c>
      <c r="M23" s="284">
        <v>-193.1</v>
      </c>
      <c r="N23" s="285">
        <v>-43.6</v>
      </c>
      <c r="O23" s="286">
        <v>-72.2</v>
      </c>
      <c r="P23" s="286">
        <v>-96.7</v>
      </c>
      <c r="Q23" s="287">
        <v>-134.69999999999999</v>
      </c>
      <c r="R23" s="285">
        <v>-31.1</v>
      </c>
      <c r="S23" s="286">
        <v>-71.2</v>
      </c>
      <c r="T23" s="286">
        <v>-111</v>
      </c>
      <c r="U23" s="287">
        <v>-153</v>
      </c>
      <c r="V23" s="285">
        <v>-33.1</v>
      </c>
      <c r="W23" s="286">
        <v>-65.599999999999994</v>
      </c>
      <c r="X23" s="286">
        <v>-97.4</v>
      </c>
      <c r="Y23" s="287">
        <v>-137.5</v>
      </c>
      <c r="Z23" s="286">
        <v>-25.7</v>
      </c>
      <c r="AA23" s="286"/>
      <c r="AB23" s="286"/>
      <c r="AC23" s="287"/>
    </row>
    <row r="24" spans="1:29" s="18" customFormat="1" ht="20.149999999999999" customHeight="1">
      <c r="A24" s="471" t="s">
        <v>212</v>
      </c>
      <c r="B24" s="297">
        <v>0</v>
      </c>
      <c r="C24" s="298">
        <v>0</v>
      </c>
      <c r="D24" s="298">
        <v>0</v>
      </c>
      <c r="E24" s="299">
        <v>0</v>
      </c>
      <c r="F24" s="297">
        <v>0</v>
      </c>
      <c r="G24" s="298">
        <v>0</v>
      </c>
      <c r="H24" s="298">
        <v>0</v>
      </c>
      <c r="I24" s="299">
        <v>0</v>
      </c>
      <c r="J24" s="300">
        <v>0</v>
      </c>
      <c r="K24" s="283">
        <v>82.1</v>
      </c>
      <c r="L24" s="283">
        <v>82.1</v>
      </c>
      <c r="M24" s="284">
        <v>82.1</v>
      </c>
      <c r="N24" s="285">
        <v>0</v>
      </c>
      <c r="O24" s="286">
        <v>0</v>
      </c>
      <c r="P24" s="286">
        <v>-371.4</v>
      </c>
      <c r="Q24" s="287">
        <v>-371.4</v>
      </c>
      <c r="R24" s="285">
        <v>0</v>
      </c>
      <c r="S24" s="286">
        <v>0</v>
      </c>
      <c r="T24" s="286">
        <v>0</v>
      </c>
      <c r="U24" s="287"/>
      <c r="V24" s="285"/>
      <c r="W24" s="286"/>
      <c r="X24" s="286"/>
      <c r="Y24" s="287"/>
      <c r="Z24" s="286">
        <v>0</v>
      </c>
      <c r="AA24" s="286"/>
      <c r="AB24" s="286"/>
      <c r="AC24" s="287"/>
    </row>
    <row r="25" spans="1:29" s="18" customFormat="1" ht="20.149999999999999" customHeight="1">
      <c r="A25" s="471" t="s">
        <v>243</v>
      </c>
      <c r="B25" s="297"/>
      <c r="C25" s="298"/>
      <c r="D25" s="298"/>
      <c r="E25" s="299"/>
      <c r="F25" s="297"/>
      <c r="G25" s="298"/>
      <c r="H25" s="298"/>
      <c r="I25" s="299"/>
      <c r="J25" s="300"/>
      <c r="K25" s="283"/>
      <c r="L25" s="283"/>
      <c r="M25" s="284"/>
      <c r="N25" s="285"/>
      <c r="O25" s="286"/>
      <c r="P25" s="286"/>
      <c r="Q25" s="287"/>
      <c r="R25" s="285"/>
      <c r="S25" s="286"/>
      <c r="T25" s="286"/>
      <c r="U25" s="287">
        <v>0</v>
      </c>
      <c r="V25" s="285">
        <v>58.7</v>
      </c>
      <c r="W25" s="286">
        <v>58.7</v>
      </c>
      <c r="X25" s="286">
        <v>58.7</v>
      </c>
      <c r="Y25" s="287">
        <v>58.7</v>
      </c>
      <c r="Z25" s="286">
        <v>0</v>
      </c>
      <c r="AA25" s="286"/>
      <c r="AB25" s="286"/>
      <c r="AC25" s="287"/>
    </row>
    <row r="26" spans="1:29" s="18" customFormat="1" ht="20.149999999999999" customHeight="1">
      <c r="A26" s="84" t="s">
        <v>227</v>
      </c>
      <c r="B26" s="297">
        <v>0</v>
      </c>
      <c r="C26" s="298">
        <v>0</v>
      </c>
      <c r="D26" s="298">
        <v>0</v>
      </c>
      <c r="E26" s="299">
        <v>0</v>
      </c>
      <c r="F26" s="297">
        <v>0</v>
      </c>
      <c r="G26" s="298">
        <v>0</v>
      </c>
      <c r="H26" s="298">
        <v>0</v>
      </c>
      <c r="I26" s="299">
        <v>0</v>
      </c>
      <c r="J26" s="300">
        <v>0</v>
      </c>
      <c r="K26" s="283">
        <v>16.5</v>
      </c>
      <c r="L26" s="283">
        <v>55.4</v>
      </c>
      <c r="M26" s="284">
        <v>84.3</v>
      </c>
      <c r="N26" s="285">
        <v>10.6</v>
      </c>
      <c r="O26" s="286">
        <v>33.9</v>
      </c>
      <c r="P26" s="286">
        <v>37.6</v>
      </c>
      <c r="Q26" s="287">
        <v>53</v>
      </c>
      <c r="R26" s="285">
        <v>-174.6</v>
      </c>
      <c r="S26" s="286">
        <v>-160.19999999999999</v>
      </c>
      <c r="T26" s="286">
        <v>-161.9</v>
      </c>
      <c r="U26" s="287">
        <v>-164.9</v>
      </c>
      <c r="V26" s="285">
        <v>-0.1</v>
      </c>
      <c r="W26" s="286">
        <v>0.9</v>
      </c>
      <c r="X26" s="286">
        <v>-1.3</v>
      </c>
      <c r="Y26" s="287">
        <v>-1.5</v>
      </c>
      <c r="Z26" s="393" t="s">
        <v>1</v>
      </c>
      <c r="AA26" s="286"/>
      <c r="AB26" s="286"/>
      <c r="AC26" s="287"/>
    </row>
    <row r="27" spans="1:29" s="18" customFormat="1" ht="20.149999999999999" customHeight="1" thickBot="1">
      <c r="A27" s="84" t="s">
        <v>146</v>
      </c>
      <c r="B27" s="285">
        <v>0.245</v>
      </c>
      <c r="C27" s="286">
        <v>0.78500000000000003</v>
      </c>
      <c r="D27" s="286">
        <v>1.31</v>
      </c>
      <c r="E27" s="378">
        <v>3.5380000000000003</v>
      </c>
      <c r="F27" s="285">
        <v>1.484</v>
      </c>
      <c r="G27" s="286">
        <f>4.197+4.842</f>
        <v>9.0389999999999997</v>
      </c>
      <c r="H27" s="286">
        <f>5.852+4.842</f>
        <v>10.693999999999999</v>
      </c>
      <c r="I27" s="378">
        <v>11.93</v>
      </c>
      <c r="J27" s="283">
        <v>1.7790000000000001</v>
      </c>
      <c r="K27" s="283">
        <v>10.8</v>
      </c>
      <c r="L27" s="283">
        <v>11.7</v>
      </c>
      <c r="M27" s="284">
        <v>96.1</v>
      </c>
      <c r="N27" s="285">
        <v>-3</v>
      </c>
      <c r="O27" s="286">
        <v>9</v>
      </c>
      <c r="P27" s="286">
        <v>19.600000000000001</v>
      </c>
      <c r="Q27" s="287">
        <v>21.6</v>
      </c>
      <c r="R27" s="285">
        <v>2.5</v>
      </c>
      <c r="S27" s="286">
        <v>-1.9</v>
      </c>
      <c r="T27" s="286">
        <v>22.5</v>
      </c>
      <c r="U27" s="287">
        <v>24</v>
      </c>
      <c r="V27" s="285">
        <v>-2.1</v>
      </c>
      <c r="W27" s="286">
        <v>18.100000000000001</v>
      </c>
      <c r="X27" s="286">
        <v>51.1</v>
      </c>
      <c r="Y27" s="287">
        <v>55.5</v>
      </c>
      <c r="Z27" s="286">
        <v>-18.2</v>
      </c>
      <c r="AA27" s="286"/>
      <c r="AB27" s="286"/>
      <c r="AC27" s="287"/>
    </row>
    <row r="28" spans="1:29" s="18" customFormat="1" ht="20.149999999999999" customHeight="1" thickBot="1">
      <c r="A28" s="83" t="s">
        <v>165</v>
      </c>
      <c r="B28" s="281">
        <f t="shared" ref="B28:Y28" si="2">B4+B5</f>
        <v>233.42699999999999</v>
      </c>
      <c r="C28" s="279">
        <f t="shared" si="2"/>
        <v>415.61099999999999</v>
      </c>
      <c r="D28" s="279">
        <f t="shared" si="2"/>
        <v>628.7700000000001</v>
      </c>
      <c r="E28" s="375">
        <f t="shared" si="2"/>
        <v>843.21800000000007</v>
      </c>
      <c r="F28" s="281">
        <f t="shared" si="2"/>
        <v>165.66199999999998</v>
      </c>
      <c r="G28" s="279">
        <f t="shared" si="2"/>
        <v>351.928</v>
      </c>
      <c r="H28" s="279">
        <f t="shared" si="2"/>
        <v>548.24399999999991</v>
      </c>
      <c r="I28" s="375">
        <f t="shared" si="2"/>
        <v>859.7349999999999</v>
      </c>
      <c r="J28" s="279">
        <f t="shared" si="2"/>
        <v>184.70400000000001</v>
      </c>
      <c r="K28" s="279">
        <f t="shared" si="2"/>
        <v>735.69999999999993</v>
      </c>
      <c r="L28" s="279">
        <f t="shared" si="2"/>
        <v>1423.9000000000003</v>
      </c>
      <c r="M28" s="280">
        <f t="shared" si="2"/>
        <v>2117.7999999999975</v>
      </c>
      <c r="N28" s="281">
        <f t="shared" si="2"/>
        <v>453.00000000000011</v>
      </c>
      <c r="O28" s="279">
        <f t="shared" si="2"/>
        <v>1327.9999999999995</v>
      </c>
      <c r="P28" s="279">
        <f t="shared" si="2"/>
        <v>2173.4999999999991</v>
      </c>
      <c r="Q28" s="282">
        <f t="shared" si="2"/>
        <v>2985.0999999999995</v>
      </c>
      <c r="R28" s="281">
        <f t="shared" si="2"/>
        <v>584.40000000000009</v>
      </c>
      <c r="S28" s="279">
        <f t="shared" si="2"/>
        <v>1549.4</v>
      </c>
      <c r="T28" s="279">
        <f t="shared" si="2"/>
        <v>2357.5000000000009</v>
      </c>
      <c r="U28" s="282">
        <f t="shared" si="2"/>
        <v>3151.5000000000005</v>
      </c>
      <c r="V28" s="281">
        <f t="shared" si="2"/>
        <v>780.70000000000027</v>
      </c>
      <c r="W28" s="279">
        <f t="shared" si="2"/>
        <v>1615.9</v>
      </c>
      <c r="X28" s="279">
        <f t="shared" si="2"/>
        <v>2245.6999999999998</v>
      </c>
      <c r="Y28" s="282">
        <f t="shared" si="2"/>
        <v>3126.3</v>
      </c>
      <c r="Z28" s="281">
        <f t="shared" ref="Z28:AC28" si="3">Z4+Z5</f>
        <v>633</v>
      </c>
      <c r="AA28" s="279">
        <f t="shared" si="3"/>
        <v>0</v>
      </c>
      <c r="AB28" s="279">
        <f t="shared" si="3"/>
        <v>0</v>
      </c>
      <c r="AC28" s="282">
        <f t="shared" si="3"/>
        <v>0</v>
      </c>
    </row>
    <row r="29" spans="1:29" s="18" customFormat="1" ht="20.149999999999999" customHeight="1">
      <c r="A29" s="84" t="s">
        <v>147</v>
      </c>
      <c r="B29" s="285">
        <v>-12.561</v>
      </c>
      <c r="C29" s="286">
        <v>-47.188000000000002</v>
      </c>
      <c r="D29" s="286">
        <v>-59.765999999999998</v>
      </c>
      <c r="E29" s="378">
        <v>-78.733000000000004</v>
      </c>
      <c r="F29" s="285">
        <v>-13.763</v>
      </c>
      <c r="G29" s="286">
        <v>-26.318999999999999</v>
      </c>
      <c r="H29" s="286">
        <v>-37.451999999999998</v>
      </c>
      <c r="I29" s="378">
        <v>-67.486000000000004</v>
      </c>
      <c r="J29" s="283">
        <v>-17.809000000000001</v>
      </c>
      <c r="K29" s="283">
        <v>-99.5</v>
      </c>
      <c r="L29" s="283">
        <v>-135.19999999999999</v>
      </c>
      <c r="M29" s="284">
        <v>-189.1</v>
      </c>
      <c r="N29" s="285">
        <v>-48.5</v>
      </c>
      <c r="O29" s="286">
        <v>-44.2</v>
      </c>
      <c r="P29" s="286">
        <v>-94.2</v>
      </c>
      <c r="Q29" s="287">
        <v>-136.19999999999999</v>
      </c>
      <c r="R29" s="285">
        <v>-145.69999999999999</v>
      </c>
      <c r="S29" s="286">
        <v>-186.5</v>
      </c>
      <c r="T29" s="286">
        <v>-236.1</v>
      </c>
      <c r="U29" s="287">
        <v>-292.7</v>
      </c>
      <c r="V29" s="285">
        <v>-43.5</v>
      </c>
      <c r="W29" s="286">
        <v>-112.5</v>
      </c>
      <c r="X29" s="286">
        <v>-181.5</v>
      </c>
      <c r="Y29" s="287">
        <v>-216.2</v>
      </c>
      <c r="Z29" s="286">
        <v>-70.599999999999994</v>
      </c>
      <c r="AA29" s="286"/>
      <c r="AB29" s="286"/>
      <c r="AC29" s="287"/>
    </row>
    <row r="30" spans="1:29" s="18" customFormat="1" ht="20.149999999999999" customHeight="1" thickBot="1">
      <c r="A30" s="84" t="s">
        <v>148</v>
      </c>
      <c r="B30" s="285">
        <v>3.843</v>
      </c>
      <c r="C30" s="286">
        <v>8.1440000000000001</v>
      </c>
      <c r="D30" s="286">
        <v>12.96</v>
      </c>
      <c r="E30" s="378">
        <v>16.882000000000001</v>
      </c>
      <c r="F30" s="285">
        <v>3.544</v>
      </c>
      <c r="G30" s="286">
        <v>6.1040000000000001</v>
      </c>
      <c r="H30" s="286">
        <v>8.5630000000000006</v>
      </c>
      <c r="I30" s="378">
        <v>10.41</v>
      </c>
      <c r="J30" s="283">
        <v>2.165</v>
      </c>
      <c r="K30" s="283">
        <v>13.4</v>
      </c>
      <c r="L30" s="283">
        <v>33.1</v>
      </c>
      <c r="M30" s="284">
        <v>45.2</v>
      </c>
      <c r="N30" s="285">
        <v>13.2</v>
      </c>
      <c r="O30" s="286">
        <v>20.5</v>
      </c>
      <c r="P30" s="286">
        <v>30.5</v>
      </c>
      <c r="Q30" s="287">
        <v>38.799999999999997</v>
      </c>
      <c r="R30" s="285">
        <v>8.1</v>
      </c>
      <c r="S30" s="286">
        <v>13.1</v>
      </c>
      <c r="T30" s="286">
        <v>19.5</v>
      </c>
      <c r="U30" s="287">
        <v>25.9</v>
      </c>
      <c r="V30" s="285">
        <v>14.5</v>
      </c>
      <c r="W30" s="286">
        <v>16</v>
      </c>
      <c r="X30" s="286">
        <v>23.5</v>
      </c>
      <c r="Y30" s="287">
        <v>31.3</v>
      </c>
      <c r="Z30" s="286">
        <v>7.5</v>
      </c>
      <c r="AA30" s="286"/>
      <c r="AB30" s="286"/>
      <c r="AC30" s="287"/>
    </row>
    <row r="31" spans="1:29" s="18" customFormat="1" ht="25" customHeight="1" thickBot="1">
      <c r="A31" s="85" t="s">
        <v>164</v>
      </c>
      <c r="B31" s="290">
        <f t="shared" ref="B31:Q31" si="4">SUM(B28:B30)</f>
        <v>224.70899999999997</v>
      </c>
      <c r="C31" s="288">
        <f t="shared" si="4"/>
        <v>376.56700000000001</v>
      </c>
      <c r="D31" s="288">
        <f t="shared" si="4"/>
        <v>581.96400000000017</v>
      </c>
      <c r="E31" s="379">
        <f t="shared" si="4"/>
        <v>781.36700000000008</v>
      </c>
      <c r="F31" s="290">
        <f t="shared" si="4"/>
        <v>155.44299999999998</v>
      </c>
      <c r="G31" s="288">
        <f t="shared" si="4"/>
        <v>331.71299999999997</v>
      </c>
      <c r="H31" s="288">
        <f t="shared" si="4"/>
        <v>519.3549999999999</v>
      </c>
      <c r="I31" s="379">
        <f t="shared" si="4"/>
        <v>802.65899999999988</v>
      </c>
      <c r="J31" s="288">
        <f t="shared" si="4"/>
        <v>169.06</v>
      </c>
      <c r="K31" s="288">
        <f t="shared" si="4"/>
        <v>649.59999999999991</v>
      </c>
      <c r="L31" s="288">
        <f t="shared" si="4"/>
        <v>1321.8000000000002</v>
      </c>
      <c r="M31" s="289">
        <f t="shared" si="4"/>
        <v>1973.8999999999976</v>
      </c>
      <c r="N31" s="290">
        <f t="shared" si="4"/>
        <v>417.7000000000001</v>
      </c>
      <c r="O31" s="288">
        <f t="shared" si="4"/>
        <v>1304.2999999999995</v>
      </c>
      <c r="P31" s="288">
        <f t="shared" si="4"/>
        <v>2109.7999999999993</v>
      </c>
      <c r="Q31" s="291">
        <f t="shared" si="4"/>
        <v>2887.7</v>
      </c>
      <c r="R31" s="290">
        <f t="shared" ref="R31:T31" si="5">SUM(R28:R30)</f>
        <v>446.80000000000013</v>
      </c>
      <c r="S31" s="288">
        <f t="shared" si="5"/>
        <v>1376</v>
      </c>
      <c r="T31" s="288">
        <f t="shared" si="5"/>
        <v>2140.900000000001</v>
      </c>
      <c r="U31" s="291">
        <f t="shared" ref="U31:X31" si="6">SUM(U28:U30)</f>
        <v>2884.7000000000007</v>
      </c>
      <c r="V31" s="290">
        <f t="shared" si="6"/>
        <v>751.70000000000027</v>
      </c>
      <c r="W31" s="288">
        <f t="shared" si="6"/>
        <v>1519.4</v>
      </c>
      <c r="X31" s="288">
        <f t="shared" si="6"/>
        <v>2087.6999999999998</v>
      </c>
      <c r="Y31" s="291">
        <f t="shared" ref="Y31:AB31" si="7">SUM(Y28:Y30)</f>
        <v>2941.4000000000005</v>
      </c>
      <c r="Z31" s="290">
        <f t="shared" si="7"/>
        <v>569.9</v>
      </c>
      <c r="AA31" s="288">
        <f t="shared" si="7"/>
        <v>0</v>
      </c>
      <c r="AB31" s="288">
        <f t="shared" si="7"/>
        <v>0</v>
      </c>
      <c r="AC31" s="291">
        <f t="shared" ref="AC31" si="8">SUM(AC28:AC30)</f>
        <v>0</v>
      </c>
    </row>
    <row r="32" spans="1:29" s="18" customFormat="1" ht="20.149999999999999" customHeight="1">
      <c r="A32" s="84" t="s">
        <v>149</v>
      </c>
      <c r="B32" s="285">
        <v>-13.759</v>
      </c>
      <c r="C32" s="286">
        <v>-28.18</v>
      </c>
      <c r="D32" s="286">
        <v>-40.478000000000002</v>
      </c>
      <c r="E32" s="378">
        <v>-54.936999999999998</v>
      </c>
      <c r="F32" s="285">
        <v>-21.702999999999999</v>
      </c>
      <c r="G32" s="286">
        <v>-40.633000000000003</v>
      </c>
      <c r="H32" s="286">
        <v>-53.000999999999998</v>
      </c>
      <c r="I32" s="378">
        <v>-60.844999999999999</v>
      </c>
      <c r="J32" s="283">
        <v>-19.433</v>
      </c>
      <c r="K32" s="283">
        <v>-93</v>
      </c>
      <c r="L32" s="283">
        <v>-180</v>
      </c>
      <c r="M32" s="284">
        <v>-263.60000000000002</v>
      </c>
      <c r="N32" s="285">
        <v>-137.6</v>
      </c>
      <c r="O32" s="286">
        <v>-187</v>
      </c>
      <c r="P32" s="286">
        <v>-323.2</v>
      </c>
      <c r="Q32" s="287">
        <v>-417.8</v>
      </c>
      <c r="R32" s="285">
        <v>-98.4</v>
      </c>
      <c r="S32" s="286">
        <v>-179.5</v>
      </c>
      <c r="T32" s="286">
        <v>-301.2</v>
      </c>
      <c r="U32" s="287">
        <v>-436.2</v>
      </c>
      <c r="V32" s="285">
        <v>-138.9</v>
      </c>
      <c r="W32" s="286">
        <v>-268.8</v>
      </c>
      <c r="X32" s="286">
        <v>-418.9</v>
      </c>
      <c r="Y32" s="287">
        <v>-524.79999999999995</v>
      </c>
      <c r="Z32" s="286">
        <v>-131.6</v>
      </c>
      <c r="AA32" s="286"/>
      <c r="AB32" s="286"/>
      <c r="AC32" s="287"/>
    </row>
    <row r="33" spans="1:29" s="18" customFormat="1" ht="20.149999999999999" customHeight="1">
      <c r="A33" s="84" t="s">
        <v>150</v>
      </c>
      <c r="B33" s="285">
        <v>-7.0449999999999999</v>
      </c>
      <c r="C33" s="286">
        <v>-11.33</v>
      </c>
      <c r="D33" s="286">
        <v>-23.225000000000001</v>
      </c>
      <c r="E33" s="378">
        <v>-36.24</v>
      </c>
      <c r="F33" s="285">
        <v>-13.377000000000001</v>
      </c>
      <c r="G33" s="286">
        <v>-20.378</v>
      </c>
      <c r="H33" s="286">
        <v>-45.453000000000003</v>
      </c>
      <c r="I33" s="378">
        <v>-62.041000000000004</v>
      </c>
      <c r="J33" s="283">
        <v>-19.987000000000002</v>
      </c>
      <c r="K33" s="283">
        <v>-46.6</v>
      </c>
      <c r="L33" s="283">
        <v>-57.4</v>
      </c>
      <c r="M33" s="284">
        <v>-71.8</v>
      </c>
      <c r="N33" s="285">
        <v>-19.100000000000001</v>
      </c>
      <c r="O33" s="286">
        <v>-90.7</v>
      </c>
      <c r="P33" s="286">
        <v>-111.1</v>
      </c>
      <c r="Q33" s="287">
        <v>-165.3</v>
      </c>
      <c r="R33" s="285">
        <v>-20.3</v>
      </c>
      <c r="S33" s="286">
        <v>-61.3</v>
      </c>
      <c r="T33" s="286">
        <v>-94.6</v>
      </c>
      <c r="U33" s="287">
        <v>-154.19999999999999</v>
      </c>
      <c r="V33" s="285">
        <v>-33.200000000000003</v>
      </c>
      <c r="W33" s="286">
        <v>-114.2</v>
      </c>
      <c r="X33" s="286">
        <v>-137.30000000000001</v>
      </c>
      <c r="Y33" s="287">
        <v>-214.3</v>
      </c>
      <c r="Z33" s="286">
        <v>-42.8</v>
      </c>
      <c r="AA33" s="286"/>
      <c r="AB33" s="286"/>
      <c r="AC33" s="287"/>
    </row>
    <row r="34" spans="1:29" s="15" customFormat="1" ht="20.149999999999999" customHeight="1">
      <c r="A34" s="471" t="s">
        <v>190</v>
      </c>
      <c r="B34" s="472"/>
      <c r="C34" s="473"/>
      <c r="D34" s="473"/>
      <c r="E34" s="474"/>
      <c r="F34" s="472"/>
      <c r="G34" s="473"/>
      <c r="H34" s="473"/>
      <c r="I34" s="474"/>
      <c r="J34" s="475"/>
      <c r="K34" s="475"/>
      <c r="L34" s="475"/>
      <c r="M34" s="284"/>
      <c r="N34" s="472"/>
      <c r="O34" s="473"/>
      <c r="P34" s="473"/>
      <c r="Q34" s="287"/>
      <c r="R34" s="472"/>
      <c r="S34" s="473"/>
      <c r="T34" s="473"/>
      <c r="U34" s="287"/>
      <c r="V34" s="472"/>
      <c r="W34" s="473"/>
      <c r="X34" s="473"/>
      <c r="Y34" s="287">
        <v>-9.3000000000000007</v>
      </c>
      <c r="Z34" s="286">
        <v>0</v>
      </c>
      <c r="AA34" s="473"/>
      <c r="AB34" s="473"/>
      <c r="AC34" s="287"/>
    </row>
    <row r="35" spans="1:29" s="18" customFormat="1" ht="20.149999999999999" customHeight="1">
      <c r="A35" s="84" t="s">
        <v>151</v>
      </c>
      <c r="B35" s="297">
        <v>0</v>
      </c>
      <c r="C35" s="298">
        <v>0</v>
      </c>
      <c r="D35" s="298">
        <v>0</v>
      </c>
      <c r="E35" s="299">
        <v>0</v>
      </c>
      <c r="F35" s="297">
        <v>0</v>
      </c>
      <c r="G35" s="298">
        <v>0</v>
      </c>
      <c r="H35" s="298">
        <v>0</v>
      </c>
      <c r="I35" s="299">
        <v>0</v>
      </c>
      <c r="J35" s="297">
        <v>0</v>
      </c>
      <c r="K35" s="286">
        <v>0</v>
      </c>
      <c r="L35" s="286">
        <v>-482.3</v>
      </c>
      <c r="M35" s="284">
        <v>-482.3</v>
      </c>
      <c r="N35" s="285">
        <v>0</v>
      </c>
      <c r="O35" s="286">
        <v>0</v>
      </c>
      <c r="P35" s="286">
        <v>-118.7</v>
      </c>
      <c r="Q35" s="287">
        <v>-118.7</v>
      </c>
      <c r="R35" s="285">
        <v>-147.69999999999999</v>
      </c>
      <c r="S35" s="286">
        <v>-147.69999999999999</v>
      </c>
      <c r="T35" s="286">
        <v>-268.5</v>
      </c>
      <c r="U35" s="287">
        <v>-268.5</v>
      </c>
      <c r="V35" s="285">
        <v>0</v>
      </c>
      <c r="W35" s="286">
        <v>0</v>
      </c>
      <c r="X35" s="286">
        <v>-120.7</v>
      </c>
      <c r="Y35" s="287">
        <v>-120.7</v>
      </c>
      <c r="Z35" s="473">
        <v>0</v>
      </c>
      <c r="AA35" s="286"/>
      <c r="AB35" s="286"/>
      <c r="AC35" s="287"/>
    </row>
    <row r="36" spans="1:29" s="15" customFormat="1" ht="20.149999999999999" customHeight="1">
      <c r="A36" s="471" t="s">
        <v>256</v>
      </c>
      <c r="B36" s="478"/>
      <c r="C36" s="479"/>
      <c r="D36" s="479"/>
      <c r="E36" s="480"/>
      <c r="F36" s="478"/>
      <c r="G36" s="479"/>
      <c r="H36" s="479"/>
      <c r="I36" s="480"/>
      <c r="J36" s="479"/>
      <c r="K36" s="473"/>
      <c r="L36" s="473"/>
      <c r="M36" s="284"/>
      <c r="N36" s="472"/>
      <c r="O36" s="473"/>
      <c r="P36" s="473"/>
      <c r="Q36" s="287"/>
      <c r="R36" s="472">
        <v>0</v>
      </c>
      <c r="S36" s="473">
        <v>0</v>
      </c>
      <c r="T36" s="473">
        <v>0</v>
      </c>
      <c r="U36" s="287">
        <v>0</v>
      </c>
      <c r="V36" s="472">
        <v>0</v>
      </c>
      <c r="W36" s="473">
        <v>0</v>
      </c>
      <c r="X36" s="473">
        <v>0</v>
      </c>
      <c r="Y36" s="287">
        <v>-662.5</v>
      </c>
      <c r="Z36" s="286">
        <v>-11.3</v>
      </c>
      <c r="AA36" s="473"/>
      <c r="AB36" s="473"/>
      <c r="AC36" s="287"/>
    </row>
    <row r="37" spans="1:29" s="18" customFormat="1" ht="20.149999999999999" customHeight="1">
      <c r="A37" s="84" t="s">
        <v>152</v>
      </c>
      <c r="B37" s="285">
        <v>-2.3290000000000002</v>
      </c>
      <c r="C37" s="286">
        <v>-45.099000000000004</v>
      </c>
      <c r="D37" s="286">
        <v>-45.329000000000001</v>
      </c>
      <c r="E37" s="378">
        <v>-45.710999999999999</v>
      </c>
      <c r="F37" s="285">
        <v>-0.153</v>
      </c>
      <c r="G37" s="286">
        <v>-0.26800000000000002</v>
      </c>
      <c r="H37" s="286">
        <v>-64.186999999999998</v>
      </c>
      <c r="I37" s="378">
        <v>-64.266000000000005</v>
      </c>
      <c r="J37" s="283">
        <v>0</v>
      </c>
      <c r="K37" s="283">
        <v>1800.4</v>
      </c>
      <c r="L37" s="283">
        <v>1800.4</v>
      </c>
      <c r="M37" s="284">
        <v>1800.4</v>
      </c>
      <c r="N37" s="285">
        <v>-4.2</v>
      </c>
      <c r="O37" s="286">
        <v>-29.5</v>
      </c>
      <c r="P37" s="286">
        <v>-29.5</v>
      </c>
      <c r="Q37" s="287">
        <v>-29.5</v>
      </c>
      <c r="R37" s="285">
        <v>262.2</v>
      </c>
      <c r="S37" s="286">
        <v>-145.30000000000001</v>
      </c>
      <c r="T37" s="286">
        <v>-144.4</v>
      </c>
      <c r="U37" s="287">
        <v>-144.4</v>
      </c>
      <c r="V37" s="285">
        <v>0</v>
      </c>
      <c r="W37" s="286">
        <v>0</v>
      </c>
      <c r="X37" s="286">
        <v>1.6</v>
      </c>
      <c r="Y37" s="287">
        <v>-66.8</v>
      </c>
      <c r="Z37" s="473">
        <v>-16.7</v>
      </c>
      <c r="AA37" s="286"/>
      <c r="AB37" s="286"/>
      <c r="AC37" s="287"/>
    </row>
    <row r="38" spans="1:29" s="18" customFormat="1" ht="20.149999999999999" customHeight="1">
      <c r="A38" s="84" t="s">
        <v>206</v>
      </c>
      <c r="B38" s="285">
        <v>0</v>
      </c>
      <c r="C38" s="286">
        <v>0</v>
      </c>
      <c r="D38" s="286">
        <v>0</v>
      </c>
      <c r="E38" s="378">
        <v>0</v>
      </c>
      <c r="F38" s="285">
        <v>0</v>
      </c>
      <c r="G38" s="286">
        <v>0</v>
      </c>
      <c r="H38" s="286">
        <v>48.219000000000001</v>
      </c>
      <c r="I38" s="378">
        <v>48.736000000000004</v>
      </c>
      <c r="J38" s="283">
        <v>0</v>
      </c>
      <c r="K38" s="283">
        <v>0</v>
      </c>
      <c r="L38" s="283">
        <v>0</v>
      </c>
      <c r="M38" s="284">
        <v>0</v>
      </c>
      <c r="N38" s="285">
        <v>0</v>
      </c>
      <c r="O38" s="286">
        <v>0</v>
      </c>
      <c r="P38" s="286">
        <v>0</v>
      </c>
      <c r="Q38" s="287">
        <v>0</v>
      </c>
      <c r="R38" s="285">
        <v>0</v>
      </c>
      <c r="S38" s="286">
        <v>0.2</v>
      </c>
      <c r="T38" s="286">
        <v>0.2</v>
      </c>
      <c r="U38" s="287">
        <v>0</v>
      </c>
      <c r="V38" s="285">
        <v>0</v>
      </c>
      <c r="W38" s="286">
        <v>0</v>
      </c>
      <c r="X38" s="286">
        <v>0</v>
      </c>
      <c r="Y38" s="287">
        <v>0</v>
      </c>
      <c r="Z38" s="286">
        <v>0</v>
      </c>
      <c r="AA38" s="286"/>
      <c r="AB38" s="286"/>
      <c r="AC38" s="287"/>
    </row>
    <row r="39" spans="1:29" s="18" customFormat="1" ht="20.149999999999999" customHeight="1">
      <c r="A39" s="84" t="s">
        <v>153</v>
      </c>
      <c r="B39" s="285">
        <v>0.09</v>
      </c>
      <c r="C39" s="286">
        <v>0.121</v>
      </c>
      <c r="D39" s="286">
        <v>0.69000000000000006</v>
      </c>
      <c r="E39" s="378">
        <v>0.751</v>
      </c>
      <c r="F39" s="285">
        <v>0.35000000000000003</v>
      </c>
      <c r="G39" s="286">
        <v>0.41000000000000003</v>
      </c>
      <c r="H39" s="286">
        <v>1.756</v>
      </c>
      <c r="I39" s="378">
        <v>2.0640000000000001</v>
      </c>
      <c r="J39" s="283">
        <v>0.33700000000000002</v>
      </c>
      <c r="K39" s="283">
        <v>1.6</v>
      </c>
      <c r="L39" s="283">
        <v>4</v>
      </c>
      <c r="M39" s="284">
        <v>4.0999999999999996</v>
      </c>
      <c r="N39" s="285">
        <v>0.2</v>
      </c>
      <c r="O39" s="286">
        <v>13.3</v>
      </c>
      <c r="P39" s="286">
        <v>15.1</v>
      </c>
      <c r="Q39" s="287">
        <v>16.899999999999999</v>
      </c>
      <c r="R39" s="285">
        <v>3.5</v>
      </c>
      <c r="S39" s="286">
        <v>5</v>
      </c>
      <c r="T39" s="286">
        <v>6.3</v>
      </c>
      <c r="U39" s="287">
        <v>9.5</v>
      </c>
      <c r="V39" s="285">
        <v>12.8</v>
      </c>
      <c r="W39" s="286">
        <v>16</v>
      </c>
      <c r="X39" s="286">
        <v>15.8</v>
      </c>
      <c r="Y39" s="287">
        <v>19.3</v>
      </c>
      <c r="Z39" s="286">
        <v>3.4</v>
      </c>
      <c r="AA39" s="286"/>
      <c r="AB39" s="286"/>
      <c r="AC39" s="287"/>
    </row>
    <row r="40" spans="1:29" s="18" customFormat="1" ht="20.149999999999999" customHeight="1">
      <c r="A40" s="84" t="s">
        <v>257</v>
      </c>
      <c r="B40" s="285"/>
      <c r="C40" s="286"/>
      <c r="D40" s="286"/>
      <c r="E40" s="378"/>
      <c r="F40" s="285"/>
      <c r="G40" s="286"/>
      <c r="H40" s="286"/>
      <c r="I40" s="378"/>
      <c r="J40" s="283"/>
      <c r="K40" s="283"/>
      <c r="L40" s="283"/>
      <c r="M40" s="284"/>
      <c r="N40" s="285"/>
      <c r="O40" s="286"/>
      <c r="P40" s="286"/>
      <c r="Q40" s="287"/>
      <c r="R40" s="285"/>
      <c r="S40" s="286"/>
      <c r="T40" s="286"/>
      <c r="U40" s="287"/>
      <c r="V40" s="285"/>
      <c r="W40" s="286"/>
      <c r="X40" s="286"/>
      <c r="Y40" s="287"/>
      <c r="Z40" s="286">
        <v>-45</v>
      </c>
      <c r="AA40" s="286"/>
      <c r="AB40" s="286"/>
      <c r="AC40" s="287"/>
    </row>
    <row r="41" spans="1:29" s="18" customFormat="1" ht="20.149999999999999" customHeight="1">
      <c r="A41" s="84" t="s">
        <v>104</v>
      </c>
      <c r="B41" s="285">
        <v>0</v>
      </c>
      <c r="C41" s="286">
        <v>0</v>
      </c>
      <c r="D41" s="286">
        <v>0</v>
      </c>
      <c r="E41" s="378">
        <v>0</v>
      </c>
      <c r="F41" s="285">
        <v>0</v>
      </c>
      <c r="G41" s="286">
        <v>0</v>
      </c>
      <c r="H41" s="286">
        <v>0</v>
      </c>
      <c r="I41" s="378">
        <v>0</v>
      </c>
      <c r="J41" s="283">
        <v>0</v>
      </c>
      <c r="K41" s="283">
        <v>-270</v>
      </c>
      <c r="L41" s="283">
        <v>-30</v>
      </c>
      <c r="M41" s="284">
        <v>0</v>
      </c>
      <c r="N41" s="285">
        <v>-42.7</v>
      </c>
      <c r="O41" s="286">
        <v>-42.7</v>
      </c>
      <c r="P41" s="286">
        <v>0</v>
      </c>
      <c r="Q41" s="287">
        <v>0</v>
      </c>
      <c r="R41" s="285">
        <v>-12.4</v>
      </c>
      <c r="S41" s="286">
        <v>0</v>
      </c>
      <c r="T41" s="286">
        <v>0</v>
      </c>
      <c r="U41" s="287">
        <v>0</v>
      </c>
      <c r="V41" s="285">
        <v>0</v>
      </c>
      <c r="W41" s="286">
        <v>0</v>
      </c>
      <c r="X41" s="286">
        <v>0</v>
      </c>
      <c r="Y41" s="287">
        <v>0</v>
      </c>
      <c r="Z41" s="286">
        <v>0</v>
      </c>
      <c r="AA41" s="286"/>
      <c r="AB41" s="286"/>
      <c r="AC41" s="287"/>
    </row>
    <row r="42" spans="1:29" s="18" customFormat="1" ht="20.149999999999999" customHeight="1">
      <c r="A42" s="84" t="s">
        <v>154</v>
      </c>
      <c r="B42" s="285">
        <v>-1.1000000000000001</v>
      </c>
      <c r="C42" s="286">
        <v>-1.1000000000000001</v>
      </c>
      <c r="D42" s="286">
        <v>-1.1000000000000001</v>
      </c>
      <c r="E42" s="378">
        <v>-1.1000000000000001</v>
      </c>
      <c r="F42" s="285">
        <v>0</v>
      </c>
      <c r="G42" s="286">
        <v>0</v>
      </c>
      <c r="H42" s="286">
        <v>0</v>
      </c>
      <c r="I42" s="378">
        <v>0</v>
      </c>
      <c r="J42" s="283">
        <v>0</v>
      </c>
      <c r="K42" s="283">
        <v>-5.8</v>
      </c>
      <c r="L42" s="283">
        <v>-20.399999999999999</v>
      </c>
      <c r="M42" s="284">
        <v>-23.1</v>
      </c>
      <c r="N42" s="285">
        <v>-6</v>
      </c>
      <c r="O42" s="286">
        <v>-8.9</v>
      </c>
      <c r="P42" s="286">
        <v>-12.1</v>
      </c>
      <c r="Q42" s="287">
        <v>-16.100000000000001</v>
      </c>
      <c r="R42" s="285">
        <v>-6.8</v>
      </c>
      <c r="S42" s="286">
        <v>-9.5</v>
      </c>
      <c r="T42" s="286">
        <v>-10.5</v>
      </c>
      <c r="U42" s="287">
        <v>-11.6</v>
      </c>
      <c r="V42" s="285">
        <v>0</v>
      </c>
      <c r="W42" s="286">
        <v>0</v>
      </c>
      <c r="X42" s="286">
        <v>-28.6</v>
      </c>
      <c r="Y42" s="287">
        <v>-31.1</v>
      </c>
      <c r="Z42" s="286">
        <v>-11</v>
      </c>
      <c r="AA42" s="286"/>
      <c r="AB42" s="286"/>
      <c r="AC42" s="287"/>
    </row>
    <row r="43" spans="1:29" s="18" customFormat="1" ht="20.149999999999999" customHeight="1">
      <c r="A43" s="84" t="s">
        <v>155</v>
      </c>
      <c r="B43" s="285">
        <v>0</v>
      </c>
      <c r="C43" s="286">
        <v>1.1000000000000001</v>
      </c>
      <c r="D43" s="286">
        <v>1.1000000000000001</v>
      </c>
      <c r="E43" s="378">
        <v>1.1000000000000001</v>
      </c>
      <c r="F43" s="285">
        <v>0</v>
      </c>
      <c r="G43" s="286">
        <v>0</v>
      </c>
      <c r="H43" s="286">
        <v>0</v>
      </c>
      <c r="I43" s="378">
        <v>0</v>
      </c>
      <c r="J43" s="283">
        <v>0</v>
      </c>
      <c r="K43" s="283">
        <v>0</v>
      </c>
      <c r="L43" s="283">
        <v>0</v>
      </c>
      <c r="M43" s="284">
        <v>0</v>
      </c>
      <c r="N43" s="285">
        <v>0</v>
      </c>
      <c r="O43" s="286">
        <v>0</v>
      </c>
      <c r="P43" s="286">
        <v>0</v>
      </c>
      <c r="Q43" s="287">
        <v>0</v>
      </c>
      <c r="R43" s="285">
        <v>0</v>
      </c>
      <c r="S43" s="286">
        <v>0</v>
      </c>
      <c r="T43" s="286">
        <v>0</v>
      </c>
      <c r="U43" s="287">
        <v>0.1</v>
      </c>
      <c r="V43" s="285">
        <v>0</v>
      </c>
      <c r="W43" s="286">
        <v>0</v>
      </c>
      <c r="X43" s="286">
        <v>25</v>
      </c>
      <c r="Y43" s="287">
        <v>30.5</v>
      </c>
      <c r="Z43" s="286">
        <v>0</v>
      </c>
      <c r="AA43" s="286"/>
      <c r="AB43" s="286"/>
      <c r="AC43" s="287"/>
    </row>
    <row r="44" spans="1:29" s="18" customFormat="1" ht="20.149999999999999" customHeight="1">
      <c r="A44" s="84" t="s">
        <v>156</v>
      </c>
      <c r="B44" s="285">
        <v>0</v>
      </c>
      <c r="C44" s="286">
        <v>0</v>
      </c>
      <c r="D44" s="286">
        <v>0</v>
      </c>
      <c r="E44" s="378">
        <v>0</v>
      </c>
      <c r="F44" s="285">
        <v>0</v>
      </c>
      <c r="G44" s="286">
        <v>0</v>
      </c>
      <c r="H44" s="286">
        <v>0</v>
      </c>
      <c r="I44" s="378">
        <v>0</v>
      </c>
      <c r="J44" s="283">
        <v>0</v>
      </c>
      <c r="K44" s="283">
        <v>5</v>
      </c>
      <c r="L44" s="283">
        <v>5.5</v>
      </c>
      <c r="M44" s="284">
        <v>6.6</v>
      </c>
      <c r="N44" s="285">
        <v>1.2</v>
      </c>
      <c r="O44" s="286">
        <v>-2.1</v>
      </c>
      <c r="P44" s="286">
        <v>3.2</v>
      </c>
      <c r="Q44" s="287">
        <v>3.9</v>
      </c>
      <c r="R44" s="285">
        <v>-5</v>
      </c>
      <c r="S44" s="286">
        <v>-4</v>
      </c>
      <c r="T44" s="286">
        <v>-3.5</v>
      </c>
      <c r="U44" s="287">
        <v>-1.6</v>
      </c>
      <c r="V44" s="285">
        <v>-1.1000000000000001</v>
      </c>
      <c r="W44" s="286">
        <v>0</v>
      </c>
      <c r="X44" s="393" t="s">
        <v>226</v>
      </c>
      <c r="Y44" s="398" t="s">
        <v>226</v>
      </c>
      <c r="Z44" s="286">
        <v>-1.5</v>
      </c>
      <c r="AA44" s="286"/>
      <c r="AB44" s="393"/>
      <c r="AC44" s="398"/>
    </row>
    <row r="45" spans="1:29" s="18" customFormat="1" ht="20.149999999999999" customHeight="1">
      <c r="A45" s="84" t="s">
        <v>157</v>
      </c>
      <c r="B45" s="285">
        <v>0</v>
      </c>
      <c r="C45" s="286">
        <v>1.258</v>
      </c>
      <c r="D45" s="286">
        <v>1.258</v>
      </c>
      <c r="E45" s="378">
        <v>2.706</v>
      </c>
      <c r="F45" s="285">
        <v>0</v>
      </c>
      <c r="G45" s="286">
        <v>2.5150000000000001</v>
      </c>
      <c r="H45" s="286">
        <v>2.5150000000000001</v>
      </c>
      <c r="I45" s="378">
        <v>2.5150000000000001</v>
      </c>
      <c r="J45" s="283">
        <v>2.5300000000000002</v>
      </c>
      <c r="K45" s="283">
        <v>2.5</v>
      </c>
      <c r="L45" s="283">
        <v>2.5</v>
      </c>
      <c r="M45" s="284">
        <v>2.5</v>
      </c>
      <c r="N45" s="285">
        <v>0</v>
      </c>
      <c r="O45" s="286">
        <v>0</v>
      </c>
      <c r="P45" s="286">
        <v>0</v>
      </c>
      <c r="Q45" s="287">
        <v>0</v>
      </c>
      <c r="R45" s="285">
        <v>0</v>
      </c>
      <c r="S45" s="286">
        <v>0</v>
      </c>
      <c r="T45" s="286">
        <v>0</v>
      </c>
      <c r="U45" s="287">
        <v>0</v>
      </c>
      <c r="V45" s="285">
        <v>0</v>
      </c>
      <c r="W45" s="286">
        <v>0</v>
      </c>
      <c r="X45" s="286">
        <v>0</v>
      </c>
      <c r="Y45" s="287">
        <v>0</v>
      </c>
      <c r="Z45" s="286">
        <v>0</v>
      </c>
      <c r="AA45" s="286"/>
      <c r="AB45" s="286"/>
      <c r="AC45" s="287"/>
    </row>
    <row r="46" spans="1:29" s="18" customFormat="1" ht="20.149999999999999" customHeight="1" thickBot="1">
      <c r="A46" s="84" t="s">
        <v>228</v>
      </c>
      <c r="B46" s="285">
        <v>0</v>
      </c>
      <c r="C46" s="286">
        <v>0</v>
      </c>
      <c r="D46" s="286">
        <v>0</v>
      </c>
      <c r="E46" s="378">
        <v>0</v>
      </c>
      <c r="F46" s="285">
        <v>0</v>
      </c>
      <c r="G46" s="286">
        <v>0</v>
      </c>
      <c r="H46" s="286">
        <v>0</v>
      </c>
      <c r="I46" s="378">
        <v>0</v>
      </c>
      <c r="J46" s="283">
        <v>0</v>
      </c>
      <c r="K46" s="283">
        <v>0</v>
      </c>
      <c r="L46" s="283">
        <v>0</v>
      </c>
      <c r="M46" s="284">
        <v>0</v>
      </c>
      <c r="N46" s="285">
        <v>0</v>
      </c>
      <c r="O46" s="286">
        <v>0</v>
      </c>
      <c r="P46" s="286">
        <v>0</v>
      </c>
      <c r="Q46" s="287">
        <v>0</v>
      </c>
      <c r="R46" s="285">
        <v>0</v>
      </c>
      <c r="S46" s="286">
        <v>1</v>
      </c>
      <c r="T46" s="286">
        <v>1</v>
      </c>
      <c r="U46" s="287">
        <v>3.5</v>
      </c>
      <c r="V46" s="285">
        <v>1.2</v>
      </c>
      <c r="W46" s="286">
        <v>-0.5</v>
      </c>
      <c r="X46" s="286">
        <v>5.9</v>
      </c>
      <c r="Y46" s="287">
        <v>6.4</v>
      </c>
      <c r="Z46" s="286">
        <v>1.1000000000000001</v>
      </c>
      <c r="AA46" s="286"/>
      <c r="AB46" s="286"/>
      <c r="AC46" s="287"/>
    </row>
    <row r="47" spans="1:29" s="18" customFormat="1" ht="25" customHeight="1" thickBot="1">
      <c r="A47" s="85" t="s">
        <v>163</v>
      </c>
      <c r="B47" s="290">
        <f t="shared" ref="B47:U47" si="9">SUM(B32:B46)</f>
        <v>-24.143000000000004</v>
      </c>
      <c r="C47" s="288">
        <f t="shared" si="9"/>
        <v>-83.230000000000018</v>
      </c>
      <c r="D47" s="288">
        <f t="shared" si="9"/>
        <v>-107.08400000000002</v>
      </c>
      <c r="E47" s="379">
        <f t="shared" si="9"/>
        <v>-133.43099999999998</v>
      </c>
      <c r="F47" s="290">
        <f t="shared" si="9"/>
        <v>-34.882999999999996</v>
      </c>
      <c r="G47" s="288">
        <f t="shared" si="9"/>
        <v>-58.354000000000006</v>
      </c>
      <c r="H47" s="288">
        <f t="shared" si="9"/>
        <v>-110.15100000000002</v>
      </c>
      <c r="I47" s="379">
        <f t="shared" si="9"/>
        <v>-133.83700000000002</v>
      </c>
      <c r="J47" s="290">
        <f t="shared" si="9"/>
        <v>-36.552999999999997</v>
      </c>
      <c r="K47" s="288">
        <f t="shared" si="9"/>
        <v>1394.1000000000001</v>
      </c>
      <c r="L47" s="288">
        <f t="shared" si="9"/>
        <v>1042.3</v>
      </c>
      <c r="M47" s="289">
        <f t="shared" si="9"/>
        <v>972.80000000000007</v>
      </c>
      <c r="N47" s="290">
        <f t="shared" si="9"/>
        <v>-208.2</v>
      </c>
      <c r="O47" s="288">
        <f t="shared" si="9"/>
        <v>-347.59999999999997</v>
      </c>
      <c r="P47" s="288">
        <f t="shared" si="9"/>
        <v>-576.29999999999995</v>
      </c>
      <c r="Q47" s="291">
        <f t="shared" si="9"/>
        <v>-726.60000000000014</v>
      </c>
      <c r="R47" s="290">
        <f t="shared" si="9"/>
        <v>-24.899999999999988</v>
      </c>
      <c r="S47" s="288">
        <f t="shared" si="9"/>
        <v>-541.09999999999991</v>
      </c>
      <c r="T47" s="288">
        <f t="shared" si="9"/>
        <v>-815.19999999999993</v>
      </c>
      <c r="U47" s="291">
        <f t="shared" si="9"/>
        <v>-1003.4</v>
      </c>
      <c r="V47" s="290">
        <f t="shared" ref="V47:Y47" si="10">SUM(V32:V46)</f>
        <v>-159.20000000000002</v>
      </c>
      <c r="W47" s="288">
        <f t="shared" si="10"/>
        <v>-367.5</v>
      </c>
      <c r="X47" s="288">
        <f t="shared" si="10"/>
        <v>-657.20000000000016</v>
      </c>
      <c r="Y47" s="291">
        <f t="shared" si="10"/>
        <v>-1573.2999999999997</v>
      </c>
      <c r="Z47" s="290">
        <f t="shared" ref="Z47:AC47" si="11">SUM(Z32:Z46)</f>
        <v>-255.4</v>
      </c>
      <c r="AA47" s="288">
        <f t="shared" si="11"/>
        <v>0</v>
      </c>
      <c r="AB47" s="288">
        <f t="shared" si="11"/>
        <v>0</v>
      </c>
      <c r="AC47" s="291">
        <f t="shared" si="11"/>
        <v>0</v>
      </c>
    </row>
    <row r="48" spans="1:29" s="18" customFormat="1" ht="20.149999999999999" customHeight="1">
      <c r="A48" s="84" t="s">
        <v>158</v>
      </c>
      <c r="B48" s="285">
        <v>-26.754999999999999</v>
      </c>
      <c r="C48" s="286">
        <v>-155.76300000000001</v>
      </c>
      <c r="D48" s="286">
        <v>-397.57499999999999</v>
      </c>
      <c r="E48" s="378">
        <v>-453.32400000000001</v>
      </c>
      <c r="F48" s="285">
        <v>-49.813000000000002</v>
      </c>
      <c r="G48" s="286">
        <v>-192.59</v>
      </c>
      <c r="H48" s="286">
        <v>-366.16200000000003</v>
      </c>
      <c r="I48" s="378">
        <v>-431.11700000000002</v>
      </c>
      <c r="J48" s="283">
        <v>-37.393999999999998</v>
      </c>
      <c r="K48" s="283">
        <v>-547.1</v>
      </c>
      <c r="L48" s="283">
        <v>-747.1</v>
      </c>
      <c r="M48" s="284">
        <v>-1087.0999999999999</v>
      </c>
      <c r="N48" s="285">
        <v>-157</v>
      </c>
      <c r="O48" s="286">
        <v>-954.2</v>
      </c>
      <c r="P48" s="286">
        <v>-9222.2000000000007</v>
      </c>
      <c r="Q48" s="287">
        <v>-9222.2000000000007</v>
      </c>
      <c r="R48" s="285">
        <v>-916.1</v>
      </c>
      <c r="S48" s="286">
        <v>-1498.9</v>
      </c>
      <c r="T48" s="286">
        <v>-1706.9</v>
      </c>
      <c r="U48" s="287">
        <v>-1940.9</v>
      </c>
      <c r="V48" s="285">
        <v>-234</v>
      </c>
      <c r="W48" s="286">
        <v>-568</v>
      </c>
      <c r="X48" s="286">
        <v>-802</v>
      </c>
      <c r="Y48" s="287">
        <v>-1162.5</v>
      </c>
      <c r="Z48" s="286">
        <v>-550</v>
      </c>
      <c r="AA48" s="286"/>
      <c r="AB48" s="286"/>
      <c r="AC48" s="287"/>
    </row>
    <row r="49" spans="1:29" s="18" customFormat="1" ht="20.149999999999999" customHeight="1">
      <c r="A49" s="84" t="s">
        <v>159</v>
      </c>
      <c r="B49" s="285">
        <v>0</v>
      </c>
      <c r="C49" s="286">
        <v>0</v>
      </c>
      <c r="D49" s="286">
        <v>0</v>
      </c>
      <c r="E49" s="378">
        <v>0</v>
      </c>
      <c r="F49" s="285">
        <v>0</v>
      </c>
      <c r="G49" s="286">
        <v>0</v>
      </c>
      <c r="H49" s="286">
        <v>0</v>
      </c>
      <c r="I49" s="378">
        <v>0</v>
      </c>
      <c r="J49" s="283">
        <v>0</v>
      </c>
      <c r="K49" s="283">
        <v>2800</v>
      </c>
      <c r="L49" s="283">
        <v>2800</v>
      </c>
      <c r="M49" s="284">
        <v>2800</v>
      </c>
      <c r="N49" s="285">
        <v>50</v>
      </c>
      <c r="O49" s="286">
        <v>120</v>
      </c>
      <c r="P49" s="286">
        <v>6820</v>
      </c>
      <c r="Q49" s="287">
        <v>6820</v>
      </c>
      <c r="R49" s="285">
        <v>5500</v>
      </c>
      <c r="S49" s="286">
        <v>5500</v>
      </c>
      <c r="T49" s="286">
        <v>5500</v>
      </c>
      <c r="U49" s="287">
        <v>5500</v>
      </c>
      <c r="V49" s="285">
        <v>0</v>
      </c>
      <c r="W49" s="286">
        <v>600</v>
      </c>
      <c r="X49" s="286">
        <v>600</v>
      </c>
      <c r="Y49" s="287">
        <v>1200</v>
      </c>
      <c r="Z49" s="286">
        <v>0</v>
      </c>
      <c r="AA49" s="286"/>
      <c r="AB49" s="286"/>
      <c r="AC49" s="287"/>
    </row>
    <row r="50" spans="1:29" s="18" customFormat="1" ht="20.149999999999999" customHeight="1">
      <c r="A50" s="84" t="s">
        <v>210</v>
      </c>
      <c r="B50" s="285">
        <v>0</v>
      </c>
      <c r="C50" s="286">
        <v>0</v>
      </c>
      <c r="D50" s="286">
        <v>0</v>
      </c>
      <c r="E50" s="378">
        <v>0</v>
      </c>
      <c r="F50" s="285">
        <v>0</v>
      </c>
      <c r="G50" s="286">
        <v>0</v>
      </c>
      <c r="H50" s="286">
        <v>0</v>
      </c>
      <c r="I50" s="378">
        <v>0</v>
      </c>
      <c r="J50" s="283">
        <v>0</v>
      </c>
      <c r="K50" s="283">
        <v>-2275.9</v>
      </c>
      <c r="L50" s="283">
        <v>-2275.9</v>
      </c>
      <c r="M50" s="284">
        <v>-2275.9</v>
      </c>
      <c r="N50" s="285">
        <v>0</v>
      </c>
      <c r="O50" s="286">
        <v>0</v>
      </c>
      <c r="P50" s="286">
        <v>1000</v>
      </c>
      <c r="Q50" s="287">
        <v>1000</v>
      </c>
      <c r="R50" s="285">
        <v>-4483.8</v>
      </c>
      <c r="S50" s="286">
        <v>-4483.8</v>
      </c>
      <c r="T50" s="286">
        <v>-4483.8</v>
      </c>
      <c r="U50" s="287">
        <v>-4484</v>
      </c>
      <c r="V50" s="285">
        <v>0</v>
      </c>
      <c r="W50" s="286">
        <v>-886.7</v>
      </c>
      <c r="X50" s="286">
        <v>-886.7</v>
      </c>
      <c r="Y50" s="287">
        <v>-886.7</v>
      </c>
      <c r="Z50" s="286">
        <v>0</v>
      </c>
      <c r="AA50" s="286"/>
      <c r="AB50" s="286"/>
      <c r="AC50" s="287"/>
    </row>
    <row r="51" spans="1:29" s="18" customFormat="1" ht="20.149999999999999" customHeight="1">
      <c r="A51" s="84" t="s">
        <v>179</v>
      </c>
      <c r="B51" s="285">
        <v>0</v>
      </c>
      <c r="C51" s="286">
        <v>0</v>
      </c>
      <c r="D51" s="286">
        <v>0</v>
      </c>
      <c r="E51" s="378">
        <v>0</v>
      </c>
      <c r="F51" s="285">
        <v>0</v>
      </c>
      <c r="G51" s="286">
        <v>0</v>
      </c>
      <c r="H51" s="286">
        <v>0</v>
      </c>
      <c r="I51" s="378">
        <v>0</v>
      </c>
      <c r="J51" s="283">
        <v>0</v>
      </c>
      <c r="K51" s="283">
        <v>0</v>
      </c>
      <c r="L51" s="283">
        <v>0</v>
      </c>
      <c r="M51" s="284">
        <v>0</v>
      </c>
      <c r="N51" s="285">
        <v>0</v>
      </c>
      <c r="O51" s="286">
        <v>0</v>
      </c>
      <c r="P51" s="286">
        <v>0</v>
      </c>
      <c r="Q51" s="287">
        <v>0</v>
      </c>
      <c r="R51" s="285">
        <v>-262.10000000000002</v>
      </c>
      <c r="S51" s="286">
        <v>-262.10000000000002</v>
      </c>
      <c r="T51" s="286">
        <v>-262.10000000000002</v>
      </c>
      <c r="U51" s="287">
        <v>-262.10000000000002</v>
      </c>
      <c r="V51" s="285">
        <v>0</v>
      </c>
      <c r="W51" s="286">
        <v>-58.7</v>
      </c>
      <c r="X51" s="286">
        <v>-58.7</v>
      </c>
      <c r="Y51" s="287">
        <v>-58.7</v>
      </c>
      <c r="Z51" s="286">
        <v>0</v>
      </c>
      <c r="AA51" s="286"/>
      <c r="AB51" s="286"/>
      <c r="AC51" s="287"/>
    </row>
    <row r="52" spans="1:29" s="18" customFormat="1" ht="20.149999999999999" customHeight="1">
      <c r="A52" s="84" t="s">
        <v>180</v>
      </c>
      <c r="B52" s="285">
        <v>0</v>
      </c>
      <c r="C52" s="286">
        <v>0</v>
      </c>
      <c r="D52" s="286">
        <v>0</v>
      </c>
      <c r="E52" s="378">
        <v>0</v>
      </c>
      <c r="F52" s="285">
        <v>0</v>
      </c>
      <c r="G52" s="286">
        <v>0</v>
      </c>
      <c r="H52" s="286">
        <v>0</v>
      </c>
      <c r="I52" s="378">
        <v>0</v>
      </c>
      <c r="J52" s="283">
        <v>0</v>
      </c>
      <c r="K52" s="283">
        <v>0</v>
      </c>
      <c r="L52" s="283">
        <v>0</v>
      </c>
      <c r="M52" s="284">
        <v>0</v>
      </c>
      <c r="N52" s="285">
        <v>0</v>
      </c>
      <c r="O52" s="286">
        <v>0</v>
      </c>
      <c r="P52" s="286">
        <v>0</v>
      </c>
      <c r="Q52" s="287">
        <v>0</v>
      </c>
      <c r="R52" s="285">
        <v>175.4</v>
      </c>
      <c r="S52" s="286">
        <v>175.4</v>
      </c>
      <c r="T52" s="286">
        <v>175.4</v>
      </c>
      <c r="U52" s="287">
        <v>175.4</v>
      </c>
      <c r="V52" s="285">
        <v>0</v>
      </c>
      <c r="W52" s="286">
        <v>0</v>
      </c>
      <c r="X52" s="286">
        <v>0</v>
      </c>
      <c r="Y52" s="287">
        <v>0</v>
      </c>
      <c r="Z52" s="286">
        <v>0</v>
      </c>
      <c r="AA52" s="286"/>
      <c r="AB52" s="286"/>
      <c r="AC52" s="287"/>
    </row>
    <row r="53" spans="1:29" s="18" customFormat="1" ht="30" customHeight="1">
      <c r="A53" s="235" t="s">
        <v>207</v>
      </c>
      <c r="B53" s="285">
        <v>-26.132999999999999</v>
      </c>
      <c r="C53" s="286">
        <f>(-103258-821)*0.001</f>
        <v>-104.07900000000001</v>
      </c>
      <c r="D53" s="286">
        <f>(-125824-2250)*0.001</f>
        <v>-128.07400000000001</v>
      </c>
      <c r="E53" s="378">
        <f>(-195934-3683)*0.001</f>
        <v>-199.61699999999999</v>
      </c>
      <c r="F53" s="285">
        <f>(-15811-1035)*0.001</f>
        <v>-16.846</v>
      </c>
      <c r="G53" s="286">
        <f>(-84439-1241)*0.001</f>
        <v>-85.68</v>
      </c>
      <c r="H53" s="286">
        <f>(-96215-1689)*0.001</f>
        <v>-97.903999999999996</v>
      </c>
      <c r="I53" s="378">
        <v>-165.017</v>
      </c>
      <c r="J53" s="283">
        <v>-9.0950000000000006</v>
      </c>
      <c r="K53" s="283">
        <v>-348.3</v>
      </c>
      <c r="L53" s="283">
        <v>-733.5</v>
      </c>
      <c r="M53" s="284">
        <v>-872.2</v>
      </c>
      <c r="N53" s="285">
        <v>-357.9</v>
      </c>
      <c r="O53" s="286">
        <v>-472.3</v>
      </c>
      <c r="P53" s="286">
        <v>-804.1</v>
      </c>
      <c r="Q53" s="287">
        <v>-978.9</v>
      </c>
      <c r="R53" s="285">
        <v>-383.2</v>
      </c>
      <c r="S53" s="286">
        <v>-507.9</v>
      </c>
      <c r="T53" s="286">
        <v>-631.70000000000005</v>
      </c>
      <c r="U53" s="287">
        <v>-729.6</v>
      </c>
      <c r="V53" s="285">
        <v>-112.5</v>
      </c>
      <c r="W53" s="286">
        <v>-206</v>
      </c>
      <c r="X53" s="286">
        <v>-319.60000000000002</v>
      </c>
      <c r="Y53" s="287">
        <v>-409.9</v>
      </c>
      <c r="Z53" s="286">
        <v>-138</v>
      </c>
      <c r="AA53" s="286"/>
      <c r="AB53" s="286"/>
      <c r="AC53" s="287"/>
    </row>
    <row r="54" spans="1:29" s="18" customFormat="1" ht="20.149999999999999" customHeight="1">
      <c r="A54" s="84" t="s">
        <v>160</v>
      </c>
      <c r="B54" s="285">
        <v>0</v>
      </c>
      <c r="C54" s="286">
        <v>0</v>
      </c>
      <c r="D54" s="286">
        <v>0</v>
      </c>
      <c r="E54" s="378">
        <v>0</v>
      </c>
      <c r="F54" s="285">
        <v>0</v>
      </c>
      <c r="G54" s="286">
        <v>0</v>
      </c>
      <c r="H54" s="286">
        <v>0</v>
      </c>
      <c r="I54" s="378">
        <v>0</v>
      </c>
      <c r="J54" s="283">
        <v>0</v>
      </c>
      <c r="K54" s="283">
        <v>-102.9</v>
      </c>
      <c r="L54" s="283">
        <v>-102.9</v>
      </c>
      <c r="M54" s="284">
        <v>-102.9</v>
      </c>
      <c r="N54" s="285">
        <v>0</v>
      </c>
      <c r="O54" s="286">
        <v>0</v>
      </c>
      <c r="P54" s="286">
        <v>0</v>
      </c>
      <c r="Q54" s="287">
        <v>0</v>
      </c>
      <c r="R54" s="285">
        <v>0</v>
      </c>
      <c r="S54" s="286">
        <v>0</v>
      </c>
      <c r="T54" s="286">
        <v>0</v>
      </c>
      <c r="U54" s="287">
        <v>0</v>
      </c>
      <c r="V54" s="285">
        <v>0</v>
      </c>
      <c r="W54" s="286">
        <v>0</v>
      </c>
      <c r="X54" s="286">
        <v>-204.7</v>
      </c>
      <c r="Y54" s="287">
        <v>-204.7</v>
      </c>
      <c r="Z54" s="286">
        <v>0</v>
      </c>
      <c r="AA54" s="286"/>
      <c r="AB54" s="286"/>
      <c r="AC54" s="287"/>
    </row>
    <row r="55" spans="1:29" s="15" customFormat="1" ht="20.149999999999999" customHeight="1">
      <c r="A55" s="471" t="s">
        <v>244</v>
      </c>
      <c r="B55" s="472"/>
      <c r="C55" s="473"/>
      <c r="D55" s="473"/>
      <c r="E55" s="474"/>
      <c r="F55" s="472"/>
      <c r="G55" s="473"/>
      <c r="H55" s="473"/>
      <c r="I55" s="474"/>
      <c r="J55" s="475"/>
      <c r="K55" s="475"/>
      <c r="L55" s="475"/>
      <c r="M55" s="284"/>
      <c r="N55" s="472"/>
      <c r="O55" s="473"/>
      <c r="P55" s="473"/>
      <c r="Q55" s="287"/>
      <c r="R55" s="472"/>
      <c r="S55" s="473">
        <v>-323.60000000000002</v>
      </c>
      <c r="T55" s="473">
        <v>-323.60000000000002</v>
      </c>
      <c r="U55" s="287">
        <v>-323.60000000000002</v>
      </c>
      <c r="V55" s="472">
        <v>0</v>
      </c>
      <c r="W55" s="473">
        <v>0</v>
      </c>
      <c r="X55" s="473">
        <v>0</v>
      </c>
      <c r="Y55" s="287">
        <v>0</v>
      </c>
      <c r="Z55" s="473">
        <v>0</v>
      </c>
      <c r="AA55" s="473"/>
      <c r="AB55" s="473"/>
      <c r="AC55" s="287"/>
    </row>
    <row r="56" spans="1:29" s="18" customFormat="1" ht="20.149999999999999" customHeight="1">
      <c r="A56" s="84" t="s">
        <v>215</v>
      </c>
      <c r="B56" s="285">
        <v>-8.4000000000000005E-2</v>
      </c>
      <c r="C56" s="286">
        <v>-0.23899999999999999</v>
      </c>
      <c r="D56" s="286">
        <v>-0.315</v>
      </c>
      <c r="E56" s="378">
        <v>-0.40600000000000003</v>
      </c>
      <c r="F56" s="285">
        <v>-7.8E-2</v>
      </c>
      <c r="G56" s="286">
        <v>-0.16800000000000001</v>
      </c>
      <c r="H56" s="286">
        <v>-0.25600000000000001</v>
      </c>
      <c r="I56" s="378">
        <v>-0.33</v>
      </c>
      <c r="J56" s="283">
        <v>-6.2E-2</v>
      </c>
      <c r="K56" s="283">
        <v>-0.3</v>
      </c>
      <c r="L56" s="283">
        <v>-0.7</v>
      </c>
      <c r="M56" s="284">
        <v>-0.9</v>
      </c>
      <c r="N56" s="285">
        <v>-2.5</v>
      </c>
      <c r="O56" s="286">
        <v>-3.5</v>
      </c>
      <c r="P56" s="286">
        <v>-4.5</v>
      </c>
      <c r="Q56" s="287">
        <v>-5.6</v>
      </c>
      <c r="R56" s="285">
        <v>-2.1</v>
      </c>
      <c r="S56" s="286">
        <v>-2.7</v>
      </c>
      <c r="T56" s="286">
        <v>-4.4000000000000004</v>
      </c>
      <c r="U56" s="287">
        <v>-6</v>
      </c>
      <c r="V56" s="285">
        <f>-0.3-1.4</f>
        <v>-1.7</v>
      </c>
      <c r="W56" s="286">
        <v>-2.9</v>
      </c>
      <c r="X56" s="286">
        <v>-4.3</v>
      </c>
      <c r="Y56" s="287">
        <v>-5.2</v>
      </c>
      <c r="Z56" s="286">
        <v>-1.6</v>
      </c>
      <c r="AA56" s="286"/>
      <c r="AB56" s="286"/>
      <c r="AC56" s="287"/>
    </row>
    <row r="57" spans="1:29" s="18" customFormat="1" ht="20.149999999999999" customHeight="1" thickBot="1">
      <c r="A57" s="84" t="s">
        <v>161</v>
      </c>
      <c r="B57" s="380">
        <v>0</v>
      </c>
      <c r="C57" s="381">
        <v>0</v>
      </c>
      <c r="D57" s="381">
        <v>0</v>
      </c>
      <c r="E57" s="286">
        <v>0</v>
      </c>
      <c r="F57" s="285">
        <v>0</v>
      </c>
      <c r="G57" s="286">
        <v>0</v>
      </c>
      <c r="H57" s="286">
        <v>0</v>
      </c>
      <c r="I57" s="378">
        <v>0</v>
      </c>
      <c r="J57" s="283">
        <v>0</v>
      </c>
      <c r="K57" s="283">
        <v>-3.8</v>
      </c>
      <c r="L57" s="283">
        <v>-3.9</v>
      </c>
      <c r="M57" s="284">
        <v>-3.9</v>
      </c>
      <c r="N57" s="285">
        <v>0</v>
      </c>
      <c r="O57" s="286">
        <v>0</v>
      </c>
      <c r="P57" s="286">
        <v>0</v>
      </c>
      <c r="Q57" s="287">
        <v>0</v>
      </c>
      <c r="R57" s="285">
        <v>0</v>
      </c>
      <c r="S57" s="286">
        <v>0</v>
      </c>
      <c r="T57" s="286">
        <v>0</v>
      </c>
      <c r="U57" s="287">
        <v>0</v>
      </c>
      <c r="V57" s="285">
        <v>0</v>
      </c>
      <c r="W57" s="286">
        <v>0</v>
      </c>
      <c r="X57" s="286">
        <v>0</v>
      </c>
      <c r="Y57" s="287">
        <v>0</v>
      </c>
      <c r="Z57" s="286">
        <v>0</v>
      </c>
      <c r="AA57" s="286"/>
      <c r="AB57" s="286"/>
      <c r="AC57" s="287"/>
    </row>
    <row r="58" spans="1:29" s="18" customFormat="1" ht="20.149999999999999" customHeight="1" thickBot="1">
      <c r="A58" s="85" t="s">
        <v>162</v>
      </c>
      <c r="B58" s="290">
        <f t="shared" ref="B58:Y58" si="12">SUM(B48:B57)</f>
        <v>-52.972000000000001</v>
      </c>
      <c r="C58" s="288">
        <f t="shared" si="12"/>
        <v>-260.08099999999996</v>
      </c>
      <c r="D58" s="288">
        <f t="shared" si="12"/>
        <v>-525.96400000000006</v>
      </c>
      <c r="E58" s="379">
        <f t="shared" si="12"/>
        <v>-653.34699999999998</v>
      </c>
      <c r="F58" s="290">
        <f t="shared" si="12"/>
        <v>-66.737000000000009</v>
      </c>
      <c r="G58" s="288">
        <f t="shared" si="12"/>
        <v>-278.43799999999999</v>
      </c>
      <c r="H58" s="288">
        <f t="shared" si="12"/>
        <v>-464.322</v>
      </c>
      <c r="I58" s="379">
        <f t="shared" si="12"/>
        <v>-596.46400000000006</v>
      </c>
      <c r="J58" s="290">
        <f t="shared" si="12"/>
        <v>-46.550999999999995</v>
      </c>
      <c r="K58" s="288">
        <f t="shared" si="12"/>
        <v>-478.30000000000007</v>
      </c>
      <c r="L58" s="288">
        <f t="shared" si="12"/>
        <v>-1064.0000000000002</v>
      </c>
      <c r="M58" s="289">
        <f t="shared" si="12"/>
        <v>-1542.9000000000003</v>
      </c>
      <c r="N58" s="290">
        <f t="shared" si="12"/>
        <v>-467.4</v>
      </c>
      <c r="O58" s="288">
        <f t="shared" si="12"/>
        <v>-1310</v>
      </c>
      <c r="P58" s="288">
        <f t="shared" si="12"/>
        <v>-2210.8000000000006</v>
      </c>
      <c r="Q58" s="291">
        <f t="shared" si="12"/>
        <v>-2386.7000000000007</v>
      </c>
      <c r="R58" s="290">
        <f t="shared" si="12"/>
        <v>-371.90000000000055</v>
      </c>
      <c r="S58" s="288">
        <f t="shared" si="12"/>
        <v>-1403.6000000000001</v>
      </c>
      <c r="T58" s="288">
        <f t="shared" si="12"/>
        <v>-1737.1000000000004</v>
      </c>
      <c r="U58" s="291">
        <f t="shared" si="12"/>
        <v>-2070.8000000000002</v>
      </c>
      <c r="V58" s="290">
        <f t="shared" si="12"/>
        <v>-348.2</v>
      </c>
      <c r="W58" s="288">
        <f t="shared" si="12"/>
        <v>-1122.3000000000002</v>
      </c>
      <c r="X58" s="288">
        <f t="shared" si="12"/>
        <v>-1676</v>
      </c>
      <c r="Y58" s="291">
        <f t="shared" si="12"/>
        <v>-1527.7000000000003</v>
      </c>
      <c r="Z58" s="290">
        <f t="shared" ref="Z58:AC58" si="13">SUM(Z48:Z57)</f>
        <v>-689.6</v>
      </c>
      <c r="AA58" s="288">
        <f t="shared" si="13"/>
        <v>0</v>
      </c>
      <c r="AB58" s="288">
        <f t="shared" si="13"/>
        <v>0</v>
      </c>
      <c r="AC58" s="291">
        <f t="shared" si="13"/>
        <v>0</v>
      </c>
    </row>
    <row r="59" spans="1:29" s="18" customFormat="1" ht="20.149999999999999" customHeight="1" thickBot="1">
      <c r="A59" s="85" t="s">
        <v>166</v>
      </c>
      <c r="B59" s="290">
        <f>B31+B47+B58</f>
        <v>147.59399999999997</v>
      </c>
      <c r="C59" s="288">
        <f t="shared" ref="C59:Y59" si="14">C58+C47+C31</f>
        <v>33.256000000000029</v>
      </c>
      <c r="D59" s="288">
        <f t="shared" si="14"/>
        <v>-51.083999999999946</v>
      </c>
      <c r="E59" s="379">
        <f t="shared" si="14"/>
        <v>-5.4109999999999445</v>
      </c>
      <c r="F59" s="290">
        <f t="shared" si="14"/>
        <v>53.822999999999979</v>
      </c>
      <c r="G59" s="288">
        <f t="shared" si="14"/>
        <v>-5.0790000000000077</v>
      </c>
      <c r="H59" s="288">
        <f t="shared" si="14"/>
        <v>-55.118000000000166</v>
      </c>
      <c r="I59" s="379">
        <f t="shared" si="14"/>
        <v>72.357999999999834</v>
      </c>
      <c r="J59" s="288">
        <f t="shared" si="14"/>
        <v>85.956000000000017</v>
      </c>
      <c r="K59" s="288">
        <f t="shared" si="14"/>
        <v>1565.4</v>
      </c>
      <c r="L59" s="288">
        <f t="shared" si="14"/>
        <v>1300.0999999999999</v>
      </c>
      <c r="M59" s="289">
        <f t="shared" si="14"/>
        <v>1403.7999999999975</v>
      </c>
      <c r="N59" s="290">
        <f t="shared" si="14"/>
        <v>-257.89999999999981</v>
      </c>
      <c r="O59" s="288">
        <f t="shared" si="14"/>
        <v>-353.30000000000041</v>
      </c>
      <c r="P59" s="288">
        <f t="shared" si="14"/>
        <v>-677.30000000000109</v>
      </c>
      <c r="Q59" s="291">
        <f t="shared" si="14"/>
        <v>-225.60000000000127</v>
      </c>
      <c r="R59" s="290">
        <f t="shared" si="14"/>
        <v>49.999999999999602</v>
      </c>
      <c r="S59" s="288">
        <f t="shared" si="14"/>
        <v>-568.70000000000005</v>
      </c>
      <c r="T59" s="288">
        <f t="shared" si="14"/>
        <v>-411.39999999999918</v>
      </c>
      <c r="U59" s="291">
        <f t="shared" si="14"/>
        <v>-189.49999999999955</v>
      </c>
      <c r="V59" s="290">
        <f t="shared" si="14"/>
        <v>244.3000000000003</v>
      </c>
      <c r="W59" s="288">
        <f t="shared" si="14"/>
        <v>29.599999999999909</v>
      </c>
      <c r="X59" s="288">
        <f t="shared" si="14"/>
        <v>-245.50000000000045</v>
      </c>
      <c r="Y59" s="291">
        <f t="shared" si="14"/>
        <v>-159.59999999999945</v>
      </c>
      <c r="Z59" s="290">
        <f t="shared" ref="Z59:AC59" si="15">Z58+Z47+Z31</f>
        <v>-375.1</v>
      </c>
      <c r="AA59" s="288">
        <f t="shared" si="15"/>
        <v>0</v>
      </c>
      <c r="AB59" s="288">
        <f t="shared" si="15"/>
        <v>0</v>
      </c>
      <c r="AC59" s="291">
        <f t="shared" si="15"/>
        <v>0</v>
      </c>
    </row>
    <row r="60" spans="1:29" s="20" customFormat="1" ht="20.149999999999999" customHeight="1">
      <c r="A60" s="86" t="s">
        <v>167</v>
      </c>
      <c r="B60" s="294">
        <v>277.53399999999999</v>
      </c>
      <c r="C60" s="292">
        <v>277.53399999999999</v>
      </c>
      <c r="D60" s="292">
        <v>277.53399999999999</v>
      </c>
      <c r="E60" s="382">
        <v>277.53399999999999</v>
      </c>
      <c r="F60" s="294">
        <v>270.35399999999998</v>
      </c>
      <c r="G60" s="292">
        <v>270.35399999999998</v>
      </c>
      <c r="H60" s="292">
        <v>270.35399999999998</v>
      </c>
      <c r="I60" s="382">
        <v>270.35399999999998</v>
      </c>
      <c r="J60" s="292">
        <v>342.25100000000003</v>
      </c>
      <c r="K60" s="292">
        <v>342.2</v>
      </c>
      <c r="L60" s="292">
        <v>342.2</v>
      </c>
      <c r="M60" s="293">
        <v>342.2</v>
      </c>
      <c r="N60" s="294">
        <v>1747.9</v>
      </c>
      <c r="O60" s="292">
        <v>1747.9</v>
      </c>
      <c r="P60" s="292">
        <v>1747.9</v>
      </c>
      <c r="Q60" s="295">
        <v>1747.9</v>
      </c>
      <c r="R60" s="294">
        <f>Q62</f>
        <v>1523.6999999999989</v>
      </c>
      <c r="S60" s="292">
        <v>1523.7</v>
      </c>
      <c r="T60" s="292">
        <f>S60</f>
        <v>1523.7</v>
      </c>
      <c r="U60" s="295">
        <v>1523.6999999999989</v>
      </c>
      <c r="V60" s="294">
        <f>U62</f>
        <v>1336.6999999999994</v>
      </c>
      <c r="W60" s="292">
        <f>U62</f>
        <v>1336.6999999999994</v>
      </c>
      <c r="X60" s="292">
        <f>U62</f>
        <v>1336.6999999999994</v>
      </c>
      <c r="Y60" s="295">
        <f>U62</f>
        <v>1336.6999999999994</v>
      </c>
      <c r="Z60" s="294">
        <f>Y62</f>
        <v>1172</v>
      </c>
      <c r="AA60" s="292">
        <f>Z62</f>
        <v>797.4</v>
      </c>
      <c r="AB60" s="292">
        <f>AA62</f>
        <v>797.4</v>
      </c>
      <c r="AC60" s="295">
        <f>AB62</f>
        <v>797.4</v>
      </c>
    </row>
    <row r="61" spans="1:29" s="20" customFormat="1" ht="20.149999999999999" customHeight="1" thickBot="1">
      <c r="A61" s="84" t="s">
        <v>168</v>
      </c>
      <c r="B61" s="285">
        <v>-2.5009999999999999</v>
      </c>
      <c r="C61" s="286">
        <v>-1.2710000000000001</v>
      </c>
      <c r="D61" s="286">
        <v>-1.339</v>
      </c>
      <c r="E61" s="378">
        <v>-1.7690000000000001</v>
      </c>
      <c r="F61" s="285">
        <v>0.161</v>
      </c>
      <c r="G61" s="286">
        <v>0.52800000000000002</v>
      </c>
      <c r="H61" s="286">
        <v>0.16</v>
      </c>
      <c r="I61" s="378">
        <v>-0.46100000000000002</v>
      </c>
      <c r="J61" s="283">
        <v>-1.7000000000000001E-2</v>
      </c>
      <c r="K61" s="283">
        <v>-0.7</v>
      </c>
      <c r="L61" s="283">
        <v>0.9</v>
      </c>
      <c r="M61" s="296">
        <v>1.9</v>
      </c>
      <c r="N61" s="285">
        <v>1.6</v>
      </c>
      <c r="O61" s="286">
        <v>2</v>
      </c>
      <c r="P61" s="286">
        <v>1.4</v>
      </c>
      <c r="Q61" s="287">
        <v>1.4</v>
      </c>
      <c r="R61" s="285">
        <v>-3.7</v>
      </c>
      <c r="S61" s="286">
        <v>0.4</v>
      </c>
      <c r="T61" s="286">
        <v>-2.1</v>
      </c>
      <c r="U61" s="287">
        <v>2.5</v>
      </c>
      <c r="V61" s="285">
        <v>-3.7</v>
      </c>
      <c r="W61" s="286">
        <v>-3.7</v>
      </c>
      <c r="X61" s="286">
        <v>-2.8</v>
      </c>
      <c r="Y61" s="287">
        <v>-5.0999999999999996</v>
      </c>
      <c r="Z61" s="286">
        <v>0.5</v>
      </c>
      <c r="AA61" s="286"/>
      <c r="AB61" s="286"/>
      <c r="AC61" s="287"/>
    </row>
    <row r="62" spans="1:29" s="18" customFormat="1" ht="20.149999999999999" customHeight="1" thickBot="1">
      <c r="A62" s="85" t="s">
        <v>169</v>
      </c>
      <c r="B62" s="290">
        <f>B59+B60+B61</f>
        <v>422.62699999999995</v>
      </c>
      <c r="C62" s="288">
        <f t="shared" ref="C62:Q62" si="16">C60+C59+C61</f>
        <v>309.51900000000001</v>
      </c>
      <c r="D62" s="288">
        <f t="shared" si="16"/>
        <v>225.11100000000005</v>
      </c>
      <c r="E62" s="379">
        <f t="shared" si="16"/>
        <v>270.35400000000004</v>
      </c>
      <c r="F62" s="290">
        <f t="shared" si="16"/>
        <v>324.33799999999997</v>
      </c>
      <c r="G62" s="288">
        <f t="shared" si="16"/>
        <v>265.803</v>
      </c>
      <c r="H62" s="288">
        <f t="shared" si="16"/>
        <v>215.39599999999982</v>
      </c>
      <c r="I62" s="379">
        <f t="shared" si="16"/>
        <v>342.25099999999981</v>
      </c>
      <c r="J62" s="288">
        <f t="shared" si="16"/>
        <v>428.19000000000005</v>
      </c>
      <c r="K62" s="288">
        <f t="shared" si="16"/>
        <v>1906.9</v>
      </c>
      <c r="L62" s="288">
        <f t="shared" si="16"/>
        <v>1643.2</v>
      </c>
      <c r="M62" s="289">
        <f t="shared" si="16"/>
        <v>1747.8999999999976</v>
      </c>
      <c r="N62" s="290">
        <f t="shared" si="16"/>
        <v>1491.6000000000001</v>
      </c>
      <c r="O62" s="288">
        <f t="shared" si="16"/>
        <v>1396.5999999999997</v>
      </c>
      <c r="P62" s="288">
        <f t="shared" si="16"/>
        <v>1071.9999999999991</v>
      </c>
      <c r="Q62" s="291">
        <f t="shared" si="16"/>
        <v>1523.6999999999989</v>
      </c>
      <c r="R62" s="290">
        <f t="shared" ref="R62:U62" si="17">R60+R59+R61</f>
        <v>1569.9999999999984</v>
      </c>
      <c r="S62" s="288">
        <f t="shared" si="17"/>
        <v>955.4</v>
      </c>
      <c r="T62" s="288">
        <f t="shared" si="17"/>
        <v>1110.200000000001</v>
      </c>
      <c r="U62" s="291">
        <f t="shared" si="17"/>
        <v>1336.6999999999994</v>
      </c>
      <c r="V62" s="290">
        <f t="shared" ref="V62:Y62" si="18">V60+V59+V61</f>
        <v>1577.2999999999995</v>
      </c>
      <c r="W62" s="288">
        <f t="shared" si="18"/>
        <v>1362.5999999999992</v>
      </c>
      <c r="X62" s="288">
        <f t="shared" si="18"/>
        <v>1088.399999999999</v>
      </c>
      <c r="Y62" s="291">
        <f t="shared" si="18"/>
        <v>1172</v>
      </c>
      <c r="Z62" s="290">
        <f t="shared" ref="Z62:AC62" si="19">Z60+Z59+Z61</f>
        <v>797.4</v>
      </c>
      <c r="AA62" s="288">
        <f t="shared" si="19"/>
        <v>797.4</v>
      </c>
      <c r="AB62" s="288">
        <f t="shared" si="19"/>
        <v>797.4</v>
      </c>
      <c r="AC62" s="291">
        <f t="shared" si="19"/>
        <v>797.4</v>
      </c>
    </row>
    <row r="63" spans="1:29" s="18" customFormat="1" ht="15.75" customHeight="1">
      <c r="M63" s="77"/>
    </row>
    <row r="64" spans="1:29" s="18" customFormat="1" ht="20.149999999999999" customHeight="1">
      <c r="A64" s="18" t="s">
        <v>174</v>
      </c>
      <c r="M64" s="77"/>
    </row>
    <row r="65" spans="1:13" s="18" customFormat="1" ht="20.149999999999999" customHeight="1">
      <c r="A65" s="18" t="s">
        <v>208</v>
      </c>
      <c r="M65" s="77"/>
    </row>
    <row r="66" spans="1:13" s="18" customFormat="1" ht="20.149999999999999" customHeight="1">
      <c r="A66" s="18" t="s">
        <v>216</v>
      </c>
      <c r="M66" s="77"/>
    </row>
    <row r="67" spans="1:13" s="18" customFormat="1" ht="20.149999999999999" customHeight="1">
      <c r="A67" s="18" t="s">
        <v>229</v>
      </c>
      <c r="M67" s="77"/>
    </row>
    <row r="68" spans="1:13" s="18" customFormat="1">
      <c r="M68" s="77"/>
    </row>
    <row r="69" spans="1:13" s="18" customFormat="1">
      <c r="M69" s="77"/>
    </row>
    <row r="70" spans="1:13" s="18" customFormat="1">
      <c r="M70" s="77"/>
    </row>
    <row r="71" spans="1:13" s="18" customFormat="1">
      <c r="M71" s="77"/>
    </row>
    <row r="72" spans="1:13" s="18" customFormat="1">
      <c r="M72" s="77"/>
    </row>
    <row r="73" spans="1:13" s="18" customFormat="1">
      <c r="M73" s="77"/>
    </row>
    <row r="74" spans="1:13" s="18" customFormat="1">
      <c r="M74" s="77"/>
    </row>
    <row r="75" spans="1:13" s="18" customFormat="1">
      <c r="M75" s="77"/>
    </row>
    <row r="76" spans="1:13" s="18" customFormat="1">
      <c r="M76" s="77"/>
    </row>
    <row r="77" spans="1:13" s="18" customFormat="1">
      <c r="M77" s="77"/>
    </row>
    <row r="78" spans="1:13" s="18" customFormat="1">
      <c r="M78" s="77"/>
    </row>
    <row r="79" spans="1:13" s="18" customFormat="1">
      <c r="M79" s="77"/>
    </row>
    <row r="80" spans="1:13" s="18" customFormat="1">
      <c r="M80" s="77"/>
    </row>
    <row r="81" spans="13:13" s="18" customFormat="1">
      <c r="M81" s="77"/>
    </row>
    <row r="82" spans="13:13" s="18" customFormat="1">
      <c r="M82" s="77"/>
    </row>
    <row r="83" spans="13:13" s="18" customFormat="1">
      <c r="M83" s="77"/>
    </row>
    <row r="84" spans="13:13" s="18" customFormat="1">
      <c r="M84" s="77"/>
    </row>
    <row r="85" spans="13:13" s="18" customFormat="1">
      <c r="M85" s="77"/>
    </row>
    <row r="86" spans="13:13" s="18" customFormat="1">
      <c r="M86" s="77"/>
    </row>
    <row r="87" spans="13:13" s="18" customFormat="1">
      <c r="M87" s="77"/>
    </row>
    <row r="88" spans="13:13" s="18" customFormat="1">
      <c r="M88" s="77"/>
    </row>
    <row r="89" spans="13:13" s="18" customFormat="1">
      <c r="M89" s="77"/>
    </row>
    <row r="90" spans="13:13" s="18" customFormat="1">
      <c r="M90" s="77"/>
    </row>
    <row r="91" spans="13:13" s="18" customFormat="1">
      <c r="M91" s="77"/>
    </row>
    <row r="92" spans="13:13" s="18" customFormat="1">
      <c r="M92" s="77"/>
    </row>
    <row r="93" spans="13:13" s="18" customFormat="1">
      <c r="M93" s="77"/>
    </row>
    <row r="94" spans="13:13" s="18" customFormat="1">
      <c r="M94" s="77"/>
    </row>
    <row r="95" spans="13:13" s="18" customFormat="1">
      <c r="M95" s="77"/>
    </row>
    <row r="96" spans="13:13" s="18" customFormat="1">
      <c r="M96" s="77"/>
    </row>
    <row r="97" spans="13:13" s="18" customFormat="1">
      <c r="M97" s="77"/>
    </row>
    <row r="98" spans="13:13" s="18" customFormat="1">
      <c r="M98" s="77"/>
    </row>
    <row r="99" spans="13:13" s="18" customFormat="1">
      <c r="M99" s="77"/>
    </row>
    <row r="100" spans="13:13" s="18" customFormat="1">
      <c r="M100" s="77"/>
    </row>
    <row r="101" spans="13:13" s="18" customFormat="1">
      <c r="M101" s="77"/>
    </row>
    <row r="102" spans="13:13" s="18" customFormat="1"/>
    <row r="103" spans="13:13" s="18" customFormat="1"/>
    <row r="104" spans="13:13" s="18" customFormat="1"/>
    <row r="105" spans="13:13" s="18" customFormat="1"/>
    <row r="106" spans="13:13" s="18" customFormat="1"/>
    <row r="107" spans="13:13" s="18" customFormat="1"/>
    <row r="108" spans="13:13" s="18" customFormat="1"/>
    <row r="109" spans="13:13" s="18" customFormat="1"/>
    <row r="110" spans="13:13" s="18" customFormat="1"/>
    <row r="111" spans="13:13" s="18" customFormat="1"/>
    <row r="112" spans="13:13"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sheetData>
  <mergeCells count="7">
    <mergeCell ref="Z2:AC2"/>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C56"/>
  <sheetViews>
    <sheetView showGridLines="0" tabSelected="1" zoomScale="90" zoomScaleNormal="90" zoomScaleSheetLayoutView="100" workbookViewId="0">
      <pane xSplit="1" ySplit="4" topLeftCell="W8" activePane="bottomRight" state="frozen"/>
      <selection pane="topRight" activeCell="B1" sqref="B1"/>
      <selection pane="bottomLeft" activeCell="A5" sqref="A5"/>
      <selection pane="bottomRight" activeCell="A15" sqref="A15"/>
    </sheetView>
  </sheetViews>
  <sheetFormatPr defaultColWidth="9" defaultRowHeight="28.5" customHeight="1"/>
  <cols>
    <col min="1" max="1" width="40.58203125" style="1" customWidth="1"/>
    <col min="2" max="13" width="10.58203125" style="2" customWidth="1"/>
    <col min="14" max="14" width="9" style="2"/>
    <col min="15" max="16" width="10.58203125" style="2" customWidth="1"/>
    <col min="17" max="18" width="9" style="2"/>
    <col min="19" max="19" width="9" style="5"/>
    <col min="20" max="21" width="10.58203125" style="2" customWidth="1"/>
    <col min="22" max="24" width="9" style="2"/>
    <col min="25" max="26" width="10.58203125" style="2" customWidth="1"/>
    <col min="27" max="29" width="9" style="2"/>
    <col min="30" max="31" width="10.58203125" style="2" customWidth="1"/>
    <col min="32" max="34" width="9" style="2"/>
    <col min="35" max="36" width="10.58203125" style="2" customWidth="1"/>
    <col min="37" max="16384" width="9" style="2"/>
  </cols>
  <sheetData>
    <row r="1" spans="1:497" s="63" customFormat="1" ht="27" customHeigh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row>
    <row r="2" spans="1:497" ht="85.5" customHeight="1" thickBot="1">
      <c r="A2" s="573" t="s">
        <v>225</v>
      </c>
      <c r="B2" s="573"/>
      <c r="C2" s="573"/>
      <c r="D2" s="573"/>
      <c r="E2" s="573"/>
      <c r="F2" s="573"/>
      <c r="G2" s="573"/>
      <c r="H2" s="573"/>
      <c r="I2" s="573"/>
      <c r="J2" s="573"/>
      <c r="K2" s="573"/>
      <c r="L2" s="573"/>
      <c r="M2" s="573"/>
      <c r="N2" s="573"/>
      <c r="T2" s="250"/>
      <c r="U2" s="250"/>
      <c r="V2" s="250"/>
      <c r="W2" s="250"/>
      <c r="X2" s="250"/>
      <c r="Y2" s="250"/>
      <c r="Z2" s="250"/>
      <c r="AA2" s="250"/>
      <c r="AB2" s="250"/>
      <c r="AC2" s="250"/>
      <c r="AD2" s="250"/>
      <c r="AE2" s="250"/>
      <c r="AF2" s="250"/>
      <c r="AG2" s="250"/>
      <c r="AH2" s="250"/>
      <c r="AI2" s="250"/>
      <c r="AJ2" s="250"/>
    </row>
    <row r="3" spans="1:497" ht="20.149999999999999" customHeight="1" thickBot="1">
      <c r="A3" s="574" t="s">
        <v>29</v>
      </c>
      <c r="B3" s="569">
        <v>2012</v>
      </c>
      <c r="C3" s="570"/>
      <c r="D3" s="570"/>
      <c r="E3" s="570"/>
      <c r="F3" s="576">
        <v>2012</v>
      </c>
      <c r="G3" s="569">
        <v>2013</v>
      </c>
      <c r="H3" s="570"/>
      <c r="I3" s="570"/>
      <c r="J3" s="570"/>
      <c r="K3" s="576">
        <v>2013</v>
      </c>
      <c r="L3" s="569">
        <v>2014</v>
      </c>
      <c r="M3" s="570"/>
      <c r="N3" s="570"/>
      <c r="O3" s="570"/>
      <c r="P3" s="576">
        <v>2014</v>
      </c>
      <c r="Q3" s="569">
        <v>2015</v>
      </c>
      <c r="R3" s="570"/>
      <c r="S3" s="570"/>
      <c r="T3" s="570"/>
      <c r="U3" s="571">
        <v>2015</v>
      </c>
      <c r="V3" s="569">
        <v>2016</v>
      </c>
      <c r="W3" s="570"/>
      <c r="X3" s="570"/>
      <c r="Y3" s="570"/>
      <c r="Z3" s="571">
        <v>2016</v>
      </c>
      <c r="AA3" s="569">
        <v>2017</v>
      </c>
      <c r="AB3" s="570"/>
      <c r="AC3" s="570"/>
      <c r="AD3" s="570"/>
      <c r="AE3" s="571">
        <v>2017</v>
      </c>
      <c r="AF3" s="569">
        <v>2018</v>
      </c>
      <c r="AG3" s="570"/>
      <c r="AH3" s="570"/>
      <c r="AI3" s="570"/>
      <c r="AJ3" s="571" t="s">
        <v>246</v>
      </c>
    </row>
    <row r="4" spans="1:497" ht="20.149999999999999" customHeight="1" thickBot="1">
      <c r="A4" s="575"/>
      <c r="B4" s="229" t="s">
        <v>6</v>
      </c>
      <c r="C4" s="230" t="s">
        <v>7</v>
      </c>
      <c r="D4" s="230" t="s">
        <v>8</v>
      </c>
      <c r="E4" s="230" t="s">
        <v>9</v>
      </c>
      <c r="F4" s="577"/>
      <c r="G4" s="229" t="s">
        <v>6</v>
      </c>
      <c r="H4" s="230" t="s">
        <v>7</v>
      </c>
      <c r="I4" s="230" t="s">
        <v>8</v>
      </c>
      <c r="J4" s="230" t="s">
        <v>9</v>
      </c>
      <c r="K4" s="577"/>
      <c r="L4" s="229" t="s">
        <v>6</v>
      </c>
      <c r="M4" s="230" t="s">
        <v>7</v>
      </c>
      <c r="N4" s="231" t="s">
        <v>8</v>
      </c>
      <c r="O4" s="231" t="s">
        <v>9</v>
      </c>
      <c r="P4" s="577"/>
      <c r="Q4" s="232" t="s">
        <v>6</v>
      </c>
      <c r="R4" s="233" t="s">
        <v>7</v>
      </c>
      <c r="S4" s="233" t="s">
        <v>8</v>
      </c>
      <c r="T4" s="233" t="s">
        <v>9</v>
      </c>
      <c r="U4" s="572"/>
      <c r="V4" s="350" t="s">
        <v>6</v>
      </c>
      <c r="W4" s="383" t="s">
        <v>7</v>
      </c>
      <c r="X4" s="396" t="s">
        <v>8</v>
      </c>
      <c r="Y4" s="233" t="s">
        <v>9</v>
      </c>
      <c r="Z4" s="572"/>
      <c r="AA4" s="350" t="s">
        <v>6</v>
      </c>
      <c r="AB4" s="396" t="s">
        <v>7</v>
      </c>
      <c r="AC4" s="396" t="s">
        <v>8</v>
      </c>
      <c r="AD4" s="437" t="s">
        <v>9</v>
      </c>
      <c r="AE4" s="572"/>
      <c r="AF4" s="350" t="s">
        <v>6</v>
      </c>
      <c r="AG4" s="396" t="s">
        <v>7</v>
      </c>
      <c r="AH4" s="396" t="s">
        <v>8</v>
      </c>
      <c r="AI4" s="437" t="s">
        <v>9</v>
      </c>
      <c r="AJ4" s="572"/>
    </row>
    <row r="5" spans="1:497" ht="20.149999999999999" customHeight="1" thickBot="1">
      <c r="A5" s="88" t="s">
        <v>218</v>
      </c>
      <c r="B5" s="89" t="s">
        <v>27</v>
      </c>
      <c r="C5" s="90" t="s">
        <v>27</v>
      </c>
      <c r="D5" s="90" t="s">
        <v>27</v>
      </c>
      <c r="E5" s="90" t="s">
        <v>27</v>
      </c>
      <c r="F5" s="91" t="s">
        <v>27</v>
      </c>
      <c r="G5" s="92">
        <f t="shared" ref="G5:N5" si="0">G7+G24</f>
        <v>16348336</v>
      </c>
      <c r="H5" s="93">
        <f t="shared" si="0"/>
        <v>16434266</v>
      </c>
      <c r="I5" s="93">
        <f t="shared" si="0"/>
        <v>16627551</v>
      </c>
      <c r="J5" s="93">
        <f t="shared" si="0"/>
        <v>16447334</v>
      </c>
      <c r="K5" s="91">
        <f t="shared" si="0"/>
        <v>16447334</v>
      </c>
      <c r="L5" s="92">
        <f t="shared" si="0"/>
        <v>16333003</v>
      </c>
      <c r="M5" s="93">
        <f t="shared" si="0"/>
        <v>16250497</v>
      </c>
      <c r="N5" s="93">
        <f t="shared" si="0"/>
        <v>16449992</v>
      </c>
      <c r="O5" s="93">
        <f>O7+O24</f>
        <v>16482031</v>
      </c>
      <c r="P5" s="91">
        <f>P7+P24</f>
        <v>16482031</v>
      </c>
      <c r="Q5" s="92">
        <f t="shared" ref="Q5:V5" si="1">Q7+Q24</f>
        <v>16429469</v>
      </c>
      <c r="R5" s="93">
        <f t="shared" si="1"/>
        <v>16349090</v>
      </c>
      <c r="S5" s="93">
        <f t="shared" si="1"/>
        <v>16395514</v>
      </c>
      <c r="T5" s="93">
        <f t="shared" si="1"/>
        <v>16469696</v>
      </c>
      <c r="U5" s="397">
        <f t="shared" si="1"/>
        <v>16469696</v>
      </c>
      <c r="V5" s="92">
        <f t="shared" si="1"/>
        <v>16531833</v>
      </c>
      <c r="W5" s="93">
        <f t="shared" ref="W5" si="2">W7+W24</f>
        <v>16711541</v>
      </c>
      <c r="X5" s="93">
        <f>X7+X24</f>
        <v>16545653</v>
      </c>
      <c r="Y5" s="93">
        <f t="shared" ref="Y5:AJ5" si="3">Y7+Y24</f>
        <v>16524936</v>
      </c>
      <c r="Z5" s="397">
        <f t="shared" si="3"/>
        <v>16524936</v>
      </c>
      <c r="AA5" s="92">
        <f t="shared" si="3"/>
        <v>16216128</v>
      </c>
      <c r="AB5" s="93">
        <f t="shared" si="3"/>
        <v>16273840</v>
      </c>
      <c r="AC5" s="93">
        <f t="shared" si="3"/>
        <v>16410325</v>
      </c>
      <c r="AD5" s="93">
        <f t="shared" si="3"/>
        <v>16522597</v>
      </c>
      <c r="AE5" s="397">
        <f t="shared" si="3"/>
        <v>16522597</v>
      </c>
      <c r="AF5" s="93">
        <f t="shared" si="3"/>
        <v>16579337</v>
      </c>
      <c r="AG5" s="93">
        <f t="shared" si="3"/>
        <v>0</v>
      </c>
      <c r="AH5" s="93">
        <f t="shared" si="3"/>
        <v>0</v>
      </c>
      <c r="AI5" s="93">
        <f t="shared" si="3"/>
        <v>0</v>
      </c>
      <c r="AJ5" s="397">
        <f t="shared" si="3"/>
        <v>0</v>
      </c>
    </row>
    <row r="6" spans="1:497" ht="20.149999999999999" customHeight="1">
      <c r="A6" s="151" t="s">
        <v>30</v>
      </c>
      <c r="B6" s="94"/>
      <c r="C6" s="95"/>
      <c r="D6" s="95"/>
      <c r="E6" s="95"/>
      <c r="F6" s="96"/>
      <c r="G6" s="97"/>
      <c r="H6" s="95"/>
      <c r="I6" s="95"/>
      <c r="J6" s="95"/>
      <c r="K6" s="96"/>
      <c r="L6" s="183"/>
      <c r="M6" s="95"/>
      <c r="N6" s="95"/>
      <c r="O6" s="95"/>
      <c r="P6" s="98"/>
      <c r="Q6" s="183"/>
      <c r="R6" s="95"/>
      <c r="S6" s="95"/>
      <c r="T6" s="95"/>
      <c r="U6" s="98"/>
      <c r="V6" s="351"/>
      <c r="W6" s="384"/>
      <c r="X6" s="384"/>
      <c r="Y6" s="95"/>
      <c r="Z6" s="98"/>
      <c r="AA6" s="351"/>
      <c r="AB6" s="384"/>
      <c r="AC6" s="384"/>
      <c r="AD6" s="95"/>
      <c r="AE6" s="98"/>
      <c r="AF6" s="384"/>
      <c r="AG6" s="384"/>
      <c r="AH6" s="384"/>
      <c r="AI6" s="95"/>
      <c r="AJ6" s="98"/>
    </row>
    <row r="7" spans="1:497" ht="20.149999999999999" customHeight="1">
      <c r="A7" s="184" t="s">
        <v>219</v>
      </c>
      <c r="B7" s="100">
        <f>B8+B10+B11</f>
        <v>11532547</v>
      </c>
      <c r="C7" s="101">
        <f t="shared" ref="C7:M7" si="4">C8+C10+C11</f>
        <v>11516833</v>
      </c>
      <c r="D7" s="101">
        <f t="shared" si="4"/>
        <v>11605099</v>
      </c>
      <c r="E7" s="101">
        <f t="shared" si="4"/>
        <v>11735100</v>
      </c>
      <c r="F7" s="102">
        <f>SUM(F8,F10:F11)</f>
        <v>11735100</v>
      </c>
      <c r="G7" s="100">
        <f t="shared" si="4"/>
        <v>11799951</v>
      </c>
      <c r="H7" s="101">
        <f t="shared" si="4"/>
        <v>11868947</v>
      </c>
      <c r="I7" s="101">
        <f t="shared" si="4"/>
        <v>11908422</v>
      </c>
      <c r="J7" s="101">
        <f t="shared" si="4"/>
        <v>11978807</v>
      </c>
      <c r="K7" s="102">
        <f>SUM(K8,K10:K11)</f>
        <v>11978807</v>
      </c>
      <c r="L7" s="100">
        <f t="shared" si="4"/>
        <v>11982678</v>
      </c>
      <c r="M7" s="101">
        <f t="shared" si="4"/>
        <v>12023369</v>
      </c>
      <c r="N7" s="101">
        <f>N8+N10+N11</f>
        <v>12230798</v>
      </c>
      <c r="O7" s="101">
        <f>O8+O10+O11</f>
        <v>12347828</v>
      </c>
      <c r="P7" s="103">
        <f>P8+P10+P11</f>
        <v>12347828</v>
      </c>
      <c r="Q7" s="100">
        <f t="shared" ref="Q7" si="5">Q8+Q10+Q11</f>
        <v>12394712</v>
      </c>
      <c r="R7" s="101">
        <f>R8+R10+R11</f>
        <v>12377021</v>
      </c>
      <c r="S7" s="101">
        <f t="shared" ref="S7:V7" si="6">S8+S10+S11</f>
        <v>12418707</v>
      </c>
      <c r="T7" s="101">
        <f t="shared" si="6"/>
        <v>12614703</v>
      </c>
      <c r="U7" s="103">
        <f t="shared" si="6"/>
        <v>12614703</v>
      </c>
      <c r="V7" s="100">
        <f t="shared" si="6"/>
        <v>12744166</v>
      </c>
      <c r="W7" s="101">
        <f t="shared" ref="W7:AJ7" si="7">W8+W10+W11</f>
        <v>12880725</v>
      </c>
      <c r="X7" s="101">
        <f t="shared" si="7"/>
        <v>13017749</v>
      </c>
      <c r="Y7" s="101">
        <f t="shared" si="7"/>
        <v>13254598</v>
      </c>
      <c r="Z7" s="103">
        <f t="shared" si="7"/>
        <v>13254598</v>
      </c>
      <c r="AA7" s="100">
        <f t="shared" si="7"/>
        <v>13337038</v>
      </c>
      <c r="AB7" s="101">
        <f t="shared" si="7"/>
        <v>13419539</v>
      </c>
      <c r="AC7" s="101">
        <f t="shared" si="7"/>
        <v>13530164</v>
      </c>
      <c r="AD7" s="101">
        <v>13685044</v>
      </c>
      <c r="AE7" s="103">
        <f t="shared" si="7"/>
        <v>13685044</v>
      </c>
      <c r="AF7" s="101">
        <f t="shared" si="7"/>
        <v>13796153</v>
      </c>
      <c r="AG7" s="101">
        <f t="shared" si="7"/>
        <v>0</v>
      </c>
      <c r="AH7" s="101">
        <f t="shared" si="7"/>
        <v>0</v>
      </c>
      <c r="AI7" s="101">
        <f t="shared" si="7"/>
        <v>0</v>
      </c>
      <c r="AJ7" s="103">
        <f t="shared" si="7"/>
        <v>0</v>
      </c>
    </row>
    <row r="8" spans="1:497" ht="20.149999999999999" customHeight="1">
      <c r="A8" s="104" t="s">
        <v>32</v>
      </c>
      <c r="B8" s="105">
        <v>3885022</v>
      </c>
      <c r="C8" s="106">
        <v>3868733</v>
      </c>
      <c r="D8" s="106">
        <v>3921673</v>
      </c>
      <c r="E8" s="106">
        <v>3994875</v>
      </c>
      <c r="F8" s="107">
        <f>E8</f>
        <v>3994875</v>
      </c>
      <c r="G8" s="105">
        <v>4047592</v>
      </c>
      <c r="H8" s="106">
        <v>4127560</v>
      </c>
      <c r="I8" s="106">
        <v>4160343</v>
      </c>
      <c r="J8" s="106">
        <v>4212323</v>
      </c>
      <c r="K8" s="107">
        <f>J8</f>
        <v>4212323</v>
      </c>
      <c r="L8" s="105">
        <v>4236986</v>
      </c>
      <c r="M8" s="106">
        <v>4255544</v>
      </c>
      <c r="N8" s="108">
        <v>4344773</v>
      </c>
      <c r="O8" s="106">
        <v>4391702</v>
      </c>
      <c r="P8" s="109">
        <v>4391702</v>
      </c>
      <c r="Q8" s="105">
        <v>4405464</v>
      </c>
      <c r="R8" s="106">
        <v>4374517</v>
      </c>
      <c r="S8" s="106">
        <v>4396361</v>
      </c>
      <c r="T8" s="106">
        <v>4503320</v>
      </c>
      <c r="U8" s="109">
        <f t="shared" ref="U8:U12" si="8">T8</f>
        <v>4503320</v>
      </c>
      <c r="V8" s="105">
        <v>4560267</v>
      </c>
      <c r="W8" s="106">
        <v>4632246</v>
      </c>
      <c r="X8" s="106">
        <v>4679114</v>
      </c>
      <c r="Y8" s="106">
        <v>4766429</v>
      </c>
      <c r="Z8" s="109">
        <f t="shared" ref="Z8:Z12" si="9">Y8</f>
        <v>4766429</v>
      </c>
      <c r="AA8" s="105">
        <v>4785947</v>
      </c>
      <c r="AB8" s="106">
        <v>4835534</v>
      </c>
      <c r="AC8" s="106">
        <v>4882505</v>
      </c>
      <c r="AD8" s="106">
        <v>4942640</v>
      </c>
      <c r="AE8" s="109">
        <f>AD8</f>
        <v>4942640</v>
      </c>
      <c r="AF8" s="106">
        <v>4984391</v>
      </c>
      <c r="AG8" s="106"/>
      <c r="AH8" s="106"/>
      <c r="AI8" s="106"/>
      <c r="AJ8" s="109"/>
    </row>
    <row r="9" spans="1:497" ht="20.149999999999999" customHeight="1">
      <c r="A9" s="110" t="s">
        <v>10</v>
      </c>
      <c r="B9" s="111">
        <v>394001</v>
      </c>
      <c r="C9" s="112">
        <v>416027</v>
      </c>
      <c r="D9" s="112">
        <v>470578</v>
      </c>
      <c r="E9" s="112">
        <v>510617</v>
      </c>
      <c r="F9" s="113">
        <f t="shared" ref="F9:F11" si="10">E9</f>
        <v>510617</v>
      </c>
      <c r="G9" s="111">
        <v>559997</v>
      </c>
      <c r="H9" s="112">
        <v>633475</v>
      </c>
      <c r="I9" s="112">
        <v>680316</v>
      </c>
      <c r="J9" s="112">
        <v>719935</v>
      </c>
      <c r="K9" s="113">
        <f>J9</f>
        <v>719935</v>
      </c>
      <c r="L9" s="111">
        <v>749319</v>
      </c>
      <c r="M9" s="112">
        <v>771481</v>
      </c>
      <c r="N9" s="114">
        <v>806064</v>
      </c>
      <c r="O9" s="112">
        <v>844809</v>
      </c>
      <c r="P9" s="115">
        <v>844809</v>
      </c>
      <c r="Q9" s="111">
        <v>872628</v>
      </c>
      <c r="R9" s="112">
        <v>886305</v>
      </c>
      <c r="S9" s="112">
        <v>901271</v>
      </c>
      <c r="T9" s="112">
        <v>936307</v>
      </c>
      <c r="U9" s="115">
        <f t="shared" si="8"/>
        <v>936307</v>
      </c>
      <c r="V9" s="111">
        <v>957952</v>
      </c>
      <c r="W9" s="112">
        <v>972771</v>
      </c>
      <c r="X9" s="112">
        <v>982068</v>
      </c>
      <c r="Y9" s="112">
        <v>1021720</v>
      </c>
      <c r="Z9" s="115">
        <f t="shared" si="9"/>
        <v>1021720</v>
      </c>
      <c r="AA9" s="111">
        <v>1031294</v>
      </c>
      <c r="AB9" s="112">
        <v>1058982</v>
      </c>
      <c r="AC9" s="112">
        <v>1072513</v>
      </c>
      <c r="AD9" s="112">
        <v>1099582</v>
      </c>
      <c r="AE9" s="115">
        <f t="shared" ref="AE9:AE12" si="11">AD9</f>
        <v>1099582</v>
      </c>
      <c r="AF9" s="112">
        <v>1114833</v>
      </c>
      <c r="AG9" s="112"/>
      <c r="AH9" s="112"/>
      <c r="AI9" s="112"/>
      <c r="AJ9" s="115"/>
    </row>
    <row r="10" spans="1:497" ht="20.149999999999999" customHeight="1">
      <c r="A10" s="104" t="s">
        <v>33</v>
      </c>
      <c r="B10" s="105">
        <v>6985015</v>
      </c>
      <c r="C10" s="106">
        <v>6978192</v>
      </c>
      <c r="D10" s="106">
        <v>6976594</v>
      </c>
      <c r="E10" s="106">
        <v>6979590</v>
      </c>
      <c r="F10" s="107">
        <f t="shared" si="10"/>
        <v>6979590</v>
      </c>
      <c r="G10" s="105">
        <v>6941638</v>
      </c>
      <c r="H10" s="106">
        <v>6891314</v>
      </c>
      <c r="I10" s="106">
        <v>6834719</v>
      </c>
      <c r="J10" s="106">
        <v>6778675</v>
      </c>
      <c r="K10" s="107">
        <f t="shared" ref="K10:K11" si="12">J10</f>
        <v>6778675</v>
      </c>
      <c r="L10" s="105">
        <v>6713629</v>
      </c>
      <c r="M10" s="106">
        <v>6644687</v>
      </c>
      <c r="N10" s="108">
        <v>6617382</v>
      </c>
      <c r="O10" s="106">
        <v>6587915</v>
      </c>
      <c r="P10" s="109">
        <v>6587915</v>
      </c>
      <c r="Q10" s="105">
        <v>6552365</v>
      </c>
      <c r="R10" s="106">
        <v>6519311</v>
      </c>
      <c r="S10" s="106">
        <v>6505016</v>
      </c>
      <c r="T10" s="106">
        <v>6516643</v>
      </c>
      <c r="U10" s="109">
        <f t="shared" si="8"/>
        <v>6516643</v>
      </c>
      <c r="V10" s="105">
        <v>6536366</v>
      </c>
      <c r="W10" s="106">
        <v>6559223</v>
      </c>
      <c r="X10" s="106">
        <v>6616579</v>
      </c>
      <c r="Y10" s="106">
        <v>6730427</v>
      </c>
      <c r="Z10" s="109">
        <f t="shared" si="9"/>
        <v>6730427</v>
      </c>
      <c r="AA10" s="105">
        <v>6785002</v>
      </c>
      <c r="AB10" s="106">
        <v>6810999</v>
      </c>
      <c r="AC10" s="106">
        <v>6864787</v>
      </c>
      <c r="AD10" s="106">
        <v>6932676</v>
      </c>
      <c r="AE10" s="109">
        <f t="shared" si="11"/>
        <v>6932676</v>
      </c>
      <c r="AF10" s="106">
        <v>6997850</v>
      </c>
      <c r="AG10" s="106"/>
      <c r="AH10" s="106"/>
      <c r="AI10" s="106"/>
      <c r="AJ10" s="109"/>
    </row>
    <row r="11" spans="1:497" ht="20.149999999999999" customHeight="1">
      <c r="A11" s="104" t="s">
        <v>11</v>
      </c>
      <c r="B11" s="105">
        <v>662510</v>
      </c>
      <c r="C11" s="106">
        <v>669908</v>
      </c>
      <c r="D11" s="106">
        <v>706832</v>
      </c>
      <c r="E11" s="106">
        <v>760635</v>
      </c>
      <c r="F11" s="107">
        <f t="shared" si="10"/>
        <v>760635</v>
      </c>
      <c r="G11" s="105">
        <v>810721</v>
      </c>
      <c r="H11" s="106">
        <v>850073</v>
      </c>
      <c r="I11" s="106">
        <v>913360</v>
      </c>
      <c r="J11" s="106">
        <v>987809</v>
      </c>
      <c r="K11" s="107">
        <f t="shared" si="12"/>
        <v>987809</v>
      </c>
      <c r="L11" s="117">
        <v>1032063</v>
      </c>
      <c r="M11" s="118">
        <v>1123138</v>
      </c>
      <c r="N11" s="108">
        <v>1268643</v>
      </c>
      <c r="O11" s="1">
        <v>1368211</v>
      </c>
      <c r="P11" s="109">
        <v>1368211</v>
      </c>
      <c r="Q11" s="117">
        <v>1436883</v>
      </c>
      <c r="R11" s="118">
        <v>1483193</v>
      </c>
      <c r="S11" s="118">
        <v>1517330</v>
      </c>
      <c r="T11" s="106">
        <v>1594740</v>
      </c>
      <c r="U11" s="109">
        <f t="shared" si="8"/>
        <v>1594740</v>
      </c>
      <c r="V11" s="117">
        <v>1647533</v>
      </c>
      <c r="W11" s="118">
        <v>1689256</v>
      </c>
      <c r="X11" s="118">
        <v>1722056</v>
      </c>
      <c r="Y11" s="106">
        <v>1757742</v>
      </c>
      <c r="Z11" s="109">
        <f t="shared" si="9"/>
        <v>1757742</v>
      </c>
      <c r="AA11" s="117">
        <v>1766089</v>
      </c>
      <c r="AB11" s="118">
        <v>1773006</v>
      </c>
      <c r="AC11" s="118">
        <v>1782872</v>
      </c>
      <c r="AD11" s="106">
        <v>1809728</v>
      </c>
      <c r="AE11" s="109">
        <f t="shared" si="11"/>
        <v>1809728</v>
      </c>
      <c r="AF11" s="118">
        <v>1813912</v>
      </c>
      <c r="AG11" s="118"/>
      <c r="AH11" s="118"/>
      <c r="AI11" s="106"/>
      <c r="AJ11" s="109"/>
    </row>
    <row r="12" spans="1:497" ht="20.149999999999999" customHeight="1" thickBot="1">
      <c r="A12" s="145" t="s">
        <v>34</v>
      </c>
      <c r="B12" s="119">
        <v>6282300</v>
      </c>
      <c r="C12" s="120">
        <v>6264412</v>
      </c>
      <c r="D12" s="120">
        <v>6281184</v>
      </c>
      <c r="E12" s="120">
        <v>6313423</v>
      </c>
      <c r="F12" s="121">
        <f>E12</f>
        <v>6313423</v>
      </c>
      <c r="G12" s="119">
        <v>6318321</v>
      </c>
      <c r="H12" s="120">
        <v>6306877</v>
      </c>
      <c r="I12" s="120">
        <v>6285607</v>
      </c>
      <c r="J12" s="120">
        <v>6287658</v>
      </c>
      <c r="K12" s="121">
        <f>J12</f>
        <v>6287658</v>
      </c>
      <c r="L12" s="119">
        <v>6260662</v>
      </c>
      <c r="M12" s="120">
        <v>6221111</v>
      </c>
      <c r="N12" s="122">
        <v>6184775</v>
      </c>
      <c r="O12" s="120">
        <v>6137531</v>
      </c>
      <c r="P12" s="123">
        <v>6137531</v>
      </c>
      <c r="Q12" s="119">
        <v>6068839</v>
      </c>
      <c r="R12" s="120">
        <v>5990051</v>
      </c>
      <c r="S12" s="120">
        <v>5937768</v>
      </c>
      <c r="T12" s="120">
        <v>5916103</v>
      </c>
      <c r="U12" s="123">
        <f t="shared" si="8"/>
        <v>5916103</v>
      </c>
      <c r="V12" s="119">
        <v>5893225</v>
      </c>
      <c r="W12" s="120">
        <v>5862310</v>
      </c>
      <c r="X12" s="120">
        <v>5860884</v>
      </c>
      <c r="Y12" s="120">
        <v>5882804</v>
      </c>
      <c r="Z12" s="123">
        <f t="shared" si="9"/>
        <v>5882804</v>
      </c>
      <c r="AA12" s="119">
        <v>5847401</v>
      </c>
      <c r="AB12" s="120">
        <v>5819386</v>
      </c>
      <c r="AC12" s="120">
        <v>5791841</v>
      </c>
      <c r="AD12" s="120">
        <v>5776598</v>
      </c>
      <c r="AE12" s="123">
        <f t="shared" si="11"/>
        <v>5776598</v>
      </c>
      <c r="AF12" s="120">
        <v>5743832</v>
      </c>
      <c r="AG12" s="120"/>
      <c r="AH12" s="120"/>
      <c r="AI12" s="120"/>
      <c r="AJ12" s="123"/>
    </row>
    <row r="13" spans="1:497" ht="20.149999999999999" customHeight="1">
      <c r="A13" s="124" t="s">
        <v>282</v>
      </c>
      <c r="B13" s="125"/>
      <c r="C13" s="126"/>
      <c r="D13" s="126"/>
      <c r="E13" s="126"/>
      <c r="F13" s="127"/>
      <c r="G13" s="125"/>
      <c r="H13" s="126"/>
      <c r="I13" s="126"/>
      <c r="J13" s="126"/>
      <c r="K13" s="127"/>
      <c r="L13" s="125"/>
      <c r="M13" s="126"/>
      <c r="N13" s="128"/>
      <c r="O13" s="126"/>
      <c r="P13" s="129"/>
      <c r="Q13" s="125"/>
      <c r="R13" s="126"/>
      <c r="S13" s="126"/>
      <c r="T13" s="126"/>
      <c r="U13" s="129"/>
      <c r="V13" s="125"/>
      <c r="W13" s="126"/>
      <c r="X13" s="126"/>
      <c r="Y13" s="126"/>
      <c r="Z13" s="129"/>
      <c r="AA13" s="125">
        <v>80.3</v>
      </c>
      <c r="AB13" s="126"/>
      <c r="AC13" s="126"/>
      <c r="AD13" s="126"/>
      <c r="AE13" s="129"/>
      <c r="AF13" s="126">
        <v>81.900000000000006</v>
      </c>
      <c r="AG13" s="126"/>
      <c r="AH13" s="126"/>
      <c r="AI13" s="126"/>
      <c r="AJ13" s="129"/>
    </row>
    <row r="14" spans="1:497" ht="20.149999999999999" customHeight="1">
      <c r="A14" s="596" t="s">
        <v>283</v>
      </c>
      <c r="B14" s="593">
        <v>92.5</v>
      </c>
      <c r="C14" s="594">
        <v>94.4</v>
      </c>
      <c r="D14" s="594">
        <v>93.8</v>
      </c>
      <c r="E14" s="594">
        <v>93.8</v>
      </c>
      <c r="F14" s="595">
        <v>93.6</v>
      </c>
      <c r="G14" s="593">
        <v>89.1</v>
      </c>
      <c r="H14" s="594">
        <v>90.3</v>
      </c>
      <c r="I14" s="594">
        <v>87.6</v>
      </c>
      <c r="J14" s="594">
        <v>87.1</v>
      </c>
      <c r="K14" s="595">
        <v>88.5</v>
      </c>
      <c r="L14" s="593">
        <v>84.8</v>
      </c>
      <c r="M14" s="594">
        <v>85.3</v>
      </c>
      <c r="N14" s="128">
        <v>86.5</v>
      </c>
      <c r="O14" s="594">
        <v>87.2</v>
      </c>
      <c r="P14" s="595">
        <v>85.9</v>
      </c>
      <c r="Q14" s="593">
        <v>85.8</v>
      </c>
      <c r="R14" s="594">
        <v>87</v>
      </c>
      <c r="S14" s="594">
        <v>88.1</v>
      </c>
      <c r="T14" s="594">
        <v>88.3</v>
      </c>
      <c r="U14" s="595">
        <v>87.3</v>
      </c>
      <c r="V14" s="593">
        <v>87</v>
      </c>
      <c r="W14" s="594">
        <v>88.4</v>
      </c>
      <c r="X14" s="594">
        <v>88.6</v>
      </c>
      <c r="Y14" s="594">
        <v>90.7</v>
      </c>
      <c r="Z14" s="595">
        <v>88.7</v>
      </c>
      <c r="AA14" s="593">
        <v>89.1</v>
      </c>
      <c r="AB14" s="594">
        <v>89.6</v>
      </c>
      <c r="AC14" s="594">
        <v>88.4</v>
      </c>
      <c r="AD14" s="594">
        <v>89</v>
      </c>
      <c r="AE14" s="595">
        <v>89</v>
      </c>
      <c r="AF14" s="593">
        <v>88.7</v>
      </c>
      <c r="AG14" s="594"/>
      <c r="AH14" s="594"/>
      <c r="AI14" s="594"/>
      <c r="AJ14" s="595"/>
    </row>
    <row r="15" spans="1:497" ht="20.149999999999999" customHeight="1">
      <c r="A15" s="130" t="s">
        <v>35</v>
      </c>
      <c r="B15" s="131" t="s">
        <v>27</v>
      </c>
      <c r="C15" s="132" t="s">
        <v>27</v>
      </c>
      <c r="D15" s="132" t="s">
        <v>27</v>
      </c>
      <c r="E15" s="133">
        <v>8.4252884188563901E-2</v>
      </c>
      <c r="F15" s="134">
        <f>E15</f>
        <v>8.4252884188563901E-2</v>
      </c>
      <c r="G15" s="135">
        <v>8.6500864834109098E-2</v>
      </c>
      <c r="H15" s="133">
        <v>8.7995678097648605E-2</v>
      </c>
      <c r="I15" s="133">
        <v>8.95665783401738E-2</v>
      </c>
      <c r="J15" s="133">
        <v>9.1612274770678806E-2</v>
      </c>
      <c r="K15" s="134">
        <f>J15</f>
        <v>9.1612274770678806E-2</v>
      </c>
      <c r="L15" s="135">
        <v>9.0641340484564806E-2</v>
      </c>
      <c r="M15" s="133">
        <v>8.7627794752018207E-2</v>
      </c>
      <c r="N15" s="136">
        <f>8.8%</f>
        <v>8.8000000000000009E-2</v>
      </c>
      <c r="O15" s="133">
        <v>9.0976359886998898E-2</v>
      </c>
      <c r="P15" s="137">
        <v>9.0999999999999998E-2</v>
      </c>
      <c r="Q15" s="135">
        <v>9.5000000000000001E-2</v>
      </c>
      <c r="R15" s="133">
        <v>0.10100000000000001</v>
      </c>
      <c r="S15" s="133">
        <v>0.10199999999999999</v>
      </c>
      <c r="T15" s="133">
        <v>0.1</v>
      </c>
      <c r="U15" s="137">
        <v>0.1</v>
      </c>
      <c r="V15" s="135">
        <v>9.8000000000000004E-2</v>
      </c>
      <c r="W15" s="133">
        <v>0.09</v>
      </c>
      <c r="X15" s="133">
        <v>8.5000000000000006E-2</v>
      </c>
      <c r="Y15" s="133">
        <v>8.3000000000000004E-2</v>
      </c>
      <c r="Z15" s="137">
        <v>8.3000000000000004E-2</v>
      </c>
      <c r="AA15" s="135">
        <v>8.5000000000000006E-2</v>
      </c>
      <c r="AB15" s="133">
        <v>8.5999999999999993E-2</v>
      </c>
      <c r="AC15" s="133">
        <v>8.7999999999999995E-2</v>
      </c>
      <c r="AD15" s="133">
        <v>8.7999999999999995E-2</v>
      </c>
      <c r="AE15" s="137">
        <v>8.7999999999999995E-2</v>
      </c>
      <c r="AF15" s="133">
        <v>8.5000000000000006E-2</v>
      </c>
      <c r="AG15" s="133"/>
      <c r="AH15" s="133"/>
      <c r="AI15" s="133"/>
      <c r="AJ15" s="137"/>
    </row>
    <row r="16" spans="1:497" ht="20.149999999999999" customHeight="1" thickBot="1">
      <c r="A16" s="130" t="s">
        <v>36</v>
      </c>
      <c r="B16" s="138">
        <f t="shared" ref="B16:M16" si="13">B7/B12</f>
        <v>1.8357205163713926</v>
      </c>
      <c r="C16" s="139">
        <f t="shared" si="13"/>
        <v>1.838453952262399</v>
      </c>
      <c r="D16" s="139">
        <f t="shared" si="13"/>
        <v>1.8475973638091163</v>
      </c>
      <c r="E16" s="139">
        <f t="shared" si="13"/>
        <v>1.858753959619053</v>
      </c>
      <c r="F16" s="140">
        <f t="shared" si="13"/>
        <v>1.858753959619053</v>
      </c>
      <c r="G16" s="138">
        <f t="shared" si="13"/>
        <v>1.8675770034475931</v>
      </c>
      <c r="H16" s="139">
        <f t="shared" si="13"/>
        <v>1.8819055770391591</v>
      </c>
      <c r="I16" s="139">
        <f t="shared" si="13"/>
        <v>1.8945540184106324</v>
      </c>
      <c r="J16" s="139">
        <f t="shared" si="13"/>
        <v>1.9051301772456453</v>
      </c>
      <c r="K16" s="140">
        <f t="shared" si="13"/>
        <v>1.9051301772456453</v>
      </c>
      <c r="L16" s="138">
        <f t="shared" si="13"/>
        <v>1.9139634115369908</v>
      </c>
      <c r="M16" s="139">
        <f t="shared" si="13"/>
        <v>1.9326723152825918</v>
      </c>
      <c r="N16" s="141">
        <v>1.98</v>
      </c>
      <c r="O16" s="139">
        <v>2.0099999999999998</v>
      </c>
      <c r="P16" s="140">
        <v>2.0099999999999998</v>
      </c>
      <c r="Q16" s="138">
        <f t="shared" ref="Q16" si="14">Q7/Q12</f>
        <v>2.0423530760990696</v>
      </c>
      <c r="R16" s="139">
        <v>2.0699999999999998</v>
      </c>
      <c r="S16" s="139">
        <v>2.09</v>
      </c>
      <c r="T16" s="139">
        <v>2.13</v>
      </c>
      <c r="U16" s="140">
        <v>2.13</v>
      </c>
      <c r="V16" s="138">
        <v>2.16</v>
      </c>
      <c r="W16" s="139">
        <v>2.2000000000000002</v>
      </c>
      <c r="X16" s="139">
        <v>2.2200000000000002</v>
      </c>
      <c r="Y16" s="139">
        <v>2.25</v>
      </c>
      <c r="Z16" s="140">
        <v>2.25</v>
      </c>
      <c r="AA16" s="138">
        <v>2.2799999999999998</v>
      </c>
      <c r="AB16" s="139">
        <v>2.31</v>
      </c>
      <c r="AC16" s="139">
        <v>2.34</v>
      </c>
      <c r="AD16" s="139">
        <v>2.37</v>
      </c>
      <c r="AE16" s="140">
        <v>2.37</v>
      </c>
      <c r="AF16" s="139">
        <v>2.4</v>
      </c>
      <c r="AG16" s="139"/>
      <c r="AH16" s="139"/>
      <c r="AI16" s="139"/>
      <c r="AJ16" s="140"/>
    </row>
    <row r="17" spans="1:36" ht="20.149999999999999" customHeight="1">
      <c r="A17" s="142" t="s">
        <v>37</v>
      </c>
      <c r="B17" s="143">
        <f>B18+B20+B21</f>
        <v>11497022</v>
      </c>
      <c r="C17" s="144">
        <f t="shared" ref="C17:M17" si="15">C18+C20+C21</f>
        <v>11521707</v>
      </c>
      <c r="D17" s="144">
        <f t="shared" si="15"/>
        <v>11558288</v>
      </c>
      <c r="E17" s="144">
        <f t="shared" si="15"/>
        <v>11659474</v>
      </c>
      <c r="F17" s="102">
        <f t="shared" si="15"/>
        <v>11559122.75</v>
      </c>
      <c r="G17" s="143">
        <f t="shared" si="15"/>
        <v>11772318</v>
      </c>
      <c r="H17" s="144">
        <f t="shared" si="15"/>
        <v>11846507</v>
      </c>
      <c r="I17" s="144">
        <f t="shared" si="15"/>
        <v>11884574</v>
      </c>
      <c r="J17" s="144">
        <f t="shared" si="15"/>
        <v>11924710</v>
      </c>
      <c r="K17" s="102">
        <f t="shared" si="15"/>
        <v>11857027.25</v>
      </c>
      <c r="L17" s="143">
        <f t="shared" si="15"/>
        <v>11986199</v>
      </c>
      <c r="M17" s="144">
        <f t="shared" si="15"/>
        <v>11981389</v>
      </c>
      <c r="N17" s="144">
        <f>N18+N20+N21</f>
        <v>12125363.166666668</v>
      </c>
      <c r="O17" s="144">
        <f>O18+O20+O21</f>
        <v>12272311</v>
      </c>
      <c r="P17" s="103">
        <f>P18+P20+P21</f>
        <v>12091316</v>
      </c>
      <c r="Q17" s="143">
        <f t="shared" ref="Q17" si="16">Q18+Q20+Q21</f>
        <v>12376603</v>
      </c>
      <c r="R17" s="144">
        <f>R18+R20+R21</f>
        <v>12391326</v>
      </c>
      <c r="S17" s="144">
        <f t="shared" ref="S17:V17" si="17">S18+S20+S21</f>
        <v>12378586</v>
      </c>
      <c r="T17" s="144">
        <f t="shared" si="17"/>
        <v>12496080</v>
      </c>
      <c r="U17" s="103">
        <f t="shared" si="17"/>
        <v>12410649</v>
      </c>
      <c r="V17" s="143">
        <f t="shared" si="17"/>
        <v>12675864</v>
      </c>
      <c r="W17" s="144">
        <f t="shared" ref="W17:AJ17" si="18">W18+W20+W21</f>
        <v>12809438</v>
      </c>
      <c r="X17" s="144">
        <f t="shared" si="18"/>
        <v>12940680</v>
      </c>
      <c r="Y17" s="144">
        <f t="shared" si="18"/>
        <v>13119033</v>
      </c>
      <c r="Z17" s="103">
        <f t="shared" si="18"/>
        <v>12886254</v>
      </c>
      <c r="AA17" s="143">
        <f t="shared" si="18"/>
        <v>13313971</v>
      </c>
      <c r="AB17" s="144">
        <f t="shared" si="18"/>
        <v>13379081</v>
      </c>
      <c r="AC17" s="144">
        <f t="shared" si="18"/>
        <v>13467835</v>
      </c>
      <c r="AD17" s="144">
        <f t="shared" si="18"/>
        <v>13596202</v>
      </c>
      <c r="AE17" s="103">
        <f t="shared" si="18"/>
        <v>13439272</v>
      </c>
      <c r="AF17" s="144">
        <f t="shared" si="18"/>
        <v>13741811</v>
      </c>
      <c r="AG17" s="144">
        <f t="shared" si="18"/>
        <v>0</v>
      </c>
      <c r="AH17" s="144">
        <f t="shared" si="18"/>
        <v>0</v>
      </c>
      <c r="AI17" s="144">
        <f t="shared" si="18"/>
        <v>0</v>
      </c>
      <c r="AJ17" s="103">
        <f t="shared" si="18"/>
        <v>0</v>
      </c>
    </row>
    <row r="18" spans="1:36" ht="20.149999999999999" customHeight="1">
      <c r="A18" s="104" t="s">
        <v>32</v>
      </c>
      <c r="B18" s="105">
        <v>3858338</v>
      </c>
      <c r="C18" s="106">
        <v>3879834</v>
      </c>
      <c r="D18" s="106">
        <v>3894623</v>
      </c>
      <c r="E18" s="106">
        <v>3955082</v>
      </c>
      <c r="F18" s="107">
        <f>AVERAGE(B18:E18)</f>
        <v>3896969.25</v>
      </c>
      <c r="G18" s="105">
        <v>4018307</v>
      </c>
      <c r="H18" s="106">
        <v>4098051</v>
      </c>
      <c r="I18" s="106">
        <v>4144131</v>
      </c>
      <c r="J18" s="106">
        <v>4175145</v>
      </c>
      <c r="K18" s="107">
        <f>AVERAGE(G18:J18)</f>
        <v>4108908.5</v>
      </c>
      <c r="L18" s="105">
        <v>4227450</v>
      </c>
      <c r="M18" s="106">
        <v>4243880</v>
      </c>
      <c r="N18" s="108">
        <v>4301558.166666667</v>
      </c>
      <c r="O18" s="106">
        <v>4361890</v>
      </c>
      <c r="P18" s="109">
        <v>4283695</v>
      </c>
      <c r="Q18" s="105">
        <v>4403541</v>
      </c>
      <c r="R18" s="106">
        <v>4397999</v>
      </c>
      <c r="S18" s="106">
        <v>4376405</v>
      </c>
      <c r="T18" s="106">
        <v>4441918</v>
      </c>
      <c r="U18" s="109">
        <v>4404966</v>
      </c>
      <c r="V18" s="105">
        <v>4532806</v>
      </c>
      <c r="W18" s="106">
        <v>4595313</v>
      </c>
      <c r="X18" s="106">
        <v>4654591</v>
      </c>
      <c r="Y18" s="106">
        <v>4712813</v>
      </c>
      <c r="Z18" s="109">
        <v>4623881</v>
      </c>
      <c r="AA18" s="105">
        <v>4781680</v>
      </c>
      <c r="AB18" s="106">
        <v>4817543</v>
      </c>
      <c r="AC18" s="106">
        <v>4856979</v>
      </c>
      <c r="AD18" s="106">
        <v>4905839</v>
      </c>
      <c r="AE18" s="109">
        <v>4840510</v>
      </c>
      <c r="AF18" s="106">
        <v>4963830</v>
      </c>
      <c r="AG18" s="106"/>
      <c r="AH18" s="106"/>
      <c r="AI18" s="106"/>
      <c r="AJ18" s="109"/>
    </row>
    <row r="19" spans="1:36" ht="20.149999999999999" customHeight="1">
      <c r="A19" s="110" t="s">
        <v>10</v>
      </c>
      <c r="B19" s="111">
        <v>358652</v>
      </c>
      <c r="C19" s="112">
        <v>406943</v>
      </c>
      <c r="D19" s="116">
        <v>443743.5</v>
      </c>
      <c r="E19" s="112">
        <v>494506</v>
      </c>
      <c r="F19" s="113">
        <f>AVERAGE(B19:E19)</f>
        <v>425961.125</v>
      </c>
      <c r="G19" s="111">
        <v>535271</v>
      </c>
      <c r="H19" s="112">
        <v>600411</v>
      </c>
      <c r="I19" s="112">
        <v>658475</v>
      </c>
      <c r="J19" s="112">
        <v>697978</v>
      </c>
      <c r="K19" s="113">
        <f t="shared" ref="K19:K21" si="19">AVERAGE(G19:J19)</f>
        <v>623033.75</v>
      </c>
      <c r="L19" s="185">
        <v>736315</v>
      </c>
      <c r="M19" s="112">
        <v>759922</v>
      </c>
      <c r="N19" s="114">
        <v>787736.16666666663</v>
      </c>
      <c r="O19" s="112">
        <v>822568</v>
      </c>
      <c r="P19" s="115">
        <v>776635</v>
      </c>
      <c r="Q19" s="185">
        <v>860827</v>
      </c>
      <c r="R19" s="112">
        <v>881296</v>
      </c>
      <c r="S19" s="112">
        <v>893001</v>
      </c>
      <c r="T19" s="112">
        <v>915940</v>
      </c>
      <c r="U19" s="115">
        <v>887766</v>
      </c>
      <c r="V19" s="352">
        <v>948366</v>
      </c>
      <c r="W19" s="385">
        <v>964197</v>
      </c>
      <c r="X19" s="385">
        <v>977142</v>
      </c>
      <c r="Y19" s="112">
        <v>995820</v>
      </c>
      <c r="Z19" s="115">
        <v>971381</v>
      </c>
      <c r="AA19" s="352">
        <v>1029294</v>
      </c>
      <c r="AB19" s="385">
        <v>1051692</v>
      </c>
      <c r="AC19" s="385">
        <v>1064544</v>
      </c>
      <c r="AD19" s="385">
        <v>1082951</v>
      </c>
      <c r="AE19" s="115">
        <v>1057120</v>
      </c>
      <c r="AF19" s="385">
        <v>1108316</v>
      </c>
      <c r="AG19" s="385"/>
      <c r="AH19" s="385"/>
      <c r="AI19" s="385"/>
      <c r="AJ19" s="115"/>
    </row>
    <row r="20" spans="1:36" ht="20.149999999999999" customHeight="1">
      <c r="A20" s="104" t="s">
        <v>33</v>
      </c>
      <c r="B20" s="105">
        <v>6986951</v>
      </c>
      <c r="C20" s="106">
        <v>6977393</v>
      </c>
      <c r="D20" s="106">
        <v>6978772</v>
      </c>
      <c r="E20" s="106">
        <v>6974525</v>
      </c>
      <c r="F20" s="107">
        <f t="shared" ref="F20:F21" si="20">AVERAGE(B20:E20)</f>
        <v>6979410.25</v>
      </c>
      <c r="G20" s="105">
        <v>6965606</v>
      </c>
      <c r="H20" s="106">
        <v>6917102</v>
      </c>
      <c r="I20" s="106">
        <v>6862047</v>
      </c>
      <c r="J20" s="106">
        <v>6801845</v>
      </c>
      <c r="K20" s="107">
        <f t="shared" si="19"/>
        <v>6886650</v>
      </c>
      <c r="L20" s="186">
        <v>6749396</v>
      </c>
      <c r="M20" s="106">
        <v>6670820</v>
      </c>
      <c r="N20" s="108">
        <v>6628199.166666667</v>
      </c>
      <c r="O20" s="106">
        <v>6597742</v>
      </c>
      <c r="P20" s="109">
        <v>6661539</v>
      </c>
      <c r="Q20" s="186">
        <v>6570344</v>
      </c>
      <c r="R20" s="106">
        <v>6532488</v>
      </c>
      <c r="S20" s="106">
        <v>6508391</v>
      </c>
      <c r="T20" s="106">
        <v>6502872</v>
      </c>
      <c r="U20" s="109">
        <v>6528524</v>
      </c>
      <c r="V20" s="353">
        <v>6523316</v>
      </c>
      <c r="W20" s="386">
        <v>6546774</v>
      </c>
      <c r="X20" s="386">
        <v>6579908</v>
      </c>
      <c r="Y20" s="106">
        <v>6667869</v>
      </c>
      <c r="Z20" s="109">
        <v>6579467</v>
      </c>
      <c r="AA20" s="353">
        <v>6769379</v>
      </c>
      <c r="AB20" s="386">
        <v>6790804</v>
      </c>
      <c r="AC20" s="386">
        <v>6836282</v>
      </c>
      <c r="AD20" s="386">
        <v>6894295</v>
      </c>
      <c r="AE20" s="109">
        <v>6822690</v>
      </c>
      <c r="AF20" s="386">
        <v>6963584</v>
      </c>
      <c r="AG20" s="386"/>
      <c r="AH20" s="386"/>
      <c r="AI20" s="386"/>
      <c r="AJ20" s="109"/>
    </row>
    <row r="21" spans="1:36" ht="20.149999999999999" customHeight="1">
      <c r="A21" s="104" t="s">
        <v>11</v>
      </c>
      <c r="B21" s="105">
        <v>651733</v>
      </c>
      <c r="C21" s="106">
        <v>664480</v>
      </c>
      <c r="D21" s="106">
        <v>684893</v>
      </c>
      <c r="E21" s="106">
        <v>729867</v>
      </c>
      <c r="F21" s="107">
        <f t="shared" si="20"/>
        <v>682743.25</v>
      </c>
      <c r="G21" s="105">
        <v>788405</v>
      </c>
      <c r="H21" s="106">
        <v>831354</v>
      </c>
      <c r="I21" s="106">
        <v>878396</v>
      </c>
      <c r="J21" s="106">
        <v>947720</v>
      </c>
      <c r="K21" s="107">
        <f t="shared" si="19"/>
        <v>861468.75</v>
      </c>
      <c r="L21" s="186">
        <v>1009353</v>
      </c>
      <c r="M21" s="106">
        <v>1066689</v>
      </c>
      <c r="N21" s="108">
        <v>1195605.8333333333</v>
      </c>
      <c r="O21" s="106">
        <v>1312679</v>
      </c>
      <c r="P21" s="109">
        <v>1146082</v>
      </c>
      <c r="Q21" s="186">
        <v>1402718</v>
      </c>
      <c r="R21" s="106">
        <v>1460839</v>
      </c>
      <c r="S21" s="106">
        <v>1493790</v>
      </c>
      <c r="T21" s="106">
        <v>1551290</v>
      </c>
      <c r="U21" s="109">
        <v>1477159</v>
      </c>
      <c r="V21" s="353">
        <v>1619742</v>
      </c>
      <c r="W21" s="386">
        <v>1667351</v>
      </c>
      <c r="X21" s="386">
        <v>1706181</v>
      </c>
      <c r="Y21" s="106">
        <v>1738351</v>
      </c>
      <c r="Z21" s="109">
        <v>1682906</v>
      </c>
      <c r="AA21" s="353">
        <v>1762912</v>
      </c>
      <c r="AB21" s="386">
        <v>1770734</v>
      </c>
      <c r="AC21" s="386">
        <v>1774574</v>
      </c>
      <c r="AD21" s="386">
        <v>1796068</v>
      </c>
      <c r="AE21" s="109">
        <v>1776072</v>
      </c>
      <c r="AF21" s="386">
        <v>1814397</v>
      </c>
      <c r="AG21" s="386"/>
      <c r="AH21" s="386"/>
      <c r="AI21" s="386"/>
      <c r="AJ21" s="109"/>
    </row>
    <row r="22" spans="1:36" ht="20.149999999999999" customHeight="1" thickBot="1">
      <c r="A22" s="145" t="s">
        <v>38</v>
      </c>
      <c r="B22" s="146">
        <v>6288609</v>
      </c>
      <c r="C22" s="147">
        <v>6272029</v>
      </c>
      <c r="D22" s="147">
        <v>6271838</v>
      </c>
      <c r="E22" s="147">
        <v>6291791</v>
      </c>
      <c r="F22" s="148">
        <f>AVERAGE(B22:E22)</f>
        <v>6281066.75</v>
      </c>
      <c r="G22" s="149">
        <v>6316275</v>
      </c>
      <c r="H22" s="147">
        <v>6317333</v>
      </c>
      <c r="I22" s="147">
        <v>6293472</v>
      </c>
      <c r="J22" s="147">
        <v>6279979</v>
      </c>
      <c r="K22" s="148">
        <f>AVERAGE(G22:J22)</f>
        <v>6301764.75</v>
      </c>
      <c r="L22" s="149">
        <v>6274951</v>
      </c>
      <c r="M22" s="147">
        <v>6242450</v>
      </c>
      <c r="N22" s="122">
        <v>6201335.333333333</v>
      </c>
      <c r="O22" s="147">
        <v>6159902.666666667</v>
      </c>
      <c r="P22" s="150">
        <v>6219660</v>
      </c>
      <c r="Q22" s="149">
        <v>6105250</v>
      </c>
      <c r="R22" s="147">
        <v>6031638</v>
      </c>
      <c r="S22" s="147">
        <v>5960463</v>
      </c>
      <c r="T22" s="147">
        <v>5922397</v>
      </c>
      <c r="U22" s="150">
        <v>6004937</v>
      </c>
      <c r="V22" s="149">
        <v>5902526</v>
      </c>
      <c r="W22" s="147">
        <v>5876458</v>
      </c>
      <c r="X22" s="147">
        <v>5858477</v>
      </c>
      <c r="Y22" s="147">
        <v>5868541</v>
      </c>
      <c r="Z22" s="150">
        <v>5876500</v>
      </c>
      <c r="AA22" s="149">
        <v>5872517</v>
      </c>
      <c r="AB22" s="147">
        <v>5828405</v>
      </c>
      <c r="AC22" s="147">
        <v>5803517</v>
      </c>
      <c r="AD22" s="147">
        <v>5781207</v>
      </c>
      <c r="AE22" s="150">
        <v>5821411</v>
      </c>
      <c r="AF22" s="147">
        <v>5760338</v>
      </c>
      <c r="AG22" s="147"/>
      <c r="AH22" s="147"/>
      <c r="AI22" s="147"/>
      <c r="AJ22" s="150"/>
    </row>
    <row r="23" spans="1:36" ht="20.149999999999999" customHeight="1">
      <c r="A23" s="151" t="s">
        <v>39</v>
      </c>
      <c r="B23" s="152"/>
      <c r="C23" s="153"/>
      <c r="D23" s="153"/>
      <c r="E23" s="153"/>
      <c r="F23" s="154"/>
      <c r="G23" s="155"/>
      <c r="H23" s="156"/>
      <c r="I23" s="156"/>
      <c r="J23" s="156"/>
      <c r="K23" s="154"/>
      <c r="L23" s="155"/>
      <c r="M23" s="157"/>
      <c r="N23" s="157"/>
      <c r="O23" s="156"/>
      <c r="P23" s="154"/>
      <c r="Q23" s="155"/>
      <c r="R23" s="157"/>
      <c r="S23" s="157"/>
      <c r="T23" s="156"/>
      <c r="U23" s="154"/>
      <c r="V23" s="155"/>
      <c r="W23" s="156"/>
      <c r="X23" s="156"/>
      <c r="Y23" s="156"/>
      <c r="Z23" s="154"/>
      <c r="AA23" s="155"/>
      <c r="AB23" s="156"/>
      <c r="AC23" s="156"/>
      <c r="AD23" s="156"/>
      <c r="AE23" s="154"/>
      <c r="AF23" s="156"/>
      <c r="AG23" s="156"/>
      <c r="AH23" s="156"/>
      <c r="AI23" s="156"/>
      <c r="AJ23" s="154"/>
    </row>
    <row r="24" spans="1:36" ht="20.149999999999999" customHeight="1">
      <c r="A24" s="99" t="s">
        <v>31</v>
      </c>
      <c r="B24" s="158" t="s">
        <v>27</v>
      </c>
      <c r="C24" s="159" t="s">
        <v>27</v>
      </c>
      <c r="D24" s="159" t="s">
        <v>27</v>
      </c>
      <c r="E24" s="159" t="s">
        <v>27</v>
      </c>
      <c r="F24" s="187" t="s">
        <v>27</v>
      </c>
      <c r="G24" s="100">
        <f>SUM(G25:G27)</f>
        <v>4548385</v>
      </c>
      <c r="H24" s="101">
        <f t="shared" ref="H24:M24" si="21">SUM(H25:H27)</f>
        <v>4565319</v>
      </c>
      <c r="I24" s="101">
        <f t="shared" si="21"/>
        <v>4719129</v>
      </c>
      <c r="J24" s="101">
        <f t="shared" si="21"/>
        <v>4468527</v>
      </c>
      <c r="K24" s="102">
        <f t="shared" si="21"/>
        <v>4468527</v>
      </c>
      <c r="L24" s="100">
        <f t="shared" si="21"/>
        <v>4350325</v>
      </c>
      <c r="M24" s="101">
        <f t="shared" si="21"/>
        <v>4227128</v>
      </c>
      <c r="N24" s="101">
        <f>SUM(N25:N27)</f>
        <v>4219194</v>
      </c>
      <c r="O24" s="101">
        <f>SUM(O25:O27)</f>
        <v>4134203</v>
      </c>
      <c r="P24" s="103">
        <f>SUM(P25:P27)</f>
        <v>4134203</v>
      </c>
      <c r="Q24" s="100">
        <f t="shared" ref="Q24:V24" si="22">SUM(Q25:Q27)</f>
        <v>4034757</v>
      </c>
      <c r="R24" s="101">
        <f t="shared" si="22"/>
        <v>3972069</v>
      </c>
      <c r="S24" s="101">
        <f t="shared" si="22"/>
        <v>3976807</v>
      </c>
      <c r="T24" s="101">
        <f t="shared" si="22"/>
        <v>3854993</v>
      </c>
      <c r="U24" s="103">
        <f t="shared" si="22"/>
        <v>3854993</v>
      </c>
      <c r="V24" s="100">
        <f t="shared" si="22"/>
        <v>3787667</v>
      </c>
      <c r="W24" s="101">
        <f t="shared" ref="W24:AJ24" si="23">SUM(W25:W27)</f>
        <v>3830816</v>
      </c>
      <c r="X24" s="101">
        <f t="shared" si="23"/>
        <v>3527904</v>
      </c>
      <c r="Y24" s="101">
        <f t="shared" si="23"/>
        <v>3270338</v>
      </c>
      <c r="Z24" s="103">
        <f t="shared" si="23"/>
        <v>3270338</v>
      </c>
      <c r="AA24" s="100">
        <f t="shared" si="23"/>
        <v>2879090</v>
      </c>
      <c r="AB24" s="101">
        <f t="shared" si="23"/>
        <v>2854301</v>
      </c>
      <c r="AC24" s="101">
        <f t="shared" si="23"/>
        <v>2880161</v>
      </c>
      <c r="AD24" s="101">
        <f t="shared" si="23"/>
        <v>2837553</v>
      </c>
      <c r="AE24" s="103">
        <f t="shared" si="23"/>
        <v>2837553</v>
      </c>
      <c r="AF24" s="101">
        <f t="shared" si="23"/>
        <v>2783184</v>
      </c>
      <c r="AG24" s="101">
        <f t="shared" si="23"/>
        <v>0</v>
      </c>
      <c r="AH24" s="101">
        <f t="shared" si="23"/>
        <v>0</v>
      </c>
      <c r="AI24" s="101">
        <f t="shared" si="23"/>
        <v>0</v>
      </c>
      <c r="AJ24" s="103">
        <f t="shared" si="23"/>
        <v>0</v>
      </c>
    </row>
    <row r="25" spans="1:36" ht="20.149999999999999" customHeight="1">
      <c r="A25" s="104" t="s">
        <v>40</v>
      </c>
      <c r="B25" s="131" t="s">
        <v>27</v>
      </c>
      <c r="C25" s="132" t="s">
        <v>27</v>
      </c>
      <c r="D25" s="132" t="s">
        <v>27</v>
      </c>
      <c r="E25" s="132" t="s">
        <v>27</v>
      </c>
      <c r="F25" s="188" t="s">
        <v>27</v>
      </c>
      <c r="G25" s="105">
        <v>85574</v>
      </c>
      <c r="H25" s="106">
        <v>81441</v>
      </c>
      <c r="I25" s="106">
        <v>84538</v>
      </c>
      <c r="J25" s="106">
        <v>77771</v>
      </c>
      <c r="K25" s="109">
        <f>J25</f>
        <v>77771</v>
      </c>
      <c r="L25" s="105">
        <v>81619</v>
      </c>
      <c r="M25" s="106">
        <v>66578</v>
      </c>
      <c r="N25" s="108">
        <v>98136</v>
      </c>
      <c r="O25" s="106">
        <v>122787</v>
      </c>
      <c r="P25" s="109">
        <v>122787</v>
      </c>
      <c r="Q25" s="105">
        <v>66163</v>
      </c>
      <c r="R25" s="106">
        <v>41517</v>
      </c>
      <c r="S25" s="106">
        <v>60471</v>
      </c>
      <c r="T25" s="106">
        <v>31972</v>
      </c>
      <c r="U25" s="109">
        <f>T25</f>
        <v>31972</v>
      </c>
      <c r="V25" s="105">
        <v>35754</v>
      </c>
      <c r="W25" s="106">
        <v>73544</v>
      </c>
      <c r="X25" s="106">
        <v>44913</v>
      </c>
      <c r="Y25" s="106">
        <v>79306</v>
      </c>
      <c r="Z25" s="109">
        <f>Y25</f>
        <v>79306</v>
      </c>
      <c r="AA25" s="105">
        <v>48224</v>
      </c>
      <c r="AB25" s="106">
        <v>57183</v>
      </c>
      <c r="AC25" s="106">
        <v>63627</v>
      </c>
      <c r="AD25" s="106">
        <v>79561</v>
      </c>
      <c r="AE25" s="109">
        <f>AD25</f>
        <v>79561</v>
      </c>
      <c r="AF25" s="106">
        <v>75159</v>
      </c>
      <c r="AG25" s="106"/>
      <c r="AH25" s="106"/>
      <c r="AI25" s="106"/>
      <c r="AJ25" s="109"/>
    </row>
    <row r="26" spans="1:36" ht="20.149999999999999" customHeight="1">
      <c r="A26" s="104" t="s">
        <v>41</v>
      </c>
      <c r="B26" s="131" t="s">
        <v>27</v>
      </c>
      <c r="C26" s="132" t="s">
        <v>27</v>
      </c>
      <c r="D26" s="132" t="s">
        <v>27</v>
      </c>
      <c r="E26" s="132" t="s">
        <v>27</v>
      </c>
      <c r="F26" s="188" t="s">
        <v>27</v>
      </c>
      <c r="G26" s="105">
        <v>4385742</v>
      </c>
      <c r="H26" s="106">
        <v>4379630</v>
      </c>
      <c r="I26" s="106">
        <v>4475541</v>
      </c>
      <c r="J26" s="106">
        <v>4171810</v>
      </c>
      <c r="K26" s="109">
        <f>J26</f>
        <v>4171810</v>
      </c>
      <c r="L26" s="105">
        <v>4042605</v>
      </c>
      <c r="M26" s="106">
        <v>3923778</v>
      </c>
      <c r="N26" s="108">
        <v>3855669</v>
      </c>
      <c r="O26" s="106">
        <v>3792978</v>
      </c>
      <c r="P26" s="109">
        <v>3792978</v>
      </c>
      <c r="Q26" s="105">
        <v>3775976</v>
      </c>
      <c r="R26" s="106">
        <v>3737282</v>
      </c>
      <c r="S26" s="106">
        <v>3685092</v>
      </c>
      <c r="T26" s="106">
        <v>3591736</v>
      </c>
      <c r="U26" s="109">
        <f t="shared" ref="U26:U27" si="24">T26</f>
        <v>3591736</v>
      </c>
      <c r="V26" s="105">
        <v>3495733</v>
      </c>
      <c r="W26" s="106">
        <v>3473228</v>
      </c>
      <c r="X26" s="106">
        <v>3223224</v>
      </c>
      <c r="Y26" s="106">
        <v>2972443</v>
      </c>
      <c r="Z26" s="109">
        <f t="shared" ref="Z26:Z27" si="25">Y26</f>
        <v>2972443</v>
      </c>
      <c r="AA26" s="105">
        <v>2646477</v>
      </c>
      <c r="AB26" s="106">
        <v>2616592</v>
      </c>
      <c r="AC26" s="106">
        <v>2623950</v>
      </c>
      <c r="AD26" s="106">
        <v>2579613</v>
      </c>
      <c r="AE26" s="109">
        <f t="shared" ref="AE26:AE27" si="26">AD26</f>
        <v>2579613</v>
      </c>
      <c r="AF26" s="106">
        <v>2539402</v>
      </c>
      <c r="AG26" s="106"/>
      <c r="AH26" s="106"/>
      <c r="AI26" s="106"/>
      <c r="AJ26" s="109"/>
    </row>
    <row r="27" spans="1:36" ht="20.149999999999999" customHeight="1" thickBot="1">
      <c r="A27" s="171" t="s">
        <v>12</v>
      </c>
      <c r="B27" s="131" t="s">
        <v>27</v>
      </c>
      <c r="C27" s="132" t="s">
        <v>27</v>
      </c>
      <c r="D27" s="132" t="s">
        <v>27</v>
      </c>
      <c r="E27" s="132" t="s">
        <v>27</v>
      </c>
      <c r="F27" s="188" t="s">
        <v>27</v>
      </c>
      <c r="G27" s="105">
        <v>77069</v>
      </c>
      <c r="H27" s="106">
        <v>104248</v>
      </c>
      <c r="I27" s="106">
        <v>159050</v>
      </c>
      <c r="J27" s="106">
        <v>218946</v>
      </c>
      <c r="K27" s="109">
        <f>J27</f>
        <v>218946</v>
      </c>
      <c r="L27" s="105">
        <v>226101</v>
      </c>
      <c r="M27" s="106">
        <v>236772</v>
      </c>
      <c r="N27" s="108">
        <v>265389</v>
      </c>
      <c r="O27" s="106">
        <v>218438</v>
      </c>
      <c r="P27" s="109">
        <v>218438</v>
      </c>
      <c r="Q27" s="105">
        <v>192618</v>
      </c>
      <c r="R27" s="106">
        <v>193270</v>
      </c>
      <c r="S27" s="106">
        <v>231244</v>
      </c>
      <c r="T27" s="106">
        <v>231285</v>
      </c>
      <c r="U27" s="109">
        <f t="shared" si="24"/>
        <v>231285</v>
      </c>
      <c r="V27" s="105">
        <v>256180</v>
      </c>
      <c r="W27" s="106">
        <v>284044</v>
      </c>
      <c r="X27" s="106">
        <v>259767</v>
      </c>
      <c r="Y27" s="106">
        <v>218589</v>
      </c>
      <c r="Z27" s="109">
        <f t="shared" si="25"/>
        <v>218589</v>
      </c>
      <c r="AA27" s="105">
        <v>184389</v>
      </c>
      <c r="AB27" s="106">
        <v>180526</v>
      </c>
      <c r="AC27" s="106">
        <v>192584</v>
      </c>
      <c r="AD27" s="106">
        <v>178379</v>
      </c>
      <c r="AE27" s="109">
        <f t="shared" si="26"/>
        <v>178379</v>
      </c>
      <c r="AF27" s="106">
        <v>168623</v>
      </c>
      <c r="AG27" s="106"/>
      <c r="AH27" s="106"/>
      <c r="AI27" s="106"/>
      <c r="AJ27" s="109"/>
    </row>
    <row r="28" spans="1:36" ht="20.149999999999999" customHeight="1" thickBot="1">
      <c r="A28" s="189" t="s">
        <v>42</v>
      </c>
      <c r="B28" s="162" t="s">
        <v>27</v>
      </c>
      <c r="C28" s="163" t="s">
        <v>27</v>
      </c>
      <c r="D28" s="163" t="s">
        <v>27</v>
      </c>
      <c r="E28" s="163" t="s">
        <v>27</v>
      </c>
      <c r="F28" s="190" t="s">
        <v>27</v>
      </c>
      <c r="G28" s="164">
        <v>18</v>
      </c>
      <c r="H28" s="165">
        <v>19.2</v>
      </c>
      <c r="I28" s="165">
        <v>18.2</v>
      </c>
      <c r="J28" s="165">
        <v>17.5</v>
      </c>
      <c r="K28" s="166">
        <v>18.2</v>
      </c>
      <c r="L28" s="164">
        <v>16.5</v>
      </c>
      <c r="M28" s="165">
        <v>17.899999999999999</v>
      </c>
      <c r="N28" s="167">
        <v>18.3</v>
      </c>
      <c r="O28" s="165">
        <v>18.2</v>
      </c>
      <c r="P28" s="166">
        <v>17.7</v>
      </c>
      <c r="Q28" s="164">
        <v>17.3</v>
      </c>
      <c r="R28" s="165">
        <v>18.3</v>
      </c>
      <c r="S28" s="165">
        <v>19</v>
      </c>
      <c r="T28" s="165">
        <v>18.5</v>
      </c>
      <c r="U28" s="166">
        <v>18.3</v>
      </c>
      <c r="V28" s="164">
        <v>17.7</v>
      </c>
      <c r="W28" s="165">
        <v>18.899999999999999</v>
      </c>
      <c r="X28" s="165">
        <v>18.7</v>
      </c>
      <c r="Y28" s="165">
        <v>19.2</v>
      </c>
      <c r="Z28" s="166">
        <v>18.600000000000001</v>
      </c>
      <c r="AA28" s="164">
        <v>18.7</v>
      </c>
      <c r="AB28" s="165">
        <v>20.5</v>
      </c>
      <c r="AC28" s="165">
        <v>20.2</v>
      </c>
      <c r="AD28" s="165">
        <v>20.100000000000001</v>
      </c>
      <c r="AE28" s="166">
        <v>19.899999999999999</v>
      </c>
      <c r="AF28" s="165">
        <v>20.100000000000001</v>
      </c>
      <c r="AG28" s="165"/>
      <c r="AH28" s="165"/>
      <c r="AI28" s="165"/>
      <c r="AJ28" s="166"/>
    </row>
    <row r="29" spans="1:36" ht="20.149999999999999" customHeight="1">
      <c r="A29" s="168" t="s">
        <v>220</v>
      </c>
      <c r="B29" s="169" t="s">
        <v>27</v>
      </c>
      <c r="C29" s="191" t="s">
        <v>27</v>
      </c>
      <c r="D29" s="191" t="s">
        <v>27</v>
      </c>
      <c r="E29" s="191" t="s">
        <v>27</v>
      </c>
      <c r="F29" s="192" t="s">
        <v>27</v>
      </c>
      <c r="G29" s="143">
        <f>SUM(G30:G32)</f>
        <v>4549031</v>
      </c>
      <c r="H29" s="144">
        <f t="shared" ref="H29:M29" si="27">SUM(H30:H32)</f>
        <v>4532090</v>
      </c>
      <c r="I29" s="144">
        <f t="shared" si="27"/>
        <v>4635182</v>
      </c>
      <c r="J29" s="144">
        <f t="shared" si="27"/>
        <v>4599374</v>
      </c>
      <c r="K29" s="170">
        <f t="shared" si="27"/>
        <v>4578919.25</v>
      </c>
      <c r="L29" s="143">
        <f t="shared" si="27"/>
        <v>4398038</v>
      </c>
      <c r="M29" s="144">
        <f t="shared" si="27"/>
        <v>4285747</v>
      </c>
      <c r="N29" s="144">
        <f>SUM(N30:N32)</f>
        <v>4212274</v>
      </c>
      <c r="O29" s="144">
        <f>SUM(O30:O32)</f>
        <v>4172129</v>
      </c>
      <c r="P29" s="170">
        <f>SUM(P30:P32)</f>
        <v>4267047</v>
      </c>
      <c r="Q29" s="143">
        <f t="shared" ref="Q29:V29" si="28">SUM(Q30:Q32)</f>
        <v>4068646</v>
      </c>
      <c r="R29" s="144">
        <f t="shared" si="28"/>
        <v>4006108</v>
      </c>
      <c r="S29" s="144">
        <f t="shared" si="28"/>
        <v>3970091</v>
      </c>
      <c r="T29" s="144">
        <f t="shared" si="28"/>
        <v>3917979</v>
      </c>
      <c r="U29" s="170">
        <f t="shared" si="28"/>
        <v>3990706</v>
      </c>
      <c r="V29" s="143">
        <f t="shared" si="28"/>
        <v>3801870</v>
      </c>
      <c r="W29" s="144">
        <f t="shared" ref="W29:AJ29" si="29">SUM(W30:W32)</f>
        <v>3794613</v>
      </c>
      <c r="X29" s="144">
        <f t="shared" si="29"/>
        <v>3713417</v>
      </c>
      <c r="Y29" s="144">
        <f t="shared" si="29"/>
        <v>3341220</v>
      </c>
      <c r="Z29" s="170">
        <f t="shared" si="29"/>
        <v>3662780</v>
      </c>
      <c r="AA29" s="143">
        <f t="shared" si="29"/>
        <v>3050604</v>
      </c>
      <c r="AB29" s="144">
        <f t="shared" si="29"/>
        <v>2882155</v>
      </c>
      <c r="AC29" s="144">
        <f t="shared" si="29"/>
        <v>2863783</v>
      </c>
      <c r="AD29" s="144">
        <f t="shared" si="29"/>
        <v>2851766</v>
      </c>
      <c r="AE29" s="170">
        <f t="shared" si="29"/>
        <v>2912076</v>
      </c>
      <c r="AF29" s="144">
        <f t="shared" si="29"/>
        <v>2789695</v>
      </c>
      <c r="AG29" s="144">
        <f t="shared" si="29"/>
        <v>0</v>
      </c>
      <c r="AH29" s="144">
        <f t="shared" si="29"/>
        <v>0</v>
      </c>
      <c r="AI29" s="144">
        <f t="shared" si="29"/>
        <v>0</v>
      </c>
      <c r="AJ29" s="170">
        <f t="shared" si="29"/>
        <v>0</v>
      </c>
    </row>
    <row r="30" spans="1:36" ht="20.149999999999999" customHeight="1">
      <c r="A30" s="104" t="s">
        <v>40</v>
      </c>
      <c r="B30" s="131" t="s">
        <v>27</v>
      </c>
      <c r="C30" s="132" t="s">
        <v>27</v>
      </c>
      <c r="D30" s="132" t="s">
        <v>27</v>
      </c>
      <c r="E30" s="132" t="s">
        <v>27</v>
      </c>
      <c r="F30" s="188" t="s">
        <v>27</v>
      </c>
      <c r="G30" s="105">
        <v>78707</v>
      </c>
      <c r="H30" s="106">
        <v>73828</v>
      </c>
      <c r="I30" s="106">
        <v>68740</v>
      </c>
      <c r="J30" s="106">
        <v>77953</v>
      </c>
      <c r="K30" s="109">
        <f>AVERAGE(G30:J30)</f>
        <v>74807</v>
      </c>
      <c r="L30" s="105">
        <v>77779</v>
      </c>
      <c r="M30" s="106">
        <v>79253</v>
      </c>
      <c r="N30" s="108">
        <v>69522</v>
      </c>
      <c r="O30" s="106">
        <v>129021</v>
      </c>
      <c r="P30" s="109">
        <v>88894</v>
      </c>
      <c r="Q30" s="105">
        <v>67972</v>
      </c>
      <c r="R30" s="106">
        <v>61165</v>
      </c>
      <c r="S30" s="106">
        <v>41313</v>
      </c>
      <c r="T30" s="106">
        <v>56743</v>
      </c>
      <c r="U30" s="109">
        <v>56798</v>
      </c>
      <c r="V30" s="105">
        <v>36255</v>
      </c>
      <c r="W30" s="106">
        <v>52114</v>
      </c>
      <c r="X30" s="106">
        <v>42971</v>
      </c>
      <c r="Y30" s="106">
        <v>54083</v>
      </c>
      <c r="Z30" s="109">
        <v>46356</v>
      </c>
      <c r="AA30" s="105">
        <v>48659</v>
      </c>
      <c r="AB30" s="106">
        <v>69132</v>
      </c>
      <c r="AC30" s="106">
        <v>54950</v>
      </c>
      <c r="AD30" s="106">
        <v>65088</v>
      </c>
      <c r="AE30" s="109">
        <v>59457</v>
      </c>
      <c r="AF30" s="106">
        <v>58222</v>
      </c>
      <c r="AG30" s="106"/>
      <c r="AH30" s="106"/>
      <c r="AI30" s="106"/>
      <c r="AJ30" s="109"/>
    </row>
    <row r="31" spans="1:36" ht="20.149999999999999" customHeight="1">
      <c r="A31" s="104" t="s">
        <v>41</v>
      </c>
      <c r="B31" s="131" t="s">
        <v>27</v>
      </c>
      <c r="C31" s="132" t="s">
        <v>27</v>
      </c>
      <c r="D31" s="132" t="s">
        <v>27</v>
      </c>
      <c r="E31" s="132" t="s">
        <v>27</v>
      </c>
      <c r="F31" s="188" t="s">
        <v>27</v>
      </c>
      <c r="G31" s="105">
        <v>4397976</v>
      </c>
      <c r="H31" s="106">
        <v>4370181</v>
      </c>
      <c r="I31" s="106">
        <v>4431149</v>
      </c>
      <c r="J31" s="106">
        <v>4338987</v>
      </c>
      <c r="K31" s="109">
        <f t="shared" ref="K31:K32" si="30">AVERAGE(G31:J31)</f>
        <v>4384573.25</v>
      </c>
      <c r="L31" s="105">
        <v>4091609</v>
      </c>
      <c r="M31" s="106">
        <v>3975410</v>
      </c>
      <c r="N31" s="108">
        <v>3893375</v>
      </c>
      <c r="O31" s="106">
        <v>3798701</v>
      </c>
      <c r="P31" s="109">
        <v>3939774</v>
      </c>
      <c r="Q31" s="105">
        <v>3797423</v>
      </c>
      <c r="R31" s="106">
        <v>3755130</v>
      </c>
      <c r="S31" s="106">
        <v>3713656</v>
      </c>
      <c r="T31" s="106">
        <v>3630863</v>
      </c>
      <c r="U31" s="109">
        <v>3724268</v>
      </c>
      <c r="V31" s="105">
        <v>3529840</v>
      </c>
      <c r="W31" s="106">
        <v>3473104</v>
      </c>
      <c r="X31" s="106">
        <v>3386794</v>
      </c>
      <c r="Y31" s="106">
        <v>3058691</v>
      </c>
      <c r="Z31" s="109">
        <v>3362107</v>
      </c>
      <c r="AA31" s="105">
        <v>2800366</v>
      </c>
      <c r="AB31" s="106">
        <v>2631773</v>
      </c>
      <c r="AC31" s="106">
        <v>2620575</v>
      </c>
      <c r="AD31" s="106">
        <v>2601552</v>
      </c>
      <c r="AE31" s="109">
        <v>2663566</v>
      </c>
      <c r="AF31" s="106">
        <v>2558174</v>
      </c>
      <c r="AG31" s="106"/>
      <c r="AH31" s="106"/>
      <c r="AI31" s="106"/>
      <c r="AJ31" s="109"/>
    </row>
    <row r="32" spans="1:36" ht="20.149999999999999" customHeight="1" thickBot="1">
      <c r="A32" s="171" t="s">
        <v>12</v>
      </c>
      <c r="B32" s="160" t="s">
        <v>27</v>
      </c>
      <c r="C32" s="161" t="s">
        <v>27</v>
      </c>
      <c r="D32" s="161" t="s">
        <v>27</v>
      </c>
      <c r="E32" s="161" t="s">
        <v>27</v>
      </c>
      <c r="F32" s="193" t="s">
        <v>27</v>
      </c>
      <c r="G32" s="173">
        <v>72348</v>
      </c>
      <c r="H32" s="174">
        <v>88081</v>
      </c>
      <c r="I32" s="174">
        <v>135293</v>
      </c>
      <c r="J32" s="174">
        <v>182434</v>
      </c>
      <c r="K32" s="172">
        <f t="shared" si="30"/>
        <v>119539</v>
      </c>
      <c r="L32" s="173">
        <v>228650</v>
      </c>
      <c r="M32" s="174">
        <v>231084</v>
      </c>
      <c r="N32" s="175">
        <v>249377</v>
      </c>
      <c r="O32" s="174">
        <v>244407</v>
      </c>
      <c r="P32" s="172">
        <v>238379</v>
      </c>
      <c r="Q32" s="173">
        <v>203251</v>
      </c>
      <c r="R32" s="174">
        <v>189813</v>
      </c>
      <c r="S32" s="174">
        <v>215122</v>
      </c>
      <c r="T32" s="174">
        <v>230373</v>
      </c>
      <c r="U32" s="172">
        <v>209640</v>
      </c>
      <c r="V32" s="173">
        <v>235775</v>
      </c>
      <c r="W32" s="174">
        <v>269395</v>
      </c>
      <c r="X32" s="174">
        <v>283652</v>
      </c>
      <c r="Y32" s="174">
        <v>228446</v>
      </c>
      <c r="Z32" s="172">
        <v>254317</v>
      </c>
      <c r="AA32" s="173">
        <v>201579</v>
      </c>
      <c r="AB32" s="174">
        <v>181250</v>
      </c>
      <c r="AC32" s="174">
        <v>188258</v>
      </c>
      <c r="AD32" s="174">
        <v>185126</v>
      </c>
      <c r="AE32" s="172">
        <v>189053</v>
      </c>
      <c r="AF32" s="174">
        <v>173299</v>
      </c>
      <c r="AG32" s="174"/>
      <c r="AH32" s="174"/>
      <c r="AI32" s="174"/>
      <c r="AJ32" s="172"/>
    </row>
    <row r="33" spans="1:36" ht="20.149999999999999" customHeight="1">
      <c r="T33" s="250"/>
      <c r="U33" s="250"/>
      <c r="V33" s="250"/>
      <c r="W33" s="250"/>
      <c r="X33" s="250"/>
      <c r="Y33" s="250"/>
      <c r="Z33" s="250"/>
      <c r="AA33" s="250"/>
      <c r="AB33" s="250"/>
      <c r="AC33" s="250"/>
      <c r="AD33" s="250"/>
      <c r="AE33" s="250"/>
      <c r="AF33" s="250"/>
      <c r="AG33" s="250"/>
      <c r="AH33" s="250"/>
      <c r="AI33" s="250"/>
      <c r="AJ33" s="250"/>
    </row>
    <row r="34" spans="1:36" ht="20.149999999999999" customHeight="1">
      <c r="A34" s="1" t="s">
        <v>43</v>
      </c>
      <c r="T34" s="251"/>
      <c r="U34" s="251"/>
      <c r="V34" s="251"/>
      <c r="W34" s="251"/>
      <c r="X34" s="251"/>
      <c r="Y34" s="251"/>
      <c r="Z34" s="251"/>
      <c r="AA34" s="251"/>
      <c r="AB34" s="251"/>
      <c r="AC34" s="251"/>
      <c r="AD34" s="251"/>
      <c r="AE34" s="251"/>
      <c r="AF34" s="251"/>
      <c r="AG34" s="251"/>
      <c r="AH34" s="251"/>
      <c r="AI34" s="251"/>
      <c r="AJ34" s="251"/>
    </row>
    <row r="35" spans="1:36" ht="20.149999999999999" customHeight="1">
      <c r="A35" s="1" t="s">
        <v>44</v>
      </c>
      <c r="T35" s="251"/>
      <c r="U35" s="251"/>
      <c r="V35" s="251"/>
      <c r="W35" s="251"/>
      <c r="X35" s="251"/>
      <c r="Y35" s="251"/>
      <c r="Z35" s="251"/>
      <c r="AA35" s="251"/>
      <c r="AB35" s="251"/>
      <c r="AC35" s="251"/>
      <c r="AD35" s="251"/>
      <c r="AE35" s="251"/>
      <c r="AF35" s="251"/>
      <c r="AG35" s="251"/>
      <c r="AH35" s="251"/>
      <c r="AI35" s="251"/>
      <c r="AJ35" s="251"/>
    </row>
    <row r="36" spans="1:36" ht="20.149999999999999" customHeight="1">
      <c r="A36" s="578" t="s">
        <v>45</v>
      </c>
      <c r="B36" s="579"/>
      <c r="C36" s="579"/>
      <c r="D36" s="579"/>
      <c r="E36" s="579"/>
      <c r="F36" s="579"/>
      <c r="G36" s="579"/>
      <c r="H36" s="579"/>
      <c r="I36" s="579"/>
      <c r="T36" s="251"/>
      <c r="U36" s="251"/>
      <c r="V36" s="251"/>
      <c r="W36" s="251"/>
      <c r="X36" s="251"/>
      <c r="Y36" s="251"/>
      <c r="Z36" s="251"/>
      <c r="AA36" s="251"/>
      <c r="AB36" s="251"/>
      <c r="AC36" s="251"/>
      <c r="AD36" s="251"/>
      <c r="AE36" s="251"/>
      <c r="AF36" s="251"/>
      <c r="AG36" s="251"/>
      <c r="AH36" s="251"/>
      <c r="AI36" s="251"/>
      <c r="AJ36" s="251"/>
    </row>
    <row r="37" spans="1:36" ht="42.75" customHeight="1">
      <c r="A37" s="578" t="s">
        <v>46</v>
      </c>
      <c r="B37" s="578"/>
      <c r="C37" s="578"/>
      <c r="D37" s="578"/>
      <c r="E37" s="578"/>
      <c r="F37" s="578"/>
      <c r="G37" s="578"/>
      <c r="H37" s="578"/>
      <c r="I37" s="578"/>
      <c r="J37" s="578"/>
      <c r="K37" s="578"/>
      <c r="L37" s="578"/>
      <c r="M37" s="578"/>
      <c r="T37" s="252"/>
      <c r="U37" s="250"/>
      <c r="V37" s="250"/>
      <c r="W37" s="250"/>
      <c r="X37" s="250"/>
      <c r="Y37" s="252"/>
      <c r="Z37" s="250"/>
      <c r="AA37" s="250"/>
      <c r="AB37" s="250"/>
      <c r="AC37" s="250"/>
      <c r="AD37" s="252"/>
      <c r="AE37" s="250"/>
      <c r="AF37" s="250"/>
      <c r="AG37" s="250"/>
      <c r="AH37" s="250"/>
      <c r="AI37" s="252"/>
      <c r="AJ37" s="250"/>
    </row>
    <row r="38" spans="1:36" ht="20.149999999999999" customHeight="1">
      <c r="A38" s="579" t="s">
        <v>47</v>
      </c>
      <c r="B38" s="579"/>
      <c r="C38" s="579"/>
      <c r="D38" s="579"/>
      <c r="E38" s="579"/>
      <c r="F38" s="579"/>
      <c r="G38" s="579"/>
      <c r="H38" s="579"/>
      <c r="I38" s="579"/>
      <c r="J38" s="579"/>
      <c r="K38" s="579"/>
      <c r="L38" s="579"/>
      <c r="M38" s="579"/>
      <c r="T38" s="251"/>
      <c r="U38" s="251"/>
      <c r="V38" s="251"/>
      <c r="W38" s="251"/>
      <c r="X38" s="251"/>
      <c r="Y38" s="251"/>
      <c r="Z38" s="251"/>
      <c r="AA38" s="251"/>
      <c r="AB38" s="251"/>
      <c r="AC38" s="251"/>
      <c r="AD38" s="251"/>
      <c r="AE38" s="251"/>
      <c r="AF38" s="251"/>
      <c r="AG38" s="251"/>
      <c r="AH38" s="251"/>
      <c r="AI38" s="251"/>
      <c r="AJ38" s="251"/>
    </row>
    <row r="39" spans="1:36" ht="20.149999999999999" customHeight="1">
      <c r="T39" s="250"/>
      <c r="U39" s="250"/>
      <c r="V39" s="250"/>
      <c r="W39" s="250"/>
      <c r="X39" s="250"/>
      <c r="Y39" s="250"/>
      <c r="Z39" s="250"/>
      <c r="AA39" s="250"/>
      <c r="AB39" s="250"/>
      <c r="AC39" s="250"/>
      <c r="AD39" s="250"/>
      <c r="AE39" s="250"/>
      <c r="AF39" s="250"/>
      <c r="AG39" s="250"/>
      <c r="AH39" s="250"/>
      <c r="AI39" s="250"/>
      <c r="AJ39" s="250"/>
    </row>
    <row r="40" spans="1:36" ht="20.149999999999999" customHeight="1"/>
    <row r="41" spans="1:36" ht="20.149999999999999" customHeight="1"/>
    <row r="42" spans="1:36" ht="20.149999999999999" customHeight="1"/>
    <row r="43" spans="1:36" ht="20.149999999999999" customHeight="1"/>
    <row r="44" spans="1:36" ht="20.149999999999999" customHeight="1"/>
    <row r="45" spans="1:36" ht="20.149999999999999" customHeight="1"/>
    <row r="46" spans="1:36" ht="20.149999999999999" customHeight="1"/>
    <row r="47" spans="1:36" ht="20.149999999999999" customHeight="1"/>
    <row r="48" spans="1:36" ht="20.149999999999999" customHeight="1"/>
    <row r="49" spans="2:36" ht="20.149999999999999" customHeight="1"/>
    <row r="50" spans="2:36" ht="20.149999999999999" customHeight="1"/>
    <row r="51" spans="2:36" s="1" customFormat="1" ht="20.149999999999999"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c r="AF51" s="2"/>
      <c r="AG51" s="2"/>
      <c r="AH51" s="2"/>
      <c r="AI51" s="2"/>
      <c r="AJ51" s="2"/>
    </row>
    <row r="52" spans="2:36" s="1" customFormat="1" ht="20.149999999999999"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c r="AF52" s="2"/>
      <c r="AG52" s="2"/>
      <c r="AH52" s="2"/>
      <c r="AI52" s="2"/>
      <c r="AJ52" s="2"/>
    </row>
    <row r="53" spans="2:36" s="1" customFormat="1" ht="20.149999999999999"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c r="AF53" s="2"/>
      <c r="AG53" s="2"/>
      <c r="AH53" s="2"/>
      <c r="AI53" s="2"/>
      <c r="AJ53" s="2"/>
    </row>
    <row r="54" spans="2:36" s="1" customFormat="1" ht="20.149999999999999"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c r="AF54" s="2"/>
      <c r="AG54" s="2"/>
      <c r="AH54" s="2"/>
      <c r="AI54" s="2"/>
      <c r="AJ54" s="2"/>
    </row>
    <row r="55" spans="2:36" s="1" customFormat="1" ht="20.149999999999999"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c r="AF55" s="2"/>
      <c r="AG55" s="2"/>
      <c r="AH55" s="2"/>
      <c r="AI55" s="2"/>
      <c r="AJ55" s="2"/>
    </row>
    <row r="56" spans="2:36" s="1" customFormat="1" ht="20.149999999999999" customHeight="1">
      <c r="B56" s="2"/>
      <c r="C56" s="2"/>
      <c r="D56" s="2"/>
      <c r="E56" s="2"/>
      <c r="F56" s="2"/>
      <c r="G56" s="2"/>
      <c r="H56" s="2"/>
      <c r="I56" s="2"/>
      <c r="J56" s="2"/>
      <c r="K56" s="2"/>
      <c r="L56" s="2"/>
      <c r="M56" s="2"/>
      <c r="N56" s="2"/>
      <c r="O56" s="2"/>
      <c r="P56" s="2"/>
      <c r="Q56" s="2"/>
      <c r="R56" s="2"/>
      <c r="S56" s="5"/>
      <c r="T56" s="2"/>
      <c r="U56" s="2"/>
      <c r="V56" s="2"/>
      <c r="W56" s="2"/>
      <c r="X56" s="2"/>
      <c r="Y56" s="2"/>
      <c r="Z56" s="2"/>
      <c r="AA56" s="2"/>
      <c r="AB56" s="2"/>
      <c r="AC56" s="2"/>
      <c r="AD56" s="2"/>
      <c r="AE56" s="2"/>
      <c r="AF56" s="2"/>
      <c r="AG56" s="2"/>
      <c r="AH56" s="2"/>
      <c r="AI56" s="2"/>
      <c r="AJ56" s="2"/>
    </row>
  </sheetData>
  <mergeCells count="19">
    <mergeCell ref="A37:M37"/>
    <mergeCell ref="A38:M38"/>
    <mergeCell ref="U3:U4"/>
    <mergeCell ref="Q3:T3"/>
    <mergeCell ref="P3:P4"/>
    <mergeCell ref="A36:I36"/>
    <mergeCell ref="AF3:AI3"/>
    <mergeCell ref="AJ3:AJ4"/>
    <mergeCell ref="A2:N2"/>
    <mergeCell ref="A3:A4"/>
    <mergeCell ref="B3:E3"/>
    <mergeCell ref="F3:F4"/>
    <mergeCell ref="G3:J3"/>
    <mergeCell ref="K3:K4"/>
    <mergeCell ref="L3:O3"/>
    <mergeCell ref="AA3:AD3"/>
    <mergeCell ref="AE3:AE4"/>
    <mergeCell ref="Z3:Z4"/>
    <mergeCell ref="V3:Y3"/>
  </mergeCells>
  <pageMargins left="0.7" right="0.7" top="0.75" bottom="0.75" header="0.3" footer="0.3"/>
  <pageSetup paperSize="9" scale="45" orientation="portrait" horizontalDpi="4294967294" r:id="rId1"/>
  <ignoredErrors>
    <ignoredError sqref="G24:J24 L24:P24 Q24:T24 V24:Y24 AA24:AC24" formulaRange="1"/>
    <ignoredError sqref="K7 F7"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4"/>
  <sheetViews>
    <sheetView showGridLines="0" topLeftCell="A67" zoomScale="80" zoomScaleNormal="80" workbookViewId="0">
      <selection activeCell="F77" sqref="F77"/>
    </sheetView>
  </sheetViews>
  <sheetFormatPr defaultRowHeight="14"/>
  <cols>
    <col min="1" max="1" width="1.58203125" style="53" customWidth="1"/>
    <col min="2" max="2" width="30.75" customWidth="1"/>
    <col min="3" max="5" width="12.58203125" customWidth="1"/>
    <col min="6" max="24" width="9" style="53"/>
  </cols>
  <sheetData>
    <row r="1" spans="2:6" s="53" customFormat="1" ht="50.25" customHeight="1" thickBot="1">
      <c r="B1" s="3" t="s">
        <v>24</v>
      </c>
    </row>
    <row r="2" spans="2:6" ht="20.25" customHeight="1" thickBot="1">
      <c r="B2" s="581" t="s">
        <v>25</v>
      </c>
      <c r="C2" s="583" t="s">
        <v>251</v>
      </c>
      <c r="D2" s="584"/>
      <c r="E2" s="585"/>
    </row>
    <row r="3" spans="2:6" ht="20.25" customHeight="1" thickBot="1">
      <c r="B3" s="582"/>
      <c r="C3" s="226">
        <v>2018</v>
      </c>
      <c r="D3" s="227">
        <v>2017</v>
      </c>
      <c r="E3" s="228" t="s">
        <v>221</v>
      </c>
      <c r="F3" s="176"/>
    </row>
    <row r="4" spans="2:6" ht="25.5" customHeight="1">
      <c r="B4" s="177" t="s">
        <v>26</v>
      </c>
      <c r="C4" s="178">
        <f>C5+C6</f>
        <v>0.2392</v>
      </c>
      <c r="D4" s="254">
        <f>D5+D6</f>
        <v>0.2359</v>
      </c>
      <c r="E4" s="442">
        <f>IFERROR((C4-D4)*100,"n/a")</f>
        <v>0.32999999999999974</v>
      </c>
      <c r="F4" s="176"/>
    </row>
    <row r="5" spans="2:6" ht="25.5" customHeight="1">
      <c r="B5" s="179" t="s">
        <v>277</v>
      </c>
      <c r="C5" s="253">
        <v>0.1187</v>
      </c>
      <c r="D5" s="254">
        <v>0.127</v>
      </c>
      <c r="E5" s="443">
        <f t="shared" ref="E5:E31" si="0">IFERROR((C5-D5)*100,"n/a")</f>
        <v>-0.83000000000000018</v>
      </c>
      <c r="F5" s="176"/>
    </row>
    <row r="6" spans="2:6" ht="25.5" customHeight="1">
      <c r="B6" s="179" t="s">
        <v>217</v>
      </c>
      <c r="C6" s="253">
        <v>0.1205</v>
      </c>
      <c r="D6" s="254">
        <v>0.1089</v>
      </c>
      <c r="E6" s="443">
        <f t="shared" si="0"/>
        <v>1.1599999999999999</v>
      </c>
      <c r="F6" s="176"/>
    </row>
    <row r="7" spans="2:6" ht="18" customHeight="1">
      <c r="B7" s="512" t="s">
        <v>181</v>
      </c>
      <c r="C7" s="513">
        <v>3.8199999999999998E-2</v>
      </c>
      <c r="D7" s="514">
        <v>3.9600000000000003E-2</v>
      </c>
      <c r="E7" s="444">
        <f t="shared" si="0"/>
        <v>-0.14000000000000054</v>
      </c>
      <c r="F7" s="176"/>
    </row>
    <row r="8" spans="2:6" ht="18" customHeight="1">
      <c r="B8" s="512" t="s">
        <v>182</v>
      </c>
      <c r="C8" s="513">
        <v>1.43E-2</v>
      </c>
      <c r="D8" s="514">
        <v>1.6799999999999999E-2</v>
      </c>
      <c r="E8" s="444">
        <f t="shared" si="0"/>
        <v>-0.24999999999999989</v>
      </c>
      <c r="F8" s="176"/>
    </row>
    <row r="9" spans="2:6" ht="18" customHeight="1">
      <c r="B9" s="512" t="s">
        <v>183</v>
      </c>
      <c r="C9" s="513">
        <v>1.3100000000000001E-2</v>
      </c>
      <c r="D9" s="514">
        <v>1.26E-2</v>
      </c>
      <c r="E9" s="444">
        <f t="shared" si="0"/>
        <v>5.0000000000000044E-2</v>
      </c>
      <c r="F9" s="176"/>
    </row>
    <row r="10" spans="2:6" ht="18" customHeight="1">
      <c r="B10" s="512" t="s">
        <v>258</v>
      </c>
      <c r="C10" s="513">
        <v>9.2999999999999992E-3</v>
      </c>
      <c r="D10" s="514">
        <v>7.6E-3</v>
      </c>
      <c r="E10" s="444">
        <f t="shared" si="0"/>
        <v>0.16999999999999993</v>
      </c>
      <c r="F10" s="176"/>
    </row>
    <row r="11" spans="2:6" ht="18" customHeight="1">
      <c r="B11" s="512" t="s">
        <v>16</v>
      </c>
      <c r="C11" s="513">
        <v>7.0000000000000001E-3</v>
      </c>
      <c r="D11" s="514">
        <v>7.6E-3</v>
      </c>
      <c r="E11" s="444">
        <f t="shared" si="0"/>
        <v>-5.9999999999999984E-2</v>
      </c>
      <c r="F11" s="176"/>
    </row>
    <row r="12" spans="2:6" ht="18" customHeight="1">
      <c r="B12" s="512" t="s">
        <v>13</v>
      </c>
      <c r="C12" s="513">
        <v>6.6E-3</v>
      </c>
      <c r="D12" s="514">
        <v>7.1000000000000004E-3</v>
      </c>
      <c r="E12" s="444">
        <f t="shared" si="0"/>
        <v>-5.0000000000000044E-2</v>
      </c>
      <c r="F12" s="176"/>
    </row>
    <row r="13" spans="2:6" ht="18" customHeight="1">
      <c r="B13" s="512" t="s">
        <v>18</v>
      </c>
      <c r="C13" s="513">
        <v>4.8999999999999998E-3</v>
      </c>
      <c r="D13" s="514">
        <v>5.4999999999999997E-3</v>
      </c>
      <c r="E13" s="444">
        <f t="shared" si="0"/>
        <v>-5.9999999999999984E-2</v>
      </c>
      <c r="F13" s="176"/>
    </row>
    <row r="14" spans="2:6" ht="18" customHeight="1">
      <c r="B14" s="512" t="s">
        <v>17</v>
      </c>
      <c r="C14" s="513">
        <v>3.0000000000000001E-3</v>
      </c>
      <c r="D14" s="514">
        <v>4.1999999999999997E-3</v>
      </c>
      <c r="E14" s="444">
        <f t="shared" si="0"/>
        <v>-0.11999999999999997</v>
      </c>
      <c r="F14" s="176"/>
    </row>
    <row r="15" spans="2:6" ht="18" customHeight="1">
      <c r="B15" s="512" t="s">
        <v>185</v>
      </c>
      <c r="C15" s="513">
        <v>1.6999999999999999E-3</v>
      </c>
      <c r="D15" s="514">
        <v>1.6999999999999999E-3</v>
      </c>
      <c r="E15" s="444">
        <f t="shared" si="0"/>
        <v>0</v>
      </c>
      <c r="F15" s="176"/>
    </row>
    <row r="16" spans="2:6" ht="18" customHeight="1">
      <c r="B16" s="512" t="s">
        <v>14</v>
      </c>
      <c r="C16" s="513">
        <v>1.6000000000000001E-3</v>
      </c>
      <c r="D16" s="514">
        <v>2.3E-3</v>
      </c>
      <c r="E16" s="444">
        <f t="shared" si="0"/>
        <v>-6.9999999999999993E-2</v>
      </c>
      <c r="F16" s="176"/>
    </row>
    <row r="17" spans="2:6" ht="18" customHeight="1">
      <c r="B17" s="512" t="s">
        <v>22</v>
      </c>
      <c r="C17" s="513">
        <v>1.2999999999999999E-3</v>
      </c>
      <c r="D17" s="514">
        <v>1.1000000000000001E-3</v>
      </c>
      <c r="E17" s="444">
        <f t="shared" si="0"/>
        <v>1.9999999999999987E-2</v>
      </c>
      <c r="F17" s="176"/>
    </row>
    <row r="18" spans="2:6" ht="18" customHeight="1">
      <c r="B18" s="512" t="s">
        <v>15</v>
      </c>
      <c r="C18" s="513">
        <v>5.0000000000000001E-4</v>
      </c>
      <c r="D18" s="514">
        <v>8.0000000000000004E-4</v>
      </c>
      <c r="E18" s="444">
        <f t="shared" si="0"/>
        <v>-3.0000000000000002E-2</v>
      </c>
      <c r="F18" s="176"/>
    </row>
    <row r="19" spans="2:6" ht="18" customHeight="1">
      <c r="B19" s="512" t="s">
        <v>222</v>
      </c>
      <c r="C19" s="513">
        <v>5.0000000000000001E-4</v>
      </c>
      <c r="D19" s="514">
        <v>2.9999999999999997E-4</v>
      </c>
      <c r="E19" s="444">
        <f t="shared" si="0"/>
        <v>2.0000000000000004E-2</v>
      </c>
      <c r="F19" s="176"/>
    </row>
    <row r="20" spans="2:6" ht="18" customHeight="1">
      <c r="B20" s="512" t="s">
        <v>187</v>
      </c>
      <c r="C20" s="513">
        <v>4.0000000000000002E-4</v>
      </c>
      <c r="D20" s="514">
        <v>1E-3</v>
      </c>
      <c r="E20" s="444">
        <f t="shared" si="0"/>
        <v>-6.0000000000000005E-2</v>
      </c>
      <c r="F20" s="176"/>
    </row>
    <row r="21" spans="2:6" ht="18" customHeight="1">
      <c r="B21" s="512" t="s">
        <v>259</v>
      </c>
      <c r="C21" s="513">
        <v>4.0000000000000002E-4</v>
      </c>
      <c r="D21" s="514">
        <v>5.0000000000000001E-4</v>
      </c>
      <c r="E21" s="444">
        <f t="shared" si="0"/>
        <v>-9.9999999999999985E-3</v>
      </c>
      <c r="F21" s="176"/>
    </row>
    <row r="22" spans="2:6" ht="18" customHeight="1">
      <c r="B22" s="512" t="s">
        <v>260</v>
      </c>
      <c r="C22" s="513">
        <v>4.0000000000000002E-4</v>
      </c>
      <c r="D22" s="514">
        <v>2.0000000000000001E-4</v>
      </c>
      <c r="E22" s="444">
        <f t="shared" si="0"/>
        <v>0.02</v>
      </c>
      <c r="F22" s="176"/>
    </row>
    <row r="23" spans="2:6" ht="18" customHeight="1">
      <c r="B23" s="512" t="s">
        <v>261</v>
      </c>
      <c r="C23" s="513">
        <v>2.9999999999999997E-4</v>
      </c>
      <c r="D23" s="514">
        <v>2.9999999999999997E-4</v>
      </c>
      <c r="E23" s="444">
        <f t="shared" si="0"/>
        <v>0</v>
      </c>
      <c r="F23" s="176"/>
    </row>
    <row r="24" spans="2:6" ht="18" customHeight="1">
      <c r="B24" s="512" t="s">
        <v>262</v>
      </c>
      <c r="C24" s="513" t="s">
        <v>27</v>
      </c>
      <c r="D24" s="514" t="s">
        <v>27</v>
      </c>
      <c r="E24" s="444" t="str">
        <f t="shared" si="0"/>
        <v>n/a</v>
      </c>
      <c r="F24" s="176"/>
    </row>
    <row r="25" spans="2:6" ht="16.5">
      <c r="B25" s="467" t="s">
        <v>275</v>
      </c>
      <c r="C25" s="513"/>
      <c r="D25" s="514"/>
      <c r="E25" s="444">
        <f t="shared" si="0"/>
        <v>0</v>
      </c>
      <c r="F25" s="176"/>
    </row>
    <row r="26" spans="2:6" ht="18" customHeight="1">
      <c r="B26" s="466" t="s">
        <v>230</v>
      </c>
      <c r="C26" s="513">
        <v>8.3000000000000001E-3</v>
      </c>
      <c r="D26" s="514">
        <v>1.0699999999999999E-2</v>
      </c>
      <c r="E26" s="444">
        <f t="shared" si="0"/>
        <v>-0.23999999999999994</v>
      </c>
      <c r="F26" s="176"/>
    </row>
    <row r="27" spans="2:6" ht="18" customHeight="1">
      <c r="B27" s="466" t="s">
        <v>231</v>
      </c>
      <c r="C27" s="513">
        <v>7.7000000000000002E-3</v>
      </c>
      <c r="D27" s="514">
        <v>8.9999999999999998E-4</v>
      </c>
      <c r="E27" s="444">
        <f t="shared" si="0"/>
        <v>0.68</v>
      </c>
      <c r="F27" s="176"/>
    </row>
    <row r="28" spans="2:6" ht="18" customHeight="1">
      <c r="B28" s="466" t="s">
        <v>232</v>
      </c>
      <c r="C28" s="513">
        <v>8.0000000000000004E-4</v>
      </c>
      <c r="D28" s="514" t="s">
        <v>27</v>
      </c>
      <c r="E28" s="444" t="str">
        <f t="shared" si="0"/>
        <v>n/a</v>
      </c>
      <c r="F28" s="176"/>
    </row>
    <row r="29" spans="2:6" ht="18" customHeight="1">
      <c r="B29" s="466" t="s">
        <v>233</v>
      </c>
      <c r="C29" s="513">
        <v>6.9999999999999999E-4</v>
      </c>
      <c r="D29" s="514">
        <v>5.9999999999999995E-4</v>
      </c>
      <c r="E29" s="444">
        <f t="shared" si="0"/>
        <v>1.0000000000000005E-2</v>
      </c>
      <c r="F29" s="176"/>
    </row>
    <row r="30" spans="2:6" ht="18" customHeight="1" thickBot="1">
      <c r="B30" s="466" t="s">
        <v>234</v>
      </c>
      <c r="C30" s="513">
        <v>1E-4</v>
      </c>
      <c r="D30" s="514">
        <v>2.0000000000000001E-4</v>
      </c>
      <c r="E30" s="444">
        <f t="shared" si="0"/>
        <v>-0.01</v>
      </c>
      <c r="F30" s="176"/>
    </row>
    <row r="31" spans="2:6" s="445" customFormat="1" ht="17" thickBot="1">
      <c r="B31" s="449" t="s">
        <v>276</v>
      </c>
      <c r="C31" s="533">
        <v>0.26900000000000002</v>
      </c>
      <c r="D31" s="450">
        <v>0.25600000000000001</v>
      </c>
      <c r="E31" s="451">
        <f t="shared" si="0"/>
        <v>1.3000000000000012</v>
      </c>
      <c r="F31" s="446"/>
    </row>
    <row r="32" spans="2:6" s="445" customFormat="1" ht="18" customHeight="1" thickBot="1">
      <c r="B32" s="590" t="s">
        <v>266</v>
      </c>
      <c r="C32" s="591"/>
      <c r="D32" s="591"/>
      <c r="E32" s="592"/>
      <c r="F32" s="446"/>
    </row>
    <row r="33" spans="2:6" s="445" customFormat="1" ht="18" customHeight="1">
      <c r="B33" s="512" t="s">
        <v>263</v>
      </c>
      <c r="C33" s="513">
        <v>9.5999999999999992E-3</v>
      </c>
      <c r="D33" s="514">
        <v>8.3000000000000001E-3</v>
      </c>
      <c r="E33" s="444">
        <f t="shared" ref="E33:E39" si="1">IFERROR((C33-D33)*100,"n/d")</f>
        <v>0.12999999999999989</v>
      </c>
      <c r="F33" s="446"/>
    </row>
    <row r="34" spans="2:6" s="445" customFormat="1" ht="18" customHeight="1">
      <c r="B34" s="512" t="s">
        <v>264</v>
      </c>
      <c r="C34" s="513">
        <v>2.8E-3</v>
      </c>
      <c r="D34" s="514">
        <v>1.6000000000000001E-3</v>
      </c>
      <c r="E34" s="444">
        <f t="shared" si="1"/>
        <v>0.12</v>
      </c>
      <c r="F34" s="446"/>
    </row>
    <row r="35" spans="2:6" s="445" customFormat="1" ht="18" customHeight="1">
      <c r="B35" s="512" t="s">
        <v>20</v>
      </c>
      <c r="C35" s="513">
        <v>1.1000000000000001E-3</v>
      </c>
      <c r="D35" s="514">
        <v>1.5E-3</v>
      </c>
      <c r="E35" s="444">
        <f t="shared" si="1"/>
        <v>-3.9999999999999994E-2</v>
      </c>
      <c r="F35" s="446"/>
    </row>
    <row r="36" spans="2:6" s="445" customFormat="1" ht="18" customHeight="1">
      <c r="B36" s="512" t="s">
        <v>19</v>
      </c>
      <c r="C36" s="513">
        <v>1E-3</v>
      </c>
      <c r="D36" s="514">
        <v>1.1999999999999999E-3</v>
      </c>
      <c r="E36" s="444">
        <f t="shared" si="1"/>
        <v>-1.9999999999999987E-2</v>
      </c>
      <c r="F36" s="446"/>
    </row>
    <row r="37" spans="2:6" s="445" customFormat="1" ht="18" customHeight="1">
      <c r="B37" s="512" t="s">
        <v>184</v>
      </c>
      <c r="C37" s="513">
        <v>1E-3</v>
      </c>
      <c r="D37" s="514">
        <v>1.9E-3</v>
      </c>
      <c r="E37" s="444">
        <f t="shared" si="1"/>
        <v>-0.09</v>
      </c>
      <c r="F37" s="446"/>
    </row>
    <row r="38" spans="2:6" s="445" customFormat="1" ht="18" customHeight="1">
      <c r="B38" s="512" t="s">
        <v>186</v>
      </c>
      <c r="C38" s="513">
        <v>8.0000000000000004E-4</v>
      </c>
      <c r="D38" s="514">
        <v>1.1999999999999999E-3</v>
      </c>
      <c r="E38" s="444">
        <f t="shared" si="1"/>
        <v>-3.9999999999999987E-2</v>
      </c>
      <c r="F38" s="446"/>
    </row>
    <row r="39" spans="2:6" s="445" customFormat="1" ht="18" customHeight="1" thickBot="1">
      <c r="B39" s="515" t="s">
        <v>21</v>
      </c>
      <c r="C39" s="516">
        <v>2.0000000000000001E-4</v>
      </c>
      <c r="D39" s="517">
        <v>1E-4</v>
      </c>
      <c r="E39" s="518">
        <f t="shared" si="1"/>
        <v>0.01</v>
      </c>
      <c r="F39" s="446"/>
    </row>
    <row r="40" spans="2:6" s="53" customFormat="1">
      <c r="F40" s="176"/>
    </row>
    <row r="41" spans="2:6" s="53" customFormat="1" ht="166" customHeight="1" thickBot="1">
      <c r="B41" s="588" t="s">
        <v>265</v>
      </c>
      <c r="C41" s="588"/>
      <c r="D41" s="588"/>
      <c r="E41" s="588"/>
      <c r="F41" s="176"/>
    </row>
    <row r="42" spans="2:6" ht="15.75" customHeight="1" thickBot="1">
      <c r="B42" s="586" t="s">
        <v>28</v>
      </c>
      <c r="C42" s="583" t="s">
        <v>251</v>
      </c>
      <c r="D42" s="584"/>
      <c r="E42" s="585"/>
    </row>
    <row r="43" spans="2:6" ht="20.25" customHeight="1" thickBot="1">
      <c r="B43" s="587"/>
      <c r="C43" s="226">
        <v>2018</v>
      </c>
      <c r="D43" s="227">
        <v>2017</v>
      </c>
      <c r="E43" s="228" t="s">
        <v>221</v>
      </c>
    </row>
    <row r="44" spans="2:6" ht="20.25" customHeight="1">
      <c r="B44" s="519" t="s">
        <v>23</v>
      </c>
      <c r="C44" s="522">
        <v>1</v>
      </c>
      <c r="D44" s="523">
        <v>1</v>
      </c>
      <c r="E44" s="447">
        <f>IFERROR((C44-D44)*100,"n/d")</f>
        <v>0</v>
      </c>
    </row>
    <row r="45" spans="2:6" ht="18" customHeight="1">
      <c r="B45" s="520" t="s">
        <v>181</v>
      </c>
      <c r="C45" s="522">
        <v>1</v>
      </c>
      <c r="D45" s="523">
        <v>0.999</v>
      </c>
      <c r="E45" s="447">
        <f t="shared" ref="E45:E66" si="2">IFERROR((C45-D45)*100,"n/d")</f>
        <v>0.10000000000000009</v>
      </c>
    </row>
    <row r="46" spans="2:6" ht="18" customHeight="1">
      <c r="B46" s="520" t="s">
        <v>235</v>
      </c>
      <c r="C46" s="522">
        <v>0.98</v>
      </c>
      <c r="D46" s="523">
        <v>0.52400000000000002</v>
      </c>
      <c r="E46" s="447">
        <f t="shared" si="2"/>
        <v>45.599999999999994</v>
      </c>
    </row>
    <row r="47" spans="2:6" ht="18" customHeight="1">
      <c r="B47" s="520" t="s">
        <v>236</v>
      </c>
      <c r="C47" s="522">
        <v>0.97899999999999998</v>
      </c>
      <c r="D47" s="523">
        <v>0.96899999999999997</v>
      </c>
      <c r="E47" s="447">
        <f t="shared" si="2"/>
        <v>1.0000000000000009</v>
      </c>
    </row>
    <row r="48" spans="2:6" ht="18" customHeight="1">
      <c r="B48" s="520" t="s">
        <v>213</v>
      </c>
      <c r="C48" s="522">
        <v>0.97099999999999997</v>
      </c>
      <c r="D48" s="523">
        <v>0.95699999999999996</v>
      </c>
      <c r="E48" s="447">
        <f t="shared" si="2"/>
        <v>1.4000000000000012</v>
      </c>
    </row>
    <row r="49" spans="2:5" ht="18" customHeight="1">
      <c r="B49" s="520" t="s">
        <v>182</v>
      </c>
      <c r="C49" s="522">
        <v>0.95799999999999996</v>
      </c>
      <c r="D49" s="523">
        <v>0.95399999999999996</v>
      </c>
      <c r="E49" s="447">
        <f t="shared" si="2"/>
        <v>0.40000000000000036</v>
      </c>
    </row>
    <row r="50" spans="2:5" ht="18" customHeight="1">
      <c r="B50" s="520" t="s">
        <v>183</v>
      </c>
      <c r="C50" s="522">
        <v>0.622</v>
      </c>
      <c r="D50" s="523">
        <v>0.63</v>
      </c>
      <c r="E50" s="447">
        <f t="shared" si="2"/>
        <v>-0.80000000000000071</v>
      </c>
    </row>
    <row r="51" spans="2:5" ht="18" customHeight="1">
      <c r="B51" s="520" t="s">
        <v>187</v>
      </c>
      <c r="C51" s="522">
        <v>0.6</v>
      </c>
      <c r="D51" s="523">
        <v>0.57299999999999995</v>
      </c>
      <c r="E51" s="447">
        <f t="shared" si="2"/>
        <v>2.7000000000000024</v>
      </c>
    </row>
    <row r="52" spans="2:5" ht="18" customHeight="1">
      <c r="B52" s="520" t="s">
        <v>237</v>
      </c>
      <c r="C52" s="522">
        <v>0.58799999999999997</v>
      </c>
      <c r="D52" s="523" t="s">
        <v>27</v>
      </c>
      <c r="E52" s="447" t="str">
        <f>IFERROR((C52-D52)*100,"n/a")</f>
        <v>n/a</v>
      </c>
    </row>
    <row r="53" spans="2:5" ht="18" customHeight="1">
      <c r="B53" s="520" t="s">
        <v>13</v>
      </c>
      <c r="C53" s="522">
        <v>0.55900000000000005</v>
      </c>
      <c r="D53" s="523">
        <v>0.56000000000000005</v>
      </c>
      <c r="E53" s="447">
        <f t="shared" si="2"/>
        <v>-0.10000000000000009</v>
      </c>
    </row>
    <row r="54" spans="2:5" ht="18" customHeight="1">
      <c r="B54" s="520" t="s">
        <v>17</v>
      </c>
      <c r="C54" s="522">
        <v>0.55200000000000005</v>
      </c>
      <c r="D54" s="523">
        <v>0.55900000000000005</v>
      </c>
      <c r="E54" s="447">
        <f t="shared" si="2"/>
        <v>-0.70000000000000062</v>
      </c>
    </row>
    <row r="55" spans="2:5" ht="18" customHeight="1">
      <c r="B55" s="520" t="s">
        <v>16</v>
      </c>
      <c r="C55" s="522">
        <v>0.54600000000000004</v>
      </c>
      <c r="D55" s="523" t="s">
        <v>267</v>
      </c>
      <c r="E55" s="447" t="str">
        <f t="shared" si="2"/>
        <v>n/d</v>
      </c>
    </row>
    <row r="56" spans="2:5" ht="18" customHeight="1">
      <c r="B56" s="520" t="s">
        <v>18</v>
      </c>
      <c r="C56" s="522">
        <v>0.53300000000000003</v>
      </c>
      <c r="D56" s="523">
        <v>0.503</v>
      </c>
      <c r="E56" s="447">
        <f t="shared" si="2"/>
        <v>3.0000000000000027</v>
      </c>
    </row>
    <row r="57" spans="2:5" ht="18" customHeight="1">
      <c r="B57" s="520" t="s">
        <v>22</v>
      </c>
      <c r="C57" s="522">
        <v>0.497</v>
      </c>
      <c r="D57" s="523">
        <v>0.46200000000000002</v>
      </c>
      <c r="E57" s="447">
        <f t="shared" si="2"/>
        <v>3.4999999999999973</v>
      </c>
    </row>
    <row r="58" spans="2:5" ht="18" customHeight="1">
      <c r="B58" s="520" t="s">
        <v>185</v>
      </c>
      <c r="C58" s="522">
        <v>0.48799999999999999</v>
      </c>
      <c r="D58" s="523" t="s">
        <v>268</v>
      </c>
      <c r="E58" s="447" t="str">
        <f t="shared" si="2"/>
        <v>n/d</v>
      </c>
    </row>
    <row r="59" spans="2:5" ht="18" customHeight="1">
      <c r="B59" s="520" t="s">
        <v>239</v>
      </c>
      <c r="C59" s="522">
        <v>0.48799999999999999</v>
      </c>
      <c r="D59" s="523">
        <v>0.33700000000000002</v>
      </c>
      <c r="E59" s="447">
        <f t="shared" si="2"/>
        <v>15.099999999999996</v>
      </c>
    </row>
    <row r="60" spans="2:5" ht="18" customHeight="1">
      <c r="B60" s="520" t="s">
        <v>222</v>
      </c>
      <c r="C60" s="522">
        <v>0.48399999999999999</v>
      </c>
      <c r="D60" s="523">
        <v>0.42499999999999999</v>
      </c>
      <c r="E60" s="447">
        <f t="shared" si="2"/>
        <v>5.8999999999999995</v>
      </c>
    </row>
    <row r="61" spans="2:5" ht="18" customHeight="1">
      <c r="B61" s="520" t="s">
        <v>238</v>
      </c>
      <c r="C61" s="522">
        <v>0.46200000000000002</v>
      </c>
      <c r="D61" s="523">
        <v>0.47399999999999998</v>
      </c>
      <c r="E61" s="447">
        <f t="shared" si="2"/>
        <v>-1.1999999999999955</v>
      </c>
    </row>
    <row r="62" spans="2:5" ht="18" customHeight="1">
      <c r="B62" s="520" t="s">
        <v>240</v>
      </c>
      <c r="C62" s="522">
        <v>0.39400000000000002</v>
      </c>
      <c r="D62" s="523" t="s">
        <v>27</v>
      </c>
      <c r="E62" s="447" t="str">
        <f>IFERROR((C62-D62)*100,"n/a")</f>
        <v>n/a</v>
      </c>
    </row>
    <row r="63" spans="2:5" ht="18" customHeight="1">
      <c r="B63" s="520" t="s">
        <v>15</v>
      </c>
      <c r="C63" s="522">
        <v>0.36</v>
      </c>
      <c r="D63" s="523">
        <v>0.36</v>
      </c>
      <c r="E63" s="447">
        <f t="shared" si="2"/>
        <v>0</v>
      </c>
    </row>
    <row r="64" spans="2:5" ht="18" customHeight="1">
      <c r="B64" s="520" t="s">
        <v>214</v>
      </c>
      <c r="C64" s="522">
        <v>0.307</v>
      </c>
      <c r="D64" s="523">
        <v>0.25900000000000001</v>
      </c>
      <c r="E64" s="447">
        <f t="shared" si="2"/>
        <v>4.7999999999999989</v>
      </c>
    </row>
    <row r="65" spans="2:5" ht="18" customHeight="1">
      <c r="B65" s="520" t="s">
        <v>241</v>
      </c>
      <c r="C65" s="522">
        <v>0.26400000000000001</v>
      </c>
      <c r="D65" s="523">
        <v>0.216</v>
      </c>
      <c r="E65" s="447">
        <f t="shared" si="2"/>
        <v>4.8000000000000016</v>
      </c>
    </row>
    <row r="66" spans="2:5" ht="18" customHeight="1">
      <c r="B66" s="520" t="s">
        <v>223</v>
      </c>
      <c r="C66" s="522">
        <v>0.184</v>
      </c>
      <c r="D66" s="523">
        <v>0.111</v>
      </c>
      <c r="E66" s="447">
        <f t="shared" si="2"/>
        <v>7.3</v>
      </c>
    </row>
    <row r="67" spans="2:5" ht="18" customHeight="1" thickBot="1">
      <c r="B67" s="521" t="s">
        <v>224</v>
      </c>
      <c r="C67" s="524" t="s">
        <v>27</v>
      </c>
      <c r="D67" s="525" t="s">
        <v>27</v>
      </c>
      <c r="E67" s="448" t="str">
        <f>IFERROR((C67-D67)*100,"n/a")</f>
        <v>n/a</v>
      </c>
    </row>
    <row r="68" spans="2:5" ht="18" customHeight="1" thickBot="1">
      <c r="B68" s="590" t="s">
        <v>266</v>
      </c>
      <c r="C68" s="591"/>
      <c r="D68" s="591"/>
      <c r="E68" s="592"/>
    </row>
    <row r="69" spans="2:5" ht="18" customHeight="1">
      <c r="B69" s="534" t="s">
        <v>263</v>
      </c>
      <c r="C69" s="522">
        <v>0.755</v>
      </c>
      <c r="D69" s="523">
        <v>0.61699999999999999</v>
      </c>
      <c r="E69" s="447">
        <f t="shared" ref="E69:E71" si="3">IFERROR((C69-D69)*100,"n/d")</f>
        <v>13.8</v>
      </c>
    </row>
    <row r="70" spans="2:5" ht="18" customHeight="1">
      <c r="B70" s="534" t="s">
        <v>264</v>
      </c>
      <c r="C70" s="522">
        <v>0.97299999999999998</v>
      </c>
      <c r="D70" s="523">
        <v>0.96099999999999997</v>
      </c>
      <c r="E70" s="447">
        <f t="shared" si="3"/>
        <v>1.2000000000000011</v>
      </c>
    </row>
    <row r="71" spans="2:5" ht="18" customHeight="1">
      <c r="B71" s="534" t="s">
        <v>20</v>
      </c>
      <c r="C71" s="522">
        <v>0.47899999999999998</v>
      </c>
      <c r="D71" s="523">
        <v>0.50600000000000001</v>
      </c>
      <c r="E71" s="447">
        <f t="shared" si="3"/>
        <v>-2.7000000000000024</v>
      </c>
    </row>
    <row r="72" spans="2:5" ht="18" customHeight="1">
      <c r="B72" s="534" t="s">
        <v>19</v>
      </c>
      <c r="C72" s="522">
        <v>0.40400000000000003</v>
      </c>
      <c r="D72" s="523">
        <v>0.40500000000000003</v>
      </c>
      <c r="E72" s="447">
        <v>-0.1</v>
      </c>
    </row>
    <row r="73" spans="2:5" ht="18" customHeight="1">
      <c r="B73" s="534" t="s">
        <v>184</v>
      </c>
      <c r="C73" s="522">
        <v>0.45200000000000001</v>
      </c>
      <c r="D73" s="523">
        <v>0.45600000000000002</v>
      </c>
      <c r="E73" s="447">
        <v>-0.4</v>
      </c>
    </row>
    <row r="74" spans="2:5" ht="18" customHeight="1">
      <c r="B74" s="534" t="s">
        <v>186</v>
      </c>
      <c r="C74" s="522">
        <v>0.42599999999999999</v>
      </c>
      <c r="D74" s="523">
        <v>0.44400000000000001</v>
      </c>
      <c r="E74" s="447">
        <v>-1.8</v>
      </c>
    </row>
    <row r="75" spans="2:5" s="53" customFormat="1" ht="18" customHeight="1" thickBot="1">
      <c r="B75" s="535" t="s">
        <v>21</v>
      </c>
      <c r="C75" s="524">
        <v>0.42799999999999999</v>
      </c>
      <c r="D75" s="525">
        <v>0.439</v>
      </c>
      <c r="E75" s="448">
        <v>-1.1000000000000001</v>
      </c>
    </row>
    <row r="76" spans="2:5" s="53" customFormat="1" ht="10" customHeight="1">
      <c r="B76" s="527"/>
      <c r="C76" s="532"/>
      <c r="D76" s="523"/>
      <c r="E76" s="526"/>
    </row>
    <row r="77" spans="2:5" s="53" customFormat="1" ht="124.5" customHeight="1">
      <c r="B77" s="588" t="s">
        <v>269</v>
      </c>
      <c r="C77" s="588"/>
      <c r="D77" s="588"/>
      <c r="E77" s="588"/>
    </row>
    <row r="78" spans="2:5" s="53" customFormat="1" ht="10.5" customHeight="1">
      <c r="B78" s="589"/>
      <c r="C78" s="589"/>
      <c r="D78" s="589"/>
      <c r="E78" s="589"/>
    </row>
    <row r="79" spans="2:5" s="53" customFormat="1" ht="14.25" customHeight="1">
      <c r="B79" s="580"/>
      <c r="C79" s="580"/>
      <c r="D79" s="580"/>
      <c r="E79" s="580"/>
    </row>
    <row r="80" spans="2:5" s="53" customFormat="1">
      <c r="B80" s="181"/>
      <c r="C80" s="182"/>
      <c r="D80" s="182"/>
      <c r="E80" s="182"/>
    </row>
    <row r="81" spans="2:5" s="180" customFormat="1" ht="28.5" customHeight="1">
      <c r="B81" s="580"/>
      <c r="C81" s="580"/>
      <c r="D81" s="580"/>
      <c r="E81" s="580"/>
    </row>
    <row r="82" spans="2:5" s="53" customFormat="1">
      <c r="B82" s="580"/>
      <c r="C82" s="580"/>
      <c r="D82" s="580"/>
      <c r="E82" s="580"/>
    </row>
    <row r="83" spans="2:5" s="53" customFormat="1" ht="14.25" customHeight="1">
      <c r="B83" s="181"/>
    </row>
    <row r="84" spans="2:5" s="53" customFormat="1" ht="14.25" customHeight="1">
      <c r="B84" s="181"/>
    </row>
  </sheetData>
  <mergeCells count="12">
    <mergeCell ref="B79:E79"/>
    <mergeCell ref="B81:E81"/>
    <mergeCell ref="B82:E82"/>
    <mergeCell ref="B2:B3"/>
    <mergeCell ref="C2:E2"/>
    <mergeCell ref="B42:B43"/>
    <mergeCell ref="C42:E42"/>
    <mergeCell ref="B41:E41"/>
    <mergeCell ref="B77:E77"/>
    <mergeCell ref="B78:E78"/>
    <mergeCell ref="B32:E32"/>
    <mergeCell ref="B68:E68"/>
  </mergeCells>
  <pageMargins left="0.7" right="0.7" top="0.75" bottom="0.75" header="0.3" footer="0.3"/>
  <pageSetup paperSize="9" scale="56" orientation="portrait" horizontalDpi="4294967294" r:id="rId1"/>
  <ignoredErrors>
    <ignoredError sqref="E62 E5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Anna Kuchnio</cp:lastModifiedBy>
  <cp:lastPrinted>2015-11-10T13:35:13Z</cp:lastPrinted>
  <dcterms:created xsi:type="dcterms:W3CDTF">2008-08-25T12:12:22Z</dcterms:created>
  <dcterms:modified xsi:type="dcterms:W3CDTF">2018-05-15T10:48:05Z</dcterms:modified>
</cp:coreProperties>
</file>